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200 งาน ภท\Aviation\บัญชีรับจ่าย\"/>
    </mc:Choice>
  </mc:AlternateContent>
  <bookViews>
    <workbookView xWindow="8790" yWindow="120" windowWidth="12630" windowHeight="9870" activeTab="1"/>
  </bookViews>
  <sheets>
    <sheet name="Sheet1" sheetId="179" r:id="rId1"/>
    <sheet name="1215" sheetId="177" r:id="rId2"/>
    <sheet name="1115 (2)" sheetId="176" r:id="rId3"/>
    <sheet name="กระบี่" sheetId="175" r:id="rId4"/>
    <sheet name="1115" sheetId="174" r:id="rId5"/>
    <sheet name="1015" sheetId="171" r:id="rId6"/>
    <sheet name="0915" sheetId="168" r:id="rId7"/>
    <sheet name="0815" sheetId="165" r:id="rId8"/>
    <sheet name="0715" sheetId="160" r:id="rId9"/>
    <sheet name="0615" sheetId="157" r:id="rId10"/>
    <sheet name="0515" sheetId="154" r:id="rId11"/>
    <sheet name="0415" sheetId="151" r:id="rId12"/>
    <sheet name="0315" sheetId="148" r:id="rId13"/>
    <sheet name="0215" sheetId="145" r:id="rId14"/>
    <sheet name="0115" sheetId="142" r:id="rId15"/>
    <sheet name="กระบี่ 1214" sheetId="164" r:id="rId16"/>
    <sheet name="1214 new" sheetId="163" r:id="rId17"/>
    <sheet name="1214" sheetId="139" r:id="rId18"/>
    <sheet name="1114" sheetId="136" r:id="rId19"/>
    <sheet name="1014" sheetId="133" r:id="rId20"/>
    <sheet name="0914" sheetId="130" r:id="rId21"/>
    <sheet name="0814" sheetId="127" r:id="rId22"/>
    <sheet name="0714" sheetId="124" r:id="rId23"/>
    <sheet name="0614" sheetId="121" r:id="rId24"/>
    <sheet name="0514" sheetId="118" r:id="rId25"/>
    <sheet name="0414" sheetId="115" r:id="rId26"/>
    <sheet name="0314" sheetId="112" r:id="rId27"/>
    <sheet name="0214" sheetId="109" r:id="rId28"/>
    <sheet name="0114" sheetId="105" r:id="rId29"/>
    <sheet name="1213" sheetId="102" r:id="rId30"/>
    <sheet name="1113" sheetId="96" r:id="rId31"/>
    <sheet name="1013" sheetId="99" r:id="rId32"/>
    <sheet name="0913" sheetId="94" r:id="rId33"/>
    <sheet name="0813" sheetId="90" r:id="rId34"/>
    <sheet name="0713" sheetId="87" r:id="rId35"/>
    <sheet name="0613" sheetId="84" r:id="rId36"/>
    <sheet name="0513" sheetId="81" r:id="rId37"/>
    <sheet name="0413" sheetId="78" r:id="rId38"/>
    <sheet name="0313" sheetId="74" r:id="rId39"/>
    <sheet name="0213" sheetId="72" r:id="rId40"/>
    <sheet name="0113" sheetId="68" r:id="rId41"/>
    <sheet name="1212" sheetId="65" r:id="rId42"/>
    <sheet name="1112" sheetId="62" r:id="rId43"/>
    <sheet name="1012" sheetId="59" r:id="rId44"/>
    <sheet name="0912" sheetId="57" r:id="rId45"/>
    <sheet name="0812" sheetId="55" r:id="rId46"/>
    <sheet name="0712" sheetId="53" r:id="rId47"/>
    <sheet name="0612" sheetId="51" r:id="rId48"/>
    <sheet name="0512" sheetId="49" r:id="rId49"/>
    <sheet name="0412" sheetId="46" r:id="rId50"/>
    <sheet name="0312" sheetId="44" r:id="rId51"/>
    <sheet name="0212" sheetId="39" r:id="rId52"/>
    <sheet name="0112" sheetId="34" r:id="rId53"/>
    <sheet name="1211" sheetId="32" r:id="rId54"/>
    <sheet name="1111" sheetId="30" r:id="rId55"/>
    <sheet name="1011" sheetId="29" r:id="rId56"/>
    <sheet name="0911" sheetId="27" r:id="rId57"/>
    <sheet name="0811" sheetId="26" r:id="rId58"/>
    <sheet name="0711" sheetId="25" r:id="rId59"/>
    <sheet name="0611" sheetId="24" r:id="rId60"/>
    <sheet name="0511" sheetId="22" r:id="rId61"/>
    <sheet name="0411" sheetId="21" r:id="rId62"/>
    <sheet name="0311" sheetId="20" r:id="rId63"/>
    <sheet name="0211" sheetId="19" r:id="rId64"/>
    <sheet name="0111 NEW (2)" sheetId="42" r:id="rId65"/>
    <sheet name="0111 NEW" sheetId="41" r:id="rId66"/>
    <sheet name="0111" sheetId="18" r:id="rId67"/>
    <sheet name="1210" sheetId="17" r:id="rId68"/>
    <sheet name="1110" sheetId="16" r:id="rId69"/>
    <sheet name="1010" sheetId="15" r:id="rId70"/>
    <sheet name="0910" sheetId="14" r:id="rId71"/>
    <sheet name="0810" sheetId="13" r:id="rId72"/>
    <sheet name="0710" sheetId="12" r:id="rId73"/>
    <sheet name="0610" sheetId="10" r:id="rId74"/>
    <sheet name="0510" sheetId="9" r:id="rId75"/>
    <sheet name="0410" sheetId="8" r:id="rId76"/>
    <sheet name="0310" sheetId="7" r:id="rId77"/>
    <sheet name="0210" sheetId="6" r:id="rId78"/>
    <sheet name="0110" sheetId="5" r:id="rId79"/>
    <sheet name="1209" sheetId="4" r:id="rId80"/>
    <sheet name="1109" sheetId="3" r:id="rId81"/>
    <sheet name="1009" sheetId="2" r:id="rId82"/>
    <sheet name="5206" sheetId="1" r:id="rId83"/>
  </sheets>
  <externalReferences>
    <externalReference r:id="rId84"/>
    <externalReference r:id="rId85"/>
    <externalReference r:id="rId86"/>
    <externalReference r:id="rId87"/>
    <externalReference r:id="rId88"/>
  </externalReferences>
  <definedNames>
    <definedName name="_xlnm.Print_Area" localSheetId="82">'5206'!$A$1:$P$88</definedName>
    <definedName name="_xlnm.Print_Titles" localSheetId="78">'0110'!$1:$6</definedName>
    <definedName name="_xlnm.Print_Titles" localSheetId="66">'0111'!$1:$6</definedName>
    <definedName name="_xlnm.Print_Titles" localSheetId="65">'0111 NEW'!$1:$6</definedName>
    <definedName name="_xlnm.Print_Titles" localSheetId="64">'0111 NEW (2)'!$1:$6</definedName>
    <definedName name="_xlnm.Print_Titles" localSheetId="52">'0112'!$1:$6</definedName>
    <definedName name="_xlnm.Print_Titles" localSheetId="40">'0113'!$1:$6</definedName>
    <definedName name="_xlnm.Print_Titles" localSheetId="28">'0114'!$1:$6</definedName>
    <definedName name="_xlnm.Print_Titles" localSheetId="14">'0115'!$1:$6</definedName>
    <definedName name="_xlnm.Print_Titles" localSheetId="77">'0210'!$1:$6</definedName>
    <definedName name="_xlnm.Print_Titles" localSheetId="63">'0211'!$1:$6</definedName>
    <definedName name="_xlnm.Print_Titles" localSheetId="51">'0212'!$1:$6</definedName>
    <definedName name="_xlnm.Print_Titles" localSheetId="39">'0213'!$1:$6</definedName>
    <definedName name="_xlnm.Print_Titles" localSheetId="27">'0214'!$1:$6</definedName>
    <definedName name="_xlnm.Print_Titles" localSheetId="13">'0215'!$1:$6</definedName>
    <definedName name="_xlnm.Print_Titles" localSheetId="76">'0310'!$1:$6</definedName>
    <definedName name="_xlnm.Print_Titles" localSheetId="62">'0311'!$1:$6</definedName>
    <definedName name="_xlnm.Print_Titles" localSheetId="50">'0312'!$1:$6</definedName>
    <definedName name="_xlnm.Print_Titles" localSheetId="38">'0313'!$1:$6</definedName>
    <definedName name="_xlnm.Print_Titles" localSheetId="26">'0314'!$1:$6</definedName>
    <definedName name="_xlnm.Print_Titles" localSheetId="12">'0315'!$1:$6</definedName>
    <definedName name="_xlnm.Print_Titles" localSheetId="75">'0410'!$1:$6</definedName>
    <definedName name="_xlnm.Print_Titles" localSheetId="61">'0411'!$1:$6</definedName>
    <definedName name="_xlnm.Print_Titles" localSheetId="49">'0412'!$1:$6</definedName>
    <definedName name="_xlnm.Print_Titles" localSheetId="37">'0413'!$1:$6</definedName>
    <definedName name="_xlnm.Print_Titles" localSheetId="25">'0414'!$1:$6</definedName>
    <definedName name="_xlnm.Print_Titles" localSheetId="11">'0415'!$1:$6</definedName>
    <definedName name="_xlnm.Print_Titles" localSheetId="74">'0510'!$1:$6</definedName>
    <definedName name="_xlnm.Print_Titles" localSheetId="60">'0511'!$1:$6</definedName>
    <definedName name="_xlnm.Print_Titles" localSheetId="48">'0512'!$1:$6</definedName>
    <definedName name="_xlnm.Print_Titles" localSheetId="36">'0513'!$1:$6</definedName>
    <definedName name="_xlnm.Print_Titles" localSheetId="24">'0514'!$1:$6</definedName>
    <definedName name="_xlnm.Print_Titles" localSheetId="10">'0515'!$1:$6</definedName>
    <definedName name="_xlnm.Print_Titles" localSheetId="73">'0610'!$1:$6</definedName>
    <definedName name="_xlnm.Print_Titles" localSheetId="59">'0611'!$1:$6</definedName>
    <definedName name="_xlnm.Print_Titles" localSheetId="47">'0612'!$1:$6</definedName>
    <definedName name="_xlnm.Print_Titles" localSheetId="35">'0613'!$1:$6</definedName>
    <definedName name="_xlnm.Print_Titles" localSheetId="23">'0614'!$1:$6</definedName>
    <definedName name="_xlnm.Print_Titles" localSheetId="9">'0615'!$1:$6</definedName>
    <definedName name="_xlnm.Print_Titles" localSheetId="72">'0710'!$1:$6</definedName>
    <definedName name="_xlnm.Print_Titles" localSheetId="58">'0711'!$1:$6</definedName>
    <definedName name="_xlnm.Print_Titles" localSheetId="46">'0712'!$1:$6</definedName>
    <definedName name="_xlnm.Print_Titles" localSheetId="34">'0713'!$1:$6</definedName>
    <definedName name="_xlnm.Print_Titles" localSheetId="22">'0714'!$1:$6</definedName>
    <definedName name="_xlnm.Print_Titles" localSheetId="8">'0715'!$1:$6</definedName>
    <definedName name="_xlnm.Print_Titles" localSheetId="71">'0810'!$1:$6</definedName>
    <definedName name="_xlnm.Print_Titles" localSheetId="57">'0811'!$1:$6</definedName>
    <definedName name="_xlnm.Print_Titles" localSheetId="45">'0812'!$1:$6</definedName>
    <definedName name="_xlnm.Print_Titles" localSheetId="33">'0813'!$1:$6</definedName>
    <definedName name="_xlnm.Print_Titles" localSheetId="21">'0814'!$1:$6</definedName>
    <definedName name="_xlnm.Print_Titles" localSheetId="7">'0815'!$1:$6</definedName>
    <definedName name="_xlnm.Print_Titles" localSheetId="70">'0910'!$1:$6</definedName>
    <definedName name="_xlnm.Print_Titles" localSheetId="56">'0911'!$1:$6</definedName>
    <definedName name="_xlnm.Print_Titles" localSheetId="44">'0912'!$1:$6</definedName>
    <definedName name="_xlnm.Print_Titles" localSheetId="32">'0913'!$1:$6</definedName>
    <definedName name="_xlnm.Print_Titles" localSheetId="20">'0914'!$1:$6</definedName>
    <definedName name="_xlnm.Print_Titles" localSheetId="6">'0915'!$1:$6</definedName>
    <definedName name="_xlnm.Print_Titles" localSheetId="81">'1009'!$1:$6</definedName>
    <definedName name="_xlnm.Print_Titles" localSheetId="69">'1010'!$1:$6</definedName>
    <definedName name="_xlnm.Print_Titles" localSheetId="55">'1011'!$1:$6</definedName>
    <definedName name="_xlnm.Print_Titles" localSheetId="43">'1012'!$1:$6</definedName>
    <definedName name="_xlnm.Print_Titles" localSheetId="31">'1013'!$1:$6</definedName>
    <definedName name="_xlnm.Print_Titles" localSheetId="19">'1014'!$1:$6</definedName>
    <definedName name="_xlnm.Print_Titles" localSheetId="5">'1015'!$1:$6</definedName>
    <definedName name="_xlnm.Print_Titles" localSheetId="80">'1109'!$1:$6</definedName>
    <definedName name="_xlnm.Print_Titles" localSheetId="68">'1110'!$1:$6</definedName>
    <definedName name="_xlnm.Print_Titles" localSheetId="54">'1111'!$1:$6</definedName>
    <definedName name="_xlnm.Print_Titles" localSheetId="42">'1112'!$1:$6</definedName>
    <definedName name="_xlnm.Print_Titles" localSheetId="30">'1113'!$1:$6</definedName>
    <definedName name="_xlnm.Print_Titles" localSheetId="18">'1114'!$1:$6</definedName>
    <definedName name="_xlnm.Print_Titles" localSheetId="4">'1115'!$1:$6</definedName>
    <definedName name="_xlnm.Print_Titles" localSheetId="2">'1115 (2)'!$1:$1</definedName>
    <definedName name="_xlnm.Print_Titles" localSheetId="79">'1209'!$1:$6</definedName>
    <definedName name="_xlnm.Print_Titles" localSheetId="67">'1210'!$1:$6</definedName>
    <definedName name="_xlnm.Print_Titles" localSheetId="53">'1211'!$1:$6</definedName>
    <definedName name="_xlnm.Print_Titles" localSheetId="41">'1212'!$1:$6</definedName>
    <definedName name="_xlnm.Print_Titles" localSheetId="29">'1213'!$1:$6</definedName>
    <definedName name="_xlnm.Print_Titles" localSheetId="17">'1214'!$1:$6</definedName>
    <definedName name="_xlnm.Print_Titles" localSheetId="16">'1214 new'!$1:$6</definedName>
    <definedName name="_xlnm.Print_Titles" localSheetId="1">'1215'!$1:$6</definedName>
    <definedName name="_xlnm.Print_Titles" localSheetId="82">'5206'!$1:$6</definedName>
    <definedName name="_xlnm.Print_Titles" localSheetId="3">กระบี่!$3:$3</definedName>
    <definedName name="_xlnm.Print_Titles" localSheetId="15">'กระบี่ 1214'!$3:$3</definedName>
  </definedNames>
  <calcPr calcId="152511"/>
</workbook>
</file>

<file path=xl/calcChain.xml><?xml version="1.0" encoding="utf-8"?>
<calcChain xmlns="http://schemas.openxmlformats.org/spreadsheetml/2006/main">
  <c r="B486" i="177" l="1"/>
  <c r="D485" i="177"/>
  <c r="D484" i="177"/>
  <c r="E484" i="177" s="1"/>
  <c r="D483" i="177"/>
  <c r="E483" i="177" s="1"/>
  <c r="F483" i="177" s="1"/>
  <c r="D482" i="177"/>
  <c r="E482" i="177" s="1"/>
  <c r="F482" i="177" s="1"/>
  <c r="D481" i="177"/>
  <c r="D480" i="177"/>
  <c r="E480" i="177" s="1"/>
  <c r="D479" i="177"/>
  <c r="E479" i="177" s="1"/>
  <c r="F479" i="177" s="1"/>
  <c r="D478" i="177"/>
  <c r="E478" i="177" s="1"/>
  <c r="F478" i="177" s="1"/>
  <c r="D477" i="177"/>
  <c r="D476" i="177"/>
  <c r="E476" i="177" s="1"/>
  <c r="D475" i="177"/>
  <c r="E475" i="177" s="1"/>
  <c r="F475" i="177" s="1"/>
  <c r="E474" i="177"/>
  <c r="F474" i="177" s="1"/>
  <c r="D474" i="177"/>
  <c r="D473" i="177"/>
  <c r="D472" i="177"/>
  <c r="E472" i="177" s="1"/>
  <c r="D471" i="177"/>
  <c r="E471" i="177" s="1"/>
  <c r="F471" i="177" s="1"/>
  <c r="E470" i="177"/>
  <c r="F470" i="177" s="1"/>
  <c r="D470" i="177"/>
  <c r="D469" i="177"/>
  <c r="B468" i="177"/>
  <c r="D467" i="177"/>
  <c r="E467" i="177" s="1"/>
  <c r="E468" i="177" s="1"/>
  <c r="B466" i="177"/>
  <c r="D465" i="177"/>
  <c r="E465" i="177" s="1"/>
  <c r="F465" i="177" s="1"/>
  <c r="D464" i="177"/>
  <c r="E464" i="177" s="1"/>
  <c r="F464" i="177" s="1"/>
  <c r="D463" i="177"/>
  <c r="D462" i="177"/>
  <c r="E462" i="177" s="1"/>
  <c r="D461" i="177"/>
  <c r="E461" i="177" s="1"/>
  <c r="F461" i="177" s="1"/>
  <c r="E460" i="177"/>
  <c r="F460" i="177" s="1"/>
  <c r="D460" i="177"/>
  <c r="D459" i="177"/>
  <c r="D458" i="177"/>
  <c r="E458" i="177" s="1"/>
  <c r="D457" i="177"/>
  <c r="E457" i="177" s="1"/>
  <c r="F457" i="177" s="1"/>
  <c r="D456" i="177"/>
  <c r="D466" i="177" l="1"/>
  <c r="E456" i="177"/>
  <c r="F456" i="177" s="1"/>
  <c r="F473" i="177"/>
  <c r="E459" i="177"/>
  <c r="E466" i="177" s="1"/>
  <c r="E469" i="177"/>
  <c r="E477" i="177"/>
  <c r="F477" i="177" s="1"/>
  <c r="E481" i="177"/>
  <c r="F481" i="177" s="1"/>
  <c r="E485" i="177"/>
  <c r="F485" i="177" s="1"/>
  <c r="F458" i="177"/>
  <c r="F462" i="177"/>
  <c r="F467" i="177"/>
  <c r="F468" i="177" s="1"/>
  <c r="F472" i="177"/>
  <c r="F476" i="177"/>
  <c r="F480" i="177"/>
  <c r="F484" i="177"/>
  <c r="D486" i="177"/>
  <c r="E463" i="177"/>
  <c r="F463" i="177" s="1"/>
  <c r="D468" i="177"/>
  <c r="E473" i="177"/>
  <c r="G174" i="179"/>
  <c r="G175" i="179"/>
  <c r="G176" i="179"/>
  <c r="G177" i="179"/>
  <c r="G178" i="179"/>
  <c r="G179" i="179"/>
  <c r="G180" i="179"/>
  <c r="G181" i="179"/>
  <c r="G182" i="179"/>
  <c r="G183" i="179"/>
  <c r="G184" i="179"/>
  <c r="G185" i="179"/>
  <c r="G186" i="179"/>
  <c r="G187" i="179"/>
  <c r="G188" i="179"/>
  <c r="G189" i="179"/>
  <c r="G173" i="179"/>
  <c r="G146" i="179"/>
  <c r="G3" i="179"/>
  <c r="G4" i="179"/>
  <c r="G5" i="179"/>
  <c r="G6" i="179"/>
  <c r="G7" i="179"/>
  <c r="G8" i="179"/>
  <c r="G9" i="179"/>
  <c r="G10" i="179"/>
  <c r="G11" i="179"/>
  <c r="G2" i="179"/>
  <c r="I369" i="177"/>
  <c r="E486" i="177" l="1"/>
  <c r="F469" i="177"/>
  <c r="F486" i="177" s="1"/>
  <c r="F459" i="177"/>
  <c r="F466" i="177" s="1"/>
  <c r="E381" i="174"/>
  <c r="D381" i="174"/>
  <c r="L165" i="177"/>
  <c r="L178" i="177"/>
  <c r="L198" i="177"/>
  <c r="L203" i="177"/>
  <c r="L210" i="177"/>
  <c r="L219" i="177"/>
  <c r="L221" i="177"/>
  <c r="L225" i="177"/>
  <c r="L233" i="177"/>
  <c r="L245" i="177"/>
  <c r="L249" i="177"/>
  <c r="L255" i="177"/>
  <c r="L257" i="177"/>
  <c r="L260" i="177"/>
  <c r="L268" i="177"/>
  <c r="L274" i="177"/>
  <c r="L283" i="177"/>
  <c r="L291" i="177"/>
  <c r="L295" i="177"/>
  <c r="L299" i="177"/>
  <c r="L302" i="177"/>
  <c r="L306" i="177"/>
  <c r="L320" i="177"/>
  <c r="L323" i="177"/>
  <c r="L328" i="177"/>
  <c r="L339" i="177"/>
  <c r="L353" i="177"/>
  <c r="L363" i="177"/>
  <c r="L365" i="177"/>
  <c r="L382" i="177"/>
  <c r="L401" i="177"/>
  <c r="L406" i="177"/>
  <c r="L416" i="177"/>
  <c r="L418" i="177"/>
  <c r="L421" i="177"/>
  <c r="I195" i="177" l="1"/>
  <c r="I112" i="177"/>
  <c r="I452" i="177" l="1"/>
  <c r="G452" i="177"/>
  <c r="G453" i="177" s="1"/>
  <c r="C452" i="177"/>
  <c r="O7" i="177" s="1"/>
  <c r="O8" i="177" s="1"/>
  <c r="O9" i="177" s="1"/>
  <c r="O10" i="177" s="1"/>
  <c r="O11" i="177" s="1"/>
  <c r="O12" i="177" s="1"/>
  <c r="O13" i="177" s="1"/>
  <c r="O14" i="177" s="1"/>
  <c r="O15" i="177" s="1"/>
  <c r="O16" i="177" s="1"/>
  <c r="O17" i="177" s="1"/>
  <c r="O18" i="177" s="1"/>
  <c r="O19" i="177" s="1"/>
  <c r="O20" i="177" s="1"/>
  <c r="O21" i="177" s="1"/>
  <c r="O22" i="177" s="1"/>
  <c r="O23" i="177" s="1"/>
  <c r="O24" i="177" s="1"/>
  <c r="O25" i="177" s="1"/>
  <c r="N7" i="177"/>
  <c r="N8" i="177" s="1"/>
  <c r="N9" i="177" s="1"/>
  <c r="N10" i="177" s="1"/>
  <c r="N11" i="177" s="1"/>
  <c r="N12" i="177" s="1"/>
  <c r="N13" i="177" s="1"/>
  <c r="N14" i="177" s="1"/>
  <c r="N15" i="177" s="1"/>
  <c r="N16" i="177" s="1"/>
  <c r="N17" i="177" s="1"/>
  <c r="N18" i="177" s="1"/>
  <c r="N19" i="177" s="1"/>
  <c r="N20" i="177" s="1"/>
  <c r="N21" i="177" s="1"/>
  <c r="N22" i="177" s="1"/>
  <c r="O26" i="177" l="1"/>
  <c r="O27" i="177" s="1"/>
  <c r="O28" i="177" s="1"/>
  <c r="O29" i="177" s="1"/>
  <c r="O30" i="177" s="1"/>
  <c r="O31" i="177" s="1"/>
  <c r="O32" i="177" s="1"/>
  <c r="O33" i="177" s="1"/>
  <c r="O34" i="177" s="1"/>
  <c r="O35" i="177" s="1"/>
  <c r="O36" i="177" s="1"/>
  <c r="N23" i="177"/>
  <c r="N24" i="177" s="1"/>
  <c r="N25" i="177" s="1"/>
  <c r="J366" i="174"/>
  <c r="J378" i="174"/>
  <c r="D382" i="174"/>
  <c r="E382" i="174" s="1"/>
  <c r="D383" i="174"/>
  <c r="E383" i="174" s="1"/>
  <c r="D384" i="174"/>
  <c r="E384" i="174" s="1"/>
  <c r="F384" i="174" s="1"/>
  <c r="D385" i="174"/>
  <c r="E385" i="174" s="1"/>
  <c r="F385" i="174" s="1"/>
  <c r="D386" i="174"/>
  <c r="E386" i="174" s="1"/>
  <c r="D387" i="174"/>
  <c r="E387" i="174"/>
  <c r="D388" i="174"/>
  <c r="E388" i="174" s="1"/>
  <c r="F388" i="174" s="1"/>
  <c r="B389" i="174"/>
  <c r="D390" i="174"/>
  <c r="E390" i="174"/>
  <c r="F390" i="174" s="1"/>
  <c r="D391" i="174"/>
  <c r="D392" i="174"/>
  <c r="E392" i="174" s="1"/>
  <c r="D393" i="174"/>
  <c r="E393" i="174" s="1"/>
  <c r="F393" i="174" s="1"/>
  <c r="D394" i="174"/>
  <c r="E394" i="174" s="1"/>
  <c r="F394" i="174" s="1"/>
  <c r="D395" i="174"/>
  <c r="E395" i="174" s="1"/>
  <c r="D396" i="174"/>
  <c r="D397" i="174"/>
  <c r="E397" i="174" s="1"/>
  <c r="F397" i="174" s="1"/>
  <c r="D398" i="174"/>
  <c r="E398" i="174"/>
  <c r="F398" i="174" s="1"/>
  <c r="D399" i="174"/>
  <c r="E399" i="174" s="1"/>
  <c r="D400" i="174"/>
  <c r="E400" i="174" s="1"/>
  <c r="B401" i="174"/>
  <c r="B310" i="176"/>
  <c r="O37" i="177" l="1"/>
  <c r="O38" i="177" s="1"/>
  <c r="N26" i="177"/>
  <c r="N27" i="177" s="1"/>
  <c r="N28" i="177" s="1"/>
  <c r="N29" i="177" s="1"/>
  <c r="N30" i="177" s="1"/>
  <c r="N31" i="177" s="1"/>
  <c r="N32" i="177" s="1"/>
  <c r="N33" i="177" s="1"/>
  <c r="N34" i="177" s="1"/>
  <c r="N35" i="177" s="1"/>
  <c r="N36" i="177" s="1"/>
  <c r="F387" i="174"/>
  <c r="F400" i="174"/>
  <c r="F392" i="174"/>
  <c r="E396" i="174"/>
  <c r="F396" i="174" s="1"/>
  <c r="D401" i="174"/>
  <c r="F383" i="174"/>
  <c r="F381" i="174"/>
  <c r="E389" i="174"/>
  <c r="F399" i="174"/>
  <c r="F395" i="174"/>
  <c r="D389" i="174"/>
  <c r="F386" i="174"/>
  <c r="F382" i="174"/>
  <c r="E391" i="174"/>
  <c r="E401" i="174" l="1"/>
  <c r="F389" i="174"/>
  <c r="O39" i="177"/>
  <c r="O40" i="177" s="1"/>
  <c r="O41" i="177" s="1"/>
  <c r="O42" i="177" s="1"/>
  <c r="O43" i="177" s="1"/>
  <c r="O44" i="177" s="1"/>
  <c r="O45" i="177" s="1"/>
  <c r="N37" i="177"/>
  <c r="N38" i="177" s="1"/>
  <c r="F391" i="174"/>
  <c r="F401" i="174" s="1"/>
  <c r="O46" i="177" l="1"/>
  <c r="O47" i="177" s="1"/>
  <c r="O48" i="177" s="1"/>
  <c r="O49" i="177" s="1"/>
  <c r="O50" i="177" s="1"/>
  <c r="O51" i="177" s="1"/>
  <c r="N39" i="177"/>
  <c r="N40" i="177" s="1"/>
  <c r="N41" i="177" s="1"/>
  <c r="N42" i="177" s="1"/>
  <c r="N43" i="177" s="1"/>
  <c r="N44" i="177" s="1"/>
  <c r="N45" i="177" s="1"/>
  <c r="B332" i="176"/>
  <c r="O52" i="177" l="1"/>
  <c r="O53" i="177" s="1"/>
  <c r="O54" i="177" s="1"/>
  <c r="O55" i="177" s="1"/>
  <c r="O56" i="177" s="1"/>
  <c r="O57" i="177" s="1"/>
  <c r="O58" i="177" s="1"/>
  <c r="O59" i="177" s="1"/>
  <c r="O60" i="177" s="1"/>
  <c r="O61" i="177" s="1"/>
  <c r="O62" i="177" s="1"/>
  <c r="O63" i="177" s="1"/>
  <c r="O64" i="177" s="1"/>
  <c r="O65" i="177" s="1"/>
  <c r="O66" i="177" s="1"/>
  <c r="O67" i="177" s="1"/>
  <c r="O68" i="177" s="1"/>
  <c r="O69" i="177" s="1"/>
  <c r="O70" i="177" s="1"/>
  <c r="O71" i="177" s="1"/>
  <c r="O72" i="177" s="1"/>
  <c r="O73" i="177" s="1"/>
  <c r="O74" i="177" s="1"/>
  <c r="O75" i="177" s="1"/>
  <c r="O76" i="177" s="1"/>
  <c r="O77" i="177" s="1"/>
  <c r="O78" i="177" s="1"/>
  <c r="O79" i="177" s="1"/>
  <c r="O80" i="177" s="1"/>
  <c r="O81" i="177" s="1"/>
  <c r="O82" i="177" s="1"/>
  <c r="O83" i="177" s="1"/>
  <c r="N46" i="177"/>
  <c r="N47" i="177" s="1"/>
  <c r="N48" i="177" s="1"/>
  <c r="N49" i="177" s="1"/>
  <c r="N50" i="177" s="1"/>
  <c r="N51" i="177" s="1"/>
  <c r="M760" i="175"/>
  <c r="P727" i="175"/>
  <c r="M727" i="175"/>
  <c r="M728" i="175" s="1"/>
  <c r="P433" i="175"/>
  <c r="M433" i="175"/>
  <c r="P428" i="175"/>
  <c r="M428" i="175"/>
  <c r="P295" i="175"/>
  <c r="P429" i="175" s="1"/>
  <c r="M295" i="175"/>
  <c r="L352" i="174"/>
  <c r="I352" i="174"/>
  <c r="C352" i="174"/>
  <c r="N7" i="174"/>
  <c r="N8" i="174" s="1"/>
  <c r="N9" i="174" s="1"/>
  <c r="N10" i="174" s="1"/>
  <c r="N11" i="174" s="1"/>
  <c r="N12" i="174" s="1"/>
  <c r="N13" i="174" s="1"/>
  <c r="N14" i="174" s="1"/>
  <c r="N15" i="174" s="1"/>
  <c r="O84" i="177" l="1"/>
  <c r="O85" i="177" s="1"/>
  <c r="O86" i="177" s="1"/>
  <c r="O87" i="177" s="1"/>
  <c r="O88" i="177" s="1"/>
  <c r="O89" i="177" s="1"/>
  <c r="O90" i="177" s="1"/>
  <c r="O91" i="177" s="1"/>
  <c r="N52" i="177"/>
  <c r="N53" i="177" s="1"/>
  <c r="N54" i="177" s="1"/>
  <c r="N55" i="177" s="1"/>
  <c r="N56" i="177" s="1"/>
  <c r="N57" i="177" s="1"/>
  <c r="N58" i="177" s="1"/>
  <c r="N59" i="177" s="1"/>
  <c r="N60" i="177" s="1"/>
  <c r="N61" i="177" s="1"/>
  <c r="N62" i="177" s="1"/>
  <c r="N63" i="177" s="1"/>
  <c r="N64" i="177" s="1"/>
  <c r="N65" i="177" s="1"/>
  <c r="N66" i="177" s="1"/>
  <c r="N67" i="177" s="1"/>
  <c r="N68" i="177" s="1"/>
  <c r="N69" i="177" s="1"/>
  <c r="N70" i="177" s="1"/>
  <c r="N71" i="177" s="1"/>
  <c r="N72" i="177" s="1"/>
  <c r="N73" i="177" s="1"/>
  <c r="N74" i="177" s="1"/>
  <c r="N75" i="177" s="1"/>
  <c r="N76" i="177" s="1"/>
  <c r="N77" i="177" s="1"/>
  <c r="N78" i="177" s="1"/>
  <c r="N79" i="177" s="1"/>
  <c r="N80" i="177" s="1"/>
  <c r="N81" i="177" s="1"/>
  <c r="N82" i="177" s="1"/>
  <c r="N83" i="177" s="1"/>
  <c r="P728" i="175"/>
  <c r="M429" i="175"/>
  <c r="M761" i="175"/>
  <c r="N16" i="174"/>
  <c r="N17" i="174" s="1"/>
  <c r="G352" i="174"/>
  <c r="L353" i="174"/>
  <c r="M353" i="174" s="1"/>
  <c r="O7" i="174"/>
  <c r="O8" i="174" s="1"/>
  <c r="O9" i="174" s="1"/>
  <c r="O10" i="174" s="1"/>
  <c r="O11" i="174" s="1"/>
  <c r="O12" i="174" s="1"/>
  <c r="O13" i="174" s="1"/>
  <c r="O14" i="174" s="1"/>
  <c r="O15" i="174" s="1"/>
  <c r="J345" i="171"/>
  <c r="J351" i="171"/>
  <c r="D354" i="171"/>
  <c r="E354" i="171"/>
  <c r="F354" i="171" s="1"/>
  <c r="D355" i="171"/>
  <c r="E355" i="171" s="1"/>
  <c r="F355" i="171" s="1"/>
  <c r="D356" i="171"/>
  <c r="E356" i="171" s="1"/>
  <c r="D357" i="171"/>
  <c r="E357" i="171" s="1"/>
  <c r="D358" i="171"/>
  <c r="E358" i="171"/>
  <c r="F358" i="171" s="1"/>
  <c r="D359" i="171"/>
  <c r="E359" i="171" s="1"/>
  <c r="F359" i="171" s="1"/>
  <c r="D360" i="171"/>
  <c r="E360" i="171" s="1"/>
  <c r="B361" i="171"/>
  <c r="D362" i="171"/>
  <c r="E362" i="171" s="1"/>
  <c r="D363" i="171"/>
  <c r="E363" i="171" s="1"/>
  <c r="F363" i="171" s="1"/>
  <c r="D364" i="171"/>
  <c r="E364" i="171" s="1"/>
  <c r="F364" i="171" s="1"/>
  <c r="D365" i="171"/>
  <c r="E365" i="171" s="1"/>
  <c r="D366" i="171"/>
  <c r="E366" i="171" s="1"/>
  <c r="B367" i="171"/>
  <c r="L335" i="171"/>
  <c r="I335" i="171"/>
  <c r="C335" i="171"/>
  <c r="O7" i="171" s="1"/>
  <c r="O8" i="171" s="1"/>
  <c r="O9" i="171" s="1"/>
  <c r="O10" i="171" s="1"/>
  <c r="O11" i="171" s="1"/>
  <c r="O12" i="171" s="1"/>
  <c r="O13" i="171" s="1"/>
  <c r="O14" i="171" s="1"/>
  <c r="O15" i="171" s="1"/>
  <c r="O16" i="171" s="1"/>
  <c r="O17" i="171" s="1"/>
  <c r="O18" i="171" s="1"/>
  <c r="O19" i="171" s="1"/>
  <c r="O20" i="171" s="1"/>
  <c r="O21" i="171" s="1"/>
  <c r="O22" i="171" s="1"/>
  <c r="O23" i="171" s="1"/>
  <c r="O24" i="171" s="1"/>
  <c r="O25" i="171" s="1"/>
  <c r="O26" i="171" s="1"/>
  <c r="O27" i="171" s="1"/>
  <c r="N7" i="171"/>
  <c r="N8" i="171" s="1"/>
  <c r="N9" i="171" s="1"/>
  <c r="N10" i="171" s="1"/>
  <c r="N11" i="171" s="1"/>
  <c r="N12" i="171" s="1"/>
  <c r="N13" i="171" s="1"/>
  <c r="N14" i="171" s="1"/>
  <c r="N15" i="171" s="1"/>
  <c r="O92" i="177" l="1"/>
  <c r="O93" i="177" s="1"/>
  <c r="O94" i="177" s="1"/>
  <c r="O95" i="177" s="1"/>
  <c r="O96" i="177" s="1"/>
  <c r="O97" i="177" s="1"/>
  <c r="O98" i="177" s="1"/>
  <c r="O99" i="177" s="1"/>
  <c r="O100" i="177" s="1"/>
  <c r="O101" i="177" s="1"/>
  <c r="O102" i="177" s="1"/>
  <c r="O103" i="177" s="1"/>
  <c r="O104" i="177" s="1"/>
  <c r="O105" i="177" s="1"/>
  <c r="O106" i="177" s="1"/>
  <c r="O107" i="177" s="1"/>
  <c r="O108" i="177" s="1"/>
  <c r="O109" i="177" s="1"/>
  <c r="O110" i="177" s="1"/>
  <c r="O111" i="177" s="1"/>
  <c r="N84" i="177"/>
  <c r="N85" i="177" s="1"/>
  <c r="N86" i="177" s="1"/>
  <c r="N87" i="177" s="1"/>
  <c r="N88" i="177" s="1"/>
  <c r="N89" i="177" s="1"/>
  <c r="N90" i="177" s="1"/>
  <c r="N91" i="177" s="1"/>
  <c r="N92" i="177" s="1"/>
  <c r="D367" i="171"/>
  <c r="O16" i="174"/>
  <c r="O17" i="174" s="1"/>
  <c r="O18" i="174" s="1"/>
  <c r="O19" i="174" s="1"/>
  <c r="O20" i="174" s="1"/>
  <c r="O21" i="174" s="1"/>
  <c r="O22" i="174" s="1"/>
  <c r="O23" i="174" s="1"/>
  <c r="O24" i="174" s="1"/>
  <c r="O25" i="174" s="1"/>
  <c r="N18" i="174"/>
  <c r="N19" i="174" s="1"/>
  <c r="N20" i="174" s="1"/>
  <c r="N21" i="174" s="1"/>
  <c r="N22" i="174" s="1"/>
  <c r="N23" i="174" s="1"/>
  <c r="N24" i="174" s="1"/>
  <c r="N25" i="174" s="1"/>
  <c r="O352" i="174"/>
  <c r="G353" i="174"/>
  <c r="E367" i="171"/>
  <c r="F365" i="171"/>
  <c r="F360" i="171"/>
  <c r="F356" i="171"/>
  <c r="F366" i="171"/>
  <c r="F362" i="171"/>
  <c r="F367" i="171" s="1"/>
  <c r="E361" i="171"/>
  <c r="F357" i="171"/>
  <c r="D361" i="171"/>
  <c r="G335" i="171"/>
  <c r="G336" i="171" s="1"/>
  <c r="O28" i="171"/>
  <c r="O29" i="171" s="1"/>
  <c r="O30" i="171" s="1"/>
  <c r="O31" i="171" s="1"/>
  <c r="O32" i="171" s="1"/>
  <c r="O33" i="171" s="1"/>
  <c r="O34" i="171" s="1"/>
  <c r="O35" i="171" s="1"/>
  <c r="O36" i="171" s="1"/>
  <c r="N16" i="171"/>
  <c r="N17" i="171" s="1"/>
  <c r="N18" i="171" s="1"/>
  <c r="N19" i="171" s="1"/>
  <c r="N20" i="171" s="1"/>
  <c r="N21" i="171" s="1"/>
  <c r="N22" i="171" s="1"/>
  <c r="N23" i="171" s="1"/>
  <c r="N24" i="171" s="1"/>
  <c r="N25" i="171" s="1"/>
  <c r="N26" i="171" s="1"/>
  <c r="N27" i="171" s="1"/>
  <c r="L336" i="171"/>
  <c r="M336" i="171" s="1"/>
  <c r="O112" i="177" l="1"/>
  <c r="O113" i="177" s="1"/>
  <c r="O114" i="177" s="1"/>
  <c r="O115" i="177" s="1"/>
  <c r="O116" i="177" s="1"/>
  <c r="O117" i="177" s="1"/>
  <c r="O118" i="177" s="1"/>
  <c r="N93" i="177"/>
  <c r="N94" i="177" s="1"/>
  <c r="N95" i="177" s="1"/>
  <c r="N96" i="177" s="1"/>
  <c r="N97" i="177" s="1"/>
  <c r="N98" i="177" s="1"/>
  <c r="N99" i="177" s="1"/>
  <c r="N100" i="177" s="1"/>
  <c r="N101" i="177" s="1"/>
  <c r="N102" i="177" s="1"/>
  <c r="N103" i="177" s="1"/>
  <c r="N104" i="177" s="1"/>
  <c r="N105" i="177" s="1"/>
  <c r="N106" i="177" s="1"/>
  <c r="N107" i="177" s="1"/>
  <c r="N108" i="177" s="1"/>
  <c r="N109" i="177" s="1"/>
  <c r="N110" i="177" s="1"/>
  <c r="N111" i="177" s="1"/>
  <c r="F361" i="171"/>
  <c r="N26" i="174"/>
  <c r="O26" i="174"/>
  <c r="O27" i="174" s="1"/>
  <c r="O28" i="174" s="1"/>
  <c r="O29" i="174" s="1"/>
  <c r="O30" i="174" s="1"/>
  <c r="O31" i="174" s="1"/>
  <c r="O32" i="174" s="1"/>
  <c r="O33" i="174" s="1"/>
  <c r="O34" i="174" s="1"/>
  <c r="O35" i="174" s="1"/>
  <c r="O36" i="174" s="1"/>
  <c r="O37" i="174" s="1"/>
  <c r="O38" i="174" s="1"/>
  <c r="O39" i="174" s="1"/>
  <c r="O40" i="174" s="1"/>
  <c r="O41" i="174" s="1"/>
  <c r="O42" i="174" s="1"/>
  <c r="O43" i="174" s="1"/>
  <c r="O44" i="174" s="1"/>
  <c r="O45" i="174" s="1"/>
  <c r="O46" i="174" s="1"/>
  <c r="O47" i="174" s="1"/>
  <c r="O48" i="174" s="1"/>
  <c r="O49" i="174" s="1"/>
  <c r="O50" i="174" s="1"/>
  <c r="O51" i="174" s="1"/>
  <c r="O52" i="174" s="1"/>
  <c r="O53" i="174" s="1"/>
  <c r="O54" i="174" s="1"/>
  <c r="O55" i="174" s="1"/>
  <c r="O56" i="174" s="1"/>
  <c r="O335" i="171"/>
  <c r="O37" i="171"/>
  <c r="O38" i="171" s="1"/>
  <c r="O39" i="171" s="1"/>
  <c r="O40" i="171" s="1"/>
  <c r="O41" i="171" s="1"/>
  <c r="O42" i="171" s="1"/>
  <c r="O43" i="171" s="1"/>
  <c r="O44" i="171" s="1"/>
  <c r="O45" i="171" s="1"/>
  <c r="O46" i="171" s="1"/>
  <c r="O47" i="171" s="1"/>
  <c r="O48" i="171" s="1"/>
  <c r="O49" i="171" s="1"/>
  <c r="O50" i="171" s="1"/>
  <c r="O51" i="171" s="1"/>
  <c r="O52" i="171" s="1"/>
  <c r="O53" i="171" s="1"/>
  <c r="O54" i="171" s="1"/>
  <c r="O55" i="171" s="1"/>
  <c r="O56" i="171" s="1"/>
  <c r="O57" i="171" s="1"/>
  <c r="O58" i="171" s="1"/>
  <c r="O59" i="171" s="1"/>
  <c r="O60" i="171" s="1"/>
  <c r="O61" i="171" s="1"/>
  <c r="O62" i="171" s="1"/>
  <c r="O63" i="171" s="1"/>
  <c r="O64" i="171" s="1"/>
  <c r="O65" i="171" s="1"/>
  <c r="O66" i="171" s="1"/>
  <c r="O67" i="171" s="1"/>
  <c r="O68" i="171" s="1"/>
  <c r="O69" i="171" s="1"/>
  <c r="N28" i="171"/>
  <c r="O119" i="177" l="1"/>
  <c r="O120" i="177" s="1"/>
  <c r="O121" i="177" s="1"/>
  <c r="O122" i="177" s="1"/>
  <c r="O123" i="177" s="1"/>
  <c r="O124" i="177" s="1"/>
  <c r="O125" i="177" s="1"/>
  <c r="O126" i="177" s="1"/>
  <c r="O127" i="177" s="1"/>
  <c r="O128" i="177" s="1"/>
  <c r="O129" i="177" s="1"/>
  <c r="O130" i="177" s="1"/>
  <c r="O131" i="177" s="1"/>
  <c r="O132" i="177" s="1"/>
  <c r="O133" i="177" s="1"/>
  <c r="N112" i="177"/>
  <c r="N113" i="177" s="1"/>
  <c r="N114" i="177" s="1"/>
  <c r="N115" i="177" s="1"/>
  <c r="N116" i="177" s="1"/>
  <c r="N117" i="177" s="1"/>
  <c r="N118" i="177" s="1"/>
  <c r="O57" i="174"/>
  <c r="O58" i="174" s="1"/>
  <c r="O59" i="174" s="1"/>
  <c r="O60" i="174" s="1"/>
  <c r="O61" i="174" s="1"/>
  <c r="O62" i="174" s="1"/>
  <c r="O63" i="174" s="1"/>
  <c r="O64" i="174" s="1"/>
  <c r="O65" i="174" s="1"/>
  <c r="O66" i="174" s="1"/>
  <c r="O67" i="174" s="1"/>
  <c r="O68" i="174" s="1"/>
  <c r="O69" i="174" s="1"/>
  <c r="O70" i="174" s="1"/>
  <c r="O71" i="174" s="1"/>
  <c r="N27" i="174"/>
  <c r="N28" i="174" s="1"/>
  <c r="N29" i="174" s="1"/>
  <c r="N30" i="174" s="1"/>
  <c r="N31" i="174" s="1"/>
  <c r="N32" i="174" s="1"/>
  <c r="N33" i="174" s="1"/>
  <c r="N34" i="174" s="1"/>
  <c r="N35" i="174" s="1"/>
  <c r="N36" i="174" s="1"/>
  <c r="N37" i="174" s="1"/>
  <c r="N38" i="174" s="1"/>
  <c r="N39" i="174" s="1"/>
  <c r="N40" i="174" s="1"/>
  <c r="N41" i="174" s="1"/>
  <c r="N42" i="174" s="1"/>
  <c r="N43" i="174" s="1"/>
  <c r="N44" i="174" s="1"/>
  <c r="N45" i="174" s="1"/>
  <c r="N46" i="174" s="1"/>
  <c r="N47" i="174" s="1"/>
  <c r="N48" i="174" s="1"/>
  <c r="N49" i="174" s="1"/>
  <c r="N50" i="174" s="1"/>
  <c r="N51" i="174" s="1"/>
  <c r="N52" i="174" s="1"/>
  <c r="N53" i="174" s="1"/>
  <c r="N54" i="174" s="1"/>
  <c r="N55" i="174" s="1"/>
  <c r="N56" i="174" s="1"/>
  <c r="O70" i="171"/>
  <c r="O71" i="171" s="1"/>
  <c r="O72" i="171" s="1"/>
  <c r="O73" i="171" s="1"/>
  <c r="O74" i="171" s="1"/>
  <c r="O75" i="171" s="1"/>
  <c r="O76" i="171" s="1"/>
  <c r="O77" i="171" s="1"/>
  <c r="O78" i="171" s="1"/>
  <c r="O79" i="171" s="1"/>
  <c r="O80" i="171" s="1"/>
  <c r="O81" i="171" s="1"/>
  <c r="O82" i="171" s="1"/>
  <c r="O83" i="171" s="1"/>
  <c r="O84" i="171" s="1"/>
  <c r="O85" i="171" s="1"/>
  <c r="O86" i="171" s="1"/>
  <c r="O87" i="171" s="1"/>
  <c r="O88" i="171" s="1"/>
  <c r="O89" i="171" s="1"/>
  <c r="O90" i="171" s="1"/>
  <c r="O91" i="171" s="1"/>
  <c r="O92" i="171" s="1"/>
  <c r="O93" i="171" s="1"/>
  <c r="O94" i="171" s="1"/>
  <c r="O95" i="171" s="1"/>
  <c r="N29" i="171"/>
  <c r="N30" i="171" s="1"/>
  <c r="N31" i="171" s="1"/>
  <c r="N32" i="171" s="1"/>
  <c r="N33" i="171" s="1"/>
  <c r="N34" i="171" s="1"/>
  <c r="N35" i="171" s="1"/>
  <c r="N36" i="171" s="1"/>
  <c r="O134" i="177" l="1"/>
  <c r="O135" i="177" s="1"/>
  <c r="O136" i="177" s="1"/>
  <c r="O137" i="177" s="1"/>
  <c r="N119" i="177"/>
  <c r="N120" i="177" s="1"/>
  <c r="N121" i="177" s="1"/>
  <c r="N122" i="177" s="1"/>
  <c r="N123" i="177" s="1"/>
  <c r="N124" i="177" s="1"/>
  <c r="N125" i="177" s="1"/>
  <c r="N126" i="177" s="1"/>
  <c r="N127" i="177" s="1"/>
  <c r="N128" i="177" s="1"/>
  <c r="N129" i="177" s="1"/>
  <c r="N130" i="177" s="1"/>
  <c r="N131" i="177" s="1"/>
  <c r="N132" i="177" s="1"/>
  <c r="N133" i="177" s="1"/>
  <c r="O72" i="174"/>
  <c r="O73" i="174" s="1"/>
  <c r="O74" i="174" s="1"/>
  <c r="O75" i="174" s="1"/>
  <c r="O76" i="174" s="1"/>
  <c r="O77" i="174" s="1"/>
  <c r="O78" i="174" s="1"/>
  <c r="O79" i="174" s="1"/>
  <c r="O80" i="174" s="1"/>
  <c r="O81" i="174" s="1"/>
  <c r="O82" i="174" s="1"/>
  <c r="O83" i="174" s="1"/>
  <c r="N57" i="174"/>
  <c r="N58" i="174" s="1"/>
  <c r="N59" i="174" s="1"/>
  <c r="O96" i="171"/>
  <c r="O97" i="171" s="1"/>
  <c r="O98" i="171" s="1"/>
  <c r="O99" i="171" s="1"/>
  <c r="O100" i="171" s="1"/>
  <c r="O101" i="171" s="1"/>
  <c r="O102" i="171" s="1"/>
  <c r="O103" i="171" s="1"/>
  <c r="O104" i="171" s="1"/>
  <c r="O105" i="171" s="1"/>
  <c r="O106" i="171" s="1"/>
  <c r="O107" i="171" s="1"/>
  <c r="O108" i="171" s="1"/>
  <c r="O109" i="171" s="1"/>
  <c r="O110" i="171" s="1"/>
  <c r="O111" i="171" s="1"/>
  <c r="O112" i="171" s="1"/>
  <c r="O113" i="171" s="1"/>
  <c r="O114" i="171" s="1"/>
  <c r="O115" i="171" s="1"/>
  <c r="O116" i="171" s="1"/>
  <c r="O117" i="171" s="1"/>
  <c r="O118" i="171" s="1"/>
  <c r="O119" i="171" s="1"/>
  <c r="O120" i="171" s="1"/>
  <c r="N37" i="171"/>
  <c r="O138" i="177" l="1"/>
  <c r="O139" i="177" s="1"/>
  <c r="N134" i="177"/>
  <c r="N135" i="177" s="1"/>
  <c r="N136" i="177" s="1"/>
  <c r="N137" i="177" s="1"/>
  <c r="N138" i="177" s="1"/>
  <c r="N139" i="177" s="1"/>
  <c r="O84" i="174"/>
  <c r="O85" i="174" s="1"/>
  <c r="O86" i="174" s="1"/>
  <c r="O87" i="174" s="1"/>
  <c r="O88" i="174" s="1"/>
  <c r="O89" i="174" s="1"/>
  <c r="O90" i="174" s="1"/>
  <c r="O91" i="174" s="1"/>
  <c r="O92" i="174" s="1"/>
  <c r="O93" i="174" s="1"/>
  <c r="O94" i="174" s="1"/>
  <c r="O95" i="174" s="1"/>
  <c r="O96" i="174" s="1"/>
  <c r="O97" i="174" s="1"/>
  <c r="O98" i="174" s="1"/>
  <c r="O99" i="174" s="1"/>
  <c r="O100" i="174" s="1"/>
  <c r="O101" i="174" s="1"/>
  <c r="O102" i="174" s="1"/>
  <c r="O103" i="174" s="1"/>
  <c r="O104" i="174" s="1"/>
  <c r="O105" i="174" s="1"/>
  <c r="O106" i="174" s="1"/>
  <c r="O107" i="174" s="1"/>
  <c r="O108" i="174" s="1"/>
  <c r="O109" i="174" s="1"/>
  <c r="O110" i="174" s="1"/>
  <c r="O111" i="174" s="1"/>
  <c r="O112" i="174" s="1"/>
  <c r="N60" i="174"/>
  <c r="N61" i="174" s="1"/>
  <c r="N62" i="174" s="1"/>
  <c r="N63" i="174" s="1"/>
  <c r="N64" i="174" s="1"/>
  <c r="N65" i="174" s="1"/>
  <c r="N66" i="174" s="1"/>
  <c r="N67" i="174" s="1"/>
  <c r="N68" i="174" s="1"/>
  <c r="N69" i="174" s="1"/>
  <c r="N70" i="174" s="1"/>
  <c r="N71" i="174" s="1"/>
  <c r="O121" i="171"/>
  <c r="O122" i="171" s="1"/>
  <c r="O123" i="171" s="1"/>
  <c r="O124" i="171" s="1"/>
  <c r="O125" i="171" s="1"/>
  <c r="O126" i="171" s="1"/>
  <c r="O127" i="171" s="1"/>
  <c r="O128" i="171" s="1"/>
  <c r="O129" i="171" s="1"/>
  <c r="O130" i="171" s="1"/>
  <c r="O131" i="171" s="1"/>
  <c r="O132" i="171" s="1"/>
  <c r="O133" i="171" s="1"/>
  <c r="O134" i="171" s="1"/>
  <c r="O135" i="171" s="1"/>
  <c r="O136" i="171" s="1"/>
  <c r="O137" i="171" s="1"/>
  <c r="O138" i="171" s="1"/>
  <c r="O139" i="171" s="1"/>
  <c r="O140" i="171" s="1"/>
  <c r="O141" i="171" s="1"/>
  <c r="O142" i="171" s="1"/>
  <c r="O143" i="171" s="1"/>
  <c r="O144" i="171" s="1"/>
  <c r="O145" i="171" s="1"/>
  <c r="O146" i="171" s="1"/>
  <c r="O147" i="171" s="1"/>
  <c r="O148" i="171" s="1"/>
  <c r="O149" i="171" s="1"/>
  <c r="O150" i="171" s="1"/>
  <c r="O151" i="171" s="1"/>
  <c r="N38" i="171"/>
  <c r="N39" i="171" s="1"/>
  <c r="N40" i="171" s="1"/>
  <c r="N41" i="171" s="1"/>
  <c r="N42" i="171" s="1"/>
  <c r="N43" i="171" s="1"/>
  <c r="N44" i="171" s="1"/>
  <c r="N45" i="171" s="1"/>
  <c r="N46" i="171" s="1"/>
  <c r="N47" i="171" s="1"/>
  <c r="N48" i="171" s="1"/>
  <c r="N49" i="171" s="1"/>
  <c r="N50" i="171" s="1"/>
  <c r="N51" i="171" s="1"/>
  <c r="N52" i="171" s="1"/>
  <c r="N53" i="171" s="1"/>
  <c r="N54" i="171" s="1"/>
  <c r="N55" i="171" s="1"/>
  <c r="N56" i="171" s="1"/>
  <c r="N57" i="171" s="1"/>
  <c r="N58" i="171" s="1"/>
  <c r="N59" i="171" s="1"/>
  <c r="N60" i="171" s="1"/>
  <c r="N61" i="171" s="1"/>
  <c r="N62" i="171" s="1"/>
  <c r="N63" i="171" s="1"/>
  <c r="N64" i="171" s="1"/>
  <c r="N65" i="171" s="1"/>
  <c r="N66" i="171" s="1"/>
  <c r="N67" i="171" s="1"/>
  <c r="N68" i="171" s="1"/>
  <c r="N69" i="171" s="1"/>
  <c r="N140" i="177" l="1"/>
  <c r="N141" i="177" s="1"/>
  <c r="N142" i="177" s="1"/>
  <c r="N143" i="177" s="1"/>
  <c r="N144" i="177" s="1"/>
  <c r="O140" i="177"/>
  <c r="O141" i="177" s="1"/>
  <c r="O113" i="174"/>
  <c r="O114" i="174" s="1"/>
  <c r="O115" i="174" s="1"/>
  <c r="O116" i="174" s="1"/>
  <c r="O117" i="174" s="1"/>
  <c r="O118" i="174" s="1"/>
  <c r="O119" i="174" s="1"/>
  <c r="O120" i="174" s="1"/>
  <c r="O121" i="174" s="1"/>
  <c r="O122" i="174" s="1"/>
  <c r="O123" i="174" s="1"/>
  <c r="O124" i="174" s="1"/>
  <c r="O125" i="174" s="1"/>
  <c r="O126" i="174" s="1"/>
  <c r="O127" i="174" s="1"/>
  <c r="O128" i="174" s="1"/>
  <c r="O129" i="174" s="1"/>
  <c r="O130" i="174" s="1"/>
  <c r="O131" i="174" s="1"/>
  <c r="O132" i="174" s="1"/>
  <c r="O133" i="174" s="1"/>
  <c r="O134" i="174" s="1"/>
  <c r="O135" i="174" s="1"/>
  <c r="N72" i="174"/>
  <c r="N73" i="174" s="1"/>
  <c r="N74" i="174" s="1"/>
  <c r="N75" i="174" s="1"/>
  <c r="N76" i="174" s="1"/>
  <c r="N77" i="174" s="1"/>
  <c r="N78" i="174" s="1"/>
  <c r="N79" i="174" s="1"/>
  <c r="N80" i="174" s="1"/>
  <c r="N81" i="174" s="1"/>
  <c r="N82" i="174" s="1"/>
  <c r="N83" i="174" s="1"/>
  <c r="O152" i="171"/>
  <c r="O153" i="171" s="1"/>
  <c r="O154" i="171" s="1"/>
  <c r="O155" i="171" s="1"/>
  <c r="O156" i="171" s="1"/>
  <c r="O157" i="171" s="1"/>
  <c r="O158" i="171" s="1"/>
  <c r="O159" i="171" s="1"/>
  <c r="O160" i="171" s="1"/>
  <c r="O161" i="171" s="1"/>
  <c r="O162" i="171" s="1"/>
  <c r="O163" i="171" s="1"/>
  <c r="O164" i="171" s="1"/>
  <c r="O165" i="171" s="1"/>
  <c r="N70" i="171"/>
  <c r="N145" i="177" l="1"/>
  <c r="N146" i="177" s="1"/>
  <c r="N147" i="177" s="1"/>
  <c r="N148" i="177" s="1"/>
  <c r="N149" i="177" s="1"/>
  <c r="N150" i="177" s="1"/>
  <c r="N151" i="177" s="1"/>
  <c r="N152" i="177" s="1"/>
  <c r="N153" i="177" s="1"/>
  <c r="N154" i="177" s="1"/>
  <c r="N155" i="177" s="1"/>
  <c r="N156" i="177" s="1"/>
  <c r="O142" i="177"/>
  <c r="O143" i="177" s="1"/>
  <c r="O144" i="177" s="1"/>
  <c r="O136" i="174"/>
  <c r="O137" i="174" s="1"/>
  <c r="O138" i="174" s="1"/>
  <c r="O139" i="174" s="1"/>
  <c r="O140" i="174" s="1"/>
  <c r="O141" i="174" s="1"/>
  <c r="O142" i="174" s="1"/>
  <c r="O143" i="174" s="1"/>
  <c r="O144" i="174" s="1"/>
  <c r="O145" i="174" s="1"/>
  <c r="O146" i="174" s="1"/>
  <c r="O147" i="174" s="1"/>
  <c r="O148" i="174" s="1"/>
  <c r="O149" i="174" s="1"/>
  <c r="O150" i="174" s="1"/>
  <c r="O151" i="174" s="1"/>
  <c r="O152" i="174" s="1"/>
  <c r="O153" i="174" s="1"/>
  <c r="O154" i="174" s="1"/>
  <c r="O155" i="174" s="1"/>
  <c r="O156" i="174" s="1"/>
  <c r="O157" i="174" s="1"/>
  <c r="O158" i="174" s="1"/>
  <c r="O159" i="174" s="1"/>
  <c r="O160" i="174" s="1"/>
  <c r="O161" i="174" s="1"/>
  <c r="O162" i="174" s="1"/>
  <c r="O163" i="174" s="1"/>
  <c r="O164" i="174" s="1"/>
  <c r="O165" i="174" s="1"/>
  <c r="O166" i="174" s="1"/>
  <c r="O167" i="174" s="1"/>
  <c r="O168" i="174" s="1"/>
  <c r="N84" i="174"/>
  <c r="N85" i="174" s="1"/>
  <c r="N86" i="174" s="1"/>
  <c r="N87" i="174" s="1"/>
  <c r="N88" i="174" s="1"/>
  <c r="N89" i="174" s="1"/>
  <c r="N90" i="174" s="1"/>
  <c r="N91" i="174" s="1"/>
  <c r="N92" i="174" s="1"/>
  <c r="N93" i="174" s="1"/>
  <c r="N94" i="174" s="1"/>
  <c r="N95" i="174" s="1"/>
  <c r="N96" i="174" s="1"/>
  <c r="N97" i="174" s="1"/>
  <c r="N98" i="174" s="1"/>
  <c r="N99" i="174" s="1"/>
  <c r="N100" i="174" s="1"/>
  <c r="N101" i="174" s="1"/>
  <c r="N102" i="174" s="1"/>
  <c r="N103" i="174" s="1"/>
  <c r="N104" i="174" s="1"/>
  <c r="N105" i="174" s="1"/>
  <c r="N106" i="174" s="1"/>
  <c r="N107" i="174" s="1"/>
  <c r="N108" i="174" s="1"/>
  <c r="N109" i="174" s="1"/>
  <c r="N110" i="174" s="1"/>
  <c r="N111" i="174" s="1"/>
  <c r="N112" i="174" s="1"/>
  <c r="O166" i="171"/>
  <c r="O167" i="171" s="1"/>
  <c r="O168" i="171" s="1"/>
  <c r="O169" i="171" s="1"/>
  <c r="O170" i="171" s="1"/>
  <c r="O171" i="171" s="1"/>
  <c r="O172" i="171" s="1"/>
  <c r="O173" i="171" s="1"/>
  <c r="O174" i="171" s="1"/>
  <c r="O175" i="171" s="1"/>
  <c r="O176" i="171" s="1"/>
  <c r="O177" i="171" s="1"/>
  <c r="O178" i="171" s="1"/>
  <c r="O179" i="171" s="1"/>
  <c r="O180" i="171" s="1"/>
  <c r="O181" i="171" s="1"/>
  <c r="O182" i="171" s="1"/>
  <c r="O183" i="171" s="1"/>
  <c r="O184" i="171" s="1"/>
  <c r="O185" i="171" s="1"/>
  <c r="O186" i="171" s="1"/>
  <c r="O187" i="171" s="1"/>
  <c r="O188" i="171" s="1"/>
  <c r="O189" i="171" s="1"/>
  <c r="O190" i="171" s="1"/>
  <c r="O191" i="171" s="1"/>
  <c r="O192" i="171" s="1"/>
  <c r="O193" i="171" s="1"/>
  <c r="N71" i="171"/>
  <c r="N72" i="171" s="1"/>
  <c r="N73" i="171" s="1"/>
  <c r="N74" i="171" s="1"/>
  <c r="N75" i="171" s="1"/>
  <c r="N76" i="171" s="1"/>
  <c r="N77" i="171" s="1"/>
  <c r="N78" i="171" s="1"/>
  <c r="N79" i="171" s="1"/>
  <c r="N80" i="171" s="1"/>
  <c r="N81" i="171" s="1"/>
  <c r="N82" i="171" s="1"/>
  <c r="N83" i="171" s="1"/>
  <c r="N84" i="171" s="1"/>
  <c r="N85" i="171" s="1"/>
  <c r="N86" i="171" s="1"/>
  <c r="N87" i="171" s="1"/>
  <c r="N88" i="171" s="1"/>
  <c r="N89" i="171" s="1"/>
  <c r="N90" i="171" s="1"/>
  <c r="N91" i="171" s="1"/>
  <c r="N92" i="171" s="1"/>
  <c r="N93" i="171" s="1"/>
  <c r="N94" i="171" s="1"/>
  <c r="N95" i="171" s="1"/>
  <c r="N157" i="177" l="1"/>
  <c r="N158" i="177" s="1"/>
  <c r="N159" i="177" s="1"/>
  <c r="O145" i="177"/>
  <c r="O146" i="177" s="1"/>
  <c r="O147" i="177" s="1"/>
  <c r="O148" i="177" s="1"/>
  <c r="O149" i="177" s="1"/>
  <c r="O150" i="177" s="1"/>
  <c r="O151" i="177" s="1"/>
  <c r="O152" i="177" s="1"/>
  <c r="O153" i="177" s="1"/>
  <c r="O154" i="177" s="1"/>
  <c r="O155" i="177" s="1"/>
  <c r="O156" i="177" s="1"/>
  <c r="O157" i="177" s="1"/>
  <c r="O158" i="177" s="1"/>
  <c r="O159" i="177" s="1"/>
  <c r="O160" i="177" s="1"/>
  <c r="O161" i="177" s="1"/>
  <c r="O169" i="174"/>
  <c r="O170" i="174" s="1"/>
  <c r="O171" i="174" s="1"/>
  <c r="O172" i="174" s="1"/>
  <c r="O173" i="174" s="1"/>
  <c r="O174" i="174" s="1"/>
  <c r="O175" i="174" s="1"/>
  <c r="O176" i="174" s="1"/>
  <c r="O177" i="174" s="1"/>
  <c r="O178" i="174" s="1"/>
  <c r="O179" i="174" s="1"/>
  <c r="O180" i="174" s="1"/>
  <c r="O181" i="174" s="1"/>
  <c r="O182" i="174" s="1"/>
  <c r="O183" i="174" s="1"/>
  <c r="O184" i="174" s="1"/>
  <c r="N113" i="174"/>
  <c r="N114" i="174" s="1"/>
  <c r="N115" i="174" s="1"/>
  <c r="N116" i="174" s="1"/>
  <c r="N117" i="174" s="1"/>
  <c r="N118" i="174" s="1"/>
  <c r="N119" i="174" s="1"/>
  <c r="N120" i="174" s="1"/>
  <c r="N121" i="174" s="1"/>
  <c r="N122" i="174" s="1"/>
  <c r="N123" i="174" s="1"/>
  <c r="N124" i="174" s="1"/>
  <c r="N125" i="174" s="1"/>
  <c r="N126" i="174" s="1"/>
  <c r="N127" i="174" s="1"/>
  <c r="N128" i="174" s="1"/>
  <c r="N129" i="174" s="1"/>
  <c r="N130" i="174" s="1"/>
  <c r="N131" i="174" s="1"/>
  <c r="N132" i="174" s="1"/>
  <c r="N133" i="174" s="1"/>
  <c r="N134" i="174" s="1"/>
  <c r="N135" i="174" s="1"/>
  <c r="N136" i="174" s="1"/>
  <c r="O194" i="171"/>
  <c r="O195" i="171" s="1"/>
  <c r="O196" i="171" s="1"/>
  <c r="O197" i="171" s="1"/>
  <c r="O198" i="171" s="1"/>
  <c r="O199" i="171" s="1"/>
  <c r="O200" i="171" s="1"/>
  <c r="O201" i="171" s="1"/>
  <c r="O202" i="171" s="1"/>
  <c r="O203" i="171" s="1"/>
  <c r="O204" i="171" s="1"/>
  <c r="O205" i="171" s="1"/>
  <c r="O206" i="171" s="1"/>
  <c r="O207" i="171" s="1"/>
  <c r="O208" i="171" s="1"/>
  <c r="O209" i="171" s="1"/>
  <c r="O210" i="171" s="1"/>
  <c r="O211" i="171" s="1"/>
  <c r="O212" i="171" s="1"/>
  <c r="O213" i="171" s="1"/>
  <c r="O214" i="171" s="1"/>
  <c r="O215" i="171" s="1"/>
  <c r="O216" i="171" s="1"/>
  <c r="O217" i="171" s="1"/>
  <c r="O218" i="171" s="1"/>
  <c r="O219" i="171" s="1"/>
  <c r="O220" i="171" s="1"/>
  <c r="O221" i="171" s="1"/>
  <c r="O222" i="171" s="1"/>
  <c r="O223" i="171" s="1"/>
  <c r="O224" i="171" s="1"/>
  <c r="O225" i="171" s="1"/>
  <c r="O226" i="171" s="1"/>
  <c r="O227" i="171" s="1"/>
  <c r="O228" i="171" s="1"/>
  <c r="O229" i="171" s="1"/>
  <c r="O230" i="171" s="1"/>
  <c r="O231" i="171" s="1"/>
  <c r="O232" i="171" s="1"/>
  <c r="O233" i="171" s="1"/>
  <c r="O234" i="171" s="1"/>
  <c r="O235" i="171" s="1"/>
  <c r="O236" i="171" s="1"/>
  <c r="O237" i="171" s="1"/>
  <c r="O238" i="171" s="1"/>
  <c r="O239" i="171" s="1"/>
  <c r="O240" i="171" s="1"/>
  <c r="O241" i="171" s="1"/>
  <c r="N96" i="171"/>
  <c r="N97" i="171" s="1"/>
  <c r="N98" i="171" s="1"/>
  <c r="N99" i="171" s="1"/>
  <c r="N100" i="171" s="1"/>
  <c r="N101" i="171" s="1"/>
  <c r="N102" i="171" s="1"/>
  <c r="N103" i="171" s="1"/>
  <c r="N104" i="171" s="1"/>
  <c r="N105" i="171" s="1"/>
  <c r="N106" i="171" s="1"/>
  <c r="N107" i="171" s="1"/>
  <c r="N108" i="171" s="1"/>
  <c r="N109" i="171" s="1"/>
  <c r="N110" i="171" s="1"/>
  <c r="N111" i="171" s="1"/>
  <c r="N112" i="171" s="1"/>
  <c r="N113" i="171" s="1"/>
  <c r="N114" i="171" s="1"/>
  <c r="N115" i="171" s="1"/>
  <c r="N116" i="171" s="1"/>
  <c r="N117" i="171" s="1"/>
  <c r="N118" i="171" s="1"/>
  <c r="N119" i="171" s="1"/>
  <c r="N120" i="171" s="1"/>
  <c r="N121" i="171" s="1"/>
  <c r="O162" i="177" l="1"/>
  <c r="O163" i="177" s="1"/>
  <c r="O164" i="177" s="1"/>
  <c r="N160" i="177"/>
  <c r="N161" i="177" s="1"/>
  <c r="O185" i="174"/>
  <c r="O186" i="174" s="1"/>
  <c r="O187" i="174" s="1"/>
  <c r="O188" i="174" s="1"/>
  <c r="O189" i="174" s="1"/>
  <c r="O190" i="174" s="1"/>
  <c r="O191" i="174" s="1"/>
  <c r="O192" i="174" s="1"/>
  <c r="O193" i="174" s="1"/>
  <c r="O194" i="174" s="1"/>
  <c r="O195" i="174" s="1"/>
  <c r="O196" i="174" s="1"/>
  <c r="O197" i="174" s="1"/>
  <c r="O198" i="174" s="1"/>
  <c r="O199" i="174" s="1"/>
  <c r="N137" i="174"/>
  <c r="N138" i="174" s="1"/>
  <c r="N139" i="174" s="1"/>
  <c r="N140" i="174" s="1"/>
  <c r="N141" i="174" s="1"/>
  <c r="N142" i="174" s="1"/>
  <c r="N143" i="174" s="1"/>
  <c r="N144" i="174" s="1"/>
  <c r="N145" i="174" s="1"/>
  <c r="N146" i="174" s="1"/>
  <c r="N147" i="174" s="1"/>
  <c r="N148" i="174" s="1"/>
  <c r="N149" i="174" s="1"/>
  <c r="N150" i="174" s="1"/>
  <c r="N151" i="174" s="1"/>
  <c r="N152" i="174" s="1"/>
  <c r="N153" i="174" s="1"/>
  <c r="N154" i="174" s="1"/>
  <c r="N155" i="174" s="1"/>
  <c r="N156" i="174" s="1"/>
  <c r="N157" i="174" s="1"/>
  <c r="N158" i="174" s="1"/>
  <c r="N159" i="174" s="1"/>
  <c r="N160" i="174" s="1"/>
  <c r="N161" i="174" s="1"/>
  <c r="N162" i="174" s="1"/>
  <c r="N163" i="174" s="1"/>
  <c r="N164" i="174" s="1"/>
  <c r="N165" i="174" s="1"/>
  <c r="N166" i="174" s="1"/>
  <c r="N167" i="174" s="1"/>
  <c r="N168" i="174" s="1"/>
  <c r="O242" i="171"/>
  <c r="O243" i="171" s="1"/>
  <c r="O244" i="171" s="1"/>
  <c r="O245" i="171" s="1"/>
  <c r="O246" i="171" s="1"/>
  <c r="O247" i="171" s="1"/>
  <c r="O248" i="171" s="1"/>
  <c r="O249" i="171" s="1"/>
  <c r="O250" i="171" s="1"/>
  <c r="O251" i="171" s="1"/>
  <c r="O252" i="171" s="1"/>
  <c r="O253" i="171" s="1"/>
  <c r="O254" i="171" s="1"/>
  <c r="O255" i="171" s="1"/>
  <c r="O256" i="171" s="1"/>
  <c r="O257" i="171" s="1"/>
  <c r="O258" i="171" s="1"/>
  <c r="O259" i="171" s="1"/>
  <c r="O260" i="171" s="1"/>
  <c r="O261" i="171" s="1"/>
  <c r="N122" i="171"/>
  <c r="N123" i="171" s="1"/>
  <c r="N124" i="171" s="1"/>
  <c r="N125" i="171" s="1"/>
  <c r="N126" i="171" s="1"/>
  <c r="N127" i="171" s="1"/>
  <c r="N128" i="171" s="1"/>
  <c r="N129" i="171" s="1"/>
  <c r="N130" i="171" s="1"/>
  <c r="N131" i="171" s="1"/>
  <c r="N132" i="171" s="1"/>
  <c r="N133" i="171" s="1"/>
  <c r="N134" i="171" s="1"/>
  <c r="N135" i="171" s="1"/>
  <c r="N136" i="171" s="1"/>
  <c r="N137" i="171" s="1"/>
  <c r="N138" i="171" s="1"/>
  <c r="N139" i="171" s="1"/>
  <c r="N140" i="171" s="1"/>
  <c r="N141" i="171" s="1"/>
  <c r="N142" i="171" s="1"/>
  <c r="N143" i="171" s="1"/>
  <c r="N144" i="171" s="1"/>
  <c r="N145" i="171" s="1"/>
  <c r="N146" i="171" s="1"/>
  <c r="N147" i="171" s="1"/>
  <c r="N148" i="171" s="1"/>
  <c r="N149" i="171" s="1"/>
  <c r="N150" i="171" s="1"/>
  <c r="N151" i="171" s="1"/>
  <c r="O165" i="177" l="1"/>
  <c r="O166" i="177" s="1"/>
  <c r="O167" i="177" s="1"/>
  <c r="O168" i="177" s="1"/>
  <c r="O169" i="177" s="1"/>
  <c r="O170" i="177" s="1"/>
  <c r="O171" i="177" s="1"/>
  <c r="O172" i="177" s="1"/>
  <c r="N162" i="177"/>
  <c r="N163" i="177" s="1"/>
  <c r="N164" i="177" s="1"/>
  <c r="O200" i="174"/>
  <c r="O201" i="174" s="1"/>
  <c r="O202" i="174" s="1"/>
  <c r="O203" i="174" s="1"/>
  <c r="O204" i="174" s="1"/>
  <c r="O205" i="174" s="1"/>
  <c r="O206" i="174" s="1"/>
  <c r="O207" i="174" s="1"/>
  <c r="O208" i="174" s="1"/>
  <c r="O209" i="174" s="1"/>
  <c r="O210" i="174" s="1"/>
  <c r="O211" i="174" s="1"/>
  <c r="O212" i="174" s="1"/>
  <c r="O213" i="174" s="1"/>
  <c r="O214" i="174" s="1"/>
  <c r="N169" i="174"/>
  <c r="N170" i="174" s="1"/>
  <c r="N171" i="174" s="1"/>
  <c r="N172" i="174" s="1"/>
  <c r="N173" i="174" s="1"/>
  <c r="N174" i="174" s="1"/>
  <c r="N175" i="174" s="1"/>
  <c r="N176" i="174" s="1"/>
  <c r="N177" i="174" s="1"/>
  <c r="N178" i="174" s="1"/>
  <c r="N179" i="174" s="1"/>
  <c r="N180" i="174" s="1"/>
  <c r="N181" i="174" s="1"/>
  <c r="N182" i="174" s="1"/>
  <c r="N183" i="174" s="1"/>
  <c r="N184" i="174" s="1"/>
  <c r="O262" i="171"/>
  <c r="O263" i="171" s="1"/>
  <c r="O264" i="171" s="1"/>
  <c r="O265" i="171" s="1"/>
  <c r="O266" i="171" s="1"/>
  <c r="O267" i="171" s="1"/>
  <c r="O268" i="171" s="1"/>
  <c r="O269" i="171" s="1"/>
  <c r="O270" i="171" s="1"/>
  <c r="O271" i="171" s="1"/>
  <c r="O272" i="171" s="1"/>
  <c r="O273" i="171" s="1"/>
  <c r="O274" i="171" s="1"/>
  <c r="O275" i="171" s="1"/>
  <c r="O276" i="171" s="1"/>
  <c r="O277" i="171" s="1"/>
  <c r="O278" i="171" s="1"/>
  <c r="O279" i="171" s="1"/>
  <c r="O280" i="171" s="1"/>
  <c r="O281" i="171" s="1"/>
  <c r="O282" i="171" s="1"/>
  <c r="O283" i="171" s="1"/>
  <c r="O284" i="171" s="1"/>
  <c r="O285" i="171" s="1"/>
  <c r="O286" i="171" s="1"/>
  <c r="O287" i="171" s="1"/>
  <c r="O288" i="171" s="1"/>
  <c r="O289" i="171" s="1"/>
  <c r="O290" i="171" s="1"/>
  <c r="O291" i="171" s="1"/>
  <c r="O292" i="171" s="1"/>
  <c r="O293" i="171" s="1"/>
  <c r="O294" i="171" s="1"/>
  <c r="O295" i="171" s="1"/>
  <c r="O296" i="171" s="1"/>
  <c r="O297" i="171" s="1"/>
  <c r="O298" i="171" s="1"/>
  <c r="O299" i="171" s="1"/>
  <c r="O300" i="171" s="1"/>
  <c r="O301" i="171" s="1"/>
  <c r="O302" i="171" s="1"/>
  <c r="O303" i="171" s="1"/>
  <c r="O304" i="171" s="1"/>
  <c r="O305" i="171" s="1"/>
  <c r="O306" i="171" s="1"/>
  <c r="N152" i="171"/>
  <c r="N153" i="171" s="1"/>
  <c r="N154" i="171" s="1"/>
  <c r="N155" i="171" s="1"/>
  <c r="N156" i="171" s="1"/>
  <c r="N157" i="171" s="1"/>
  <c r="N158" i="171" s="1"/>
  <c r="N159" i="171" s="1"/>
  <c r="N160" i="171" s="1"/>
  <c r="N161" i="171" s="1"/>
  <c r="N162" i="171" s="1"/>
  <c r="N163" i="171" s="1"/>
  <c r="N164" i="171" s="1"/>
  <c r="N165" i="171" s="1"/>
  <c r="N165" i="177" l="1"/>
  <c r="N166" i="177" s="1"/>
  <c r="N167" i="177" s="1"/>
  <c r="N168" i="177" s="1"/>
  <c r="N169" i="177" s="1"/>
  <c r="N170" i="177" s="1"/>
  <c r="N171" i="177" s="1"/>
  <c r="N172" i="177" s="1"/>
  <c r="L173" i="177" s="1"/>
  <c r="L174" i="177" s="1"/>
  <c r="O215" i="174"/>
  <c r="O216" i="174" s="1"/>
  <c r="O217" i="174" s="1"/>
  <c r="O218" i="174" s="1"/>
  <c r="O219" i="174" s="1"/>
  <c r="O220" i="174" s="1"/>
  <c r="O221" i="174" s="1"/>
  <c r="O222" i="174" s="1"/>
  <c r="O223" i="174" s="1"/>
  <c r="O224" i="174" s="1"/>
  <c r="N185" i="174"/>
  <c r="O307" i="171"/>
  <c r="O308" i="171" s="1"/>
  <c r="O309" i="171" s="1"/>
  <c r="O310" i="171" s="1"/>
  <c r="O311" i="171" s="1"/>
  <c r="O312" i="171" s="1"/>
  <c r="O313" i="171" s="1"/>
  <c r="O314" i="171" s="1"/>
  <c r="O315" i="171" s="1"/>
  <c r="O316" i="171" s="1"/>
  <c r="O317" i="171" s="1"/>
  <c r="O318" i="171" s="1"/>
  <c r="O319" i="171" s="1"/>
  <c r="O320" i="171" s="1"/>
  <c r="O321" i="171" s="1"/>
  <c r="O322" i="171" s="1"/>
  <c r="O323" i="171" s="1"/>
  <c r="O324" i="171" s="1"/>
  <c r="O325" i="171" s="1"/>
  <c r="O326" i="171" s="1"/>
  <c r="O327" i="171" s="1"/>
  <c r="O328" i="171" s="1"/>
  <c r="O329" i="171" s="1"/>
  <c r="O330" i="171" s="1"/>
  <c r="O331" i="171" s="1"/>
  <c r="O332" i="171" s="1"/>
  <c r="O333" i="171" s="1"/>
  <c r="O334" i="171" s="1"/>
  <c r="N166" i="171"/>
  <c r="N167" i="171" s="1"/>
  <c r="N168" i="171" s="1"/>
  <c r="N169" i="171" s="1"/>
  <c r="N170" i="171" s="1"/>
  <c r="N171" i="171" s="1"/>
  <c r="N172" i="171" s="1"/>
  <c r="N173" i="171" s="1"/>
  <c r="N174" i="171" s="1"/>
  <c r="N175" i="171" s="1"/>
  <c r="N176" i="171" s="1"/>
  <c r="N177" i="171" s="1"/>
  <c r="N178" i="171" s="1"/>
  <c r="N179" i="171" s="1"/>
  <c r="N180" i="171" s="1"/>
  <c r="N181" i="171" s="1"/>
  <c r="N182" i="171" s="1"/>
  <c r="N183" i="171" s="1"/>
  <c r="N184" i="171" s="1"/>
  <c r="N185" i="171" s="1"/>
  <c r="N186" i="171" s="1"/>
  <c r="N187" i="171" s="1"/>
  <c r="N188" i="171" s="1"/>
  <c r="N189" i="171" s="1"/>
  <c r="N190" i="171" s="1"/>
  <c r="N191" i="171" s="1"/>
  <c r="N192" i="171" s="1"/>
  <c r="N193" i="171" s="1"/>
  <c r="O225" i="174" l="1"/>
  <c r="O226" i="174" s="1"/>
  <c r="O227" i="174" s="1"/>
  <c r="O228" i="174" s="1"/>
  <c r="O229" i="174" s="1"/>
  <c r="O230" i="174" s="1"/>
  <c r="O231" i="174" s="1"/>
  <c r="O232" i="174" s="1"/>
  <c r="O233" i="174" s="1"/>
  <c r="O234" i="174" s="1"/>
  <c r="O235" i="174" s="1"/>
  <c r="O236" i="174" s="1"/>
  <c r="O237" i="174" s="1"/>
  <c r="O238" i="174" s="1"/>
  <c r="O239" i="174" s="1"/>
  <c r="O240" i="174" s="1"/>
  <c r="O241" i="174" s="1"/>
  <c r="O242" i="174" s="1"/>
  <c r="O243" i="174" s="1"/>
  <c r="O244" i="174" s="1"/>
  <c r="O245" i="174" s="1"/>
  <c r="O246" i="174" s="1"/>
  <c r="O247" i="174" s="1"/>
  <c r="N186" i="174"/>
  <c r="N187" i="174" s="1"/>
  <c r="N188" i="174" s="1"/>
  <c r="N189" i="174" s="1"/>
  <c r="N190" i="174" s="1"/>
  <c r="N191" i="174" s="1"/>
  <c r="N192" i="174" s="1"/>
  <c r="N193" i="174" s="1"/>
  <c r="N194" i="174" s="1"/>
  <c r="N195" i="174" s="1"/>
  <c r="N196" i="174" s="1"/>
  <c r="N197" i="174" s="1"/>
  <c r="N198" i="174" s="1"/>
  <c r="N199" i="174" s="1"/>
  <c r="N200" i="174" s="1"/>
  <c r="N194" i="171"/>
  <c r="N195" i="171" s="1"/>
  <c r="N196" i="171" s="1"/>
  <c r="N197" i="171" s="1"/>
  <c r="N198" i="171" s="1"/>
  <c r="N199" i="171" s="1"/>
  <c r="N200" i="171" s="1"/>
  <c r="N201" i="171" s="1"/>
  <c r="N202" i="171" s="1"/>
  <c r="N203" i="171" s="1"/>
  <c r="N204" i="171" s="1"/>
  <c r="N205" i="171" s="1"/>
  <c r="N206" i="171" s="1"/>
  <c r="N207" i="171" s="1"/>
  <c r="N208" i="171" s="1"/>
  <c r="N209" i="171" s="1"/>
  <c r="N210" i="171" s="1"/>
  <c r="N211" i="171" s="1"/>
  <c r="N212" i="171" s="1"/>
  <c r="N213" i="171" s="1"/>
  <c r="N214" i="171" s="1"/>
  <c r="N215" i="171" s="1"/>
  <c r="N216" i="171" s="1"/>
  <c r="N217" i="171" s="1"/>
  <c r="N218" i="171" s="1"/>
  <c r="N219" i="171" s="1"/>
  <c r="N220" i="171" s="1"/>
  <c r="N221" i="171" s="1"/>
  <c r="N222" i="171" s="1"/>
  <c r="N223" i="171" s="1"/>
  <c r="N224" i="171" s="1"/>
  <c r="N225" i="171" s="1"/>
  <c r="N226" i="171" s="1"/>
  <c r="N227" i="171" s="1"/>
  <c r="N228" i="171" s="1"/>
  <c r="N229" i="171" s="1"/>
  <c r="N230" i="171" s="1"/>
  <c r="N231" i="171" s="1"/>
  <c r="N232" i="171" s="1"/>
  <c r="N233" i="171" s="1"/>
  <c r="N234" i="171" s="1"/>
  <c r="N235" i="171" s="1"/>
  <c r="N236" i="171" s="1"/>
  <c r="N237" i="171" s="1"/>
  <c r="N238" i="171" s="1"/>
  <c r="N239" i="171" s="1"/>
  <c r="N240" i="171" s="1"/>
  <c r="N241" i="171" s="1"/>
  <c r="O173" i="177" l="1"/>
  <c r="N173" i="177"/>
  <c r="O248" i="174"/>
  <c r="O249" i="174" s="1"/>
  <c r="O250" i="174" s="1"/>
  <c r="O251" i="174" s="1"/>
  <c r="O252" i="174" s="1"/>
  <c r="O253" i="174" s="1"/>
  <c r="N201" i="174"/>
  <c r="N202" i="174" s="1"/>
  <c r="N203" i="174" s="1"/>
  <c r="N204" i="174" s="1"/>
  <c r="N205" i="174" s="1"/>
  <c r="N206" i="174" s="1"/>
  <c r="N207" i="174" s="1"/>
  <c r="N208" i="174" s="1"/>
  <c r="N209" i="174" s="1"/>
  <c r="N210" i="174" s="1"/>
  <c r="N211" i="174" s="1"/>
  <c r="N212" i="174" s="1"/>
  <c r="N213" i="174" s="1"/>
  <c r="N214" i="174" s="1"/>
  <c r="N215" i="174" s="1"/>
  <c r="N242" i="171"/>
  <c r="N243" i="171" s="1"/>
  <c r="N244" i="171" s="1"/>
  <c r="N245" i="171" s="1"/>
  <c r="N246" i="171" s="1"/>
  <c r="N247" i="171" s="1"/>
  <c r="N248" i="171" s="1"/>
  <c r="N249" i="171" s="1"/>
  <c r="N250" i="171" s="1"/>
  <c r="N251" i="171" s="1"/>
  <c r="N252" i="171" s="1"/>
  <c r="N253" i="171" s="1"/>
  <c r="N254" i="171" s="1"/>
  <c r="N255" i="171" s="1"/>
  <c r="N256" i="171" s="1"/>
  <c r="N257" i="171" s="1"/>
  <c r="N258" i="171" s="1"/>
  <c r="N259" i="171" s="1"/>
  <c r="N260" i="171" s="1"/>
  <c r="N261" i="171" s="1"/>
  <c r="N174" i="177" l="1"/>
  <c r="N175" i="177" s="1"/>
  <c r="N176" i="177" s="1"/>
  <c r="N177" i="177" s="1"/>
  <c r="O174" i="177"/>
  <c r="O175" i="177" s="1"/>
  <c r="O176" i="177" s="1"/>
  <c r="O177" i="177" s="1"/>
  <c r="O254" i="174"/>
  <c r="O255" i="174" s="1"/>
  <c r="O256" i="174" s="1"/>
  <c r="O257" i="174" s="1"/>
  <c r="O258" i="174" s="1"/>
  <c r="O259" i="174" s="1"/>
  <c r="O260" i="174" s="1"/>
  <c r="O261" i="174" s="1"/>
  <c r="O262" i="174" s="1"/>
  <c r="O263" i="174" s="1"/>
  <c r="N216" i="174"/>
  <c r="N217" i="174" s="1"/>
  <c r="N218" i="174" s="1"/>
  <c r="N219" i="174" s="1"/>
  <c r="N220" i="174" s="1"/>
  <c r="N221" i="174" s="1"/>
  <c r="N222" i="174" s="1"/>
  <c r="N223" i="174" s="1"/>
  <c r="N224" i="174" s="1"/>
  <c r="N262" i="171"/>
  <c r="N263" i="171" s="1"/>
  <c r="N264" i="171" s="1"/>
  <c r="N265" i="171" s="1"/>
  <c r="N266" i="171" s="1"/>
  <c r="N267" i="171" s="1"/>
  <c r="N268" i="171" s="1"/>
  <c r="N269" i="171" s="1"/>
  <c r="N270" i="171" s="1"/>
  <c r="N271" i="171" s="1"/>
  <c r="N272" i="171" s="1"/>
  <c r="N273" i="171" s="1"/>
  <c r="N274" i="171" s="1"/>
  <c r="N275" i="171" s="1"/>
  <c r="N276" i="171" s="1"/>
  <c r="N277" i="171" s="1"/>
  <c r="N278" i="171" s="1"/>
  <c r="N279" i="171" s="1"/>
  <c r="N280" i="171" s="1"/>
  <c r="N281" i="171" s="1"/>
  <c r="N282" i="171" s="1"/>
  <c r="N283" i="171" s="1"/>
  <c r="N284" i="171" s="1"/>
  <c r="N285" i="171" s="1"/>
  <c r="N286" i="171" s="1"/>
  <c r="N287" i="171" s="1"/>
  <c r="N288" i="171" s="1"/>
  <c r="N289" i="171" s="1"/>
  <c r="N290" i="171" s="1"/>
  <c r="N291" i="171" s="1"/>
  <c r="N292" i="171" s="1"/>
  <c r="N293" i="171" s="1"/>
  <c r="N294" i="171" s="1"/>
  <c r="N295" i="171" s="1"/>
  <c r="N296" i="171" s="1"/>
  <c r="N297" i="171" s="1"/>
  <c r="N298" i="171" s="1"/>
  <c r="N299" i="171" s="1"/>
  <c r="N300" i="171" s="1"/>
  <c r="N301" i="171" s="1"/>
  <c r="N302" i="171" s="1"/>
  <c r="N303" i="171" s="1"/>
  <c r="N304" i="171" s="1"/>
  <c r="N305" i="171" s="1"/>
  <c r="N306" i="171" s="1"/>
  <c r="N178" i="177" l="1"/>
  <c r="N179" i="177" s="1"/>
  <c r="N180" i="177" s="1"/>
  <c r="N181" i="177" s="1"/>
  <c r="N182" i="177" s="1"/>
  <c r="N183" i="177" s="1"/>
  <c r="N184" i="177" s="1"/>
  <c r="N185" i="177" s="1"/>
  <c r="N186" i="177" s="1"/>
  <c r="N187" i="177" s="1"/>
  <c r="O178" i="177"/>
  <c r="O179" i="177" s="1"/>
  <c r="O180" i="177" s="1"/>
  <c r="O181" i="177" s="1"/>
  <c r="O182" i="177" s="1"/>
  <c r="O183" i="177" s="1"/>
  <c r="O184" i="177" s="1"/>
  <c r="O185" i="177" s="1"/>
  <c r="O186" i="177" s="1"/>
  <c r="O187" i="177" s="1"/>
  <c r="O188" i="177" s="1"/>
  <c r="O189" i="177" s="1"/>
  <c r="O264" i="174"/>
  <c r="O265" i="174" s="1"/>
  <c r="O266" i="174" s="1"/>
  <c r="O267" i="174" s="1"/>
  <c r="O268" i="174" s="1"/>
  <c r="O269" i="174" s="1"/>
  <c r="O270" i="174" s="1"/>
  <c r="O271" i="174" s="1"/>
  <c r="O272" i="174" s="1"/>
  <c r="O273" i="174" s="1"/>
  <c r="O274" i="174" s="1"/>
  <c r="O275" i="174" s="1"/>
  <c r="O276" i="174" s="1"/>
  <c r="O277" i="174" s="1"/>
  <c r="O278" i="174" s="1"/>
  <c r="O279" i="174" s="1"/>
  <c r="O280" i="174" s="1"/>
  <c r="O281" i="174" s="1"/>
  <c r="O282" i="174" s="1"/>
  <c r="O283" i="174" s="1"/>
  <c r="N225" i="174"/>
  <c r="N226" i="174" s="1"/>
  <c r="N307" i="171"/>
  <c r="N308" i="171" s="1"/>
  <c r="N309" i="171" s="1"/>
  <c r="O190" i="177" l="1"/>
  <c r="O191" i="177" s="1"/>
  <c r="O192" i="177" s="1"/>
  <c r="N188" i="177"/>
  <c r="N189" i="177" s="1"/>
  <c r="N190" i="177" s="1"/>
  <c r="N191" i="177" s="1"/>
  <c r="N192" i="177" s="1"/>
  <c r="N193" i="177" s="1"/>
  <c r="N194" i="177" s="1"/>
  <c r="N195" i="177" s="1"/>
  <c r="O284" i="174"/>
  <c r="O285" i="174" s="1"/>
  <c r="O286" i="174" s="1"/>
  <c r="O287" i="174" s="1"/>
  <c r="O288" i="174" s="1"/>
  <c r="O289" i="174" s="1"/>
  <c r="O290" i="174" s="1"/>
  <c r="O291" i="174" s="1"/>
  <c r="O292" i="174" s="1"/>
  <c r="O293" i="174" s="1"/>
  <c r="O294" i="174" s="1"/>
  <c r="O295" i="174" s="1"/>
  <c r="N227" i="174"/>
  <c r="N228" i="174" s="1"/>
  <c r="N229" i="174" s="1"/>
  <c r="N230" i="174" s="1"/>
  <c r="N231" i="174" s="1"/>
  <c r="N232" i="174" s="1"/>
  <c r="N233" i="174" s="1"/>
  <c r="N234" i="174" s="1"/>
  <c r="N235" i="174" s="1"/>
  <c r="N236" i="174" s="1"/>
  <c r="N237" i="174" s="1"/>
  <c r="N238" i="174" s="1"/>
  <c r="N239" i="174" s="1"/>
  <c r="N240" i="174" s="1"/>
  <c r="N241" i="174" s="1"/>
  <c r="N242" i="174" s="1"/>
  <c r="N243" i="174" s="1"/>
  <c r="N244" i="174" s="1"/>
  <c r="N245" i="174" s="1"/>
  <c r="N246" i="174" s="1"/>
  <c r="N247" i="174" s="1"/>
  <c r="N248" i="174" s="1"/>
  <c r="N310" i="171"/>
  <c r="N311" i="171" s="1"/>
  <c r="N312" i="171" s="1"/>
  <c r="N313" i="171" s="1"/>
  <c r="N314" i="171" s="1"/>
  <c r="N315" i="171" s="1"/>
  <c r="N316" i="171" s="1"/>
  <c r="N317" i="171" s="1"/>
  <c r="N318" i="171" s="1"/>
  <c r="N319" i="171" s="1"/>
  <c r="N320" i="171" s="1"/>
  <c r="N321" i="171" s="1"/>
  <c r="N322" i="171" s="1"/>
  <c r="N323" i="171" s="1"/>
  <c r="N324" i="171" s="1"/>
  <c r="N325" i="171" s="1"/>
  <c r="N326" i="171" s="1"/>
  <c r="N327" i="171" s="1"/>
  <c r="N328" i="171" s="1"/>
  <c r="N329" i="171" s="1"/>
  <c r="N330" i="171" s="1"/>
  <c r="N331" i="171" s="1"/>
  <c r="N332" i="171" s="1"/>
  <c r="N333" i="171" s="1"/>
  <c r="N334" i="171" s="1"/>
  <c r="N336" i="171" s="1"/>
  <c r="O346" i="171" s="1"/>
  <c r="O347" i="171" s="1"/>
  <c r="N196" i="177" l="1"/>
  <c r="N197" i="177" s="1"/>
  <c r="N198" i="177" s="1"/>
  <c r="N199" i="177" s="1"/>
  <c r="O193" i="177"/>
  <c r="O194" i="177" s="1"/>
  <c r="O195" i="177" s="1"/>
  <c r="O196" i="177" s="1"/>
  <c r="O197" i="177" s="1"/>
  <c r="O296" i="174"/>
  <c r="O297" i="174" s="1"/>
  <c r="O298" i="174" s="1"/>
  <c r="O299" i="174" s="1"/>
  <c r="O300" i="174" s="1"/>
  <c r="O301" i="174" s="1"/>
  <c r="O302" i="174" s="1"/>
  <c r="O303" i="174" s="1"/>
  <c r="O304" i="174" s="1"/>
  <c r="O305" i="174" s="1"/>
  <c r="O306" i="174" s="1"/>
  <c r="O307" i="174" s="1"/>
  <c r="O308" i="174" s="1"/>
  <c r="O309" i="174" s="1"/>
  <c r="O310" i="174" s="1"/>
  <c r="O311" i="174" s="1"/>
  <c r="O312" i="174" s="1"/>
  <c r="O313" i="174" s="1"/>
  <c r="O314" i="174" s="1"/>
  <c r="O315" i="174" s="1"/>
  <c r="O316" i="174" s="1"/>
  <c r="O317" i="174" s="1"/>
  <c r="O318" i="174" s="1"/>
  <c r="O319" i="174" s="1"/>
  <c r="O320" i="174" s="1"/>
  <c r="O321" i="174" s="1"/>
  <c r="O322" i="174" s="1"/>
  <c r="O323" i="174" s="1"/>
  <c r="O324" i="174" s="1"/>
  <c r="O325" i="174" s="1"/>
  <c r="O326" i="174" s="1"/>
  <c r="O327" i="174" s="1"/>
  <c r="O328" i="174" s="1"/>
  <c r="O329" i="174" s="1"/>
  <c r="O330" i="174" s="1"/>
  <c r="O331" i="174" s="1"/>
  <c r="O332" i="174" s="1"/>
  <c r="O333" i="174" s="1"/>
  <c r="O334" i="174" s="1"/>
  <c r="O335" i="174" s="1"/>
  <c r="O336" i="174" s="1"/>
  <c r="O337" i="174" s="1"/>
  <c r="O338" i="174" s="1"/>
  <c r="O339" i="174" s="1"/>
  <c r="O340" i="174" s="1"/>
  <c r="O341" i="174" s="1"/>
  <c r="O342" i="174" s="1"/>
  <c r="O343" i="174" s="1"/>
  <c r="O344" i="174" s="1"/>
  <c r="O345" i="174" s="1"/>
  <c r="O346" i="174" s="1"/>
  <c r="O347" i="174" s="1"/>
  <c r="O348" i="174" s="1"/>
  <c r="O349" i="174" s="1"/>
  <c r="O350" i="174" s="1"/>
  <c r="O351" i="174" s="1"/>
  <c r="N249" i="174"/>
  <c r="N250" i="174" s="1"/>
  <c r="N251" i="174" s="1"/>
  <c r="N252" i="174" s="1"/>
  <c r="N253" i="174" s="1"/>
  <c r="B415" i="168"/>
  <c r="B404" i="168"/>
  <c r="D412" i="168"/>
  <c r="E412" i="168" s="1"/>
  <c r="F412" i="168" s="1"/>
  <c r="D408" i="168"/>
  <c r="E408" i="168" s="1"/>
  <c r="F408" i="168" s="1"/>
  <c r="D402" i="168"/>
  <c r="E402" i="168" s="1"/>
  <c r="F402" i="168" s="1"/>
  <c r="D400" i="168"/>
  <c r="J397" i="168"/>
  <c r="J386" i="168"/>
  <c r="D414" i="168"/>
  <c r="D413" i="168"/>
  <c r="D411" i="168"/>
  <c r="E411" i="168" s="1"/>
  <c r="F411" i="168" s="1"/>
  <c r="D410" i="168"/>
  <c r="D409" i="168"/>
  <c r="D415" i="168" s="1"/>
  <c r="D407" i="168"/>
  <c r="E407" i="168" s="1"/>
  <c r="F407" i="168" s="1"/>
  <c r="D406" i="168"/>
  <c r="D405" i="168"/>
  <c r="D403" i="168"/>
  <c r="E403" i="168" s="1"/>
  <c r="F403" i="168" s="1"/>
  <c r="D401" i="168"/>
  <c r="L380" i="168"/>
  <c r="I380" i="168"/>
  <c r="C380" i="168"/>
  <c r="O7" i="168" s="1"/>
  <c r="O8" i="168" s="1"/>
  <c r="O9" i="168" s="1"/>
  <c r="O10" i="168" s="1"/>
  <c r="O11" i="168" s="1"/>
  <c r="O12" i="168" s="1"/>
  <c r="O13" i="168" s="1"/>
  <c r="N7" i="168"/>
  <c r="N8" i="168" s="1"/>
  <c r="N9" i="168" s="1"/>
  <c r="N10" i="168" s="1"/>
  <c r="N11" i="168" s="1"/>
  <c r="N12" i="168" s="1"/>
  <c r="N13" i="168" s="1"/>
  <c r="N14" i="168" s="1"/>
  <c r="N15" i="168" s="1"/>
  <c r="N16" i="168" s="1"/>
  <c r="N17" i="168" s="1"/>
  <c r="N18" i="168" s="1"/>
  <c r="N19" i="168" s="1"/>
  <c r="N20" i="168" s="1"/>
  <c r="N21" i="168" s="1"/>
  <c r="N22" i="168" s="1"/>
  <c r="N23" i="168" s="1"/>
  <c r="N24" i="168" s="1"/>
  <c r="N25" i="168" s="1"/>
  <c r="N26" i="168" s="1"/>
  <c r="N27" i="168" s="1"/>
  <c r="N28" i="168" s="1"/>
  <c r="N29" i="168" s="1"/>
  <c r="N30" i="168" s="1"/>
  <c r="N31" i="168" s="1"/>
  <c r="N32" i="168" s="1"/>
  <c r="N33" i="168" s="1"/>
  <c r="N34" i="168" s="1"/>
  <c r="O198" i="177" l="1"/>
  <c r="O199" i="177" s="1"/>
  <c r="O200" i="177" s="1"/>
  <c r="O201" i="177" s="1"/>
  <c r="O202" i="177" s="1"/>
  <c r="O203" i="177" s="1"/>
  <c r="O204" i="177" s="1"/>
  <c r="O205" i="177" s="1"/>
  <c r="O206" i="177" s="1"/>
  <c r="N200" i="177"/>
  <c r="N201" i="177" s="1"/>
  <c r="D404" i="168"/>
  <c r="N254" i="174"/>
  <c r="N255" i="174" s="1"/>
  <c r="N256" i="174" s="1"/>
  <c r="N257" i="174" s="1"/>
  <c r="N258" i="174" s="1"/>
  <c r="N259" i="174" s="1"/>
  <c r="N260" i="174" s="1"/>
  <c r="N261" i="174" s="1"/>
  <c r="N262" i="174" s="1"/>
  <c r="N263" i="174" s="1"/>
  <c r="E400" i="168"/>
  <c r="E401" i="168"/>
  <c r="E406" i="168"/>
  <c r="F406" i="168" s="1"/>
  <c r="E410" i="168"/>
  <c r="F410" i="168" s="1"/>
  <c r="E414" i="168"/>
  <c r="F414" i="168" s="1"/>
  <c r="F401" i="168"/>
  <c r="E405" i="168"/>
  <c r="E409" i="168"/>
  <c r="F409" i="168" s="1"/>
  <c r="E413" i="168"/>
  <c r="F413" i="168" s="1"/>
  <c r="N35" i="168"/>
  <c r="N36" i="168" s="1"/>
  <c r="N37" i="168" s="1"/>
  <c r="N38" i="168" s="1"/>
  <c r="N39" i="168" s="1"/>
  <c r="N40" i="168" s="1"/>
  <c r="N41" i="168" s="1"/>
  <c r="N42" i="168" s="1"/>
  <c r="N43" i="168" s="1"/>
  <c r="N44" i="168" s="1"/>
  <c r="N45" i="168" s="1"/>
  <c r="N46" i="168" s="1"/>
  <c r="N47" i="168" s="1"/>
  <c r="N48" i="168" s="1"/>
  <c r="N49" i="168" s="1"/>
  <c r="G380" i="168"/>
  <c r="O14" i="168"/>
  <c r="O15" i="168" s="1"/>
  <c r="O16" i="168" s="1"/>
  <c r="O17" i="168" s="1"/>
  <c r="O18" i="168" s="1"/>
  <c r="O19" i="168" s="1"/>
  <c r="O20" i="168" s="1"/>
  <c r="O21" i="168" s="1"/>
  <c r="O22" i="168" s="1"/>
  <c r="O23" i="168" s="1"/>
  <c r="O24" i="168" s="1"/>
  <c r="O25" i="168" s="1"/>
  <c r="O26" i="168" s="1"/>
  <c r="O27" i="168" s="1"/>
  <c r="O28" i="168" s="1"/>
  <c r="O29" i="168" s="1"/>
  <c r="L381" i="168"/>
  <c r="O207" i="177" l="1"/>
  <c r="O208" i="177" s="1"/>
  <c r="O209" i="177" s="1"/>
  <c r="N202" i="177"/>
  <c r="N203" i="177" s="1"/>
  <c r="N204" i="177" s="1"/>
  <c r="N205" i="177" s="1"/>
  <c r="N206" i="177" s="1"/>
  <c r="F400" i="168"/>
  <c r="F404" i="168" s="1"/>
  <c r="E404" i="168"/>
  <c r="E415" i="168"/>
  <c r="N264" i="174"/>
  <c r="N265" i="174" s="1"/>
  <c r="F405" i="168"/>
  <c r="F415" i="168" s="1"/>
  <c r="N50" i="168"/>
  <c r="N51" i="168" s="1"/>
  <c r="N52" i="168" s="1"/>
  <c r="N53" i="168" s="1"/>
  <c r="N54" i="168" s="1"/>
  <c r="N55" i="168" s="1"/>
  <c r="N56" i="168" s="1"/>
  <c r="N57" i="168" s="1"/>
  <c r="N58" i="168" s="1"/>
  <c r="N59" i="168" s="1"/>
  <c r="N60" i="168" s="1"/>
  <c r="N61" i="168" s="1"/>
  <c r="N62" i="168" s="1"/>
  <c r="N63" i="168" s="1"/>
  <c r="N64" i="168" s="1"/>
  <c r="N65" i="168" s="1"/>
  <c r="N66" i="168" s="1"/>
  <c r="N67" i="168" s="1"/>
  <c r="N68" i="168" s="1"/>
  <c r="N69" i="168" s="1"/>
  <c r="N70" i="168" s="1"/>
  <c r="N71" i="168" s="1"/>
  <c r="N72" i="168" s="1"/>
  <c r="N73" i="168" s="1"/>
  <c r="N74" i="168" s="1"/>
  <c r="N75" i="168" s="1"/>
  <c r="N76" i="168" s="1"/>
  <c r="N77" i="168" s="1"/>
  <c r="N78" i="168" s="1"/>
  <c r="N79" i="168" s="1"/>
  <c r="N80" i="168" s="1"/>
  <c r="N81" i="168" s="1"/>
  <c r="N82" i="168" s="1"/>
  <c r="N83" i="168" s="1"/>
  <c r="N84" i="168" s="1"/>
  <c r="N85" i="168" s="1"/>
  <c r="O30" i="168"/>
  <c r="O31" i="168" s="1"/>
  <c r="O32" i="168" s="1"/>
  <c r="O33" i="168" s="1"/>
  <c r="O34" i="168" s="1"/>
  <c r="O35" i="168" s="1"/>
  <c r="O36" i="168" s="1"/>
  <c r="O37" i="168" s="1"/>
  <c r="O38" i="168" s="1"/>
  <c r="O39" i="168" s="1"/>
  <c r="O40" i="168" s="1"/>
  <c r="O41" i="168" s="1"/>
  <c r="O42" i="168" s="1"/>
  <c r="O43" i="168" s="1"/>
  <c r="O44" i="168" s="1"/>
  <c r="O45" i="168" s="1"/>
  <c r="O46" i="168" s="1"/>
  <c r="O47" i="168" s="1"/>
  <c r="O48" i="168" s="1"/>
  <c r="O49" i="168" s="1"/>
  <c r="O380" i="168"/>
  <c r="G381" i="168"/>
  <c r="O210" i="177" l="1"/>
  <c r="O211" i="177" s="1"/>
  <c r="O212" i="177" s="1"/>
  <c r="O213" i="177" s="1"/>
  <c r="O214" i="177" s="1"/>
  <c r="O215" i="177" s="1"/>
  <c r="O216" i="177" s="1"/>
  <c r="O217" i="177" s="1"/>
  <c r="O218" i="177" s="1"/>
  <c r="N207" i="177"/>
  <c r="N208" i="177" s="1"/>
  <c r="N209" i="177" s="1"/>
  <c r="N266" i="174"/>
  <c r="N267" i="174" s="1"/>
  <c r="N268" i="174" s="1"/>
  <c r="N269" i="174" s="1"/>
  <c r="N270" i="174" s="1"/>
  <c r="N271" i="174" s="1"/>
  <c r="N272" i="174" s="1"/>
  <c r="N273" i="174" s="1"/>
  <c r="N274" i="174" s="1"/>
  <c r="N275" i="174" s="1"/>
  <c r="N276" i="174" s="1"/>
  <c r="N277" i="174" s="1"/>
  <c r="N278" i="174" s="1"/>
  <c r="N279" i="174" s="1"/>
  <c r="N280" i="174" s="1"/>
  <c r="N281" i="174" s="1"/>
  <c r="N282" i="174" s="1"/>
  <c r="N283" i="174" s="1"/>
  <c r="N86" i="168"/>
  <c r="N87" i="168" s="1"/>
  <c r="N88" i="168" s="1"/>
  <c r="N89" i="168" s="1"/>
  <c r="N90" i="168" s="1"/>
  <c r="N91" i="168" s="1"/>
  <c r="N92" i="168" s="1"/>
  <c r="N93" i="168" s="1"/>
  <c r="N94" i="168" s="1"/>
  <c r="N95" i="168" s="1"/>
  <c r="N96" i="168" s="1"/>
  <c r="N97" i="168" s="1"/>
  <c r="O50" i="168"/>
  <c r="O51" i="168" s="1"/>
  <c r="O52" i="168" s="1"/>
  <c r="O53" i="168" s="1"/>
  <c r="O54" i="168" s="1"/>
  <c r="O55" i="168" s="1"/>
  <c r="O56" i="168" s="1"/>
  <c r="O57" i="168" s="1"/>
  <c r="O58" i="168" s="1"/>
  <c r="O59" i="168" s="1"/>
  <c r="O60" i="168" s="1"/>
  <c r="O61" i="168" s="1"/>
  <c r="O62" i="168" s="1"/>
  <c r="O63" i="168" s="1"/>
  <c r="O64" i="168" s="1"/>
  <c r="O65" i="168" s="1"/>
  <c r="O66" i="168" s="1"/>
  <c r="O67" i="168" s="1"/>
  <c r="O68" i="168" s="1"/>
  <c r="O69" i="168" s="1"/>
  <c r="O70" i="168" s="1"/>
  <c r="O71" i="168" s="1"/>
  <c r="O72" i="168" s="1"/>
  <c r="O73" i="168" s="1"/>
  <c r="O74" i="168" s="1"/>
  <c r="O75" i="168" s="1"/>
  <c r="O76" i="168" s="1"/>
  <c r="O77" i="168" s="1"/>
  <c r="O78" i="168" s="1"/>
  <c r="O79" i="168" s="1"/>
  <c r="O80" i="168" s="1"/>
  <c r="O81" i="168" s="1"/>
  <c r="O82" i="168" s="1"/>
  <c r="O83" i="168" s="1"/>
  <c r="O84" i="168" s="1"/>
  <c r="O85" i="168" s="1"/>
  <c r="O219" i="177" l="1"/>
  <c r="O220" i="177" s="1"/>
  <c r="O221" i="177" s="1"/>
  <c r="O222" i="177" s="1"/>
  <c r="O223" i="177" s="1"/>
  <c r="O224" i="177" s="1"/>
  <c r="N210" i="177"/>
  <c r="N211" i="177" s="1"/>
  <c r="N212" i="177" s="1"/>
  <c r="N213" i="177" s="1"/>
  <c r="N214" i="177" s="1"/>
  <c r="N215" i="177" s="1"/>
  <c r="N216" i="177" s="1"/>
  <c r="N217" i="177" s="1"/>
  <c r="N218" i="177" s="1"/>
  <c r="N219" i="177" s="1"/>
  <c r="N284" i="174"/>
  <c r="N285" i="174" s="1"/>
  <c r="N286" i="174" s="1"/>
  <c r="N287" i="174" s="1"/>
  <c r="N288" i="174" s="1"/>
  <c r="N289" i="174" s="1"/>
  <c r="N290" i="174" s="1"/>
  <c r="N291" i="174" s="1"/>
  <c r="N292" i="174" s="1"/>
  <c r="N293" i="174" s="1"/>
  <c r="N294" i="174" s="1"/>
  <c r="N295" i="174" s="1"/>
  <c r="N296" i="174" s="1"/>
  <c r="N98" i="168"/>
  <c r="N99" i="168" s="1"/>
  <c r="N100" i="168" s="1"/>
  <c r="N101" i="168" s="1"/>
  <c r="N102" i="168" s="1"/>
  <c r="N103" i="168" s="1"/>
  <c r="N104" i="168" s="1"/>
  <c r="N105" i="168" s="1"/>
  <c r="N106" i="168" s="1"/>
  <c r="N107" i="168" s="1"/>
  <c r="N108" i="168" s="1"/>
  <c r="N109" i="168" s="1"/>
  <c r="N110" i="168" s="1"/>
  <c r="N111" i="168" s="1"/>
  <c r="O86" i="168"/>
  <c r="O87" i="168" s="1"/>
  <c r="O88" i="168" s="1"/>
  <c r="O89" i="168" s="1"/>
  <c r="O90" i="168" s="1"/>
  <c r="O91" i="168" s="1"/>
  <c r="O92" i="168" s="1"/>
  <c r="O93" i="168" s="1"/>
  <c r="O94" i="168" s="1"/>
  <c r="O95" i="168" s="1"/>
  <c r="O96" i="168" s="1"/>
  <c r="O97" i="168" s="1"/>
  <c r="O225" i="177" l="1"/>
  <c r="O226" i="177" s="1"/>
  <c r="O227" i="177" s="1"/>
  <c r="O228" i="177" s="1"/>
  <c r="O229" i="177" s="1"/>
  <c r="O230" i="177" s="1"/>
  <c r="O231" i="177" s="1"/>
  <c r="O232" i="177" s="1"/>
  <c r="N220" i="177"/>
  <c r="N221" i="177" s="1"/>
  <c r="N222" i="177" s="1"/>
  <c r="N223" i="177" s="1"/>
  <c r="N297" i="174"/>
  <c r="N298" i="174" s="1"/>
  <c r="N299" i="174" s="1"/>
  <c r="N300" i="174" s="1"/>
  <c r="N301" i="174" s="1"/>
  <c r="N302" i="174" s="1"/>
  <c r="N303" i="174" s="1"/>
  <c r="N304" i="174" s="1"/>
  <c r="N305" i="174" s="1"/>
  <c r="N306" i="174" s="1"/>
  <c r="N307" i="174" s="1"/>
  <c r="N308" i="174" s="1"/>
  <c r="N309" i="174" s="1"/>
  <c r="N310" i="174" s="1"/>
  <c r="N311" i="174" s="1"/>
  <c r="N312" i="174" s="1"/>
  <c r="N313" i="174" s="1"/>
  <c r="N314" i="174" s="1"/>
  <c r="N315" i="174" s="1"/>
  <c r="N316" i="174" s="1"/>
  <c r="N317" i="174" s="1"/>
  <c r="N112" i="168"/>
  <c r="N113" i="168" s="1"/>
  <c r="N114" i="168" s="1"/>
  <c r="N115" i="168" s="1"/>
  <c r="N116" i="168" s="1"/>
  <c r="N117" i="168" s="1"/>
  <c r="N118" i="168" s="1"/>
  <c r="N119" i="168" s="1"/>
  <c r="N120" i="168" s="1"/>
  <c r="N121" i="168" s="1"/>
  <c r="N122" i="168" s="1"/>
  <c r="N123" i="168" s="1"/>
  <c r="N124" i="168" s="1"/>
  <c r="N125" i="168" s="1"/>
  <c r="N126" i="168" s="1"/>
  <c r="N127" i="168" s="1"/>
  <c r="N128" i="168" s="1"/>
  <c r="N129" i="168" s="1"/>
  <c r="N130" i="168" s="1"/>
  <c r="N131" i="168" s="1"/>
  <c r="N132" i="168" s="1"/>
  <c r="N133" i="168" s="1"/>
  <c r="N134" i="168" s="1"/>
  <c r="N135" i="168" s="1"/>
  <c r="N136" i="168" s="1"/>
  <c r="N137" i="168" s="1"/>
  <c r="N138" i="168" s="1"/>
  <c r="N139" i="168" s="1"/>
  <c r="N140" i="168" s="1"/>
  <c r="N141" i="168" s="1"/>
  <c r="N142" i="168" s="1"/>
  <c r="N143" i="168" s="1"/>
  <c r="N144" i="168" s="1"/>
  <c r="N145" i="168" s="1"/>
  <c r="N146" i="168" s="1"/>
  <c r="N147" i="168" s="1"/>
  <c r="O98" i="168"/>
  <c r="O99" i="168" s="1"/>
  <c r="O100" i="168" s="1"/>
  <c r="O101" i="168" s="1"/>
  <c r="O102" i="168" s="1"/>
  <c r="O103" i="168" s="1"/>
  <c r="O104" i="168" s="1"/>
  <c r="O105" i="168" s="1"/>
  <c r="O106" i="168" s="1"/>
  <c r="O107" i="168" s="1"/>
  <c r="O108" i="168" s="1"/>
  <c r="O109" i="168" s="1"/>
  <c r="O110" i="168" s="1"/>
  <c r="O111" i="168" s="1"/>
  <c r="O233" i="177" l="1"/>
  <c r="O234" i="177" s="1"/>
  <c r="O235" i="177" s="1"/>
  <c r="O236" i="177" s="1"/>
  <c r="O237" i="177" s="1"/>
  <c r="O238" i="177" s="1"/>
  <c r="O239" i="177" s="1"/>
  <c r="O240" i="177" s="1"/>
  <c r="O241" i="177" s="1"/>
  <c r="O242" i="177" s="1"/>
  <c r="O243" i="177" s="1"/>
  <c r="O244" i="177" s="1"/>
  <c r="N224" i="177"/>
  <c r="N318" i="174"/>
  <c r="N319" i="174" s="1"/>
  <c r="N320" i="174" s="1"/>
  <c r="N321" i="174" s="1"/>
  <c r="N322" i="174" s="1"/>
  <c r="N323" i="174" s="1"/>
  <c r="N324" i="174" s="1"/>
  <c r="N325" i="174" s="1"/>
  <c r="N326" i="174" s="1"/>
  <c r="N327" i="174" s="1"/>
  <c r="N328" i="174" s="1"/>
  <c r="N329" i="174" s="1"/>
  <c r="N330" i="174" s="1"/>
  <c r="N331" i="174" s="1"/>
  <c r="N332" i="174" s="1"/>
  <c r="N333" i="174" s="1"/>
  <c r="N334" i="174" s="1"/>
  <c r="N335" i="174" s="1"/>
  <c r="N336" i="174" s="1"/>
  <c r="N337" i="174" s="1"/>
  <c r="N338" i="174" s="1"/>
  <c r="N339" i="174" s="1"/>
  <c r="N340" i="174" s="1"/>
  <c r="N341" i="174" s="1"/>
  <c r="N342" i="174" s="1"/>
  <c r="N343" i="174" s="1"/>
  <c r="N344" i="174" s="1"/>
  <c r="N345" i="174" s="1"/>
  <c r="N346" i="174" s="1"/>
  <c r="N347" i="174" s="1"/>
  <c r="N348" i="174" s="1"/>
  <c r="N349" i="174" s="1"/>
  <c r="N350" i="174" s="1"/>
  <c r="N351" i="174" s="1"/>
  <c r="N353" i="174" s="1"/>
  <c r="O363" i="174" s="1"/>
  <c r="O364" i="174" s="1"/>
  <c r="N148" i="168"/>
  <c r="O112" i="168"/>
  <c r="O113" i="168" s="1"/>
  <c r="O114" i="168" s="1"/>
  <c r="O115" i="168" s="1"/>
  <c r="O116" i="168" s="1"/>
  <c r="O117" i="168" s="1"/>
  <c r="O118" i="168" s="1"/>
  <c r="O119" i="168" s="1"/>
  <c r="O120" i="168" s="1"/>
  <c r="O121" i="168" s="1"/>
  <c r="O122" i="168" s="1"/>
  <c r="O123" i="168" s="1"/>
  <c r="O124" i="168" s="1"/>
  <c r="O125" i="168" s="1"/>
  <c r="O126" i="168" s="1"/>
  <c r="O127" i="168" s="1"/>
  <c r="O128" i="168" s="1"/>
  <c r="O129" i="168" s="1"/>
  <c r="O130" i="168" s="1"/>
  <c r="O131" i="168" s="1"/>
  <c r="O132" i="168" s="1"/>
  <c r="O133" i="168" s="1"/>
  <c r="O134" i="168" s="1"/>
  <c r="O135" i="168" s="1"/>
  <c r="O136" i="168" s="1"/>
  <c r="O137" i="168" s="1"/>
  <c r="O138" i="168" s="1"/>
  <c r="O139" i="168" s="1"/>
  <c r="O140" i="168" s="1"/>
  <c r="O141" i="168" s="1"/>
  <c r="O142" i="168" s="1"/>
  <c r="O143" i="168" s="1"/>
  <c r="O144" i="168" s="1"/>
  <c r="O145" i="168" s="1"/>
  <c r="O146" i="168" s="1"/>
  <c r="O147" i="168" s="1"/>
  <c r="O245" i="177" l="1"/>
  <c r="O246" i="177" s="1"/>
  <c r="O247" i="177" s="1"/>
  <c r="O248" i="177" s="1"/>
  <c r="N225" i="177"/>
  <c r="N226" i="177" s="1"/>
  <c r="N227" i="177" s="1"/>
  <c r="N228" i="177" s="1"/>
  <c r="N229" i="177" s="1"/>
  <c r="N230" i="177" s="1"/>
  <c r="N231" i="177" s="1"/>
  <c r="N232" i="177" s="1"/>
  <c r="N149" i="168"/>
  <c r="N150" i="168" s="1"/>
  <c r="N151" i="168" s="1"/>
  <c r="N152" i="168" s="1"/>
  <c r="N153" i="168" s="1"/>
  <c r="N154" i="168" s="1"/>
  <c r="N155" i="168" s="1"/>
  <c r="N156" i="168" s="1"/>
  <c r="N157" i="168" s="1"/>
  <c r="N158" i="168" s="1"/>
  <c r="N159" i="168" s="1"/>
  <c r="N160" i="168" s="1"/>
  <c r="N161" i="168" s="1"/>
  <c r="N162" i="168" s="1"/>
  <c r="N163" i="168" s="1"/>
  <c r="N164" i="168" s="1"/>
  <c r="N165" i="168" s="1"/>
  <c r="N166" i="168" s="1"/>
  <c r="N167" i="168" s="1"/>
  <c r="N168" i="168" s="1"/>
  <c r="N169" i="168" s="1"/>
  <c r="N170" i="168" s="1"/>
  <c r="N171" i="168" s="1"/>
  <c r="N172" i="168" s="1"/>
  <c r="N173" i="168" s="1"/>
  <c r="N174" i="168" s="1"/>
  <c r="N175" i="168" s="1"/>
  <c r="N176" i="168" s="1"/>
  <c r="N177" i="168" s="1"/>
  <c r="N178" i="168" s="1"/>
  <c r="N179" i="168" s="1"/>
  <c r="N180" i="168" s="1"/>
  <c r="N181" i="168" s="1"/>
  <c r="N182" i="168" s="1"/>
  <c r="N183" i="168" s="1"/>
  <c r="N184" i="168" s="1"/>
  <c r="N185" i="168" s="1"/>
  <c r="N186" i="168" s="1"/>
  <c r="N187" i="168" s="1"/>
  <c r="N188" i="168" s="1"/>
  <c r="N189" i="168" s="1"/>
  <c r="N190" i="168" s="1"/>
  <c r="N191" i="168" s="1"/>
  <c r="N192" i="168" s="1"/>
  <c r="N193" i="168" s="1"/>
  <c r="N194" i="168" s="1"/>
  <c r="N195" i="168" s="1"/>
  <c r="N196" i="168" s="1"/>
  <c r="N197" i="168" s="1"/>
  <c r="N198" i="168" s="1"/>
  <c r="N199" i="168" s="1"/>
  <c r="N200" i="168" s="1"/>
  <c r="N201" i="168" s="1"/>
  <c r="O148" i="168"/>
  <c r="O149" i="168" s="1"/>
  <c r="O150" i="168" s="1"/>
  <c r="O151" i="168" s="1"/>
  <c r="O152" i="168" s="1"/>
  <c r="O153" i="168" s="1"/>
  <c r="O154" i="168" s="1"/>
  <c r="O155" i="168" s="1"/>
  <c r="O156" i="168" s="1"/>
  <c r="O157" i="168" s="1"/>
  <c r="O158" i="168" s="1"/>
  <c r="O159" i="168" s="1"/>
  <c r="O160" i="168" s="1"/>
  <c r="O161" i="168" s="1"/>
  <c r="O162" i="168" s="1"/>
  <c r="O163" i="168" s="1"/>
  <c r="O164" i="168" s="1"/>
  <c r="O249" i="177" l="1"/>
  <c r="O250" i="177" s="1"/>
  <c r="O251" i="177" s="1"/>
  <c r="O252" i="177" s="1"/>
  <c r="O253" i="177" s="1"/>
  <c r="O254" i="177" s="1"/>
  <c r="N233" i="177"/>
  <c r="N234" i="177" s="1"/>
  <c r="N235" i="177" s="1"/>
  <c r="N236" i="177" s="1"/>
  <c r="N237" i="177" s="1"/>
  <c r="N238" i="177" s="1"/>
  <c r="N239" i="177" s="1"/>
  <c r="N240" i="177" s="1"/>
  <c r="N241" i="177" s="1"/>
  <c r="N242" i="177" s="1"/>
  <c r="N243" i="177" s="1"/>
  <c r="N244" i="177" s="1"/>
  <c r="N202" i="168"/>
  <c r="N203" i="168" s="1"/>
  <c r="N204" i="168" s="1"/>
  <c r="N205" i="168" s="1"/>
  <c r="N206" i="168" s="1"/>
  <c r="N207" i="168" s="1"/>
  <c r="N208" i="168" s="1"/>
  <c r="N209" i="168" s="1"/>
  <c r="N210" i="168" s="1"/>
  <c r="N211" i="168" s="1"/>
  <c r="N212" i="168" s="1"/>
  <c r="N213" i="168" s="1"/>
  <c r="N214" i="168" s="1"/>
  <c r="N215" i="168" s="1"/>
  <c r="N216" i="168" s="1"/>
  <c r="N217" i="168" s="1"/>
  <c r="N218" i="168" s="1"/>
  <c r="N219" i="168" s="1"/>
  <c r="N220" i="168" s="1"/>
  <c r="N221" i="168" s="1"/>
  <c r="N222" i="168" s="1"/>
  <c r="N223" i="168" s="1"/>
  <c r="N224" i="168" s="1"/>
  <c r="N225" i="168" s="1"/>
  <c r="N226" i="168" s="1"/>
  <c r="N227" i="168" s="1"/>
  <c r="N228" i="168" s="1"/>
  <c r="N229" i="168" s="1"/>
  <c r="N230" i="168" s="1"/>
  <c r="N231" i="168" s="1"/>
  <c r="N232" i="168" s="1"/>
  <c r="N233" i="168" s="1"/>
  <c r="O165" i="168"/>
  <c r="O166" i="168" s="1"/>
  <c r="O167" i="168" s="1"/>
  <c r="O168" i="168" s="1"/>
  <c r="O169" i="168" s="1"/>
  <c r="O170" i="168" s="1"/>
  <c r="O171" i="168" s="1"/>
  <c r="O172" i="168" s="1"/>
  <c r="O173" i="168" s="1"/>
  <c r="O174" i="168" s="1"/>
  <c r="O175" i="168" s="1"/>
  <c r="O176" i="168" s="1"/>
  <c r="O177" i="168" s="1"/>
  <c r="O178" i="168" s="1"/>
  <c r="O179" i="168" s="1"/>
  <c r="O180" i="168" s="1"/>
  <c r="O181" i="168" s="1"/>
  <c r="O182" i="168" s="1"/>
  <c r="O183" i="168" s="1"/>
  <c r="O184" i="168" s="1"/>
  <c r="O185" i="168" s="1"/>
  <c r="O186" i="168" s="1"/>
  <c r="O187" i="168" s="1"/>
  <c r="O188" i="168" s="1"/>
  <c r="O189" i="168" s="1"/>
  <c r="O190" i="168" s="1"/>
  <c r="O191" i="168" s="1"/>
  <c r="O192" i="168" s="1"/>
  <c r="O193" i="168" s="1"/>
  <c r="O194" i="168" s="1"/>
  <c r="O195" i="168" s="1"/>
  <c r="O196" i="168" s="1"/>
  <c r="O197" i="168" s="1"/>
  <c r="O198" i="168" s="1"/>
  <c r="O199" i="168" s="1"/>
  <c r="O200" i="168" s="1"/>
  <c r="O201" i="168" s="1"/>
  <c r="O255" i="177" l="1"/>
  <c r="O256" i="177" s="1"/>
  <c r="N245" i="177"/>
  <c r="N246" i="177" s="1"/>
  <c r="N247" i="177" s="1"/>
  <c r="N248" i="177" s="1"/>
  <c r="N234" i="168"/>
  <c r="N235" i="168" s="1"/>
  <c r="N236" i="168" s="1"/>
  <c r="O202" i="168"/>
  <c r="O203" i="168" s="1"/>
  <c r="O204" i="168" s="1"/>
  <c r="O205" i="168" s="1"/>
  <c r="O206" i="168" s="1"/>
  <c r="O207" i="168" s="1"/>
  <c r="O208" i="168" s="1"/>
  <c r="O209" i="168" s="1"/>
  <c r="O210" i="168" s="1"/>
  <c r="O211" i="168" s="1"/>
  <c r="O212" i="168" s="1"/>
  <c r="O213" i="168" s="1"/>
  <c r="O214" i="168" s="1"/>
  <c r="O215" i="168" s="1"/>
  <c r="O216" i="168" s="1"/>
  <c r="O217" i="168" s="1"/>
  <c r="O218" i="168" s="1"/>
  <c r="O219" i="168" s="1"/>
  <c r="O220" i="168" s="1"/>
  <c r="O221" i="168" s="1"/>
  <c r="O222" i="168" s="1"/>
  <c r="O223" i="168" s="1"/>
  <c r="O224" i="168" s="1"/>
  <c r="O225" i="168" s="1"/>
  <c r="O226" i="168" s="1"/>
  <c r="O227" i="168" s="1"/>
  <c r="O228" i="168" s="1"/>
  <c r="O229" i="168" s="1"/>
  <c r="O230" i="168" s="1"/>
  <c r="O231" i="168" s="1"/>
  <c r="O232" i="168" s="1"/>
  <c r="O233" i="168" s="1"/>
  <c r="O257" i="177" l="1"/>
  <c r="O258" i="177" s="1"/>
  <c r="O259" i="177" s="1"/>
  <c r="N249" i="177"/>
  <c r="N250" i="177" s="1"/>
  <c r="N251" i="177" s="1"/>
  <c r="N252" i="177" s="1"/>
  <c r="N253" i="177" s="1"/>
  <c r="N254" i="177" s="1"/>
  <c r="O234" i="168"/>
  <c r="O235" i="168" s="1"/>
  <c r="O236" i="168" s="1"/>
  <c r="O237" i="168" s="1"/>
  <c r="O238" i="168" s="1"/>
  <c r="O239" i="168" s="1"/>
  <c r="O240" i="168" s="1"/>
  <c r="O241" i="168" s="1"/>
  <c r="O242" i="168" s="1"/>
  <c r="O243" i="168" s="1"/>
  <c r="O244" i="168" s="1"/>
  <c r="O245" i="168" s="1"/>
  <c r="O246" i="168" s="1"/>
  <c r="O247" i="168" s="1"/>
  <c r="O248" i="168" s="1"/>
  <c r="O249" i="168" s="1"/>
  <c r="O250" i="168" s="1"/>
  <c r="O251" i="168" s="1"/>
  <c r="O252" i="168" s="1"/>
  <c r="O253" i="168" s="1"/>
  <c r="O254" i="168" s="1"/>
  <c r="O255" i="168" s="1"/>
  <c r="O256" i="168" s="1"/>
  <c r="O257" i="168" s="1"/>
  <c r="O258" i="168" s="1"/>
  <c r="O259" i="168" s="1"/>
  <c r="O260" i="168" s="1"/>
  <c r="O261" i="168" s="1"/>
  <c r="O262" i="168" s="1"/>
  <c r="O263" i="168" s="1"/>
  <c r="N237" i="168"/>
  <c r="N238" i="168" s="1"/>
  <c r="N239" i="168" s="1"/>
  <c r="N240" i="168" s="1"/>
  <c r="N241" i="168" s="1"/>
  <c r="N242" i="168" s="1"/>
  <c r="N243" i="168" s="1"/>
  <c r="N244" i="168" s="1"/>
  <c r="N245" i="168" s="1"/>
  <c r="N246" i="168" s="1"/>
  <c r="N247" i="168" s="1"/>
  <c r="N248" i="168" s="1"/>
  <c r="N249" i="168" s="1"/>
  <c r="N250" i="168" s="1"/>
  <c r="N251" i="168" s="1"/>
  <c r="N252" i="168" s="1"/>
  <c r="N253" i="168" s="1"/>
  <c r="N254" i="168" s="1"/>
  <c r="N255" i="168" s="1"/>
  <c r="N256" i="168" s="1"/>
  <c r="N257" i="168" s="1"/>
  <c r="N258" i="168" s="1"/>
  <c r="N259" i="168" s="1"/>
  <c r="N260" i="168" s="1"/>
  <c r="N261" i="168" s="1"/>
  <c r="N262" i="168" s="1"/>
  <c r="N263" i="168" s="1"/>
  <c r="O260" i="177" l="1"/>
  <c r="O261" i="177" s="1"/>
  <c r="O262" i="177" s="1"/>
  <c r="O263" i="177" s="1"/>
  <c r="O264" i="177" s="1"/>
  <c r="O265" i="177" s="1"/>
  <c r="O266" i="177" s="1"/>
  <c r="O267" i="177" s="1"/>
  <c r="N255" i="177"/>
  <c r="N256" i="177" s="1"/>
  <c r="N264" i="168"/>
  <c r="N265" i="168" s="1"/>
  <c r="N266" i="168" s="1"/>
  <c r="N267" i="168" s="1"/>
  <c r="N268" i="168" s="1"/>
  <c r="N269" i="168" s="1"/>
  <c r="N270" i="168" s="1"/>
  <c r="N271" i="168" s="1"/>
  <c r="N272" i="168" s="1"/>
  <c r="N273" i="168" s="1"/>
  <c r="N274" i="168" s="1"/>
  <c r="N275" i="168" s="1"/>
  <c r="O264" i="168"/>
  <c r="O265" i="168" s="1"/>
  <c r="O266" i="168" s="1"/>
  <c r="O267" i="168" s="1"/>
  <c r="O268" i="168" s="1"/>
  <c r="O269" i="168" s="1"/>
  <c r="O270" i="168" s="1"/>
  <c r="O271" i="168" s="1"/>
  <c r="O272" i="168" s="1"/>
  <c r="O273" i="168" s="1"/>
  <c r="O274" i="168" s="1"/>
  <c r="O275" i="168" s="1"/>
  <c r="O268" i="177" l="1"/>
  <c r="O269" i="177" s="1"/>
  <c r="O270" i="177" s="1"/>
  <c r="O271" i="177" s="1"/>
  <c r="O272" i="177" s="1"/>
  <c r="O273" i="177" s="1"/>
  <c r="N257" i="177"/>
  <c r="N258" i="177" s="1"/>
  <c r="N259" i="177" s="1"/>
  <c r="O276" i="168"/>
  <c r="O277" i="168" s="1"/>
  <c r="O278" i="168" s="1"/>
  <c r="O279" i="168" s="1"/>
  <c r="O280" i="168" s="1"/>
  <c r="O281" i="168" s="1"/>
  <c r="O282" i="168" s="1"/>
  <c r="O283" i="168" s="1"/>
  <c r="O284" i="168" s="1"/>
  <c r="O285" i="168" s="1"/>
  <c r="O286" i="168" s="1"/>
  <c r="O287" i="168" s="1"/>
  <c r="O288" i="168" s="1"/>
  <c r="O289" i="168" s="1"/>
  <c r="O290" i="168" s="1"/>
  <c r="O291" i="168" s="1"/>
  <c r="O292" i="168" s="1"/>
  <c r="O293" i="168" s="1"/>
  <c r="O294" i="168" s="1"/>
  <c r="O295" i="168" s="1"/>
  <c r="O296" i="168" s="1"/>
  <c r="N276" i="168"/>
  <c r="N277" i="168" s="1"/>
  <c r="N278" i="168" s="1"/>
  <c r="N279" i="168" s="1"/>
  <c r="N280" i="168" s="1"/>
  <c r="N281" i="168" s="1"/>
  <c r="N282" i="168" s="1"/>
  <c r="N283" i="168" s="1"/>
  <c r="N284" i="168" s="1"/>
  <c r="N285" i="168" s="1"/>
  <c r="N286" i="168" s="1"/>
  <c r="N287" i="168" s="1"/>
  <c r="N288" i="168" s="1"/>
  <c r="N289" i="168" s="1"/>
  <c r="N290" i="168" s="1"/>
  <c r="N291" i="168" s="1"/>
  <c r="N292" i="168" s="1"/>
  <c r="N293" i="168" s="1"/>
  <c r="N294" i="168" s="1"/>
  <c r="N295" i="168" s="1"/>
  <c r="N296" i="168" s="1"/>
  <c r="O274" i="177" l="1"/>
  <c r="O275" i="177" s="1"/>
  <c r="O276" i="177" s="1"/>
  <c r="O277" i="177" s="1"/>
  <c r="O278" i="177" s="1"/>
  <c r="O279" i="177" s="1"/>
  <c r="O280" i="177" s="1"/>
  <c r="O281" i="177" s="1"/>
  <c r="O282" i="177" s="1"/>
  <c r="O283" i="177" s="1"/>
  <c r="O284" i="177" s="1"/>
  <c r="O285" i="177" s="1"/>
  <c r="O286" i="177" s="1"/>
  <c r="O287" i="177" s="1"/>
  <c r="O288" i="177" s="1"/>
  <c r="O289" i="177" s="1"/>
  <c r="O290" i="177" s="1"/>
  <c r="O291" i="177" s="1"/>
  <c r="O292" i="177" s="1"/>
  <c r="O293" i="177" s="1"/>
  <c r="O294" i="177" s="1"/>
  <c r="O295" i="177" s="1"/>
  <c r="O296" i="177" s="1"/>
  <c r="O297" i="177" s="1"/>
  <c r="O298" i="177" s="1"/>
  <c r="O299" i="177" s="1"/>
  <c r="O300" i="177" s="1"/>
  <c r="O301" i="177" s="1"/>
  <c r="O302" i="177" s="1"/>
  <c r="O303" i="177" s="1"/>
  <c r="O304" i="177" s="1"/>
  <c r="O305" i="177" s="1"/>
  <c r="O306" i="177" s="1"/>
  <c r="O307" i="177" s="1"/>
  <c r="O308" i="177" s="1"/>
  <c r="O309" i="177" s="1"/>
  <c r="O310" i="177" s="1"/>
  <c r="O311" i="177" s="1"/>
  <c r="O312" i="177" s="1"/>
  <c r="O313" i="177" s="1"/>
  <c r="O314" i="177" s="1"/>
  <c r="O315" i="177" s="1"/>
  <c r="O316" i="177" s="1"/>
  <c r="O317" i="177" s="1"/>
  <c r="O318" i="177" s="1"/>
  <c r="O319" i="177" s="1"/>
  <c r="O320" i="177" s="1"/>
  <c r="O321" i="177" s="1"/>
  <c r="O322" i="177" s="1"/>
  <c r="O323" i="177" s="1"/>
  <c r="O324" i="177" s="1"/>
  <c r="O325" i="177" s="1"/>
  <c r="O326" i="177" s="1"/>
  <c r="O327" i="177" s="1"/>
  <c r="O328" i="177" s="1"/>
  <c r="O329" i="177" s="1"/>
  <c r="O330" i="177" s="1"/>
  <c r="O331" i="177" s="1"/>
  <c r="O332" i="177" s="1"/>
  <c r="O333" i="177" s="1"/>
  <c r="O334" i="177" s="1"/>
  <c r="O335" i="177" s="1"/>
  <c r="O336" i="177" s="1"/>
  <c r="O337" i="177" s="1"/>
  <c r="O338" i="177" s="1"/>
  <c r="O339" i="177" s="1"/>
  <c r="O340" i="177" s="1"/>
  <c r="O341" i="177" s="1"/>
  <c r="O342" i="177" s="1"/>
  <c r="O343" i="177" s="1"/>
  <c r="O344" i="177" s="1"/>
  <c r="O345" i="177" s="1"/>
  <c r="O346" i="177" s="1"/>
  <c r="O347" i="177" s="1"/>
  <c r="O348" i="177" s="1"/>
  <c r="O349" i="177" s="1"/>
  <c r="O350" i="177" s="1"/>
  <c r="O351" i="177" s="1"/>
  <c r="O352" i="177" s="1"/>
  <c r="O353" i="177" s="1"/>
  <c r="O354" i="177" s="1"/>
  <c r="O355" i="177" s="1"/>
  <c r="O356" i="177" s="1"/>
  <c r="O357" i="177" s="1"/>
  <c r="O358" i="177" s="1"/>
  <c r="O359" i="177" s="1"/>
  <c r="O360" i="177" s="1"/>
  <c r="O361" i="177" s="1"/>
  <c r="O362" i="177" s="1"/>
  <c r="O363" i="177" s="1"/>
  <c r="O364" i="177" s="1"/>
  <c r="O365" i="177" s="1"/>
  <c r="O366" i="177" s="1"/>
  <c r="O367" i="177" s="1"/>
  <c r="O368" i="177" s="1"/>
  <c r="O369" i="177" s="1"/>
  <c r="O370" i="177" s="1"/>
  <c r="O371" i="177" s="1"/>
  <c r="N260" i="177"/>
  <c r="N261" i="177" s="1"/>
  <c r="N262" i="177" s="1"/>
  <c r="N263" i="177" s="1"/>
  <c r="N264" i="177" s="1"/>
  <c r="N265" i="177" s="1"/>
  <c r="N266" i="177" s="1"/>
  <c r="N267" i="177" s="1"/>
  <c r="N268" i="177" s="1"/>
  <c r="N297" i="168"/>
  <c r="N298" i="168" s="1"/>
  <c r="N299" i="168" s="1"/>
  <c r="N300" i="168" s="1"/>
  <c r="N301" i="168" s="1"/>
  <c r="N302" i="168" s="1"/>
  <c r="N303" i="168" s="1"/>
  <c r="N304" i="168" s="1"/>
  <c r="N305" i="168" s="1"/>
  <c r="N306" i="168" s="1"/>
  <c r="N307" i="168" s="1"/>
  <c r="N308" i="168" s="1"/>
  <c r="N309" i="168" s="1"/>
  <c r="N310" i="168" s="1"/>
  <c r="N311" i="168" s="1"/>
  <c r="N312" i="168" s="1"/>
  <c r="N313" i="168" s="1"/>
  <c r="N314" i="168" s="1"/>
  <c r="N315" i="168" s="1"/>
  <c r="N316" i="168" s="1"/>
  <c r="N317" i="168" s="1"/>
  <c r="N318" i="168" s="1"/>
  <c r="N319" i="168" s="1"/>
  <c r="O297" i="168"/>
  <c r="O298" i="168" s="1"/>
  <c r="O299" i="168" s="1"/>
  <c r="O300" i="168" s="1"/>
  <c r="O301" i="168" s="1"/>
  <c r="O302" i="168" s="1"/>
  <c r="O303" i="168" s="1"/>
  <c r="O304" i="168" s="1"/>
  <c r="O305" i="168" s="1"/>
  <c r="O306" i="168" s="1"/>
  <c r="O307" i="168" s="1"/>
  <c r="O308" i="168" s="1"/>
  <c r="O309" i="168" s="1"/>
  <c r="O310" i="168" s="1"/>
  <c r="O311" i="168" s="1"/>
  <c r="O312" i="168" s="1"/>
  <c r="O313" i="168" s="1"/>
  <c r="O314" i="168" s="1"/>
  <c r="O315" i="168" s="1"/>
  <c r="O316" i="168" s="1"/>
  <c r="O317" i="168" s="1"/>
  <c r="O318" i="168" s="1"/>
  <c r="O319" i="168" s="1"/>
  <c r="O320" i="168" s="1"/>
  <c r="O321" i="168" s="1"/>
  <c r="O322" i="168" s="1"/>
  <c r="O323" i="168" s="1"/>
  <c r="O324" i="168" s="1"/>
  <c r="O325" i="168" s="1"/>
  <c r="O326" i="168" s="1"/>
  <c r="O327" i="168" s="1"/>
  <c r="O328" i="168" s="1"/>
  <c r="O329" i="168" s="1"/>
  <c r="O330" i="168" s="1"/>
  <c r="O331" i="168" s="1"/>
  <c r="O332" i="168" s="1"/>
  <c r="O333" i="168" s="1"/>
  <c r="O334" i="168" s="1"/>
  <c r="O335" i="168" s="1"/>
  <c r="O336" i="168" s="1"/>
  <c r="O337" i="168" s="1"/>
  <c r="O338" i="168" s="1"/>
  <c r="O339" i="168" s="1"/>
  <c r="O340" i="168" s="1"/>
  <c r="O341" i="168" s="1"/>
  <c r="O342" i="168" s="1"/>
  <c r="O343" i="168" s="1"/>
  <c r="O344" i="168" s="1"/>
  <c r="O345" i="168" s="1"/>
  <c r="O346" i="168" s="1"/>
  <c r="O347" i="168" s="1"/>
  <c r="O348" i="168" s="1"/>
  <c r="O349" i="168" s="1"/>
  <c r="O350" i="168" s="1"/>
  <c r="O351" i="168" s="1"/>
  <c r="O352" i="168" s="1"/>
  <c r="O353" i="168" s="1"/>
  <c r="O354" i="168" s="1"/>
  <c r="O355" i="168" s="1"/>
  <c r="O356" i="168" s="1"/>
  <c r="O357" i="168" s="1"/>
  <c r="O358" i="168" s="1"/>
  <c r="O359" i="168" s="1"/>
  <c r="O360" i="168" s="1"/>
  <c r="O361" i="168" s="1"/>
  <c r="O362" i="168" s="1"/>
  <c r="O363" i="168" s="1"/>
  <c r="O364" i="168" s="1"/>
  <c r="O365" i="168" s="1"/>
  <c r="O366" i="168" s="1"/>
  <c r="O367" i="168" s="1"/>
  <c r="O368" i="168" s="1"/>
  <c r="O369" i="168" s="1"/>
  <c r="O370" i="168" s="1"/>
  <c r="O371" i="168" s="1"/>
  <c r="O372" i="168" s="1"/>
  <c r="O373" i="168" s="1"/>
  <c r="O374" i="168" s="1"/>
  <c r="O375" i="168" s="1"/>
  <c r="O376" i="168" s="1"/>
  <c r="O377" i="168" s="1"/>
  <c r="O378" i="168" s="1"/>
  <c r="O379" i="168" s="1"/>
  <c r="O372" i="177" l="1"/>
  <c r="O373" i="177" s="1"/>
  <c r="O374" i="177" s="1"/>
  <c r="O375" i="177" s="1"/>
  <c r="O376" i="177" s="1"/>
  <c r="O377" i="177" s="1"/>
  <c r="O378" i="177" s="1"/>
  <c r="O379" i="177" s="1"/>
  <c r="O380" i="177" s="1"/>
  <c r="O381" i="177" s="1"/>
  <c r="O382" i="177" s="1"/>
  <c r="O383" i="177" s="1"/>
  <c r="O384" i="177" s="1"/>
  <c r="O385" i="177" s="1"/>
  <c r="O386" i="177" s="1"/>
  <c r="O387" i="177" s="1"/>
  <c r="O388" i="177" s="1"/>
  <c r="O389" i="177" s="1"/>
  <c r="N269" i="177"/>
  <c r="N270" i="177" s="1"/>
  <c r="N271" i="177" s="1"/>
  <c r="N272" i="177" s="1"/>
  <c r="N273" i="177" s="1"/>
  <c r="N274" i="177" s="1"/>
  <c r="N320" i="168"/>
  <c r="N321" i="168" s="1"/>
  <c r="N322" i="168" s="1"/>
  <c r="N323" i="168" s="1"/>
  <c r="N324" i="168" s="1"/>
  <c r="N325" i="168" s="1"/>
  <c r="N326" i="168" s="1"/>
  <c r="N327" i="168" s="1"/>
  <c r="N328" i="168" s="1"/>
  <c r="N329" i="168" s="1"/>
  <c r="N330" i="168" s="1"/>
  <c r="N331" i="168" s="1"/>
  <c r="N332" i="168" s="1"/>
  <c r="N333" i="168" s="1"/>
  <c r="N334" i="168" s="1"/>
  <c r="N335" i="168" s="1"/>
  <c r="N336" i="168" s="1"/>
  <c r="N337" i="168" s="1"/>
  <c r="N338" i="168" s="1"/>
  <c r="N339" i="168" s="1"/>
  <c r="N340" i="168" s="1"/>
  <c r="N341" i="168" s="1"/>
  <c r="N342" i="168" s="1"/>
  <c r="N343" i="168" s="1"/>
  <c r="N344" i="168" s="1"/>
  <c r="N345" i="168" s="1"/>
  <c r="N346" i="168" s="1"/>
  <c r="N347" i="168" s="1"/>
  <c r="N348" i="168" s="1"/>
  <c r="N349" i="168" s="1"/>
  <c r="N350" i="168" s="1"/>
  <c r="N351" i="168" s="1"/>
  <c r="N352" i="168" s="1"/>
  <c r="N353" i="168" s="1"/>
  <c r="N354" i="168" s="1"/>
  <c r="N355" i="168" s="1"/>
  <c r="N356" i="168" s="1"/>
  <c r="N357" i="168" s="1"/>
  <c r="N358" i="168" s="1"/>
  <c r="N359" i="168" s="1"/>
  <c r="N360" i="168" s="1"/>
  <c r="N361" i="168" s="1"/>
  <c r="N362" i="168" s="1"/>
  <c r="N363" i="168" s="1"/>
  <c r="N364" i="168" s="1"/>
  <c r="N365" i="168" s="1"/>
  <c r="N366" i="168" s="1"/>
  <c r="N367" i="168" s="1"/>
  <c r="N368" i="168" s="1"/>
  <c r="N369" i="168" s="1"/>
  <c r="N370" i="168" s="1"/>
  <c r="N371" i="168" s="1"/>
  <c r="N372" i="168" s="1"/>
  <c r="N373" i="168" s="1"/>
  <c r="N374" i="168" s="1"/>
  <c r="N375" i="168" s="1"/>
  <c r="N376" i="168" s="1"/>
  <c r="N377" i="168" s="1"/>
  <c r="N378" i="168" s="1"/>
  <c r="N379" i="168" s="1"/>
  <c r="N381" i="168" s="1"/>
  <c r="O391" i="168" s="1"/>
  <c r="O392" i="168" s="1"/>
  <c r="N275" i="177" l="1"/>
  <c r="N276" i="177" s="1"/>
  <c r="N277" i="177" s="1"/>
  <c r="N278" i="177" s="1"/>
  <c r="N279" i="177" s="1"/>
  <c r="N280" i="177" s="1"/>
  <c r="N281" i="177" s="1"/>
  <c r="N282" i="177" s="1"/>
  <c r="N283" i="177" s="1"/>
  <c r="N284" i="177" s="1"/>
  <c r="N285" i="177" s="1"/>
  <c r="N286" i="177" s="1"/>
  <c r="N287" i="177" s="1"/>
  <c r="N288" i="177" s="1"/>
  <c r="N289" i="177" s="1"/>
  <c r="N290" i="177" s="1"/>
  <c r="N291" i="177" s="1"/>
  <c r="N292" i="177" s="1"/>
  <c r="N293" i="177" s="1"/>
  <c r="N294" i="177" s="1"/>
  <c r="B497" i="165"/>
  <c r="D484" i="165"/>
  <c r="D486" i="165"/>
  <c r="E486" i="165" s="1"/>
  <c r="F486" i="165" s="1"/>
  <c r="D489" i="165"/>
  <c r="D493" i="165"/>
  <c r="D494" i="165"/>
  <c r="D496" i="165"/>
  <c r="E496" i="165" s="1"/>
  <c r="D483" i="165"/>
  <c r="B482" i="165"/>
  <c r="J473" i="165"/>
  <c r="J458" i="165"/>
  <c r="D495" i="165"/>
  <c r="E495" i="165" s="1"/>
  <c r="D488" i="165"/>
  <c r="D487" i="165"/>
  <c r="D485" i="165"/>
  <c r="E485" i="165" s="1"/>
  <c r="F485" i="165" s="1"/>
  <c r="D479" i="165"/>
  <c r="E479" i="165" s="1"/>
  <c r="D480" i="165"/>
  <c r="E480" i="165" s="1"/>
  <c r="D481" i="165"/>
  <c r="E481" i="165" s="1"/>
  <c r="D490" i="165"/>
  <c r="E490" i="165" s="1"/>
  <c r="D491" i="165"/>
  <c r="E491" i="165" s="1"/>
  <c r="D492" i="165"/>
  <c r="E492" i="165" s="1"/>
  <c r="I453" i="165"/>
  <c r="L453" i="165"/>
  <c r="N295" i="177" l="1"/>
  <c r="N296" i="177" s="1"/>
  <c r="N297" i="177" s="1"/>
  <c r="N298" i="177" s="1"/>
  <c r="F481" i="165"/>
  <c r="E482" i="165"/>
  <c r="D497" i="165"/>
  <c r="D482" i="165"/>
  <c r="F480" i="165"/>
  <c r="F495" i="165"/>
  <c r="E493" i="165"/>
  <c r="F493" i="165"/>
  <c r="E489" i="165"/>
  <c r="E494" i="165"/>
  <c r="F494" i="165" s="1"/>
  <c r="F490" i="165"/>
  <c r="F492" i="165"/>
  <c r="F479" i="165"/>
  <c r="F482" i="165" s="1"/>
  <c r="F496" i="165"/>
  <c r="E484" i="165"/>
  <c r="F484" i="165" s="1"/>
  <c r="E488" i="165"/>
  <c r="F488" i="165" s="1"/>
  <c r="E483" i="165"/>
  <c r="F483" i="165" s="1"/>
  <c r="E487" i="165"/>
  <c r="F487" i="165" s="1"/>
  <c r="F491" i="165"/>
  <c r="L454" i="165"/>
  <c r="G453" i="165"/>
  <c r="C453" i="165"/>
  <c r="N7" i="165"/>
  <c r="N8" i="165" s="1"/>
  <c r="N9" i="165" s="1"/>
  <c r="N10" i="165" s="1"/>
  <c r="N11" i="165" s="1"/>
  <c r="N12" i="165" s="1"/>
  <c r="N299" i="177" l="1"/>
  <c r="N300" i="177" s="1"/>
  <c r="N301" i="177" s="1"/>
  <c r="F489" i="165"/>
  <c r="F497" i="165" s="1"/>
  <c r="E497" i="165"/>
  <c r="N13" i="165"/>
  <c r="N14" i="165" s="1"/>
  <c r="N15" i="165" s="1"/>
  <c r="N16" i="165" s="1"/>
  <c r="N17" i="165" s="1"/>
  <c r="N18" i="165" s="1"/>
  <c r="N19" i="165" s="1"/>
  <c r="N20" i="165" s="1"/>
  <c r="N21" i="165" s="1"/>
  <c r="N22" i="165" s="1"/>
  <c r="N23" i="165" s="1"/>
  <c r="N24" i="165" s="1"/>
  <c r="N25" i="165" s="1"/>
  <c r="N26" i="165" s="1"/>
  <c r="N27" i="165" s="1"/>
  <c r="N28" i="165" s="1"/>
  <c r="N29" i="165" s="1"/>
  <c r="N30" i="165" s="1"/>
  <c r="N31" i="165" s="1"/>
  <c r="N32" i="165" s="1"/>
  <c r="O453" i="165"/>
  <c r="O7" i="165"/>
  <c r="O8" i="165" s="1"/>
  <c r="O9" i="165" s="1"/>
  <c r="O10" i="165" s="1"/>
  <c r="O11" i="165" s="1"/>
  <c r="O12" i="165" s="1"/>
  <c r="M177" i="164"/>
  <c r="P177" i="164"/>
  <c r="P322" i="164" s="1"/>
  <c r="M321" i="164"/>
  <c r="P321" i="164"/>
  <c r="M326" i="164"/>
  <c r="P326" i="164"/>
  <c r="M503" i="164"/>
  <c r="P503" i="164"/>
  <c r="B263" i="163"/>
  <c r="E262" i="163"/>
  <c r="F262" i="163" s="1"/>
  <c r="G262" i="163" s="1"/>
  <c r="E261" i="163"/>
  <c r="E260" i="163"/>
  <c r="F260" i="163" s="1"/>
  <c r="E259" i="163"/>
  <c r="F259" i="163" s="1"/>
  <c r="G259" i="163" s="1"/>
  <c r="E258" i="163"/>
  <c r="F258" i="163" s="1"/>
  <c r="E257" i="163"/>
  <c r="E256" i="163"/>
  <c r="F256" i="163" s="1"/>
  <c r="F255" i="163"/>
  <c r="G255" i="163" s="1"/>
  <c r="E255" i="163"/>
  <c r="E254" i="163"/>
  <c r="F254" i="163" s="1"/>
  <c r="G254" i="163" s="1"/>
  <c r="D253" i="163"/>
  <c r="E253" i="163" s="1"/>
  <c r="D252" i="163"/>
  <c r="E252" i="163" s="1"/>
  <c r="B251" i="163"/>
  <c r="E250" i="163"/>
  <c r="F250" i="163" s="1"/>
  <c r="E249" i="163"/>
  <c r="F249" i="163" s="1"/>
  <c r="E248" i="163"/>
  <c r="F248" i="163" s="1"/>
  <c r="E247" i="163"/>
  <c r="E246" i="163"/>
  <c r="E245" i="163"/>
  <c r="F245" i="163" s="1"/>
  <c r="E244" i="163"/>
  <c r="F244" i="163" s="1"/>
  <c r="G244" i="163" s="1"/>
  <c r="E243" i="163"/>
  <c r="J239" i="163"/>
  <c r="J227" i="163"/>
  <c r="L216" i="163"/>
  <c r="I216" i="163"/>
  <c r="G216" i="163"/>
  <c r="G217" i="163" s="1"/>
  <c r="C216" i="163"/>
  <c r="O7" i="163" s="1"/>
  <c r="O8" i="163" s="1"/>
  <c r="O9" i="163" s="1"/>
  <c r="O10" i="163" s="1"/>
  <c r="O11" i="163" s="1"/>
  <c r="O12" i="163" s="1"/>
  <c r="O13" i="163" s="1"/>
  <c r="O14" i="163" s="1"/>
  <c r="O15" i="163" s="1"/>
  <c r="O16" i="163" s="1"/>
  <c r="O17" i="163" s="1"/>
  <c r="O18" i="163" s="1"/>
  <c r="O19" i="163" s="1"/>
  <c r="O20" i="163" s="1"/>
  <c r="O21" i="163" s="1"/>
  <c r="O22" i="163" s="1"/>
  <c r="O23" i="163" s="1"/>
  <c r="O24" i="163" s="1"/>
  <c r="O25" i="163" s="1"/>
  <c r="O26" i="163" s="1"/>
  <c r="O27" i="163" s="1"/>
  <c r="O28" i="163" s="1"/>
  <c r="O29" i="163" s="1"/>
  <c r="O30" i="163" s="1"/>
  <c r="O31" i="163" s="1"/>
  <c r="O32" i="163" s="1"/>
  <c r="O33" i="163" s="1"/>
  <c r="O34" i="163" s="1"/>
  <c r="O35" i="163" s="1"/>
  <c r="O36" i="163" s="1"/>
  <c r="O37" i="163" s="1"/>
  <c r="O38" i="163" s="1"/>
  <c r="O39" i="163" s="1"/>
  <c r="O40" i="163" s="1"/>
  <c r="O41" i="163" s="1"/>
  <c r="O42" i="163" s="1"/>
  <c r="O43" i="163" s="1"/>
  <c r="O44" i="163" s="1"/>
  <c r="O45" i="163" s="1"/>
  <c r="O46" i="163" s="1"/>
  <c r="O47" i="163" s="1"/>
  <c r="O48" i="163" s="1"/>
  <c r="O49" i="163" s="1"/>
  <c r="O50" i="163" s="1"/>
  <c r="O51" i="163" s="1"/>
  <c r="O52" i="163" s="1"/>
  <c r="O53" i="163" s="1"/>
  <c r="O54" i="163" s="1"/>
  <c r="O55" i="163" s="1"/>
  <c r="O56" i="163" s="1"/>
  <c r="O57" i="163" s="1"/>
  <c r="O58" i="163" s="1"/>
  <c r="O59" i="163" s="1"/>
  <c r="O60" i="163" s="1"/>
  <c r="O61" i="163" s="1"/>
  <c r="O62" i="163" s="1"/>
  <c r="O63" i="163" s="1"/>
  <c r="O64" i="163" s="1"/>
  <c r="O65" i="163" s="1"/>
  <c r="O66" i="163" s="1"/>
  <c r="O67" i="163" s="1"/>
  <c r="O68" i="163" s="1"/>
  <c r="O69" i="163" s="1"/>
  <c r="O70" i="163" s="1"/>
  <c r="O71" i="163" s="1"/>
  <c r="O72" i="163" s="1"/>
  <c r="O73" i="163" s="1"/>
  <c r="O74" i="163" s="1"/>
  <c r="O75" i="163" s="1"/>
  <c r="O76" i="163" s="1"/>
  <c r="O77" i="163" s="1"/>
  <c r="O78" i="163" s="1"/>
  <c r="O79" i="163" s="1"/>
  <c r="O80" i="163" s="1"/>
  <c r="O81" i="163" s="1"/>
  <c r="O82" i="163" s="1"/>
  <c r="O83" i="163" s="1"/>
  <c r="O84" i="163" s="1"/>
  <c r="O85" i="163" s="1"/>
  <c r="O86" i="163" s="1"/>
  <c r="O87" i="163" s="1"/>
  <c r="O88" i="163" s="1"/>
  <c r="O89" i="163" s="1"/>
  <c r="O90" i="163" s="1"/>
  <c r="O91" i="163" s="1"/>
  <c r="O92" i="163" s="1"/>
  <c r="O93" i="163" s="1"/>
  <c r="O94" i="163" s="1"/>
  <c r="O95" i="163" s="1"/>
  <c r="O96" i="163" s="1"/>
  <c r="O97" i="163" s="1"/>
  <c r="O98" i="163" s="1"/>
  <c r="O99" i="163" s="1"/>
  <c r="O100" i="163" s="1"/>
  <c r="O101" i="163" s="1"/>
  <c r="O102" i="163" s="1"/>
  <c r="O103" i="163" s="1"/>
  <c r="O104" i="163" s="1"/>
  <c r="O105" i="163" s="1"/>
  <c r="O106" i="163" s="1"/>
  <c r="O107" i="163" s="1"/>
  <c r="O108" i="163" s="1"/>
  <c r="O109" i="163" s="1"/>
  <c r="O110" i="163" s="1"/>
  <c r="O111" i="163" s="1"/>
  <c r="O112" i="163" s="1"/>
  <c r="O113" i="163" s="1"/>
  <c r="O114" i="163" s="1"/>
  <c r="O115" i="163" s="1"/>
  <c r="O116" i="163" s="1"/>
  <c r="O117" i="163" s="1"/>
  <c r="O118" i="163" s="1"/>
  <c r="O119" i="163" s="1"/>
  <c r="O120" i="163" s="1"/>
  <c r="O121" i="163" s="1"/>
  <c r="O122" i="163" s="1"/>
  <c r="O123" i="163" s="1"/>
  <c r="O124" i="163" s="1"/>
  <c r="O125" i="163" s="1"/>
  <c r="O126" i="163" s="1"/>
  <c r="O127" i="163" s="1"/>
  <c r="O128" i="163" s="1"/>
  <c r="O129" i="163" s="1"/>
  <c r="O130" i="163" s="1"/>
  <c r="O131" i="163" s="1"/>
  <c r="O132" i="163" s="1"/>
  <c r="O133" i="163" s="1"/>
  <c r="O134" i="163" s="1"/>
  <c r="O135" i="163" s="1"/>
  <c r="O136" i="163" s="1"/>
  <c r="O137" i="163" s="1"/>
  <c r="O138" i="163" s="1"/>
  <c r="O139" i="163" s="1"/>
  <c r="O140" i="163" s="1"/>
  <c r="O141" i="163" s="1"/>
  <c r="O142" i="163" s="1"/>
  <c r="O143" i="163" s="1"/>
  <c r="O144" i="163" s="1"/>
  <c r="O145" i="163" s="1"/>
  <c r="O146" i="163" s="1"/>
  <c r="O147" i="163" s="1"/>
  <c r="O148" i="163" s="1"/>
  <c r="O149" i="163" s="1"/>
  <c r="O150" i="163" s="1"/>
  <c r="O151" i="163" s="1"/>
  <c r="O152" i="163" s="1"/>
  <c r="O153" i="163" s="1"/>
  <c r="O154" i="163" s="1"/>
  <c r="O155" i="163" s="1"/>
  <c r="O156" i="163" s="1"/>
  <c r="O157" i="163" s="1"/>
  <c r="O158" i="163" s="1"/>
  <c r="O159" i="163" s="1"/>
  <c r="O160" i="163" s="1"/>
  <c r="O161" i="163" s="1"/>
  <c r="O162" i="163" s="1"/>
  <c r="O163" i="163" s="1"/>
  <c r="O164" i="163" s="1"/>
  <c r="O165" i="163" s="1"/>
  <c r="O166" i="163" s="1"/>
  <c r="O167" i="163" s="1"/>
  <c r="O168" i="163" s="1"/>
  <c r="O169" i="163" s="1"/>
  <c r="O170" i="163" s="1"/>
  <c r="O171" i="163" s="1"/>
  <c r="O172" i="163" s="1"/>
  <c r="O173" i="163" s="1"/>
  <c r="O174" i="163" s="1"/>
  <c r="O175" i="163" s="1"/>
  <c r="O176" i="163" s="1"/>
  <c r="O177" i="163" s="1"/>
  <c r="O178" i="163" s="1"/>
  <c r="O179" i="163" s="1"/>
  <c r="O180" i="163" s="1"/>
  <c r="O181" i="163" s="1"/>
  <c r="O182" i="163" s="1"/>
  <c r="O183" i="163" s="1"/>
  <c r="O184" i="163" s="1"/>
  <c r="O185" i="163" s="1"/>
  <c r="O186" i="163" s="1"/>
  <c r="O187" i="163" s="1"/>
  <c r="O188" i="163" s="1"/>
  <c r="O189" i="163" s="1"/>
  <c r="O190" i="163" s="1"/>
  <c r="O191" i="163" s="1"/>
  <c r="O192" i="163" s="1"/>
  <c r="O193" i="163" s="1"/>
  <c r="O194" i="163" s="1"/>
  <c r="O195" i="163" s="1"/>
  <c r="O196" i="163" s="1"/>
  <c r="O197" i="163" s="1"/>
  <c r="O198" i="163" s="1"/>
  <c r="O199" i="163" s="1"/>
  <c r="O200" i="163" s="1"/>
  <c r="O201" i="163" s="1"/>
  <c r="O202" i="163" s="1"/>
  <c r="O203" i="163" s="1"/>
  <c r="O204" i="163" s="1"/>
  <c r="O205" i="163" s="1"/>
  <c r="O206" i="163" s="1"/>
  <c r="O207" i="163" s="1"/>
  <c r="O208" i="163" s="1"/>
  <c r="O209" i="163" s="1"/>
  <c r="O210" i="163" s="1"/>
  <c r="O211" i="163" s="1"/>
  <c r="O212" i="163" s="1"/>
  <c r="O213" i="163" s="1"/>
  <c r="O214" i="163" s="1"/>
  <c r="O215" i="163" s="1"/>
  <c r="N7" i="163"/>
  <c r="N8" i="163" s="1"/>
  <c r="N9" i="163" s="1"/>
  <c r="N10" i="163" s="1"/>
  <c r="N11" i="163" s="1"/>
  <c r="N12" i="163" s="1"/>
  <c r="N13" i="163" s="1"/>
  <c r="N14" i="163" s="1"/>
  <c r="N15" i="163" s="1"/>
  <c r="N16" i="163" s="1"/>
  <c r="N17" i="163" s="1"/>
  <c r="N18" i="163" s="1"/>
  <c r="N19" i="163" s="1"/>
  <c r="N20" i="163" s="1"/>
  <c r="N21" i="163" s="1"/>
  <c r="N22" i="163" s="1"/>
  <c r="N23" i="163" s="1"/>
  <c r="N24" i="163" s="1"/>
  <c r="N25" i="163" s="1"/>
  <c r="N26" i="163" s="1"/>
  <c r="N27" i="163" s="1"/>
  <c r="N28" i="163" s="1"/>
  <c r="N29" i="163" s="1"/>
  <c r="N30" i="163" s="1"/>
  <c r="N31" i="163" s="1"/>
  <c r="N32" i="163" s="1"/>
  <c r="N33" i="163" s="1"/>
  <c r="N34" i="163" s="1"/>
  <c r="N35" i="163" s="1"/>
  <c r="N36" i="163" s="1"/>
  <c r="N37" i="163" s="1"/>
  <c r="N38" i="163" s="1"/>
  <c r="N39" i="163" s="1"/>
  <c r="N40" i="163" s="1"/>
  <c r="N41" i="163" s="1"/>
  <c r="N42" i="163" s="1"/>
  <c r="N43" i="163" s="1"/>
  <c r="N44" i="163" s="1"/>
  <c r="N45" i="163" s="1"/>
  <c r="N46" i="163" s="1"/>
  <c r="N47" i="163" s="1"/>
  <c r="N48" i="163" s="1"/>
  <c r="N49" i="163" s="1"/>
  <c r="N50" i="163" s="1"/>
  <c r="N51" i="163" s="1"/>
  <c r="N52" i="163" s="1"/>
  <c r="N53" i="163" s="1"/>
  <c r="N54" i="163" s="1"/>
  <c r="N55" i="163" s="1"/>
  <c r="N56" i="163" s="1"/>
  <c r="N57" i="163" s="1"/>
  <c r="N58" i="163" s="1"/>
  <c r="N59" i="163" s="1"/>
  <c r="N60" i="163" s="1"/>
  <c r="N61" i="163" s="1"/>
  <c r="N302" i="177" l="1"/>
  <c r="N303" i="177" s="1"/>
  <c r="N304" i="177" s="1"/>
  <c r="M322" i="164"/>
  <c r="N33" i="165"/>
  <c r="N34" i="165" s="1"/>
  <c r="N35" i="165" s="1"/>
  <c r="N36" i="165" s="1"/>
  <c r="N37" i="165" s="1"/>
  <c r="N38" i="165" s="1"/>
  <c r="N39" i="165" s="1"/>
  <c r="N40" i="165" s="1"/>
  <c r="N41" i="165" s="1"/>
  <c r="N42" i="165" s="1"/>
  <c r="N43" i="165" s="1"/>
  <c r="N44" i="165" s="1"/>
  <c r="N45" i="165" s="1"/>
  <c r="N46" i="165" s="1"/>
  <c r="N47" i="165" s="1"/>
  <c r="N48" i="165" s="1"/>
  <c r="N49" i="165" s="1"/>
  <c r="N50" i="165" s="1"/>
  <c r="N51" i="165" s="1"/>
  <c r="N52" i="165" s="1"/>
  <c r="O13" i="165"/>
  <c r="O14" i="165" s="1"/>
  <c r="O15" i="165" s="1"/>
  <c r="O16" i="165" s="1"/>
  <c r="O17" i="165" s="1"/>
  <c r="O18" i="165" s="1"/>
  <c r="O19" i="165" s="1"/>
  <c r="O20" i="165" s="1"/>
  <c r="O21" i="165" s="1"/>
  <c r="O22" i="165" s="1"/>
  <c r="O23" i="165" s="1"/>
  <c r="O24" i="165" s="1"/>
  <c r="O25" i="165" s="1"/>
  <c r="O26" i="165" s="1"/>
  <c r="O27" i="165" s="1"/>
  <c r="O28" i="165" s="1"/>
  <c r="O29" i="165" s="1"/>
  <c r="O30" i="165" s="1"/>
  <c r="O31" i="165" s="1"/>
  <c r="O32" i="165" s="1"/>
  <c r="F247" i="163"/>
  <c r="G247" i="163" s="1"/>
  <c r="G248" i="163"/>
  <c r="G245" i="163"/>
  <c r="L217" i="163"/>
  <c r="M217" i="163" s="1"/>
  <c r="N62" i="163"/>
  <c r="N63" i="163" s="1"/>
  <c r="N64" i="163" s="1"/>
  <c r="N65" i="163" s="1"/>
  <c r="N66" i="163" s="1"/>
  <c r="N67" i="163" s="1"/>
  <c r="N68" i="163" s="1"/>
  <c r="O216" i="163"/>
  <c r="E251" i="163"/>
  <c r="F243" i="163"/>
  <c r="G243" i="163" s="1"/>
  <c r="E263" i="163"/>
  <c r="F252" i="163"/>
  <c r="F246" i="163"/>
  <c r="G246" i="163" s="1"/>
  <c r="G249" i="163"/>
  <c r="G258" i="163"/>
  <c r="G250" i="163"/>
  <c r="F257" i="163"/>
  <c r="G257" i="163" s="1"/>
  <c r="G260" i="163"/>
  <c r="G261" i="163"/>
  <c r="F253" i="163"/>
  <c r="G253" i="163" s="1"/>
  <c r="G256" i="163"/>
  <c r="F261" i="163"/>
  <c r="N305" i="177" l="1"/>
  <c r="N306" i="177" s="1"/>
  <c r="N307" i="177" s="1"/>
  <c r="N308" i="177" s="1"/>
  <c r="N309" i="177" s="1"/>
  <c r="N310" i="177" s="1"/>
  <c r="N311" i="177" s="1"/>
  <c r="N312" i="177" s="1"/>
  <c r="N313" i="177" s="1"/>
  <c r="N314" i="177" s="1"/>
  <c r="N315" i="177" s="1"/>
  <c r="N316" i="177" s="1"/>
  <c r="N317" i="177" s="1"/>
  <c r="N318" i="177" s="1"/>
  <c r="N319" i="177" s="1"/>
  <c r="F263" i="163"/>
  <c r="N53" i="165"/>
  <c r="N54" i="165" s="1"/>
  <c r="N55" i="165" s="1"/>
  <c r="N56" i="165" s="1"/>
  <c r="N57" i="165" s="1"/>
  <c r="N58" i="165" s="1"/>
  <c r="N59" i="165" s="1"/>
  <c r="N60" i="165" s="1"/>
  <c r="N61" i="165" s="1"/>
  <c r="N62" i="165" s="1"/>
  <c r="N63" i="165" s="1"/>
  <c r="N64" i="165" s="1"/>
  <c r="O33" i="165"/>
  <c r="O34" i="165" s="1"/>
  <c r="O35" i="165" s="1"/>
  <c r="O36" i="165" s="1"/>
  <c r="O37" i="165" s="1"/>
  <c r="O38" i="165" s="1"/>
  <c r="O39" i="165" s="1"/>
  <c r="O40" i="165" s="1"/>
  <c r="O41" i="165" s="1"/>
  <c r="O42" i="165" s="1"/>
  <c r="O43" i="165" s="1"/>
  <c r="O44" i="165" s="1"/>
  <c r="O45" i="165" s="1"/>
  <c r="O46" i="165" s="1"/>
  <c r="O47" i="165" s="1"/>
  <c r="O48" i="165" s="1"/>
  <c r="O49" i="165" s="1"/>
  <c r="O50" i="165" s="1"/>
  <c r="O51" i="165" s="1"/>
  <c r="O52" i="165" s="1"/>
  <c r="N69" i="163"/>
  <c r="N70" i="163" s="1"/>
  <c r="N71" i="163" s="1"/>
  <c r="N72" i="163" s="1"/>
  <c r="N73" i="163" s="1"/>
  <c r="G252" i="163"/>
  <c r="G263" i="163" s="1"/>
  <c r="G251" i="163"/>
  <c r="F251" i="163"/>
  <c r="N320" i="177" l="1"/>
  <c r="N321" i="177" s="1"/>
  <c r="N322" i="177" s="1"/>
  <c r="N74" i="163"/>
  <c r="N75" i="163" s="1"/>
  <c r="N76" i="163" s="1"/>
  <c r="N77" i="163" s="1"/>
  <c r="N78" i="163" s="1"/>
  <c r="N79" i="163" s="1"/>
  <c r="N80" i="163" s="1"/>
  <c r="N81" i="163" s="1"/>
  <c r="N82" i="163" s="1"/>
  <c r="N65" i="165"/>
  <c r="N66" i="165" s="1"/>
  <c r="O53" i="165"/>
  <c r="O54" i="165" s="1"/>
  <c r="O55" i="165" s="1"/>
  <c r="O56" i="165" s="1"/>
  <c r="O57" i="165" s="1"/>
  <c r="O58" i="165" s="1"/>
  <c r="O59" i="165" s="1"/>
  <c r="O60" i="165" s="1"/>
  <c r="O61" i="165" s="1"/>
  <c r="O62" i="165" s="1"/>
  <c r="O63" i="165" s="1"/>
  <c r="O64" i="165" s="1"/>
  <c r="B419" i="160"/>
  <c r="B410" i="160"/>
  <c r="J402" i="160"/>
  <c r="J393" i="160"/>
  <c r="D409" i="160"/>
  <c r="E409" i="160" s="1"/>
  <c r="D411" i="160"/>
  <c r="E411" i="160" s="1"/>
  <c r="D412" i="160"/>
  <c r="D413" i="160"/>
  <c r="E413" i="160" s="1"/>
  <c r="D414" i="160"/>
  <c r="E414" i="160" s="1"/>
  <c r="F414" i="160" s="1"/>
  <c r="D415" i="160"/>
  <c r="E415" i="160" s="1"/>
  <c r="F415" i="160" s="1"/>
  <c r="D416" i="160"/>
  <c r="D417" i="160"/>
  <c r="E417" i="160" s="1"/>
  <c r="D418" i="160"/>
  <c r="E418" i="160" s="1"/>
  <c r="F418" i="160" s="1"/>
  <c r="D407" i="160"/>
  <c r="E407" i="160" s="1"/>
  <c r="D406" i="160"/>
  <c r="D405" i="160"/>
  <c r="E405" i="160" s="1"/>
  <c r="F405" i="160" s="1"/>
  <c r="D408" i="160"/>
  <c r="E408" i="160" s="1"/>
  <c r="D404" i="160"/>
  <c r="E404" i="160" s="1"/>
  <c r="N390" i="160"/>
  <c r="N389" i="160"/>
  <c r="N388" i="160"/>
  <c r="N387" i="160"/>
  <c r="N323" i="177" l="1"/>
  <c r="N324" i="177" s="1"/>
  <c r="N325" i="177" s="1"/>
  <c r="N326" i="177" s="1"/>
  <c r="N327" i="177" s="1"/>
  <c r="F411" i="160"/>
  <c r="N84" i="163"/>
  <c r="N85" i="163" s="1"/>
  <c r="N86" i="163" s="1"/>
  <c r="N87" i="163" s="1"/>
  <c r="N88" i="163" s="1"/>
  <c r="N89" i="163" s="1"/>
  <c r="N90" i="163" s="1"/>
  <c r="N91" i="163" s="1"/>
  <c r="N92" i="163" s="1"/>
  <c r="N83" i="163"/>
  <c r="D410" i="160"/>
  <c r="D419" i="160"/>
  <c r="N67" i="165"/>
  <c r="N68" i="165" s="1"/>
  <c r="N69" i="165" s="1"/>
  <c r="N70" i="165" s="1"/>
  <c r="N71" i="165" s="1"/>
  <c r="N72" i="165" s="1"/>
  <c r="N73" i="165" s="1"/>
  <c r="N74" i="165" s="1"/>
  <c r="N75" i="165" s="1"/>
  <c r="N76" i="165" s="1"/>
  <c r="N77" i="165" s="1"/>
  <c r="N78" i="165" s="1"/>
  <c r="N79" i="165" s="1"/>
  <c r="N80" i="165" s="1"/>
  <c r="N81" i="165" s="1"/>
  <c r="N82" i="165" s="1"/>
  <c r="N83" i="165" s="1"/>
  <c r="N84" i="165" s="1"/>
  <c r="N85" i="165" s="1"/>
  <c r="N86" i="165" s="1"/>
  <c r="N87" i="165" s="1"/>
  <c r="N88" i="165" s="1"/>
  <c r="N89" i="165" s="1"/>
  <c r="N90" i="165" s="1"/>
  <c r="N91" i="165" s="1"/>
  <c r="N92" i="165" s="1"/>
  <c r="N93" i="165" s="1"/>
  <c r="O65" i="165"/>
  <c r="O66" i="165" s="1"/>
  <c r="O67" i="165" s="1"/>
  <c r="O68" i="165" s="1"/>
  <c r="O69" i="165" s="1"/>
  <c r="O70" i="165" s="1"/>
  <c r="O71" i="165" s="1"/>
  <c r="O72" i="165" s="1"/>
  <c r="O73" i="165" s="1"/>
  <c r="O74" i="165" s="1"/>
  <c r="O75" i="165" s="1"/>
  <c r="O76" i="165" s="1"/>
  <c r="O77" i="165" s="1"/>
  <c r="O78" i="165" s="1"/>
  <c r="O79" i="165" s="1"/>
  <c r="O80" i="165" s="1"/>
  <c r="O81" i="165" s="1"/>
  <c r="O82" i="165" s="1"/>
  <c r="O83" i="165" s="1"/>
  <c r="O84" i="165" s="1"/>
  <c r="O85" i="165" s="1"/>
  <c r="O86" i="165" s="1"/>
  <c r="O87" i="165" s="1"/>
  <c r="O88" i="165" s="1"/>
  <c r="O89" i="165" s="1"/>
  <c r="O90" i="165" s="1"/>
  <c r="O91" i="165" s="1"/>
  <c r="O92" i="165" s="1"/>
  <c r="O93" i="165" s="1"/>
  <c r="F417" i="160"/>
  <c r="F413" i="160"/>
  <c r="F409" i="160"/>
  <c r="E416" i="160"/>
  <c r="F416" i="160" s="1"/>
  <c r="E412" i="160"/>
  <c r="F412" i="160" s="1"/>
  <c r="E406" i="160"/>
  <c r="F406" i="160" s="1"/>
  <c r="F407" i="160"/>
  <c r="F408" i="160"/>
  <c r="F404" i="160"/>
  <c r="I385" i="160"/>
  <c r="L385" i="160"/>
  <c r="C385" i="160"/>
  <c r="O7" i="160" s="1"/>
  <c r="O8" i="160" s="1"/>
  <c r="O9" i="160" s="1"/>
  <c r="O10" i="160" s="1"/>
  <c r="O11" i="160" s="1"/>
  <c r="O12" i="160" s="1"/>
  <c r="O13" i="160" s="1"/>
  <c r="O14" i="160" s="1"/>
  <c r="O15" i="160" s="1"/>
  <c r="O16" i="160" s="1"/>
  <c r="O17" i="160" s="1"/>
  <c r="O18" i="160" s="1"/>
  <c r="O19" i="160" s="1"/>
  <c r="O20" i="160" s="1"/>
  <c r="O21" i="160" s="1"/>
  <c r="O22" i="160" s="1"/>
  <c r="O23" i="160" s="1"/>
  <c r="N7" i="160"/>
  <c r="N8" i="160" s="1"/>
  <c r="N9" i="160" s="1"/>
  <c r="N10" i="160" s="1"/>
  <c r="N11" i="160" s="1"/>
  <c r="N12" i="160" s="1"/>
  <c r="N13" i="160" s="1"/>
  <c r="N14" i="160" s="1"/>
  <c r="N15" i="160" s="1"/>
  <c r="N16" i="160" s="1"/>
  <c r="N17" i="160" s="1"/>
  <c r="N18" i="160" s="1"/>
  <c r="N19" i="160" s="1"/>
  <c r="N328" i="177" l="1"/>
  <c r="N329" i="177" s="1"/>
  <c r="N330" i="177" s="1"/>
  <c r="N331" i="177" s="1"/>
  <c r="N332" i="177" s="1"/>
  <c r="N333" i="177" s="1"/>
  <c r="N334" i="177" s="1"/>
  <c r="N335" i="177" s="1"/>
  <c r="N336" i="177" s="1"/>
  <c r="N337" i="177" s="1"/>
  <c r="N338" i="177" s="1"/>
  <c r="E410" i="160"/>
  <c r="N93" i="163"/>
  <c r="N94" i="163" s="1"/>
  <c r="N95" i="163" s="1"/>
  <c r="N96" i="163" s="1"/>
  <c r="N97" i="163" s="1"/>
  <c r="N98" i="163" s="1"/>
  <c r="N99" i="163" s="1"/>
  <c r="N100" i="163" s="1"/>
  <c r="N101" i="163" s="1"/>
  <c r="N102" i="163" s="1"/>
  <c r="F410" i="160"/>
  <c r="E419" i="160"/>
  <c r="F419" i="160"/>
  <c r="O94" i="165"/>
  <c r="O95" i="165" s="1"/>
  <c r="O96" i="165" s="1"/>
  <c r="O97" i="165" s="1"/>
  <c r="O98" i="165" s="1"/>
  <c r="O99" i="165" s="1"/>
  <c r="O100" i="165" s="1"/>
  <c r="O101" i="165" s="1"/>
  <c r="O102" i="165" s="1"/>
  <c r="O103" i="165" s="1"/>
  <c r="O104" i="165" s="1"/>
  <c r="O105" i="165" s="1"/>
  <c r="O106" i="165" s="1"/>
  <c r="O107" i="165" s="1"/>
  <c r="O108" i="165" s="1"/>
  <c r="O109" i="165" s="1"/>
  <c r="O110" i="165" s="1"/>
  <c r="N94" i="165"/>
  <c r="N95" i="165" s="1"/>
  <c r="N96" i="165" s="1"/>
  <c r="N97" i="165" s="1"/>
  <c r="N98" i="165" s="1"/>
  <c r="N99" i="165" s="1"/>
  <c r="N100" i="165" s="1"/>
  <c r="N101" i="165" s="1"/>
  <c r="N102" i="165" s="1"/>
  <c r="N103" i="165" s="1"/>
  <c r="N104" i="165" s="1"/>
  <c r="N105" i="165" s="1"/>
  <c r="N106" i="165" s="1"/>
  <c r="N107" i="165" s="1"/>
  <c r="N108" i="165" s="1"/>
  <c r="N109" i="165" s="1"/>
  <c r="N110" i="165" s="1"/>
  <c r="N20" i="160"/>
  <c r="N21" i="160" s="1"/>
  <c r="N22" i="160" s="1"/>
  <c r="N23" i="160" s="1"/>
  <c r="N24" i="160" s="1"/>
  <c r="N25" i="160" s="1"/>
  <c r="N26" i="160" s="1"/>
  <c r="N27" i="160" s="1"/>
  <c r="N28" i="160" s="1"/>
  <c r="N29" i="160" s="1"/>
  <c r="N30" i="160" s="1"/>
  <c r="N31" i="160" s="1"/>
  <c r="N32" i="160" s="1"/>
  <c r="N33" i="160" s="1"/>
  <c r="N34" i="160" s="1"/>
  <c r="N35" i="160" s="1"/>
  <c r="N36" i="160" s="1"/>
  <c r="N37" i="160" s="1"/>
  <c r="N38" i="160" s="1"/>
  <c r="N39" i="160" s="1"/>
  <c r="N40" i="160" s="1"/>
  <c r="N41" i="160" s="1"/>
  <c r="N42" i="160" s="1"/>
  <c r="N43" i="160" s="1"/>
  <c r="N44" i="160" s="1"/>
  <c r="N45" i="160" s="1"/>
  <c r="N46" i="160" s="1"/>
  <c r="N47" i="160" s="1"/>
  <c r="N48" i="160" s="1"/>
  <c r="N49" i="160" s="1"/>
  <c r="O24" i="160"/>
  <c r="O25" i="160" s="1"/>
  <c r="O26" i="160" s="1"/>
  <c r="O27" i="160" s="1"/>
  <c r="O28" i="160" s="1"/>
  <c r="O29" i="160" s="1"/>
  <c r="O30" i="160" s="1"/>
  <c r="O31" i="160" s="1"/>
  <c r="O32" i="160" s="1"/>
  <c r="O33" i="160" s="1"/>
  <c r="O34" i="160" s="1"/>
  <c r="O35" i="160" s="1"/>
  <c r="O36" i="160" s="1"/>
  <c r="O37" i="160" s="1"/>
  <c r="O38" i="160" s="1"/>
  <c r="O39" i="160" s="1"/>
  <c r="O40" i="160" s="1"/>
  <c r="O41" i="160" s="1"/>
  <c r="O42" i="160" s="1"/>
  <c r="O43" i="160" s="1"/>
  <c r="O44" i="160" s="1"/>
  <c r="O45" i="160" s="1"/>
  <c r="O46" i="160" s="1"/>
  <c r="O47" i="160" s="1"/>
  <c r="O48" i="160" s="1"/>
  <c r="O49" i="160" s="1"/>
  <c r="G385" i="160"/>
  <c r="G386" i="160" s="1"/>
  <c r="L386" i="160"/>
  <c r="N339" i="177" l="1"/>
  <c r="N340" i="177" s="1"/>
  <c r="N341" i="177" s="1"/>
  <c r="N342" i="177" s="1"/>
  <c r="N343" i="177" s="1"/>
  <c r="N344" i="177" s="1"/>
  <c r="N345" i="177" s="1"/>
  <c r="N346" i="177" s="1"/>
  <c r="N347" i="177" s="1"/>
  <c r="N348" i="177" s="1"/>
  <c r="N349" i="177" s="1"/>
  <c r="N350" i="177" s="1"/>
  <c r="N351" i="177" s="1"/>
  <c r="N352" i="177" s="1"/>
  <c r="N103" i="163"/>
  <c r="N104" i="163" s="1"/>
  <c r="N105" i="163" s="1"/>
  <c r="N106" i="163" s="1"/>
  <c r="N107" i="163" s="1"/>
  <c r="N108" i="163" s="1"/>
  <c r="N109" i="163" s="1"/>
  <c r="N110" i="163" s="1"/>
  <c r="N111" i="163" s="1"/>
  <c r="N112" i="163" s="1"/>
  <c r="N113" i="163" s="1"/>
  <c r="N114" i="163" s="1"/>
  <c r="N115" i="163" s="1"/>
  <c r="N116" i="163" s="1"/>
  <c r="N117" i="163" s="1"/>
  <c r="N118" i="163" s="1"/>
  <c r="N119" i="163" s="1"/>
  <c r="N120" i="163" s="1"/>
  <c r="N121" i="163" s="1"/>
  <c r="N122" i="163" s="1"/>
  <c r="N123" i="163" s="1"/>
  <c r="N124" i="163" s="1"/>
  <c r="N125" i="163" s="1"/>
  <c r="N126" i="163" s="1"/>
  <c r="N127" i="163" s="1"/>
  <c r="N111" i="165"/>
  <c r="N112" i="165" s="1"/>
  <c r="N113" i="165" s="1"/>
  <c r="N114" i="165" s="1"/>
  <c r="N115" i="165" s="1"/>
  <c r="N116" i="165" s="1"/>
  <c r="N117" i="165" s="1"/>
  <c r="N118" i="165" s="1"/>
  <c r="N119" i="165" s="1"/>
  <c r="N120" i="165" s="1"/>
  <c r="N121" i="165" s="1"/>
  <c r="N122" i="165" s="1"/>
  <c r="N123" i="165" s="1"/>
  <c r="N124" i="165" s="1"/>
  <c r="N125" i="165" s="1"/>
  <c r="N126" i="165" s="1"/>
  <c r="N127" i="165" s="1"/>
  <c r="N128" i="165" s="1"/>
  <c r="N129" i="165" s="1"/>
  <c r="N130" i="165" s="1"/>
  <c r="N131" i="165" s="1"/>
  <c r="N132" i="165" s="1"/>
  <c r="N133" i="165" s="1"/>
  <c r="N134" i="165" s="1"/>
  <c r="N135" i="165" s="1"/>
  <c r="O111" i="165"/>
  <c r="O112" i="165" s="1"/>
  <c r="O113" i="165" s="1"/>
  <c r="O114" i="165" s="1"/>
  <c r="O115" i="165" s="1"/>
  <c r="O116" i="165" s="1"/>
  <c r="O117" i="165" s="1"/>
  <c r="O118" i="165" s="1"/>
  <c r="O119" i="165" s="1"/>
  <c r="O120" i="165" s="1"/>
  <c r="O121" i="165" s="1"/>
  <c r="O122" i="165" s="1"/>
  <c r="O123" i="165" s="1"/>
  <c r="O124" i="165" s="1"/>
  <c r="O125" i="165" s="1"/>
  <c r="O126" i="165" s="1"/>
  <c r="O127" i="165" s="1"/>
  <c r="O128" i="165" s="1"/>
  <c r="O129" i="165" s="1"/>
  <c r="O130" i="165" s="1"/>
  <c r="O131" i="165" s="1"/>
  <c r="O132" i="165" s="1"/>
  <c r="O133" i="165" s="1"/>
  <c r="O134" i="165" s="1"/>
  <c r="O135" i="165" s="1"/>
  <c r="O50" i="160"/>
  <c r="O51" i="160" s="1"/>
  <c r="O52" i="160" s="1"/>
  <c r="O53" i="160" s="1"/>
  <c r="O54" i="160" s="1"/>
  <c r="O55" i="160" s="1"/>
  <c r="O56" i="160" s="1"/>
  <c r="O57" i="160" s="1"/>
  <c r="O58" i="160" s="1"/>
  <c r="O59" i="160" s="1"/>
  <c r="O60" i="160" s="1"/>
  <c r="O61" i="160" s="1"/>
  <c r="O62" i="160" s="1"/>
  <c r="O63" i="160" s="1"/>
  <c r="O64" i="160" s="1"/>
  <c r="O65" i="160" s="1"/>
  <c r="O66" i="160" s="1"/>
  <c r="O67" i="160" s="1"/>
  <c r="O68" i="160" s="1"/>
  <c r="O69" i="160" s="1"/>
  <c r="O70" i="160" s="1"/>
  <c r="O71" i="160" s="1"/>
  <c r="O72" i="160" s="1"/>
  <c r="O73" i="160" s="1"/>
  <c r="O74" i="160" s="1"/>
  <c r="O75" i="160" s="1"/>
  <c r="O76" i="160" s="1"/>
  <c r="O77" i="160" s="1"/>
  <c r="O78" i="160" s="1"/>
  <c r="O79" i="160" s="1"/>
  <c r="O80" i="160" s="1"/>
  <c r="O81" i="160" s="1"/>
  <c r="O82" i="160" s="1"/>
  <c r="O83" i="160" s="1"/>
  <c r="O84" i="160" s="1"/>
  <c r="O85" i="160" s="1"/>
  <c r="O86" i="160" s="1"/>
  <c r="O87" i="160" s="1"/>
  <c r="O88" i="160" s="1"/>
  <c r="O89" i="160" s="1"/>
  <c r="O90" i="160" s="1"/>
  <c r="O91" i="160" s="1"/>
  <c r="O92" i="160" s="1"/>
  <c r="O93" i="160" s="1"/>
  <c r="O94" i="160" s="1"/>
  <c r="O95" i="160" s="1"/>
  <c r="O96" i="160" s="1"/>
  <c r="O97" i="160" s="1"/>
  <c r="O98" i="160" s="1"/>
  <c r="O99" i="160" s="1"/>
  <c r="O100" i="160" s="1"/>
  <c r="N50" i="160"/>
  <c r="N51" i="160" s="1"/>
  <c r="O385" i="160"/>
  <c r="B320" i="157"/>
  <c r="D309" i="157"/>
  <c r="D311" i="157"/>
  <c r="D314" i="157"/>
  <c r="E314" i="157" s="1"/>
  <c r="F314" i="157" s="1"/>
  <c r="D315" i="157"/>
  <c r="D318" i="157"/>
  <c r="E318" i="157" s="1"/>
  <c r="F318" i="157" s="1"/>
  <c r="D319" i="157"/>
  <c r="B307" i="157"/>
  <c r="J304" i="157"/>
  <c r="J291" i="157"/>
  <c r="D310" i="157"/>
  <c r="D308" i="157"/>
  <c r="D317" i="157"/>
  <c r="E317" i="157" s="1"/>
  <c r="F317" i="157" s="1"/>
  <c r="D316" i="157"/>
  <c r="D313" i="157"/>
  <c r="E313" i="157" s="1"/>
  <c r="F313" i="157" s="1"/>
  <c r="D312" i="157"/>
  <c r="D306" i="157"/>
  <c r="D307" i="157" s="1"/>
  <c r="N353" i="177" l="1"/>
  <c r="N354" i="177" s="1"/>
  <c r="N355" i="177" s="1"/>
  <c r="N356" i="177" s="1"/>
  <c r="N357" i="177" s="1"/>
  <c r="N358" i="177" s="1"/>
  <c r="N359" i="177" s="1"/>
  <c r="N360" i="177" s="1"/>
  <c r="N361" i="177" s="1"/>
  <c r="N362" i="177" s="1"/>
  <c r="N128" i="163"/>
  <c r="N129" i="163" s="1"/>
  <c r="N130" i="163" s="1"/>
  <c r="N131" i="163" s="1"/>
  <c r="N132" i="163" s="1"/>
  <c r="N133" i="163" s="1"/>
  <c r="N134" i="163" s="1"/>
  <c r="N135" i="163" s="1"/>
  <c r="N136" i="163" s="1"/>
  <c r="E308" i="157"/>
  <c r="D320" i="157"/>
  <c r="O136" i="165"/>
  <c r="O137" i="165" s="1"/>
  <c r="O138" i="165" s="1"/>
  <c r="O139" i="165" s="1"/>
  <c r="O140" i="165" s="1"/>
  <c r="O141" i="165" s="1"/>
  <c r="O142" i="165" s="1"/>
  <c r="O143" i="165" s="1"/>
  <c r="O144" i="165" s="1"/>
  <c r="O145" i="165" s="1"/>
  <c r="O146" i="165" s="1"/>
  <c r="O147" i="165" s="1"/>
  <c r="O148" i="165" s="1"/>
  <c r="O149" i="165" s="1"/>
  <c r="O150" i="165" s="1"/>
  <c r="O151" i="165" s="1"/>
  <c r="O152" i="165" s="1"/>
  <c r="O153" i="165" s="1"/>
  <c r="O154" i="165" s="1"/>
  <c r="O155" i="165" s="1"/>
  <c r="O156" i="165" s="1"/>
  <c r="O157" i="165" s="1"/>
  <c r="O158" i="165" s="1"/>
  <c r="O159" i="165" s="1"/>
  <c r="O160" i="165" s="1"/>
  <c r="O161" i="165" s="1"/>
  <c r="O162" i="165" s="1"/>
  <c r="O163" i="165" s="1"/>
  <c r="O164" i="165" s="1"/>
  <c r="O165" i="165" s="1"/>
  <c r="N136" i="165"/>
  <c r="N137" i="165" s="1"/>
  <c r="N138" i="165" s="1"/>
  <c r="N139" i="165" s="1"/>
  <c r="N140" i="165" s="1"/>
  <c r="N141" i="165" s="1"/>
  <c r="N142" i="165" s="1"/>
  <c r="N143" i="165" s="1"/>
  <c r="N144" i="165" s="1"/>
  <c r="N145" i="165" s="1"/>
  <c r="N146" i="165" s="1"/>
  <c r="N147" i="165" s="1"/>
  <c r="N148" i="165" s="1"/>
  <c r="N149" i="165" s="1"/>
  <c r="N150" i="165" s="1"/>
  <c r="N151" i="165" s="1"/>
  <c r="N152" i="165" s="1"/>
  <c r="N153" i="165" s="1"/>
  <c r="N154" i="165" s="1"/>
  <c r="N155" i="165" s="1"/>
  <c r="N156" i="165" s="1"/>
  <c r="N157" i="165" s="1"/>
  <c r="N158" i="165" s="1"/>
  <c r="N159" i="165" s="1"/>
  <c r="N160" i="165" s="1"/>
  <c r="N161" i="165" s="1"/>
  <c r="N162" i="165" s="1"/>
  <c r="N163" i="165" s="1"/>
  <c r="N164" i="165" s="1"/>
  <c r="N165" i="165" s="1"/>
  <c r="O101" i="160"/>
  <c r="O102" i="160" s="1"/>
  <c r="O103" i="160" s="1"/>
  <c r="O104" i="160" s="1"/>
  <c r="O105" i="160" s="1"/>
  <c r="O106" i="160" s="1"/>
  <c r="O107" i="160" s="1"/>
  <c r="O108" i="160" s="1"/>
  <c r="O109" i="160" s="1"/>
  <c r="O110" i="160" s="1"/>
  <c r="O111" i="160" s="1"/>
  <c r="O112" i="160" s="1"/>
  <c r="O113" i="160" s="1"/>
  <c r="N52" i="160"/>
  <c r="N53" i="160" s="1"/>
  <c r="N54" i="160" s="1"/>
  <c r="N55" i="160" s="1"/>
  <c r="N56" i="160" s="1"/>
  <c r="N57" i="160" s="1"/>
  <c r="N58" i="160" s="1"/>
  <c r="N59" i="160" s="1"/>
  <c r="N60" i="160" s="1"/>
  <c r="N61" i="160" s="1"/>
  <c r="N62" i="160" s="1"/>
  <c r="N63" i="160" s="1"/>
  <c r="N64" i="160" s="1"/>
  <c r="N65" i="160" s="1"/>
  <c r="N66" i="160" s="1"/>
  <c r="N67" i="160" s="1"/>
  <c r="N68" i="160" s="1"/>
  <c r="N69" i="160" s="1"/>
  <c r="N70" i="160" s="1"/>
  <c r="N71" i="160" s="1"/>
  <c r="N72" i="160" s="1"/>
  <c r="N73" i="160" s="1"/>
  <c r="N74" i="160" s="1"/>
  <c r="N75" i="160" s="1"/>
  <c r="N76" i="160" s="1"/>
  <c r="N77" i="160" s="1"/>
  <c r="N78" i="160" s="1"/>
  <c r="N79" i="160" s="1"/>
  <c r="N80" i="160" s="1"/>
  <c r="N81" i="160" s="1"/>
  <c r="N82" i="160" s="1"/>
  <c r="N83" i="160" s="1"/>
  <c r="N84" i="160" s="1"/>
  <c r="N85" i="160" s="1"/>
  <c r="N86" i="160" s="1"/>
  <c r="N87" i="160" s="1"/>
  <c r="N88" i="160" s="1"/>
  <c r="N89" i="160" s="1"/>
  <c r="N90" i="160" s="1"/>
  <c r="N91" i="160" s="1"/>
  <c r="N92" i="160" s="1"/>
  <c r="N93" i="160" s="1"/>
  <c r="N94" i="160" s="1"/>
  <c r="N95" i="160" s="1"/>
  <c r="N96" i="160" s="1"/>
  <c r="N97" i="160" s="1"/>
  <c r="N98" i="160" s="1"/>
  <c r="N99" i="160" s="1"/>
  <c r="N100" i="160" s="1"/>
  <c r="E310" i="157"/>
  <c r="F310" i="157" s="1"/>
  <c r="E309" i="157"/>
  <c r="F309" i="157" s="1"/>
  <c r="E312" i="157"/>
  <c r="F312" i="157" s="1"/>
  <c r="E316" i="157"/>
  <c r="F316" i="157" s="1"/>
  <c r="E306" i="157"/>
  <c r="E307" i="157" s="1"/>
  <c r="E311" i="157"/>
  <c r="F311" i="157" s="1"/>
  <c r="E315" i="157"/>
  <c r="F315" i="157" s="1"/>
  <c r="E319" i="157"/>
  <c r="F319" i="157" s="1"/>
  <c r="N363" i="177" l="1"/>
  <c r="N364" i="177" s="1"/>
  <c r="N137" i="163"/>
  <c r="N138" i="163" s="1"/>
  <c r="N139" i="163" s="1"/>
  <c r="F308" i="157"/>
  <c r="F320" i="157" s="1"/>
  <c r="E320" i="157"/>
  <c r="N166" i="165"/>
  <c r="N167" i="165" s="1"/>
  <c r="N168" i="165" s="1"/>
  <c r="N169" i="165" s="1"/>
  <c r="N170" i="165" s="1"/>
  <c r="N171" i="165" s="1"/>
  <c r="N172" i="165" s="1"/>
  <c r="N173" i="165" s="1"/>
  <c r="N174" i="165" s="1"/>
  <c r="N175" i="165" s="1"/>
  <c r="N176" i="165" s="1"/>
  <c r="N177" i="165" s="1"/>
  <c r="N178" i="165" s="1"/>
  <c r="N179" i="165" s="1"/>
  <c r="N180" i="165" s="1"/>
  <c r="N181" i="165" s="1"/>
  <c r="N182" i="165" s="1"/>
  <c r="N183" i="165" s="1"/>
  <c r="N184" i="165" s="1"/>
  <c r="N185" i="165" s="1"/>
  <c r="N186" i="165" s="1"/>
  <c r="N187" i="165" s="1"/>
  <c r="N188" i="165" s="1"/>
  <c r="N189" i="165" s="1"/>
  <c r="N190" i="165" s="1"/>
  <c r="N191" i="165" s="1"/>
  <c r="N192" i="165" s="1"/>
  <c r="N193" i="165" s="1"/>
  <c r="N194" i="165" s="1"/>
  <c r="N195" i="165" s="1"/>
  <c r="N196" i="165" s="1"/>
  <c r="N197" i="165" s="1"/>
  <c r="N198" i="165" s="1"/>
  <c r="O166" i="165"/>
  <c r="O167" i="165" s="1"/>
  <c r="O168" i="165" s="1"/>
  <c r="O169" i="165" s="1"/>
  <c r="O170" i="165" s="1"/>
  <c r="O171" i="165" s="1"/>
  <c r="O172" i="165" s="1"/>
  <c r="O173" i="165" s="1"/>
  <c r="O174" i="165" s="1"/>
  <c r="O175" i="165" s="1"/>
  <c r="O176" i="165" s="1"/>
  <c r="O177" i="165" s="1"/>
  <c r="O178" i="165" s="1"/>
  <c r="O179" i="165" s="1"/>
  <c r="O180" i="165" s="1"/>
  <c r="O181" i="165" s="1"/>
  <c r="O182" i="165" s="1"/>
  <c r="O183" i="165" s="1"/>
  <c r="O184" i="165" s="1"/>
  <c r="O185" i="165" s="1"/>
  <c r="O186" i="165" s="1"/>
  <c r="O187" i="165" s="1"/>
  <c r="O188" i="165" s="1"/>
  <c r="O189" i="165" s="1"/>
  <c r="O190" i="165" s="1"/>
  <c r="O191" i="165" s="1"/>
  <c r="O192" i="165" s="1"/>
  <c r="O193" i="165" s="1"/>
  <c r="O194" i="165" s="1"/>
  <c r="O195" i="165" s="1"/>
  <c r="O196" i="165" s="1"/>
  <c r="O197" i="165" s="1"/>
  <c r="O198" i="165" s="1"/>
  <c r="O114" i="160"/>
  <c r="O115" i="160" s="1"/>
  <c r="O116" i="160" s="1"/>
  <c r="O117" i="160" s="1"/>
  <c r="O118" i="160" s="1"/>
  <c r="O119" i="160" s="1"/>
  <c r="O120" i="160" s="1"/>
  <c r="O121" i="160" s="1"/>
  <c r="O122" i="160" s="1"/>
  <c r="O123" i="160" s="1"/>
  <c r="O124" i="160" s="1"/>
  <c r="O125" i="160" s="1"/>
  <c r="O126" i="160" s="1"/>
  <c r="O127" i="160" s="1"/>
  <c r="O128" i="160" s="1"/>
  <c r="O129" i="160" s="1"/>
  <c r="O130" i="160" s="1"/>
  <c r="N101" i="160"/>
  <c r="N102" i="160" s="1"/>
  <c r="N103" i="160" s="1"/>
  <c r="N104" i="160" s="1"/>
  <c r="N105" i="160" s="1"/>
  <c r="N106" i="160" s="1"/>
  <c r="N107" i="160" s="1"/>
  <c r="N108" i="160" s="1"/>
  <c r="N109" i="160" s="1"/>
  <c r="N110" i="160" s="1"/>
  <c r="N111" i="160" s="1"/>
  <c r="N112" i="160" s="1"/>
  <c r="N113" i="160" s="1"/>
  <c r="F306" i="157"/>
  <c r="F307" i="157" s="1"/>
  <c r="N365" i="177" l="1"/>
  <c r="N366" i="177" s="1"/>
  <c r="N367" i="177" s="1"/>
  <c r="N368" i="177" s="1"/>
  <c r="N369" i="177" s="1"/>
  <c r="N370" i="177" s="1"/>
  <c r="N371" i="177" s="1"/>
  <c r="N140" i="163"/>
  <c r="N141" i="163" s="1"/>
  <c r="N142" i="163" s="1"/>
  <c r="N143" i="163" s="1"/>
  <c r="N144" i="163" s="1"/>
  <c r="N145" i="163" s="1"/>
  <c r="N146" i="163" s="1"/>
  <c r="N147" i="163" s="1"/>
  <c r="O199" i="165"/>
  <c r="O200" i="165" s="1"/>
  <c r="O201" i="165" s="1"/>
  <c r="O202" i="165" s="1"/>
  <c r="O203" i="165" s="1"/>
  <c r="O204" i="165" s="1"/>
  <c r="O205" i="165" s="1"/>
  <c r="O206" i="165" s="1"/>
  <c r="O207" i="165" s="1"/>
  <c r="O208" i="165" s="1"/>
  <c r="O209" i="165" s="1"/>
  <c r="O210" i="165" s="1"/>
  <c r="O211" i="165" s="1"/>
  <c r="O212" i="165" s="1"/>
  <c r="O213" i="165" s="1"/>
  <c r="O214" i="165" s="1"/>
  <c r="O215" i="165" s="1"/>
  <c r="O216" i="165" s="1"/>
  <c r="N199" i="165"/>
  <c r="N200" i="165" s="1"/>
  <c r="N201" i="165" s="1"/>
  <c r="N202" i="165" s="1"/>
  <c r="N203" i="165" s="1"/>
  <c r="N204" i="165" s="1"/>
  <c r="N205" i="165" s="1"/>
  <c r="N206" i="165" s="1"/>
  <c r="N207" i="165" s="1"/>
  <c r="N208" i="165" s="1"/>
  <c r="N209" i="165" s="1"/>
  <c r="N210" i="165" s="1"/>
  <c r="N211" i="165" s="1"/>
  <c r="N212" i="165" s="1"/>
  <c r="N213" i="165" s="1"/>
  <c r="N214" i="165" s="1"/>
  <c r="N215" i="165" s="1"/>
  <c r="N216" i="165" s="1"/>
  <c r="O131" i="160"/>
  <c r="O132" i="160" s="1"/>
  <c r="O133" i="160" s="1"/>
  <c r="O134" i="160" s="1"/>
  <c r="O135" i="160" s="1"/>
  <c r="O136" i="160" s="1"/>
  <c r="O137" i="160" s="1"/>
  <c r="O138" i="160" s="1"/>
  <c r="O139" i="160" s="1"/>
  <c r="O140" i="160" s="1"/>
  <c r="O141" i="160" s="1"/>
  <c r="O142" i="160" s="1"/>
  <c r="O143" i="160" s="1"/>
  <c r="O144" i="160" s="1"/>
  <c r="O145" i="160" s="1"/>
  <c r="O146" i="160" s="1"/>
  <c r="O147" i="160" s="1"/>
  <c r="O148" i="160" s="1"/>
  <c r="O149" i="160" s="1"/>
  <c r="O150" i="160" s="1"/>
  <c r="O151" i="160" s="1"/>
  <c r="O152" i="160" s="1"/>
  <c r="O153" i="160" s="1"/>
  <c r="O154" i="160" s="1"/>
  <c r="O155" i="160" s="1"/>
  <c r="O156" i="160" s="1"/>
  <c r="O157" i="160" s="1"/>
  <c r="O158" i="160" s="1"/>
  <c r="O159" i="160" s="1"/>
  <c r="O160" i="160" s="1"/>
  <c r="O161" i="160" s="1"/>
  <c r="O162" i="160" s="1"/>
  <c r="O163" i="160" s="1"/>
  <c r="O164" i="160" s="1"/>
  <c r="O165" i="160" s="1"/>
  <c r="O166" i="160" s="1"/>
  <c r="O167" i="160" s="1"/>
  <c r="O168" i="160" s="1"/>
  <c r="O169" i="160" s="1"/>
  <c r="O170" i="160" s="1"/>
  <c r="O171" i="160" s="1"/>
  <c r="O172" i="160" s="1"/>
  <c r="O173" i="160" s="1"/>
  <c r="O174" i="160" s="1"/>
  <c r="O175" i="160" s="1"/>
  <c r="O176" i="160" s="1"/>
  <c r="O177" i="160" s="1"/>
  <c r="O178" i="160" s="1"/>
  <c r="O179" i="160" s="1"/>
  <c r="O180" i="160" s="1"/>
  <c r="O181" i="160" s="1"/>
  <c r="O182" i="160" s="1"/>
  <c r="O183" i="160" s="1"/>
  <c r="O184" i="160" s="1"/>
  <c r="O185" i="160" s="1"/>
  <c r="O186" i="160" s="1"/>
  <c r="O187" i="160" s="1"/>
  <c r="O188" i="160" s="1"/>
  <c r="O189" i="160" s="1"/>
  <c r="O190" i="160" s="1"/>
  <c r="O191" i="160" s="1"/>
  <c r="O192" i="160" s="1"/>
  <c r="O193" i="160" s="1"/>
  <c r="O194" i="160" s="1"/>
  <c r="O195" i="160" s="1"/>
  <c r="O196" i="160" s="1"/>
  <c r="O197" i="160" s="1"/>
  <c r="O198" i="160" s="1"/>
  <c r="O199" i="160" s="1"/>
  <c r="O200" i="160" s="1"/>
  <c r="O201" i="160" s="1"/>
  <c r="O202" i="160" s="1"/>
  <c r="O203" i="160" s="1"/>
  <c r="O204" i="160" s="1"/>
  <c r="O205" i="160" s="1"/>
  <c r="O206" i="160" s="1"/>
  <c r="O207" i="160" s="1"/>
  <c r="O208" i="160" s="1"/>
  <c r="O209" i="160" s="1"/>
  <c r="O210" i="160" s="1"/>
  <c r="O211" i="160" s="1"/>
  <c r="O212" i="160" s="1"/>
  <c r="O213" i="160" s="1"/>
  <c r="O214" i="160" s="1"/>
  <c r="O215" i="160" s="1"/>
  <c r="O216" i="160" s="1"/>
  <c r="O217" i="160" s="1"/>
  <c r="O218" i="160" s="1"/>
  <c r="O219" i="160" s="1"/>
  <c r="O220" i="160" s="1"/>
  <c r="O221" i="160" s="1"/>
  <c r="O222" i="160" s="1"/>
  <c r="O223" i="160" s="1"/>
  <c r="O224" i="160" s="1"/>
  <c r="O225" i="160" s="1"/>
  <c r="O226" i="160" s="1"/>
  <c r="O227" i="160" s="1"/>
  <c r="O228" i="160" s="1"/>
  <c r="O229" i="160" s="1"/>
  <c r="O230" i="160" s="1"/>
  <c r="O231" i="160" s="1"/>
  <c r="O232" i="160" s="1"/>
  <c r="O233" i="160" s="1"/>
  <c r="O234" i="160" s="1"/>
  <c r="O235" i="160" s="1"/>
  <c r="O236" i="160" s="1"/>
  <c r="O237" i="160" s="1"/>
  <c r="O238" i="160" s="1"/>
  <c r="O239" i="160" s="1"/>
  <c r="O240" i="160" s="1"/>
  <c r="O241" i="160" s="1"/>
  <c r="O242" i="160" s="1"/>
  <c r="O243" i="160" s="1"/>
  <c r="O244" i="160" s="1"/>
  <c r="O245" i="160" s="1"/>
  <c r="O246" i="160" s="1"/>
  <c r="O247" i="160" s="1"/>
  <c r="O248" i="160" s="1"/>
  <c r="O249" i="160" s="1"/>
  <c r="O250" i="160" s="1"/>
  <c r="O251" i="160" s="1"/>
  <c r="O252" i="160" s="1"/>
  <c r="O253" i="160" s="1"/>
  <c r="O254" i="160" s="1"/>
  <c r="O255" i="160" s="1"/>
  <c r="O256" i="160" s="1"/>
  <c r="O257" i="160" s="1"/>
  <c r="O258" i="160" s="1"/>
  <c r="O259" i="160" s="1"/>
  <c r="O260" i="160" s="1"/>
  <c r="O261" i="160" s="1"/>
  <c r="O262" i="160" s="1"/>
  <c r="O263" i="160" s="1"/>
  <c r="O264" i="160" s="1"/>
  <c r="O265" i="160" s="1"/>
  <c r="O266" i="160" s="1"/>
  <c r="O267" i="160" s="1"/>
  <c r="O268" i="160" s="1"/>
  <c r="O269" i="160" s="1"/>
  <c r="O270" i="160" s="1"/>
  <c r="O271" i="160" s="1"/>
  <c r="O272" i="160" s="1"/>
  <c r="O273" i="160" s="1"/>
  <c r="O274" i="160" s="1"/>
  <c r="O275" i="160" s="1"/>
  <c r="O276" i="160" s="1"/>
  <c r="O277" i="160" s="1"/>
  <c r="O278" i="160" s="1"/>
  <c r="O279" i="160" s="1"/>
  <c r="O280" i="160" s="1"/>
  <c r="O281" i="160" s="1"/>
  <c r="O282" i="160" s="1"/>
  <c r="O283" i="160" s="1"/>
  <c r="O284" i="160" s="1"/>
  <c r="O285" i="160" s="1"/>
  <c r="O286" i="160" s="1"/>
  <c r="O287" i="160" s="1"/>
  <c r="O288" i="160" s="1"/>
  <c r="O289" i="160" s="1"/>
  <c r="O290" i="160" s="1"/>
  <c r="O291" i="160" s="1"/>
  <c r="O292" i="160" s="1"/>
  <c r="O293" i="160" s="1"/>
  <c r="O294" i="160" s="1"/>
  <c r="O295" i="160" s="1"/>
  <c r="O296" i="160" s="1"/>
  <c r="O297" i="160" s="1"/>
  <c r="O298" i="160" s="1"/>
  <c r="O299" i="160" s="1"/>
  <c r="O300" i="160" s="1"/>
  <c r="O301" i="160" s="1"/>
  <c r="O302" i="160" s="1"/>
  <c r="O303" i="160" s="1"/>
  <c r="O304" i="160" s="1"/>
  <c r="O305" i="160" s="1"/>
  <c r="O306" i="160" s="1"/>
  <c r="O307" i="160" s="1"/>
  <c r="O308" i="160" s="1"/>
  <c r="O309" i="160" s="1"/>
  <c r="O310" i="160" s="1"/>
  <c r="O311" i="160" s="1"/>
  <c r="O312" i="160" s="1"/>
  <c r="O313" i="160" s="1"/>
  <c r="O314" i="160" s="1"/>
  <c r="O315" i="160" s="1"/>
  <c r="O316" i="160" s="1"/>
  <c r="O317" i="160" s="1"/>
  <c r="O318" i="160" s="1"/>
  <c r="O319" i="160" s="1"/>
  <c r="O320" i="160" s="1"/>
  <c r="O321" i="160" s="1"/>
  <c r="O322" i="160" s="1"/>
  <c r="O323" i="160" s="1"/>
  <c r="O324" i="160" s="1"/>
  <c r="O325" i="160" s="1"/>
  <c r="O326" i="160" s="1"/>
  <c r="O327" i="160" s="1"/>
  <c r="O328" i="160" s="1"/>
  <c r="O329" i="160" s="1"/>
  <c r="O330" i="160" s="1"/>
  <c r="O331" i="160" s="1"/>
  <c r="O332" i="160" s="1"/>
  <c r="O333" i="160" s="1"/>
  <c r="O334" i="160" s="1"/>
  <c r="O335" i="160" s="1"/>
  <c r="O336" i="160" s="1"/>
  <c r="O337" i="160" s="1"/>
  <c r="O338" i="160" s="1"/>
  <c r="O339" i="160" s="1"/>
  <c r="O340" i="160" s="1"/>
  <c r="O341" i="160" s="1"/>
  <c r="O342" i="160" s="1"/>
  <c r="O343" i="160" s="1"/>
  <c r="O344" i="160" s="1"/>
  <c r="O345" i="160" s="1"/>
  <c r="O346" i="160" s="1"/>
  <c r="O347" i="160" s="1"/>
  <c r="O348" i="160" s="1"/>
  <c r="O349" i="160" s="1"/>
  <c r="O350" i="160" s="1"/>
  <c r="O351" i="160" s="1"/>
  <c r="O352" i="160" s="1"/>
  <c r="O353" i="160" s="1"/>
  <c r="O354" i="160" s="1"/>
  <c r="O355" i="160" s="1"/>
  <c r="O356" i="160" s="1"/>
  <c r="O357" i="160" s="1"/>
  <c r="O358" i="160" s="1"/>
  <c r="O359" i="160" s="1"/>
  <c r="O360" i="160" s="1"/>
  <c r="O361" i="160" s="1"/>
  <c r="O362" i="160" s="1"/>
  <c r="O363" i="160" s="1"/>
  <c r="O364" i="160" s="1"/>
  <c r="O365" i="160" s="1"/>
  <c r="O366" i="160" s="1"/>
  <c r="O367" i="160" s="1"/>
  <c r="O368" i="160" s="1"/>
  <c r="O369" i="160" s="1"/>
  <c r="O370" i="160" s="1"/>
  <c r="O371" i="160" s="1"/>
  <c r="O372" i="160" s="1"/>
  <c r="O373" i="160" s="1"/>
  <c r="O374" i="160" s="1"/>
  <c r="O375" i="160" s="1"/>
  <c r="O376" i="160" s="1"/>
  <c r="O377" i="160" s="1"/>
  <c r="O378" i="160" s="1"/>
  <c r="O379" i="160" s="1"/>
  <c r="O380" i="160" s="1"/>
  <c r="O381" i="160" s="1"/>
  <c r="O382" i="160" s="1"/>
  <c r="O383" i="160" s="1"/>
  <c r="N114" i="160"/>
  <c r="N115" i="160" s="1"/>
  <c r="N116" i="160" s="1"/>
  <c r="N117" i="160" s="1"/>
  <c r="N118" i="160" s="1"/>
  <c r="L288" i="157"/>
  <c r="I288" i="157"/>
  <c r="G288" i="157"/>
  <c r="G289" i="157" s="1"/>
  <c r="C288" i="157"/>
  <c r="O7" i="157" s="1"/>
  <c r="O8" i="157" s="1"/>
  <c r="O9" i="157" s="1"/>
  <c r="O10" i="157" s="1"/>
  <c r="O11" i="157" s="1"/>
  <c r="O12" i="157" s="1"/>
  <c r="O13" i="157" s="1"/>
  <c r="O14" i="157" s="1"/>
  <c r="O15" i="157" s="1"/>
  <c r="O16" i="157" s="1"/>
  <c r="O17" i="157" s="1"/>
  <c r="O18" i="157" s="1"/>
  <c r="O19" i="157" s="1"/>
  <c r="N7" i="157"/>
  <c r="N8" i="157" s="1"/>
  <c r="N9" i="157" s="1"/>
  <c r="N10" i="157" s="1"/>
  <c r="N11" i="157" s="1"/>
  <c r="N12" i="157" s="1"/>
  <c r="N13" i="157" s="1"/>
  <c r="N14" i="157" s="1"/>
  <c r="N15" i="157" s="1"/>
  <c r="N16" i="157" s="1"/>
  <c r="N17" i="157" s="1"/>
  <c r="N18" i="157" s="1"/>
  <c r="N19" i="157" s="1"/>
  <c r="N372" i="177" l="1"/>
  <c r="N373" i="177" s="1"/>
  <c r="N374" i="177" s="1"/>
  <c r="N375" i="177" s="1"/>
  <c r="N376" i="177" s="1"/>
  <c r="N377" i="177" s="1"/>
  <c r="N148" i="163"/>
  <c r="N149" i="163" s="1"/>
  <c r="N150" i="163" s="1"/>
  <c r="N151" i="163" s="1"/>
  <c r="N152" i="163" s="1"/>
  <c r="N153" i="163" s="1"/>
  <c r="N154" i="163" s="1"/>
  <c r="N155" i="163" s="1"/>
  <c r="N156" i="163" s="1"/>
  <c r="N157" i="163" s="1"/>
  <c r="N217" i="165"/>
  <c r="N218" i="165" s="1"/>
  <c r="N219" i="165" s="1"/>
  <c r="N220" i="165" s="1"/>
  <c r="N221" i="165" s="1"/>
  <c r="N222" i="165" s="1"/>
  <c r="N223" i="165" s="1"/>
  <c r="N224" i="165" s="1"/>
  <c r="N225" i="165" s="1"/>
  <c r="N226" i="165" s="1"/>
  <c r="N227" i="165" s="1"/>
  <c r="N228" i="165" s="1"/>
  <c r="N229" i="165" s="1"/>
  <c r="N230" i="165" s="1"/>
  <c r="N231" i="165" s="1"/>
  <c r="N232" i="165" s="1"/>
  <c r="N233" i="165" s="1"/>
  <c r="N234" i="165" s="1"/>
  <c r="N235" i="165" s="1"/>
  <c r="N236" i="165" s="1"/>
  <c r="N237" i="165" s="1"/>
  <c r="N238" i="165" s="1"/>
  <c r="N239" i="165" s="1"/>
  <c r="N240" i="165" s="1"/>
  <c r="N241" i="165" s="1"/>
  <c r="N242" i="165" s="1"/>
  <c r="N243" i="165" s="1"/>
  <c r="N244" i="165" s="1"/>
  <c r="N245" i="165" s="1"/>
  <c r="N246" i="165" s="1"/>
  <c r="N247" i="165" s="1"/>
  <c r="N248" i="165" s="1"/>
  <c r="N249" i="165" s="1"/>
  <c r="N250" i="165" s="1"/>
  <c r="N251" i="165" s="1"/>
  <c r="N252" i="165" s="1"/>
  <c r="N253" i="165" s="1"/>
  <c r="N254" i="165" s="1"/>
  <c r="N255" i="165" s="1"/>
  <c r="N256" i="165" s="1"/>
  <c r="N257" i="165" s="1"/>
  <c r="N258" i="165" s="1"/>
  <c r="N259" i="165" s="1"/>
  <c r="N260" i="165" s="1"/>
  <c r="N261" i="165" s="1"/>
  <c r="N262" i="165" s="1"/>
  <c r="N263" i="165" s="1"/>
  <c r="N264" i="165" s="1"/>
  <c r="N265" i="165" s="1"/>
  <c r="O217" i="165"/>
  <c r="O218" i="165" s="1"/>
  <c r="O219" i="165" s="1"/>
  <c r="O220" i="165" s="1"/>
  <c r="O221" i="165" s="1"/>
  <c r="O222" i="165" s="1"/>
  <c r="O223" i="165" s="1"/>
  <c r="O224" i="165" s="1"/>
  <c r="O225" i="165" s="1"/>
  <c r="O226" i="165" s="1"/>
  <c r="O227" i="165" s="1"/>
  <c r="O228" i="165" s="1"/>
  <c r="O229" i="165" s="1"/>
  <c r="O230" i="165" s="1"/>
  <c r="O231" i="165" s="1"/>
  <c r="O232" i="165" s="1"/>
  <c r="O233" i="165" s="1"/>
  <c r="O234" i="165" s="1"/>
  <c r="O235" i="165" s="1"/>
  <c r="O236" i="165" s="1"/>
  <c r="O237" i="165" s="1"/>
  <c r="O238" i="165" s="1"/>
  <c r="O239" i="165" s="1"/>
  <c r="O240" i="165" s="1"/>
  <c r="O241" i="165" s="1"/>
  <c r="O242" i="165" s="1"/>
  <c r="O243" i="165" s="1"/>
  <c r="O244" i="165" s="1"/>
  <c r="O245" i="165" s="1"/>
  <c r="O246" i="165" s="1"/>
  <c r="O247" i="165" s="1"/>
  <c r="O248" i="165" s="1"/>
  <c r="O249" i="165" s="1"/>
  <c r="O250" i="165" s="1"/>
  <c r="O251" i="165" s="1"/>
  <c r="O252" i="165" s="1"/>
  <c r="O253" i="165" s="1"/>
  <c r="O254" i="165" s="1"/>
  <c r="O255" i="165" s="1"/>
  <c r="O256" i="165" s="1"/>
  <c r="O257" i="165" s="1"/>
  <c r="O258" i="165" s="1"/>
  <c r="O259" i="165" s="1"/>
  <c r="O260" i="165" s="1"/>
  <c r="O261" i="165" s="1"/>
  <c r="O262" i="165" s="1"/>
  <c r="O263" i="165" s="1"/>
  <c r="O264" i="165" s="1"/>
  <c r="O265" i="165" s="1"/>
  <c r="N119" i="160"/>
  <c r="N120" i="160" s="1"/>
  <c r="N121" i="160" s="1"/>
  <c r="N122" i="160" s="1"/>
  <c r="N123" i="160" s="1"/>
  <c r="N124" i="160" s="1"/>
  <c r="N125" i="160" s="1"/>
  <c r="N126" i="160" s="1"/>
  <c r="N127" i="160" s="1"/>
  <c r="N128" i="160" s="1"/>
  <c r="N129" i="160" s="1"/>
  <c r="N130" i="160" s="1"/>
  <c r="N131" i="160" s="1"/>
  <c r="N132" i="160" s="1"/>
  <c r="N20" i="157"/>
  <c r="N21" i="157" s="1"/>
  <c r="N22" i="157" s="1"/>
  <c r="N23" i="157" s="1"/>
  <c r="N24" i="157" s="1"/>
  <c r="N25" i="157" s="1"/>
  <c r="N26" i="157" s="1"/>
  <c r="N27" i="157" s="1"/>
  <c r="N28" i="157" s="1"/>
  <c r="N29" i="157" s="1"/>
  <c r="N30" i="157" s="1"/>
  <c r="N31" i="157" s="1"/>
  <c r="N32" i="157" s="1"/>
  <c r="N33" i="157" s="1"/>
  <c r="N34" i="157" s="1"/>
  <c r="N35" i="157" s="1"/>
  <c r="N36" i="157" s="1"/>
  <c r="N37" i="157" s="1"/>
  <c r="N38" i="157" s="1"/>
  <c r="N39" i="157" s="1"/>
  <c r="N40" i="157" s="1"/>
  <c r="N41" i="157" s="1"/>
  <c r="N42" i="157" s="1"/>
  <c r="N43" i="157" s="1"/>
  <c r="N44" i="157" s="1"/>
  <c r="N45" i="157" s="1"/>
  <c r="N46" i="157" s="1"/>
  <c r="N47" i="157" s="1"/>
  <c r="N48" i="157" s="1"/>
  <c r="N49" i="157" s="1"/>
  <c r="N50" i="157" s="1"/>
  <c r="N51" i="157" s="1"/>
  <c r="N52" i="157" s="1"/>
  <c r="O20" i="157"/>
  <c r="O21" i="157" s="1"/>
  <c r="O22" i="157" s="1"/>
  <c r="O23" i="157" s="1"/>
  <c r="O24" i="157" s="1"/>
  <c r="O25" i="157" s="1"/>
  <c r="O26" i="157" s="1"/>
  <c r="O27" i="157" s="1"/>
  <c r="O28" i="157" s="1"/>
  <c r="O29" i="157" s="1"/>
  <c r="O30" i="157" s="1"/>
  <c r="O31" i="157" s="1"/>
  <c r="O32" i="157" s="1"/>
  <c r="O33" i="157" s="1"/>
  <c r="O34" i="157" s="1"/>
  <c r="O35" i="157" s="1"/>
  <c r="O36" i="157" s="1"/>
  <c r="O37" i="157" s="1"/>
  <c r="O38" i="157" s="1"/>
  <c r="O39" i="157" s="1"/>
  <c r="O40" i="157" s="1"/>
  <c r="O41" i="157" s="1"/>
  <c r="O42" i="157" s="1"/>
  <c r="O43" i="157" s="1"/>
  <c r="O44" i="157" s="1"/>
  <c r="O45" i="157" s="1"/>
  <c r="O46" i="157" s="1"/>
  <c r="O47" i="157" s="1"/>
  <c r="O48" i="157" s="1"/>
  <c r="O49" i="157" s="1"/>
  <c r="O50" i="157" s="1"/>
  <c r="O51" i="157" s="1"/>
  <c r="O52" i="157" s="1"/>
  <c r="L289" i="157"/>
  <c r="O288" i="157"/>
  <c r="N378" i="177" l="1"/>
  <c r="N379" i="177" s="1"/>
  <c r="N380" i="177" s="1"/>
  <c r="N381" i="177" s="1"/>
  <c r="N382" i="177" s="1"/>
  <c r="N383" i="177" s="1"/>
  <c r="N384" i="177" s="1"/>
  <c r="N385" i="177" s="1"/>
  <c r="N386" i="177" s="1"/>
  <c r="N387" i="177" s="1"/>
  <c r="N388" i="177" s="1"/>
  <c r="N389" i="177" s="1"/>
  <c r="N158" i="163"/>
  <c r="N159" i="163" s="1"/>
  <c r="N160" i="163" s="1"/>
  <c r="N161" i="163" s="1"/>
  <c r="N162" i="163" s="1"/>
  <c r="N163" i="163" s="1"/>
  <c r="N164" i="163" s="1"/>
  <c r="N165" i="163" s="1"/>
  <c r="N166" i="163" s="1"/>
  <c r="N167" i="163" s="1"/>
  <c r="O266" i="165"/>
  <c r="O267" i="165" s="1"/>
  <c r="O268" i="165" s="1"/>
  <c r="O269" i="165" s="1"/>
  <c r="O270" i="165" s="1"/>
  <c r="O271" i="165" s="1"/>
  <c r="O272" i="165" s="1"/>
  <c r="O273" i="165" s="1"/>
  <c r="O274" i="165" s="1"/>
  <c r="O275" i="165" s="1"/>
  <c r="O276" i="165" s="1"/>
  <c r="O277" i="165" s="1"/>
  <c r="O278" i="165" s="1"/>
  <c r="O279" i="165" s="1"/>
  <c r="O280" i="165" s="1"/>
  <c r="O281" i="165" s="1"/>
  <c r="O282" i="165" s="1"/>
  <c r="N266" i="165"/>
  <c r="N267" i="165" s="1"/>
  <c r="N268" i="165" s="1"/>
  <c r="N269" i="165" s="1"/>
  <c r="N270" i="165" s="1"/>
  <c r="N271" i="165" s="1"/>
  <c r="N272" i="165" s="1"/>
  <c r="N273" i="165" s="1"/>
  <c r="N274" i="165" s="1"/>
  <c r="N275" i="165" s="1"/>
  <c r="N276" i="165" s="1"/>
  <c r="N277" i="165" s="1"/>
  <c r="N278" i="165" s="1"/>
  <c r="N279" i="165" s="1"/>
  <c r="N280" i="165" s="1"/>
  <c r="N281" i="165" s="1"/>
  <c r="N282" i="165" s="1"/>
  <c r="N133" i="160"/>
  <c r="N134" i="160" s="1"/>
  <c r="N135" i="160" s="1"/>
  <c r="N136" i="160" s="1"/>
  <c r="N137" i="160" s="1"/>
  <c r="N138" i="160" s="1"/>
  <c r="N139" i="160" s="1"/>
  <c r="N140" i="160" s="1"/>
  <c r="N141" i="160" s="1"/>
  <c r="N142" i="160" s="1"/>
  <c r="N143" i="160" s="1"/>
  <c r="N144" i="160" s="1"/>
  <c r="N145" i="160" s="1"/>
  <c r="N146" i="160" s="1"/>
  <c r="N147" i="160" s="1"/>
  <c r="N148" i="160" s="1"/>
  <c r="N149" i="160" s="1"/>
  <c r="N150" i="160" s="1"/>
  <c r="N151" i="160" s="1"/>
  <c r="N152" i="160" s="1"/>
  <c r="N153" i="160" s="1"/>
  <c r="N154" i="160" s="1"/>
  <c r="N155" i="160" s="1"/>
  <c r="N156" i="160" s="1"/>
  <c r="N157" i="160" s="1"/>
  <c r="N158" i="160" s="1"/>
  <c r="N159" i="160" s="1"/>
  <c r="N160" i="160" s="1"/>
  <c r="N161" i="160" s="1"/>
  <c r="N162" i="160" s="1"/>
  <c r="N163" i="160" s="1"/>
  <c r="N164" i="160" s="1"/>
  <c r="N165" i="160" s="1"/>
  <c r="N166" i="160" s="1"/>
  <c r="N167" i="160" s="1"/>
  <c r="N168" i="160" s="1"/>
  <c r="N169" i="160" s="1"/>
  <c r="N170" i="160" s="1"/>
  <c r="N171" i="160" s="1"/>
  <c r="N172" i="160" s="1"/>
  <c r="N53" i="157"/>
  <c r="N54" i="157" s="1"/>
  <c r="N55" i="157" s="1"/>
  <c r="N56" i="157" s="1"/>
  <c r="N57" i="157" s="1"/>
  <c r="N58" i="157" s="1"/>
  <c r="N59" i="157" s="1"/>
  <c r="N60" i="157" s="1"/>
  <c r="N61" i="157" s="1"/>
  <c r="N62" i="157" s="1"/>
  <c r="N63" i="157" s="1"/>
  <c r="N64" i="157" s="1"/>
  <c r="N65" i="157" s="1"/>
  <c r="N66" i="157" s="1"/>
  <c r="N67" i="157" s="1"/>
  <c r="N68" i="157" s="1"/>
  <c r="O53" i="157"/>
  <c r="O54" i="157" s="1"/>
  <c r="O55" i="157" s="1"/>
  <c r="O56" i="157" s="1"/>
  <c r="O57" i="157" s="1"/>
  <c r="O58" i="157" s="1"/>
  <c r="O59" i="157" s="1"/>
  <c r="O60" i="157" s="1"/>
  <c r="O61" i="157" s="1"/>
  <c r="O62" i="157" s="1"/>
  <c r="O63" i="157" s="1"/>
  <c r="O64" i="157" s="1"/>
  <c r="O65" i="157" s="1"/>
  <c r="O66" i="157" s="1"/>
  <c r="O67" i="157" s="1"/>
  <c r="O68" i="157" s="1"/>
  <c r="L390" i="177" l="1"/>
  <c r="N168" i="163"/>
  <c r="N169" i="163" s="1"/>
  <c r="N170" i="163" s="1"/>
  <c r="N171" i="163" s="1"/>
  <c r="N172" i="163" s="1"/>
  <c r="N173" i="163" s="1"/>
  <c r="N174" i="163" s="1"/>
  <c r="N175" i="163" s="1"/>
  <c r="N176" i="163" s="1"/>
  <c r="N177" i="163" s="1"/>
  <c r="N178" i="163" s="1"/>
  <c r="N283" i="165"/>
  <c r="N284" i="165" s="1"/>
  <c r="N285" i="165" s="1"/>
  <c r="N286" i="165" s="1"/>
  <c r="N287" i="165" s="1"/>
  <c r="N288" i="165" s="1"/>
  <c r="N289" i="165" s="1"/>
  <c r="N290" i="165" s="1"/>
  <c r="N291" i="165" s="1"/>
  <c r="N292" i="165" s="1"/>
  <c r="N293" i="165" s="1"/>
  <c r="N294" i="165" s="1"/>
  <c r="N295" i="165" s="1"/>
  <c r="N296" i="165" s="1"/>
  <c r="N297" i="165" s="1"/>
  <c r="N298" i="165" s="1"/>
  <c r="N299" i="165" s="1"/>
  <c r="N300" i="165" s="1"/>
  <c r="N301" i="165" s="1"/>
  <c r="N302" i="165" s="1"/>
  <c r="N303" i="165" s="1"/>
  <c r="N304" i="165" s="1"/>
  <c r="N305" i="165" s="1"/>
  <c r="N306" i="165" s="1"/>
  <c r="N307" i="165" s="1"/>
  <c r="N308" i="165" s="1"/>
  <c r="N309" i="165" s="1"/>
  <c r="N310" i="165" s="1"/>
  <c r="N311" i="165" s="1"/>
  <c r="N312" i="165" s="1"/>
  <c r="O283" i="165"/>
  <c r="O284" i="165" s="1"/>
  <c r="O285" i="165" s="1"/>
  <c r="O286" i="165" s="1"/>
  <c r="O287" i="165" s="1"/>
  <c r="O288" i="165" s="1"/>
  <c r="O289" i="165" s="1"/>
  <c r="O290" i="165" s="1"/>
  <c r="O291" i="165" s="1"/>
  <c r="O292" i="165" s="1"/>
  <c r="O293" i="165" s="1"/>
  <c r="O294" i="165" s="1"/>
  <c r="O295" i="165" s="1"/>
  <c r="O296" i="165" s="1"/>
  <c r="O297" i="165" s="1"/>
  <c r="O298" i="165" s="1"/>
  <c r="O299" i="165" s="1"/>
  <c r="O300" i="165" s="1"/>
  <c r="O301" i="165" s="1"/>
  <c r="O302" i="165" s="1"/>
  <c r="O303" i="165" s="1"/>
  <c r="O304" i="165" s="1"/>
  <c r="O305" i="165" s="1"/>
  <c r="O306" i="165" s="1"/>
  <c r="O307" i="165" s="1"/>
  <c r="O308" i="165" s="1"/>
  <c r="O309" i="165" s="1"/>
  <c r="O310" i="165" s="1"/>
  <c r="O311" i="165" s="1"/>
  <c r="O312" i="165" s="1"/>
  <c r="N173" i="160"/>
  <c r="N174" i="160" s="1"/>
  <c r="N175" i="160" s="1"/>
  <c r="N176" i="160" s="1"/>
  <c r="N177" i="160" s="1"/>
  <c r="N178" i="160" s="1"/>
  <c r="N179" i="160" s="1"/>
  <c r="N180" i="160" s="1"/>
  <c r="N181" i="160" s="1"/>
  <c r="N182" i="160" s="1"/>
  <c r="N183" i="160" s="1"/>
  <c r="N184" i="160" s="1"/>
  <c r="N185" i="160" s="1"/>
  <c r="N186" i="160" s="1"/>
  <c r="N187" i="160" s="1"/>
  <c r="N188" i="160" s="1"/>
  <c r="N189" i="160" s="1"/>
  <c r="N190" i="160" s="1"/>
  <c r="N191" i="160" s="1"/>
  <c r="N192" i="160" s="1"/>
  <c r="N193" i="160" s="1"/>
  <c r="N194" i="160" s="1"/>
  <c r="N195" i="160" s="1"/>
  <c r="N196" i="160" s="1"/>
  <c r="N197" i="160" s="1"/>
  <c r="N198" i="160" s="1"/>
  <c r="N199" i="160" s="1"/>
  <c r="N200" i="160" s="1"/>
  <c r="N201" i="160" s="1"/>
  <c r="N202" i="160" s="1"/>
  <c r="N203" i="160" s="1"/>
  <c r="N204" i="160" s="1"/>
  <c r="N205" i="160" s="1"/>
  <c r="N206" i="160" s="1"/>
  <c r="N207" i="160" s="1"/>
  <c r="N208" i="160" s="1"/>
  <c r="N209" i="160" s="1"/>
  <c r="N210" i="160" s="1"/>
  <c r="N211" i="160" s="1"/>
  <c r="N212" i="160" s="1"/>
  <c r="N213" i="160" s="1"/>
  <c r="N214" i="160" s="1"/>
  <c r="N215" i="160" s="1"/>
  <c r="N216" i="160" s="1"/>
  <c r="N217" i="160" s="1"/>
  <c r="N218" i="160" s="1"/>
  <c r="N219" i="160" s="1"/>
  <c r="N220" i="160" s="1"/>
  <c r="N221" i="160" s="1"/>
  <c r="N222" i="160" s="1"/>
  <c r="N223" i="160" s="1"/>
  <c r="N224" i="160" s="1"/>
  <c r="N225" i="160" s="1"/>
  <c r="N226" i="160" s="1"/>
  <c r="N227" i="160" s="1"/>
  <c r="N228" i="160" s="1"/>
  <c r="N229" i="160" s="1"/>
  <c r="N230" i="160" s="1"/>
  <c r="N231" i="160" s="1"/>
  <c r="N232" i="160" s="1"/>
  <c r="N233" i="160" s="1"/>
  <c r="N234" i="160" s="1"/>
  <c r="N235" i="160" s="1"/>
  <c r="N236" i="160" s="1"/>
  <c r="N237" i="160" s="1"/>
  <c r="N238" i="160" s="1"/>
  <c r="N239" i="160" s="1"/>
  <c r="N240" i="160" s="1"/>
  <c r="N241" i="160" s="1"/>
  <c r="N242" i="160" s="1"/>
  <c r="N69" i="157"/>
  <c r="N70" i="157" s="1"/>
  <c r="N71" i="157" s="1"/>
  <c r="N72" i="157" s="1"/>
  <c r="N73" i="157" s="1"/>
  <c r="N74" i="157" s="1"/>
  <c r="N75" i="157" s="1"/>
  <c r="N76" i="157" s="1"/>
  <c r="N77" i="157" s="1"/>
  <c r="N78" i="157" s="1"/>
  <c r="N79" i="157" s="1"/>
  <c r="N80" i="157" s="1"/>
  <c r="N81" i="157" s="1"/>
  <c r="N82" i="157" s="1"/>
  <c r="N83" i="157" s="1"/>
  <c r="N84" i="157" s="1"/>
  <c r="N85" i="157" s="1"/>
  <c r="N86" i="157" s="1"/>
  <c r="N87" i="157" s="1"/>
  <c r="N88" i="157" s="1"/>
  <c r="N89" i="157" s="1"/>
  <c r="N90" i="157" s="1"/>
  <c r="N91" i="157" s="1"/>
  <c r="N92" i="157" s="1"/>
  <c r="N93" i="157" s="1"/>
  <c r="N94" i="157" s="1"/>
  <c r="O69" i="157"/>
  <c r="O70" i="157" s="1"/>
  <c r="O71" i="157" s="1"/>
  <c r="O72" i="157" s="1"/>
  <c r="O73" i="157" s="1"/>
  <c r="O74" i="157" s="1"/>
  <c r="O75" i="157" s="1"/>
  <c r="O76" i="157" s="1"/>
  <c r="O77" i="157" s="1"/>
  <c r="O78" i="157" s="1"/>
  <c r="O79" i="157" s="1"/>
  <c r="O80" i="157" s="1"/>
  <c r="O81" i="157" s="1"/>
  <c r="O82" i="157" s="1"/>
  <c r="O83" i="157" s="1"/>
  <c r="O84" i="157" s="1"/>
  <c r="O85" i="157" s="1"/>
  <c r="O86" i="157" s="1"/>
  <c r="O87" i="157" s="1"/>
  <c r="O88" i="157" s="1"/>
  <c r="O89" i="157" s="1"/>
  <c r="O90" i="157" s="1"/>
  <c r="O91" i="157" s="1"/>
  <c r="O92" i="157" s="1"/>
  <c r="O93" i="157" s="1"/>
  <c r="O94" i="157" s="1"/>
  <c r="B313" i="154"/>
  <c r="D303" i="154"/>
  <c r="D308" i="154"/>
  <c r="E308" i="154" s="1"/>
  <c r="F308" i="154" s="1"/>
  <c r="D311" i="154"/>
  <c r="E311" i="154" s="1"/>
  <c r="F311" i="154" s="1"/>
  <c r="D312" i="154"/>
  <c r="E312" i="154" s="1"/>
  <c r="B301" i="154"/>
  <c r="J295" i="154"/>
  <c r="J283" i="154"/>
  <c r="D309" i="154"/>
  <c r="E309" i="154" s="1"/>
  <c r="D310" i="154"/>
  <c r="E310" i="154" s="1"/>
  <c r="D307" i="154"/>
  <c r="D306" i="154"/>
  <c r="D305" i="154"/>
  <c r="E305" i="154" s="1"/>
  <c r="F305" i="154" s="1"/>
  <c r="D304" i="154"/>
  <c r="E304" i="154" s="1"/>
  <c r="D302" i="154"/>
  <c r="D313" i="154" s="1"/>
  <c r="D300" i="154"/>
  <c r="D299" i="154"/>
  <c r="D298" i="154"/>
  <c r="E298" i="154" s="1"/>
  <c r="D297" i="154"/>
  <c r="D301" i="154" l="1"/>
  <c r="L391" i="177"/>
  <c r="O390" i="177"/>
  <c r="N390" i="177"/>
  <c r="N179" i="163"/>
  <c r="N180" i="163" s="1"/>
  <c r="N181" i="163" s="1"/>
  <c r="N182" i="163" s="1"/>
  <c r="N183" i="163" s="1"/>
  <c r="N184" i="163" s="1"/>
  <c r="N185" i="163" s="1"/>
  <c r="N186" i="163" s="1"/>
  <c r="N187" i="163" s="1"/>
  <c r="N188" i="163" s="1"/>
  <c r="N189" i="163" s="1"/>
  <c r="N190" i="163" s="1"/>
  <c r="E299" i="154"/>
  <c r="F299" i="154" s="1"/>
  <c r="F300" i="154"/>
  <c r="E300" i="154"/>
  <c r="O313" i="165"/>
  <c r="O314" i="165" s="1"/>
  <c r="O315" i="165" s="1"/>
  <c r="O316" i="165" s="1"/>
  <c r="O317" i="165" s="1"/>
  <c r="O318" i="165" s="1"/>
  <c r="O319" i="165" s="1"/>
  <c r="O320" i="165" s="1"/>
  <c r="O321" i="165" s="1"/>
  <c r="O322" i="165" s="1"/>
  <c r="O323" i="165" s="1"/>
  <c r="O324" i="165" s="1"/>
  <c r="O325" i="165" s="1"/>
  <c r="O326" i="165" s="1"/>
  <c r="O327" i="165" s="1"/>
  <c r="O328" i="165" s="1"/>
  <c r="O329" i="165" s="1"/>
  <c r="O330" i="165" s="1"/>
  <c r="O331" i="165" s="1"/>
  <c r="O332" i="165" s="1"/>
  <c r="O333" i="165" s="1"/>
  <c r="O334" i="165" s="1"/>
  <c r="O335" i="165" s="1"/>
  <c r="O336" i="165" s="1"/>
  <c r="O337" i="165" s="1"/>
  <c r="O338" i="165" s="1"/>
  <c r="O339" i="165" s="1"/>
  <c r="O340" i="165" s="1"/>
  <c r="O341" i="165" s="1"/>
  <c r="O342" i="165" s="1"/>
  <c r="O343" i="165" s="1"/>
  <c r="O344" i="165" s="1"/>
  <c r="O345" i="165" s="1"/>
  <c r="O346" i="165" s="1"/>
  <c r="O347" i="165" s="1"/>
  <c r="O348" i="165" s="1"/>
  <c r="N313" i="165"/>
  <c r="N314" i="165" s="1"/>
  <c r="N315" i="165" s="1"/>
  <c r="N316" i="165" s="1"/>
  <c r="N317" i="165" s="1"/>
  <c r="N318" i="165" s="1"/>
  <c r="N319" i="165" s="1"/>
  <c r="N320" i="165" s="1"/>
  <c r="N321" i="165" s="1"/>
  <c r="N322" i="165" s="1"/>
  <c r="N323" i="165" s="1"/>
  <c r="N324" i="165" s="1"/>
  <c r="N325" i="165" s="1"/>
  <c r="N326" i="165" s="1"/>
  <c r="N327" i="165" s="1"/>
  <c r="N328" i="165" s="1"/>
  <c r="N329" i="165" s="1"/>
  <c r="N330" i="165" s="1"/>
  <c r="N331" i="165" s="1"/>
  <c r="N332" i="165" s="1"/>
  <c r="N243" i="160"/>
  <c r="N244" i="160" s="1"/>
  <c r="N245" i="160" s="1"/>
  <c r="N246" i="160" s="1"/>
  <c r="N247" i="160" s="1"/>
  <c r="N248" i="160" s="1"/>
  <c r="N249" i="160" s="1"/>
  <c r="N250" i="160" s="1"/>
  <c r="N251" i="160" s="1"/>
  <c r="N252" i="160" s="1"/>
  <c r="N253" i="160" s="1"/>
  <c r="N254" i="160" s="1"/>
  <c r="N255" i="160" s="1"/>
  <c r="N256" i="160" s="1"/>
  <c r="N257" i="160" s="1"/>
  <c r="N258" i="160" s="1"/>
  <c r="N259" i="160" s="1"/>
  <c r="N260" i="160" s="1"/>
  <c r="N261" i="160" s="1"/>
  <c r="N262" i="160" s="1"/>
  <c r="N263" i="160" s="1"/>
  <c r="N264" i="160" s="1"/>
  <c r="N265" i="160" s="1"/>
  <c r="N266" i="160" s="1"/>
  <c r="N267" i="160" s="1"/>
  <c r="N268" i="160" s="1"/>
  <c r="N269" i="160" s="1"/>
  <c r="N270" i="160" s="1"/>
  <c r="N271" i="160" s="1"/>
  <c r="N272" i="160" s="1"/>
  <c r="N273" i="160" s="1"/>
  <c r="N274" i="160" s="1"/>
  <c r="N275" i="160" s="1"/>
  <c r="N276" i="160" s="1"/>
  <c r="N277" i="160" s="1"/>
  <c r="N278" i="160" s="1"/>
  <c r="N279" i="160" s="1"/>
  <c r="N280" i="160" s="1"/>
  <c r="N281" i="160" s="1"/>
  <c r="N282" i="160" s="1"/>
  <c r="N283" i="160" s="1"/>
  <c r="N284" i="160" s="1"/>
  <c r="N285" i="160" s="1"/>
  <c r="N286" i="160" s="1"/>
  <c r="N287" i="160" s="1"/>
  <c r="N288" i="160" s="1"/>
  <c r="N289" i="160" s="1"/>
  <c r="N290" i="160" s="1"/>
  <c r="N291" i="160" s="1"/>
  <c r="N292" i="160" s="1"/>
  <c r="N293" i="160" s="1"/>
  <c r="N294" i="160" s="1"/>
  <c r="N295" i="160" s="1"/>
  <c r="O95" i="157"/>
  <c r="O96" i="157" s="1"/>
  <c r="O97" i="157" s="1"/>
  <c r="O98" i="157" s="1"/>
  <c r="O99" i="157" s="1"/>
  <c r="O100" i="157" s="1"/>
  <c r="O101" i="157" s="1"/>
  <c r="O102" i="157" s="1"/>
  <c r="O103" i="157" s="1"/>
  <c r="O104" i="157" s="1"/>
  <c r="O105" i="157" s="1"/>
  <c r="O106" i="157" s="1"/>
  <c r="O107" i="157" s="1"/>
  <c r="O108" i="157" s="1"/>
  <c r="O109" i="157" s="1"/>
  <c r="O110" i="157" s="1"/>
  <c r="O111" i="157" s="1"/>
  <c r="N95" i="157"/>
  <c r="N96" i="157" s="1"/>
  <c r="N97" i="157" s="1"/>
  <c r="N98" i="157" s="1"/>
  <c r="N99" i="157" s="1"/>
  <c r="N100" i="157" s="1"/>
  <c r="N101" i="157" s="1"/>
  <c r="N102" i="157" s="1"/>
  <c r="N103" i="157" s="1"/>
  <c r="N104" i="157" s="1"/>
  <c r="N105" i="157" s="1"/>
  <c r="N106" i="157" s="1"/>
  <c r="N107" i="157" s="1"/>
  <c r="N108" i="157" s="1"/>
  <c r="N109" i="157" s="1"/>
  <c r="N110" i="157" s="1"/>
  <c r="N111" i="157" s="1"/>
  <c r="F310" i="154"/>
  <c r="F309" i="154"/>
  <c r="F312" i="154"/>
  <c r="E303" i="154"/>
  <c r="F303" i="154" s="1"/>
  <c r="F304" i="154"/>
  <c r="E307" i="154"/>
  <c r="F307" i="154" s="1"/>
  <c r="E302" i="154"/>
  <c r="E306" i="154"/>
  <c r="E297" i="154"/>
  <c r="E301" i="154" s="1"/>
  <c r="F298" i="154"/>
  <c r="L277" i="154"/>
  <c r="I277" i="154"/>
  <c r="C277" i="154"/>
  <c r="O7" i="154" s="1"/>
  <c r="O8" i="154" s="1"/>
  <c r="O9" i="154" s="1"/>
  <c r="O10" i="154" s="1"/>
  <c r="O11" i="154" s="1"/>
  <c r="N7" i="154"/>
  <c r="N8" i="154" s="1"/>
  <c r="N9" i="154" s="1"/>
  <c r="N10" i="154" s="1"/>
  <c r="N11" i="154" s="1"/>
  <c r="N12" i="154" s="1"/>
  <c r="N13" i="154" s="1"/>
  <c r="N14" i="154" s="1"/>
  <c r="N15" i="154" s="1"/>
  <c r="N16" i="154" s="1"/>
  <c r="N17" i="154" s="1"/>
  <c r="N18" i="154" s="1"/>
  <c r="N19" i="154" s="1"/>
  <c r="N20" i="154" s="1"/>
  <c r="N21" i="154" s="1"/>
  <c r="N22" i="154" s="1"/>
  <c r="N23" i="154" s="1"/>
  <c r="O391" i="177" l="1"/>
  <c r="O392" i="177" s="1"/>
  <c r="O393" i="177" s="1"/>
  <c r="O394" i="177" s="1"/>
  <c r="O395" i="177" s="1"/>
  <c r="O396" i="177" s="1"/>
  <c r="O397" i="177" s="1"/>
  <c r="O398" i="177" s="1"/>
  <c r="O399" i="177" s="1"/>
  <c r="N391" i="177"/>
  <c r="N392" i="177" s="1"/>
  <c r="N393" i="177" s="1"/>
  <c r="N394" i="177" s="1"/>
  <c r="N395" i="177" s="1"/>
  <c r="N396" i="177" s="1"/>
  <c r="N397" i="177" s="1"/>
  <c r="N398" i="177" s="1"/>
  <c r="N399" i="177" s="1"/>
  <c r="N191" i="163"/>
  <c r="N192" i="163" s="1"/>
  <c r="N193" i="163" s="1"/>
  <c r="N194" i="163" s="1"/>
  <c r="N195" i="163" s="1"/>
  <c r="N196" i="163" s="1"/>
  <c r="N197" i="163" s="1"/>
  <c r="N198" i="163" s="1"/>
  <c r="F302" i="154"/>
  <c r="E313" i="154"/>
  <c r="O349" i="165"/>
  <c r="O350" i="165" s="1"/>
  <c r="O351" i="165" s="1"/>
  <c r="O352" i="165" s="1"/>
  <c r="O353" i="165" s="1"/>
  <c r="O354" i="165" s="1"/>
  <c r="O355" i="165" s="1"/>
  <c r="O356" i="165" s="1"/>
  <c r="O357" i="165" s="1"/>
  <c r="O358" i="165" s="1"/>
  <c r="O359" i="165" s="1"/>
  <c r="O360" i="165" s="1"/>
  <c r="O361" i="165" s="1"/>
  <c r="O362" i="165" s="1"/>
  <c r="O363" i="165" s="1"/>
  <c r="O364" i="165" s="1"/>
  <c r="O365" i="165" s="1"/>
  <c r="O366" i="165" s="1"/>
  <c r="O367" i="165" s="1"/>
  <c r="O368" i="165" s="1"/>
  <c r="O369" i="165" s="1"/>
  <c r="O370" i="165" s="1"/>
  <c r="O371" i="165" s="1"/>
  <c r="O372" i="165" s="1"/>
  <c r="O373" i="165" s="1"/>
  <c r="O374" i="165" s="1"/>
  <c r="O375" i="165" s="1"/>
  <c r="O376" i="165" s="1"/>
  <c r="O377" i="165" s="1"/>
  <c r="O378" i="165" s="1"/>
  <c r="O379" i="165" s="1"/>
  <c r="O380" i="165" s="1"/>
  <c r="O381" i="165" s="1"/>
  <c r="O382" i="165" s="1"/>
  <c r="O383" i="165" s="1"/>
  <c r="O384" i="165" s="1"/>
  <c r="O385" i="165" s="1"/>
  <c r="O386" i="165" s="1"/>
  <c r="O387" i="165" s="1"/>
  <c r="O388" i="165" s="1"/>
  <c r="O389" i="165" s="1"/>
  <c r="O390" i="165" s="1"/>
  <c r="O391" i="165" s="1"/>
  <c r="O392" i="165" s="1"/>
  <c r="O393" i="165" s="1"/>
  <c r="O394" i="165" s="1"/>
  <c r="O395" i="165" s="1"/>
  <c r="O396" i="165" s="1"/>
  <c r="O397" i="165" s="1"/>
  <c r="O398" i="165" s="1"/>
  <c r="O399" i="165" s="1"/>
  <c r="O400" i="165" s="1"/>
  <c r="O401" i="165" s="1"/>
  <c r="O402" i="165" s="1"/>
  <c r="O403" i="165" s="1"/>
  <c r="O404" i="165" s="1"/>
  <c r="O405" i="165" s="1"/>
  <c r="O406" i="165" s="1"/>
  <c r="O407" i="165" s="1"/>
  <c r="O408" i="165" s="1"/>
  <c r="O409" i="165" s="1"/>
  <c r="O410" i="165" s="1"/>
  <c r="O411" i="165" s="1"/>
  <c r="O412" i="165" s="1"/>
  <c r="O413" i="165" s="1"/>
  <c r="O414" i="165" s="1"/>
  <c r="O415" i="165" s="1"/>
  <c r="O416" i="165" s="1"/>
  <c r="O417" i="165" s="1"/>
  <c r="O418" i="165" s="1"/>
  <c r="O419" i="165" s="1"/>
  <c r="O420" i="165" s="1"/>
  <c r="O421" i="165" s="1"/>
  <c r="O422" i="165" s="1"/>
  <c r="O423" i="165" s="1"/>
  <c r="O424" i="165" s="1"/>
  <c r="O425" i="165" s="1"/>
  <c r="O426" i="165" s="1"/>
  <c r="O427" i="165" s="1"/>
  <c r="O428" i="165" s="1"/>
  <c r="O429" i="165" s="1"/>
  <c r="O430" i="165" s="1"/>
  <c r="O431" i="165" s="1"/>
  <c r="O432" i="165" s="1"/>
  <c r="O433" i="165" s="1"/>
  <c r="O434" i="165" s="1"/>
  <c r="O435" i="165" s="1"/>
  <c r="O436" i="165" s="1"/>
  <c r="O437" i="165" s="1"/>
  <c r="O438" i="165" s="1"/>
  <c r="O439" i="165" s="1"/>
  <c r="O440" i="165" s="1"/>
  <c r="O441" i="165" s="1"/>
  <c r="O442" i="165" s="1"/>
  <c r="O443" i="165" s="1"/>
  <c r="O444" i="165" s="1"/>
  <c r="O445" i="165" s="1"/>
  <c r="O446" i="165" s="1"/>
  <c r="O447" i="165" s="1"/>
  <c r="O448" i="165" s="1"/>
  <c r="O449" i="165" s="1"/>
  <c r="O450" i="165" s="1"/>
  <c r="O451" i="165" s="1"/>
  <c r="O452" i="165" s="1"/>
  <c r="N333" i="165"/>
  <c r="N334" i="165" s="1"/>
  <c r="N335" i="165" s="1"/>
  <c r="N336" i="165" s="1"/>
  <c r="N337" i="165" s="1"/>
  <c r="N338" i="165" s="1"/>
  <c r="N339" i="165" s="1"/>
  <c r="N340" i="165" s="1"/>
  <c r="N341" i="165" s="1"/>
  <c r="N342" i="165" s="1"/>
  <c r="N343" i="165" s="1"/>
  <c r="N344" i="165" s="1"/>
  <c r="N345" i="165" s="1"/>
  <c r="N346" i="165" s="1"/>
  <c r="N347" i="165" s="1"/>
  <c r="N348" i="165" s="1"/>
  <c r="N296" i="160"/>
  <c r="N297" i="160" s="1"/>
  <c r="N298" i="160" s="1"/>
  <c r="N299" i="160" s="1"/>
  <c r="N300" i="160" s="1"/>
  <c r="N112" i="157"/>
  <c r="O112" i="157"/>
  <c r="O113" i="157" s="1"/>
  <c r="O114" i="157" s="1"/>
  <c r="O115" i="157" s="1"/>
  <c r="O116" i="157" s="1"/>
  <c r="O117" i="157" s="1"/>
  <c r="O118" i="157" s="1"/>
  <c r="O119" i="157" s="1"/>
  <c r="O120" i="157" s="1"/>
  <c r="O121" i="157" s="1"/>
  <c r="O122" i="157" s="1"/>
  <c r="O123" i="157" s="1"/>
  <c r="F297" i="154"/>
  <c r="F301" i="154" s="1"/>
  <c r="F306" i="154"/>
  <c r="N24" i="154"/>
  <c r="N25" i="154" s="1"/>
  <c r="N26" i="154" s="1"/>
  <c r="N27" i="154" s="1"/>
  <c r="N28" i="154" s="1"/>
  <c r="N29" i="154" s="1"/>
  <c r="N30" i="154" s="1"/>
  <c r="N31" i="154" s="1"/>
  <c r="N32" i="154" s="1"/>
  <c r="N33" i="154" s="1"/>
  <c r="N34" i="154" s="1"/>
  <c r="G277" i="154"/>
  <c r="O12" i="154"/>
  <c r="O13" i="154" s="1"/>
  <c r="O14" i="154" s="1"/>
  <c r="O15" i="154" s="1"/>
  <c r="O16" i="154" s="1"/>
  <c r="O17" i="154" s="1"/>
  <c r="O18" i="154" s="1"/>
  <c r="O19" i="154" s="1"/>
  <c r="O20" i="154" s="1"/>
  <c r="O21" i="154" s="1"/>
  <c r="L278" i="154"/>
  <c r="B366" i="151"/>
  <c r="D365" i="151"/>
  <c r="D364" i="151"/>
  <c r="D363" i="151"/>
  <c r="E363" i="151" s="1"/>
  <c r="F363" i="151" s="1"/>
  <c r="D362" i="151"/>
  <c r="E362" i="151" s="1"/>
  <c r="F362" i="151" s="1"/>
  <c r="D361" i="151"/>
  <c r="D360" i="151"/>
  <c r="D359" i="151"/>
  <c r="E359" i="151" s="1"/>
  <c r="F359" i="151" s="1"/>
  <c r="D358" i="151"/>
  <c r="E358" i="151" s="1"/>
  <c r="B357" i="151"/>
  <c r="D356" i="151"/>
  <c r="B355" i="151"/>
  <c r="D354" i="151"/>
  <c r="D353" i="151"/>
  <c r="E353" i="151" s="1"/>
  <c r="F353" i="151" s="1"/>
  <c r="D352" i="151"/>
  <c r="E352" i="151" s="1"/>
  <c r="F352" i="151" s="1"/>
  <c r="D351" i="151"/>
  <c r="D350" i="151"/>
  <c r="D349" i="151"/>
  <c r="E349" i="151" s="1"/>
  <c r="J347" i="151"/>
  <c r="J338" i="151"/>
  <c r="J336" i="151"/>
  <c r="N332" i="151"/>
  <c r="N331" i="151"/>
  <c r="N330" i="151"/>
  <c r="L328" i="151"/>
  <c r="I328" i="151"/>
  <c r="C328" i="151"/>
  <c r="O7" i="151" s="1"/>
  <c r="O8" i="151" s="1"/>
  <c r="O9" i="151" s="1"/>
  <c r="N7" i="151"/>
  <c r="N8" i="151" s="1"/>
  <c r="N9" i="151" s="1"/>
  <c r="N10" i="151" s="1"/>
  <c r="N11" i="151" s="1"/>
  <c r="N12" i="151" s="1"/>
  <c r="N13" i="151" s="1"/>
  <c r="N14" i="151" s="1"/>
  <c r="N15" i="151" s="1"/>
  <c r="N16" i="151" s="1"/>
  <c r="N17" i="151" s="1"/>
  <c r="N18" i="151" s="1"/>
  <c r="N19" i="151" s="1"/>
  <c r="N20" i="151" s="1"/>
  <c r="N21" i="151" s="1"/>
  <c r="N22" i="151" s="1"/>
  <c r="N23" i="151" s="1"/>
  <c r="N24" i="151" s="1"/>
  <c r="N25" i="151" s="1"/>
  <c r="N26" i="151" s="1"/>
  <c r="N27" i="151" s="1"/>
  <c r="N28" i="151" s="1"/>
  <c r="N199" i="163" l="1"/>
  <c r="N200" i="163" s="1"/>
  <c r="N201" i="163" s="1"/>
  <c r="N202" i="163" s="1"/>
  <c r="N203" i="163" s="1"/>
  <c r="N204" i="163" s="1"/>
  <c r="N205" i="163" s="1"/>
  <c r="N206" i="163" s="1"/>
  <c r="N207" i="163" s="1"/>
  <c r="N208" i="163" s="1"/>
  <c r="N209" i="163" s="1"/>
  <c r="N210" i="163" s="1"/>
  <c r="N211" i="163" s="1"/>
  <c r="N212" i="163" s="1"/>
  <c r="N213" i="163" s="1"/>
  <c r="N214" i="163" s="1"/>
  <c r="N215" i="163" s="1"/>
  <c r="N217" i="163" s="1"/>
  <c r="O224" i="163" s="1"/>
  <c r="O225" i="163" s="1"/>
  <c r="F313" i="154"/>
  <c r="N349" i="165"/>
  <c r="N350" i="165" s="1"/>
  <c r="N351" i="165" s="1"/>
  <c r="N352" i="165" s="1"/>
  <c r="N353" i="165" s="1"/>
  <c r="N354" i="165" s="1"/>
  <c r="N355" i="165" s="1"/>
  <c r="N356" i="165" s="1"/>
  <c r="N357" i="165" s="1"/>
  <c r="N358" i="165" s="1"/>
  <c r="N359" i="165" s="1"/>
  <c r="N360" i="165" s="1"/>
  <c r="N361" i="165" s="1"/>
  <c r="N362" i="165" s="1"/>
  <c r="N363" i="165" s="1"/>
  <c r="N364" i="165" s="1"/>
  <c r="N365" i="165" s="1"/>
  <c r="N366" i="165" s="1"/>
  <c r="N367" i="165" s="1"/>
  <c r="N368" i="165" s="1"/>
  <c r="N369" i="165" s="1"/>
  <c r="N370" i="165" s="1"/>
  <c r="N371" i="165" s="1"/>
  <c r="N372" i="165" s="1"/>
  <c r="N373" i="165" s="1"/>
  <c r="N374" i="165" s="1"/>
  <c r="N375" i="165" s="1"/>
  <c r="N376" i="165" s="1"/>
  <c r="N377" i="165" s="1"/>
  <c r="N378" i="165" s="1"/>
  <c r="N379" i="165" s="1"/>
  <c r="N380" i="165" s="1"/>
  <c r="N381" i="165" s="1"/>
  <c r="N382" i="165" s="1"/>
  <c r="N383" i="165" s="1"/>
  <c r="N384" i="165" s="1"/>
  <c r="N385" i="165" s="1"/>
  <c r="N386" i="165" s="1"/>
  <c r="N301" i="160"/>
  <c r="N302" i="160" s="1"/>
  <c r="N303" i="160" s="1"/>
  <c r="N304" i="160" s="1"/>
  <c r="N305" i="160" s="1"/>
  <c r="N306" i="160" s="1"/>
  <c r="N307" i="160" s="1"/>
  <c r="N308" i="160" s="1"/>
  <c r="N309" i="160" s="1"/>
  <c r="N310" i="160" s="1"/>
  <c r="N311" i="160" s="1"/>
  <c r="N312" i="160" s="1"/>
  <c r="N313" i="160" s="1"/>
  <c r="N314" i="160" s="1"/>
  <c r="N315" i="160" s="1"/>
  <c r="N316" i="160" s="1"/>
  <c r="N317" i="160" s="1"/>
  <c r="N318" i="160" s="1"/>
  <c r="N319" i="160" s="1"/>
  <c r="N320" i="160" s="1"/>
  <c r="N321" i="160" s="1"/>
  <c r="N322" i="160" s="1"/>
  <c r="N323" i="160" s="1"/>
  <c r="N324" i="160" s="1"/>
  <c r="N325" i="160" s="1"/>
  <c r="N326" i="160" s="1"/>
  <c r="N327" i="160" s="1"/>
  <c r="N328" i="160" s="1"/>
  <c r="N329" i="160" s="1"/>
  <c r="N330" i="160" s="1"/>
  <c r="N331" i="160" s="1"/>
  <c r="O124" i="157"/>
  <c r="O125" i="157" s="1"/>
  <c r="O126" i="157" s="1"/>
  <c r="O127" i="157" s="1"/>
  <c r="O128" i="157" s="1"/>
  <c r="O129" i="157" s="1"/>
  <c r="O130" i="157" s="1"/>
  <c r="O131" i="157" s="1"/>
  <c r="O132" i="157" s="1"/>
  <c r="O133" i="157" s="1"/>
  <c r="O134" i="157" s="1"/>
  <c r="O135" i="157" s="1"/>
  <c r="O136" i="157" s="1"/>
  <c r="O137" i="157" s="1"/>
  <c r="O138" i="157" s="1"/>
  <c r="O139" i="157" s="1"/>
  <c r="O140" i="157" s="1"/>
  <c r="O141" i="157" s="1"/>
  <c r="O142" i="157" s="1"/>
  <c r="O143" i="157" s="1"/>
  <c r="O144" i="157" s="1"/>
  <c r="O145" i="157" s="1"/>
  <c r="O146" i="157" s="1"/>
  <c r="O147" i="157" s="1"/>
  <c r="O148" i="157" s="1"/>
  <c r="O149" i="157" s="1"/>
  <c r="O150" i="157" s="1"/>
  <c r="O151" i="157" s="1"/>
  <c r="O152" i="157" s="1"/>
  <c r="O153" i="157" s="1"/>
  <c r="O154" i="157" s="1"/>
  <c r="O155" i="157" s="1"/>
  <c r="O156" i="157" s="1"/>
  <c r="N113" i="157"/>
  <c r="N114" i="157" s="1"/>
  <c r="N115" i="157" s="1"/>
  <c r="N116" i="157" s="1"/>
  <c r="N117" i="157" s="1"/>
  <c r="N118" i="157" s="1"/>
  <c r="N119" i="157" s="1"/>
  <c r="N120" i="157" s="1"/>
  <c r="N121" i="157" s="1"/>
  <c r="N122" i="157" s="1"/>
  <c r="N123" i="157" s="1"/>
  <c r="N35" i="154"/>
  <c r="N36" i="154" s="1"/>
  <c r="O22" i="154"/>
  <c r="O23" i="154" s="1"/>
  <c r="O24" i="154" s="1"/>
  <c r="O25" i="154" s="1"/>
  <c r="O26" i="154" s="1"/>
  <c r="O27" i="154" s="1"/>
  <c r="O28" i="154" s="1"/>
  <c r="O29" i="154" s="1"/>
  <c r="O30" i="154" s="1"/>
  <c r="O31" i="154" s="1"/>
  <c r="O32" i="154" s="1"/>
  <c r="O33" i="154" s="1"/>
  <c r="O34" i="154" s="1"/>
  <c r="O277" i="154"/>
  <c r="F349" i="151"/>
  <c r="D357" i="151"/>
  <c r="D366" i="151"/>
  <c r="E351" i="151"/>
  <c r="F351" i="151" s="1"/>
  <c r="D355" i="151"/>
  <c r="E356" i="151"/>
  <c r="E357" i="151" s="1"/>
  <c r="F358" i="151"/>
  <c r="E361" i="151"/>
  <c r="F361" i="151" s="1"/>
  <c r="E365" i="151"/>
  <c r="F365" i="151" s="1"/>
  <c r="E350" i="151"/>
  <c r="E355" i="151" s="1"/>
  <c r="E354" i="151"/>
  <c r="F354" i="151" s="1"/>
  <c r="E360" i="151"/>
  <c r="F360" i="151" s="1"/>
  <c r="E364" i="151"/>
  <c r="F364" i="151" s="1"/>
  <c r="N29" i="151"/>
  <c r="N30" i="151" s="1"/>
  <c r="N31" i="151" s="1"/>
  <c r="N32" i="151" s="1"/>
  <c r="N33" i="151" s="1"/>
  <c r="N34" i="151" s="1"/>
  <c r="N35" i="151" s="1"/>
  <c r="N36" i="151" s="1"/>
  <c r="N37" i="151" s="1"/>
  <c r="N38" i="151" s="1"/>
  <c r="N39" i="151" s="1"/>
  <c r="N40" i="151" s="1"/>
  <c r="N41" i="151" s="1"/>
  <c r="N42" i="151" s="1"/>
  <c r="N43" i="151" s="1"/>
  <c r="N44" i="151" s="1"/>
  <c r="N45" i="151" s="1"/>
  <c r="N46" i="151" s="1"/>
  <c r="N47" i="151" s="1"/>
  <c r="N48" i="151" s="1"/>
  <c r="N49" i="151" s="1"/>
  <c r="N50" i="151" s="1"/>
  <c r="N51" i="151" s="1"/>
  <c r="N52" i="151" s="1"/>
  <c r="G328" i="151"/>
  <c r="O10" i="151"/>
  <c r="O11" i="151" s="1"/>
  <c r="O12" i="151" s="1"/>
  <c r="O13" i="151" s="1"/>
  <c r="O14" i="151" s="1"/>
  <c r="O15" i="151" s="1"/>
  <c r="O16" i="151" s="1"/>
  <c r="O17" i="151" s="1"/>
  <c r="O18" i="151" s="1"/>
  <c r="O19" i="151" s="1"/>
  <c r="O20" i="151" s="1"/>
  <c r="O21" i="151" s="1"/>
  <c r="O22" i="151" s="1"/>
  <c r="O23" i="151" s="1"/>
  <c r="O24" i="151" s="1"/>
  <c r="O25" i="151" s="1"/>
  <c r="L329" i="151"/>
  <c r="B426" i="148"/>
  <c r="D414" i="148"/>
  <c r="E414" i="148" s="1"/>
  <c r="F414" i="148" s="1"/>
  <c r="D417" i="148"/>
  <c r="E417" i="148" s="1"/>
  <c r="D421" i="148"/>
  <c r="E421" i="148" s="1"/>
  <c r="D423" i="148"/>
  <c r="E423" i="148" s="1"/>
  <c r="D412" i="148"/>
  <c r="J398" i="148"/>
  <c r="B411" i="148"/>
  <c r="D403" i="148"/>
  <c r="D408" i="148"/>
  <c r="E408" i="148" s="1"/>
  <c r="J383" i="148"/>
  <c r="D424" i="148"/>
  <c r="E424" i="148" s="1"/>
  <c r="F424" i="148" s="1"/>
  <c r="D425" i="148"/>
  <c r="E425" i="148" s="1"/>
  <c r="F425" i="148" s="1"/>
  <c r="D422" i="148"/>
  <c r="E422" i="148" s="1"/>
  <c r="D420" i="148"/>
  <c r="D419" i="148"/>
  <c r="E419" i="148" s="1"/>
  <c r="F419" i="148" s="1"/>
  <c r="D418" i="148"/>
  <c r="E418" i="148" s="1"/>
  <c r="F418" i="148" s="1"/>
  <c r="D416" i="148"/>
  <c r="D415" i="148"/>
  <c r="E415" i="148" s="1"/>
  <c r="F415" i="148" s="1"/>
  <c r="D413" i="148"/>
  <c r="E413" i="148" s="1"/>
  <c r="D402" i="148"/>
  <c r="E402" i="148" s="1"/>
  <c r="D404" i="148"/>
  <c r="E404" i="148" s="1"/>
  <c r="D405" i="148"/>
  <c r="E405" i="148" s="1"/>
  <c r="D406" i="148"/>
  <c r="E406" i="148" s="1"/>
  <c r="D407" i="148"/>
  <c r="E407" i="148" s="1"/>
  <c r="F407" i="148" s="1"/>
  <c r="D409" i="148"/>
  <c r="E409" i="148" s="1"/>
  <c r="D410" i="148"/>
  <c r="E410" i="148" s="1"/>
  <c r="F410" i="148" s="1"/>
  <c r="N373" i="148"/>
  <c r="N372" i="148"/>
  <c r="L370" i="148"/>
  <c r="I370" i="148"/>
  <c r="C370" i="148"/>
  <c r="O7" i="148" s="1"/>
  <c r="O8" i="148" s="1"/>
  <c r="O9" i="148" s="1"/>
  <c r="O10" i="148" s="1"/>
  <c r="O11" i="148" s="1"/>
  <c r="O12" i="148" s="1"/>
  <c r="O13" i="148" s="1"/>
  <c r="O14" i="148" s="1"/>
  <c r="O15" i="148" s="1"/>
  <c r="O16" i="148" s="1"/>
  <c r="O17" i="148" s="1"/>
  <c r="O18" i="148" s="1"/>
  <c r="O19" i="148" s="1"/>
  <c r="O20" i="148" s="1"/>
  <c r="O21" i="148" s="1"/>
  <c r="O22" i="148" s="1"/>
  <c r="O23" i="148" s="1"/>
  <c r="N7" i="148"/>
  <c r="N8" i="148" s="1"/>
  <c r="N9" i="148" s="1"/>
  <c r="N10" i="148" s="1"/>
  <c r="N11" i="148" s="1"/>
  <c r="N12" i="148" s="1"/>
  <c r="N13" i="148" s="1"/>
  <c r="N14" i="148" s="1"/>
  <c r="N15" i="148" s="1"/>
  <c r="D426" i="148" l="1"/>
  <c r="O400" i="177"/>
  <c r="O401" i="177" s="1"/>
  <c r="O402" i="177" s="1"/>
  <c r="O403" i="177" s="1"/>
  <c r="O404" i="177" s="1"/>
  <c r="O405" i="177" s="1"/>
  <c r="O406" i="177" s="1"/>
  <c r="O407" i="177" s="1"/>
  <c r="O408" i="177" s="1"/>
  <c r="O409" i="177" s="1"/>
  <c r="O410" i="177" s="1"/>
  <c r="O411" i="177" s="1"/>
  <c r="O412" i="177" s="1"/>
  <c r="O413" i="177" s="1"/>
  <c r="O414" i="177" s="1"/>
  <c r="O415" i="177" s="1"/>
  <c r="O416" i="177" s="1"/>
  <c r="O417" i="177" s="1"/>
  <c r="O418" i="177" s="1"/>
  <c r="O419" i="177" s="1"/>
  <c r="O420" i="177" s="1"/>
  <c r="O421" i="177" s="1"/>
  <c r="O422" i="177" s="1"/>
  <c r="N400" i="177"/>
  <c r="E366" i="151"/>
  <c r="F350" i="151"/>
  <c r="F356" i="151"/>
  <c r="F357" i="151" s="1"/>
  <c r="N387" i="165"/>
  <c r="N388" i="165" s="1"/>
  <c r="N389" i="165" s="1"/>
  <c r="N390" i="165" s="1"/>
  <c r="N391" i="165" s="1"/>
  <c r="N392" i="165" s="1"/>
  <c r="N393" i="165" s="1"/>
  <c r="N394" i="165" s="1"/>
  <c r="N395" i="165" s="1"/>
  <c r="N396" i="165" s="1"/>
  <c r="N397" i="165" s="1"/>
  <c r="N398" i="165" s="1"/>
  <c r="N399" i="165" s="1"/>
  <c r="N400" i="165" s="1"/>
  <c r="N332" i="160"/>
  <c r="N333" i="160" s="1"/>
  <c r="N334" i="160" s="1"/>
  <c r="N335" i="160" s="1"/>
  <c r="N336" i="160" s="1"/>
  <c r="N337" i="160" s="1"/>
  <c r="N338" i="160" s="1"/>
  <c r="N339" i="160" s="1"/>
  <c r="N340" i="160" s="1"/>
  <c r="N341" i="160" s="1"/>
  <c r="N342" i="160" s="1"/>
  <c r="N343" i="160" s="1"/>
  <c r="N344" i="160" s="1"/>
  <c r="N345" i="160" s="1"/>
  <c r="N346" i="160" s="1"/>
  <c r="N347" i="160" s="1"/>
  <c r="N348" i="160" s="1"/>
  <c r="N349" i="160" s="1"/>
  <c r="N350" i="160" s="1"/>
  <c r="N351" i="160" s="1"/>
  <c r="O384" i="160"/>
  <c r="O157" i="157"/>
  <c r="O158" i="157" s="1"/>
  <c r="O159" i="157" s="1"/>
  <c r="O160" i="157" s="1"/>
  <c r="O161" i="157" s="1"/>
  <c r="O162" i="157" s="1"/>
  <c r="O163" i="157" s="1"/>
  <c r="O164" i="157" s="1"/>
  <c r="O165" i="157" s="1"/>
  <c r="O166" i="157" s="1"/>
  <c r="O167" i="157" s="1"/>
  <c r="O168" i="157" s="1"/>
  <c r="O169" i="157" s="1"/>
  <c r="O170" i="157" s="1"/>
  <c r="O171" i="157" s="1"/>
  <c r="O172" i="157" s="1"/>
  <c r="O173" i="157" s="1"/>
  <c r="O174" i="157" s="1"/>
  <c r="N124" i="157"/>
  <c r="N125" i="157" s="1"/>
  <c r="N126" i="157" s="1"/>
  <c r="N127" i="157" s="1"/>
  <c r="N128" i="157" s="1"/>
  <c r="N129" i="157" s="1"/>
  <c r="N130" i="157" s="1"/>
  <c r="N131" i="157" s="1"/>
  <c r="N132" i="157" s="1"/>
  <c r="N133" i="157" s="1"/>
  <c r="N134" i="157" s="1"/>
  <c r="N135" i="157" s="1"/>
  <c r="N136" i="157" s="1"/>
  <c r="N137" i="157" s="1"/>
  <c r="N138" i="157" s="1"/>
  <c r="N139" i="157" s="1"/>
  <c r="N140" i="157" s="1"/>
  <c r="N141" i="157" s="1"/>
  <c r="N142" i="157" s="1"/>
  <c r="N143" i="157" s="1"/>
  <c r="N144" i="157" s="1"/>
  <c r="N145" i="157" s="1"/>
  <c r="N146" i="157" s="1"/>
  <c r="N147" i="157" s="1"/>
  <c r="N148" i="157" s="1"/>
  <c r="N149" i="157" s="1"/>
  <c r="N150" i="157" s="1"/>
  <c r="N151" i="157" s="1"/>
  <c r="N152" i="157" s="1"/>
  <c r="N153" i="157" s="1"/>
  <c r="N154" i="157" s="1"/>
  <c r="N155" i="157" s="1"/>
  <c r="N156" i="157" s="1"/>
  <c r="N157" i="157" s="1"/>
  <c r="N37" i="154"/>
  <c r="N38" i="154" s="1"/>
  <c r="N39" i="154" s="1"/>
  <c r="N40" i="154" s="1"/>
  <c r="N41" i="154" s="1"/>
  <c r="N42" i="154" s="1"/>
  <c r="N43" i="154" s="1"/>
  <c r="N44" i="154" s="1"/>
  <c r="N45" i="154" s="1"/>
  <c r="O35" i="154"/>
  <c r="O36" i="154" s="1"/>
  <c r="F355" i="151"/>
  <c r="F366" i="151"/>
  <c r="N53" i="151"/>
  <c r="N54" i="151" s="1"/>
  <c r="N55" i="151" s="1"/>
  <c r="N56" i="151" s="1"/>
  <c r="N57" i="151" s="1"/>
  <c r="N58" i="151" s="1"/>
  <c r="N59" i="151" s="1"/>
  <c r="N60" i="151" s="1"/>
  <c r="N61" i="151" s="1"/>
  <c r="N62" i="151" s="1"/>
  <c r="O26" i="151"/>
  <c r="O27" i="151" s="1"/>
  <c r="O28" i="151" s="1"/>
  <c r="O29" i="151" s="1"/>
  <c r="O30" i="151" s="1"/>
  <c r="O31" i="151" s="1"/>
  <c r="O32" i="151" s="1"/>
  <c r="O33" i="151" s="1"/>
  <c r="O34" i="151" s="1"/>
  <c r="O35" i="151" s="1"/>
  <c r="O36" i="151" s="1"/>
  <c r="O37" i="151" s="1"/>
  <c r="O38" i="151" s="1"/>
  <c r="O39" i="151" s="1"/>
  <c r="O40" i="151" s="1"/>
  <c r="O41" i="151" s="1"/>
  <c r="O42" i="151" s="1"/>
  <c r="O43" i="151" s="1"/>
  <c r="O44" i="151" s="1"/>
  <c r="O45" i="151" s="1"/>
  <c r="O46" i="151" s="1"/>
  <c r="O47" i="151" s="1"/>
  <c r="O48" i="151" s="1"/>
  <c r="O49" i="151" s="1"/>
  <c r="O50" i="151" s="1"/>
  <c r="O51" i="151" s="1"/>
  <c r="O52" i="151" s="1"/>
  <c r="O328" i="151"/>
  <c r="F422" i="148"/>
  <c r="F402" i="148"/>
  <c r="E403" i="148"/>
  <c r="F403" i="148" s="1"/>
  <c r="F406" i="148"/>
  <c r="F405" i="148"/>
  <c r="F409" i="148"/>
  <c r="D401" i="148"/>
  <c r="D411" i="148" s="1"/>
  <c r="F423" i="148"/>
  <c r="E412" i="148"/>
  <c r="F413" i="148"/>
  <c r="E416" i="148"/>
  <c r="F416" i="148" s="1"/>
  <c r="F417" i="148"/>
  <c r="E420" i="148"/>
  <c r="F420" i="148" s="1"/>
  <c r="F421" i="148"/>
  <c r="F408" i="148"/>
  <c r="F404" i="148"/>
  <c r="N16" i="148"/>
  <c r="N17" i="148" s="1"/>
  <c r="N18" i="148" s="1"/>
  <c r="N19" i="148" s="1"/>
  <c r="N20" i="148" s="1"/>
  <c r="N21" i="148" s="1"/>
  <c r="N22" i="148" s="1"/>
  <c r="N23" i="148" s="1"/>
  <c r="N24" i="148" s="1"/>
  <c r="N25" i="148" s="1"/>
  <c r="N26" i="148" s="1"/>
  <c r="N27" i="148" s="1"/>
  <c r="N28" i="148" s="1"/>
  <c r="N29" i="148" s="1"/>
  <c r="N30" i="148" s="1"/>
  <c r="N31" i="148" s="1"/>
  <c r="N32" i="148" s="1"/>
  <c r="N33" i="148" s="1"/>
  <c r="N34" i="148" s="1"/>
  <c r="N35" i="148" s="1"/>
  <c r="O24" i="148"/>
  <c r="O25" i="148" s="1"/>
  <c r="O26" i="148" s="1"/>
  <c r="O27" i="148" s="1"/>
  <c r="O28" i="148" s="1"/>
  <c r="O29" i="148" s="1"/>
  <c r="O30" i="148" s="1"/>
  <c r="O31" i="148" s="1"/>
  <c r="O32" i="148" s="1"/>
  <c r="O33" i="148" s="1"/>
  <c r="O34" i="148" s="1"/>
  <c r="O35" i="148" s="1"/>
  <c r="L371" i="148"/>
  <c r="G370" i="148"/>
  <c r="D487" i="145"/>
  <c r="D488" i="145"/>
  <c r="E488" i="145" s="1"/>
  <c r="D489" i="145"/>
  <c r="D490" i="145"/>
  <c r="D491" i="145"/>
  <c r="D492" i="145"/>
  <c r="E492" i="145" s="1"/>
  <c r="D493" i="145"/>
  <c r="E493" i="145" s="1"/>
  <c r="F493" i="145" s="1"/>
  <c r="D494" i="145"/>
  <c r="D495" i="145"/>
  <c r="D496" i="145"/>
  <c r="E496" i="145" s="1"/>
  <c r="D486" i="145"/>
  <c r="D474" i="145"/>
  <c r="D475" i="145"/>
  <c r="D476" i="145"/>
  <c r="E476" i="145" s="1"/>
  <c r="D477" i="145"/>
  <c r="E477" i="145" s="1"/>
  <c r="F477" i="145" s="1"/>
  <c r="D478" i="145"/>
  <c r="E478" i="145" s="1"/>
  <c r="F478" i="145" s="1"/>
  <c r="D479" i="145"/>
  <c r="D480" i="145"/>
  <c r="E480" i="145" s="1"/>
  <c r="D481" i="145"/>
  <c r="D482" i="145"/>
  <c r="E482" i="145" s="1"/>
  <c r="F482" i="145" s="1"/>
  <c r="D483" i="145"/>
  <c r="D484" i="145"/>
  <c r="D473" i="145"/>
  <c r="E473" i="145" s="1"/>
  <c r="E494" i="145"/>
  <c r="F494" i="145" s="1"/>
  <c r="E490" i="145"/>
  <c r="F490" i="145" s="1"/>
  <c r="E484" i="145"/>
  <c r="D497" i="145" l="1"/>
  <c r="N401" i="177"/>
  <c r="N402" i="177" s="1"/>
  <c r="N403" i="177" s="1"/>
  <c r="N404" i="177" s="1"/>
  <c r="N405" i="177" s="1"/>
  <c r="L452" i="177"/>
  <c r="F473" i="145"/>
  <c r="E426" i="148"/>
  <c r="E481" i="145"/>
  <c r="F481" i="145" s="1"/>
  <c r="E486" i="145"/>
  <c r="D485" i="145"/>
  <c r="N401" i="165"/>
  <c r="N402" i="165" s="1"/>
  <c r="N403" i="165" s="1"/>
  <c r="N404" i="165" s="1"/>
  <c r="N405" i="165" s="1"/>
  <c r="N406" i="165" s="1"/>
  <c r="N407" i="165" s="1"/>
  <c r="N408" i="165" s="1"/>
  <c r="N409" i="165" s="1"/>
  <c r="N410" i="165" s="1"/>
  <c r="N411" i="165" s="1"/>
  <c r="N412" i="165" s="1"/>
  <c r="N413" i="165" s="1"/>
  <c r="N414" i="165" s="1"/>
  <c r="N415" i="165" s="1"/>
  <c r="N416" i="165" s="1"/>
  <c r="N417" i="165" s="1"/>
  <c r="N418" i="165" s="1"/>
  <c r="N419" i="165" s="1"/>
  <c r="N420" i="165" s="1"/>
  <c r="N421" i="165" s="1"/>
  <c r="N422" i="165" s="1"/>
  <c r="N423" i="165" s="1"/>
  <c r="N424" i="165" s="1"/>
  <c r="N425" i="165" s="1"/>
  <c r="N426" i="165" s="1"/>
  <c r="N427" i="165" s="1"/>
  <c r="N428" i="165" s="1"/>
  <c r="N429" i="165" s="1"/>
  <c r="N430" i="165" s="1"/>
  <c r="N431" i="165" s="1"/>
  <c r="N432" i="165" s="1"/>
  <c r="N433" i="165" s="1"/>
  <c r="N434" i="165" s="1"/>
  <c r="N435" i="165" s="1"/>
  <c r="N436" i="165" s="1"/>
  <c r="N437" i="165" s="1"/>
  <c r="N438" i="165" s="1"/>
  <c r="N439" i="165" s="1"/>
  <c r="N440" i="165" s="1"/>
  <c r="N441" i="165" s="1"/>
  <c r="N442" i="165" s="1"/>
  <c r="N443" i="165" s="1"/>
  <c r="N444" i="165" s="1"/>
  <c r="N445" i="165" s="1"/>
  <c r="N446" i="165" s="1"/>
  <c r="N447" i="165" s="1"/>
  <c r="N448" i="165" s="1"/>
  <c r="N449" i="165" s="1"/>
  <c r="N450" i="165" s="1"/>
  <c r="N451" i="165" s="1"/>
  <c r="N452" i="165" s="1"/>
  <c r="N454" i="165" s="1"/>
  <c r="O461" i="165" s="1"/>
  <c r="O462" i="165" s="1"/>
  <c r="N352" i="160"/>
  <c r="N353" i="160" s="1"/>
  <c r="N354" i="160" s="1"/>
  <c r="N355" i="160" s="1"/>
  <c r="N356" i="160" s="1"/>
  <c r="N357" i="160" s="1"/>
  <c r="N358" i="160" s="1"/>
  <c r="N359" i="160" s="1"/>
  <c r="N360" i="160" s="1"/>
  <c r="N361" i="160" s="1"/>
  <c r="N362" i="160" s="1"/>
  <c r="N363" i="160" s="1"/>
  <c r="N364" i="160" s="1"/>
  <c r="N365" i="160" s="1"/>
  <c r="N366" i="160" s="1"/>
  <c r="N367" i="160" s="1"/>
  <c r="N368" i="160" s="1"/>
  <c r="N369" i="160" s="1"/>
  <c r="N370" i="160" s="1"/>
  <c r="N371" i="160" s="1"/>
  <c r="N372" i="160" s="1"/>
  <c r="N373" i="160" s="1"/>
  <c r="N374" i="160" s="1"/>
  <c r="N375" i="160" s="1"/>
  <c r="N376" i="160" s="1"/>
  <c r="N377" i="160" s="1"/>
  <c r="N378" i="160" s="1"/>
  <c r="N379" i="160" s="1"/>
  <c r="N380" i="160" s="1"/>
  <c r="N381" i="160" s="1"/>
  <c r="N382" i="160" s="1"/>
  <c r="N383" i="160" s="1"/>
  <c r="O175" i="157"/>
  <c r="O176" i="157" s="1"/>
  <c r="O177" i="157" s="1"/>
  <c r="O178" i="157" s="1"/>
  <c r="O179" i="157" s="1"/>
  <c r="O180" i="157" s="1"/>
  <c r="O181" i="157" s="1"/>
  <c r="O182" i="157" s="1"/>
  <c r="O183" i="157" s="1"/>
  <c r="O184" i="157" s="1"/>
  <c r="O185" i="157" s="1"/>
  <c r="O186" i="157" s="1"/>
  <c r="O187" i="157" s="1"/>
  <c r="O188" i="157" s="1"/>
  <c r="O189" i="157" s="1"/>
  <c r="O190" i="157" s="1"/>
  <c r="N158" i="157"/>
  <c r="N159" i="157" s="1"/>
  <c r="N160" i="157" s="1"/>
  <c r="N161" i="157" s="1"/>
  <c r="N162" i="157" s="1"/>
  <c r="N163" i="157" s="1"/>
  <c r="N164" i="157" s="1"/>
  <c r="N165" i="157" s="1"/>
  <c r="N166" i="157" s="1"/>
  <c r="N167" i="157" s="1"/>
  <c r="N168" i="157" s="1"/>
  <c r="N169" i="157" s="1"/>
  <c r="N170" i="157" s="1"/>
  <c r="N171" i="157" s="1"/>
  <c r="N172" i="157" s="1"/>
  <c r="N173" i="157" s="1"/>
  <c r="N174" i="157" s="1"/>
  <c r="N46" i="154"/>
  <c r="N47" i="154" s="1"/>
  <c r="N48" i="154" s="1"/>
  <c r="N49" i="154" s="1"/>
  <c r="N50" i="154" s="1"/>
  <c r="N51" i="154" s="1"/>
  <c r="N52" i="154" s="1"/>
  <c r="N53" i="154" s="1"/>
  <c r="N54" i="154" s="1"/>
  <c r="O37" i="154"/>
  <c r="O38" i="154" s="1"/>
  <c r="O39" i="154" s="1"/>
  <c r="O40" i="154" s="1"/>
  <c r="O41" i="154" s="1"/>
  <c r="O42" i="154" s="1"/>
  <c r="O43" i="154" s="1"/>
  <c r="O44" i="154" s="1"/>
  <c r="O45" i="154" s="1"/>
  <c r="N63" i="151"/>
  <c r="N64" i="151" s="1"/>
  <c r="N65" i="151" s="1"/>
  <c r="N66" i="151" s="1"/>
  <c r="N67" i="151" s="1"/>
  <c r="N68" i="151" s="1"/>
  <c r="N69" i="151" s="1"/>
  <c r="N70" i="151" s="1"/>
  <c r="N71" i="151" s="1"/>
  <c r="N72" i="151" s="1"/>
  <c r="N73" i="151" s="1"/>
  <c r="N74" i="151" s="1"/>
  <c r="N75" i="151" s="1"/>
  <c r="N76" i="151" s="1"/>
  <c r="N77" i="151" s="1"/>
  <c r="O53" i="151"/>
  <c r="O54" i="151" s="1"/>
  <c r="O55" i="151" s="1"/>
  <c r="O56" i="151" s="1"/>
  <c r="O57" i="151" s="1"/>
  <c r="O58" i="151" s="1"/>
  <c r="O59" i="151" s="1"/>
  <c r="O60" i="151" s="1"/>
  <c r="O61" i="151" s="1"/>
  <c r="O62" i="151" s="1"/>
  <c r="E401" i="148"/>
  <c r="E411" i="148" s="1"/>
  <c r="F412" i="148"/>
  <c r="F426" i="148" s="1"/>
  <c r="O36" i="148"/>
  <c r="O37" i="148" s="1"/>
  <c r="O38" i="148" s="1"/>
  <c r="O39" i="148" s="1"/>
  <c r="O40" i="148" s="1"/>
  <c r="O41" i="148" s="1"/>
  <c r="O42" i="148" s="1"/>
  <c r="O43" i="148" s="1"/>
  <c r="O44" i="148" s="1"/>
  <c r="O45" i="148" s="1"/>
  <c r="O46" i="148" s="1"/>
  <c r="O47" i="148" s="1"/>
  <c r="O48" i="148" s="1"/>
  <c r="O49" i="148" s="1"/>
  <c r="O50" i="148" s="1"/>
  <c r="O51" i="148" s="1"/>
  <c r="O52" i="148" s="1"/>
  <c r="O53" i="148" s="1"/>
  <c r="O54" i="148" s="1"/>
  <c r="O55" i="148" s="1"/>
  <c r="O56" i="148" s="1"/>
  <c r="O57" i="148" s="1"/>
  <c r="O58" i="148" s="1"/>
  <c r="O59" i="148" s="1"/>
  <c r="O60" i="148" s="1"/>
  <c r="O61" i="148" s="1"/>
  <c r="O62" i="148" s="1"/>
  <c r="O63" i="148" s="1"/>
  <c r="N36" i="148"/>
  <c r="O370" i="148"/>
  <c r="F489" i="145"/>
  <c r="E489" i="145"/>
  <c r="E475" i="145"/>
  <c r="F475" i="145" s="1"/>
  <c r="F476" i="145"/>
  <c r="E479" i="145"/>
  <c r="F479" i="145" s="1"/>
  <c r="F480" i="145"/>
  <c r="E483" i="145"/>
  <c r="F483" i="145" s="1"/>
  <c r="F484" i="145"/>
  <c r="E487" i="145"/>
  <c r="F487" i="145" s="1"/>
  <c r="F488" i="145"/>
  <c r="E491" i="145"/>
  <c r="F491" i="145" s="1"/>
  <c r="F492" i="145"/>
  <c r="E495" i="145"/>
  <c r="F495" i="145" s="1"/>
  <c r="F496" i="145"/>
  <c r="E474" i="145"/>
  <c r="E485" i="145" s="1"/>
  <c r="B497" i="145"/>
  <c r="B485" i="145"/>
  <c r="J470" i="145"/>
  <c r="J458" i="145"/>
  <c r="M252" i="145"/>
  <c r="M251" i="145"/>
  <c r="M250" i="145"/>
  <c r="M249" i="145"/>
  <c r="M248" i="145"/>
  <c r="M247" i="145"/>
  <c r="M246" i="145"/>
  <c r="M245" i="145"/>
  <c r="M244" i="145"/>
  <c r="M243" i="145"/>
  <c r="M242" i="145"/>
  <c r="M241" i="145"/>
  <c r="J260" i="145"/>
  <c r="J279" i="145"/>
  <c r="M279" i="145"/>
  <c r="M278" i="145"/>
  <c r="M277" i="145"/>
  <c r="M276" i="145"/>
  <c r="M275" i="145"/>
  <c r="M274" i="145"/>
  <c r="M273" i="145"/>
  <c r="M272" i="145"/>
  <c r="M271" i="145"/>
  <c r="M270" i="145"/>
  <c r="M269" i="145"/>
  <c r="M268" i="145"/>
  <c r="M267" i="145"/>
  <c r="M266" i="145"/>
  <c r="M265" i="145"/>
  <c r="M264" i="145"/>
  <c r="M263" i="145"/>
  <c r="M262" i="145"/>
  <c r="M261" i="145"/>
  <c r="M260" i="145"/>
  <c r="M259" i="145"/>
  <c r="M258" i="145"/>
  <c r="M257" i="145"/>
  <c r="M256" i="145"/>
  <c r="M255" i="145"/>
  <c r="J297" i="145"/>
  <c r="M298" i="145"/>
  <c r="M297" i="145"/>
  <c r="M296" i="145"/>
  <c r="M295" i="145"/>
  <c r="M294" i="145"/>
  <c r="M293" i="145"/>
  <c r="M292" i="145"/>
  <c r="M291" i="145"/>
  <c r="M290" i="145"/>
  <c r="M289" i="145"/>
  <c r="M288" i="145"/>
  <c r="M287" i="145"/>
  <c r="M286" i="145"/>
  <c r="M285" i="145"/>
  <c r="M284" i="145"/>
  <c r="M283" i="145"/>
  <c r="M282" i="145"/>
  <c r="M307" i="145"/>
  <c r="M306" i="145"/>
  <c r="M305" i="145"/>
  <c r="M304" i="145"/>
  <c r="M303" i="145"/>
  <c r="M302" i="145"/>
  <c r="M301" i="145"/>
  <c r="J314" i="145"/>
  <c r="M329" i="145"/>
  <c r="M328" i="145"/>
  <c r="M327" i="145"/>
  <c r="M326" i="145"/>
  <c r="M325" i="145"/>
  <c r="M324" i="145"/>
  <c r="M323" i="145"/>
  <c r="M322" i="145"/>
  <c r="M321" i="145"/>
  <c r="M320" i="145"/>
  <c r="M319" i="145"/>
  <c r="M318" i="145"/>
  <c r="M317" i="145"/>
  <c r="M316" i="145"/>
  <c r="M315" i="145"/>
  <c r="M314" i="145"/>
  <c r="M313" i="145"/>
  <c r="M312" i="145"/>
  <c r="M311" i="145"/>
  <c r="M310" i="145"/>
  <c r="J333" i="145"/>
  <c r="J350" i="145"/>
  <c r="M360" i="145"/>
  <c r="M359" i="145"/>
  <c r="M358" i="145"/>
  <c r="M357" i="145"/>
  <c r="M356" i="145"/>
  <c r="M355" i="145"/>
  <c r="M354" i="145"/>
  <c r="M353" i="145"/>
  <c r="M352" i="145"/>
  <c r="M351" i="145"/>
  <c r="M350" i="145"/>
  <c r="M349" i="145"/>
  <c r="M348" i="145"/>
  <c r="M347" i="145"/>
  <c r="M346" i="145"/>
  <c r="M345" i="145"/>
  <c r="M344" i="145"/>
  <c r="M343" i="145"/>
  <c r="M342" i="145"/>
  <c r="M341" i="145"/>
  <c r="M340" i="145"/>
  <c r="M339" i="145"/>
  <c r="M338" i="145"/>
  <c r="M337" i="145"/>
  <c r="M336" i="145"/>
  <c r="M335" i="145"/>
  <c r="M334" i="145"/>
  <c r="M333" i="145"/>
  <c r="M332" i="145"/>
  <c r="J371" i="145"/>
  <c r="M386" i="145"/>
  <c r="M385" i="145"/>
  <c r="M384" i="145"/>
  <c r="M383" i="145"/>
  <c r="M382" i="145"/>
  <c r="M381" i="145"/>
  <c r="M380" i="145"/>
  <c r="M379" i="145"/>
  <c r="M378" i="145"/>
  <c r="M377" i="145"/>
  <c r="M376" i="145"/>
  <c r="M375" i="145"/>
  <c r="M374" i="145"/>
  <c r="M373" i="145"/>
  <c r="M372" i="145"/>
  <c r="M371" i="145"/>
  <c r="M370" i="145"/>
  <c r="M369" i="145"/>
  <c r="M368" i="145"/>
  <c r="M367" i="145"/>
  <c r="M366" i="145"/>
  <c r="M365" i="145"/>
  <c r="M364" i="145"/>
  <c r="M363" i="145"/>
  <c r="J410" i="145"/>
  <c r="J393" i="145"/>
  <c r="M411" i="145"/>
  <c r="M410" i="145"/>
  <c r="M409" i="145"/>
  <c r="M408" i="145"/>
  <c r="M407" i="145"/>
  <c r="M406" i="145"/>
  <c r="M405" i="145"/>
  <c r="M404" i="145"/>
  <c r="M403" i="145"/>
  <c r="M402" i="145"/>
  <c r="M401" i="145"/>
  <c r="M400" i="145"/>
  <c r="M399" i="145"/>
  <c r="M398" i="145"/>
  <c r="M397" i="145"/>
  <c r="M396" i="145"/>
  <c r="M395" i="145"/>
  <c r="M394" i="145"/>
  <c r="M393" i="145"/>
  <c r="M392" i="145"/>
  <c r="M391" i="145"/>
  <c r="M390" i="145"/>
  <c r="M389" i="145"/>
  <c r="M434" i="145"/>
  <c r="M433" i="145"/>
  <c r="M432" i="145"/>
  <c r="M431" i="145"/>
  <c r="M430" i="145"/>
  <c r="M429" i="145"/>
  <c r="M428" i="145"/>
  <c r="M427" i="145"/>
  <c r="M426" i="145"/>
  <c r="M425" i="145"/>
  <c r="M424" i="145"/>
  <c r="M423" i="145"/>
  <c r="M422" i="145"/>
  <c r="M421" i="145"/>
  <c r="M420" i="145"/>
  <c r="M419" i="145"/>
  <c r="M418" i="145"/>
  <c r="M417" i="145"/>
  <c r="M416" i="145"/>
  <c r="M415" i="145"/>
  <c r="M414" i="145"/>
  <c r="M413" i="145"/>
  <c r="M412" i="145"/>
  <c r="M388" i="145"/>
  <c r="M387" i="145"/>
  <c r="M362" i="145"/>
  <c r="M361" i="145"/>
  <c r="M331" i="145"/>
  <c r="M330" i="145"/>
  <c r="M309" i="145"/>
  <c r="M308" i="145"/>
  <c r="M300" i="145"/>
  <c r="M299" i="145"/>
  <c r="M281" i="145"/>
  <c r="M280" i="145"/>
  <c r="M254" i="145"/>
  <c r="M253" i="145"/>
  <c r="M239" i="145"/>
  <c r="M238" i="145"/>
  <c r="M237" i="145"/>
  <c r="M236" i="145"/>
  <c r="M235" i="145"/>
  <c r="M234" i="145"/>
  <c r="M233" i="145"/>
  <c r="M232" i="145"/>
  <c r="M231" i="145"/>
  <c r="M230" i="145"/>
  <c r="M229" i="145"/>
  <c r="M228" i="145"/>
  <c r="M227" i="145"/>
  <c r="M226" i="145"/>
  <c r="M225" i="145"/>
  <c r="M224" i="145"/>
  <c r="M223" i="145"/>
  <c r="M222" i="145"/>
  <c r="M221" i="145"/>
  <c r="M220" i="145"/>
  <c r="M219" i="145"/>
  <c r="M218" i="145"/>
  <c r="M217" i="145"/>
  <c r="M216" i="145"/>
  <c r="M215" i="145"/>
  <c r="M214" i="145"/>
  <c r="J222" i="145"/>
  <c r="J209" i="145"/>
  <c r="M211" i="145"/>
  <c r="M210" i="145"/>
  <c r="M209" i="145"/>
  <c r="M208" i="145"/>
  <c r="M207" i="145"/>
  <c r="M206" i="145"/>
  <c r="M205" i="145"/>
  <c r="M204" i="145"/>
  <c r="M203" i="145"/>
  <c r="M202" i="145"/>
  <c r="M201" i="145"/>
  <c r="M200" i="145"/>
  <c r="M199" i="145"/>
  <c r="M198" i="145"/>
  <c r="M197" i="145"/>
  <c r="M196" i="145"/>
  <c r="M195" i="145"/>
  <c r="M194" i="145"/>
  <c r="M193" i="145"/>
  <c r="M192" i="145"/>
  <c r="J189" i="145"/>
  <c r="M189" i="145"/>
  <c r="M188" i="145"/>
  <c r="M187" i="145"/>
  <c r="M186" i="145"/>
  <c r="M185" i="145"/>
  <c r="J241" i="145"/>
  <c r="J240" i="145"/>
  <c r="G241" i="145"/>
  <c r="F241" i="145"/>
  <c r="M213" i="145"/>
  <c r="M212" i="145"/>
  <c r="M191" i="145"/>
  <c r="M190" i="145"/>
  <c r="J175" i="145"/>
  <c r="M182" i="145"/>
  <c r="M181" i="145"/>
  <c r="M180" i="145"/>
  <c r="M179" i="145"/>
  <c r="M178" i="145"/>
  <c r="M177" i="145"/>
  <c r="M176" i="145"/>
  <c r="M175" i="145"/>
  <c r="M174" i="145"/>
  <c r="M173" i="145"/>
  <c r="M172" i="145"/>
  <c r="M171" i="145"/>
  <c r="M170" i="145"/>
  <c r="M169" i="145"/>
  <c r="J146" i="145"/>
  <c r="J160" i="145"/>
  <c r="M166" i="145"/>
  <c r="M165" i="145"/>
  <c r="M164" i="145"/>
  <c r="M163" i="145"/>
  <c r="M162" i="145"/>
  <c r="M161" i="145"/>
  <c r="M160" i="145"/>
  <c r="M159" i="145"/>
  <c r="M158" i="145"/>
  <c r="M157" i="145"/>
  <c r="M156" i="145"/>
  <c r="M155" i="145"/>
  <c r="M154" i="145"/>
  <c r="M153" i="145"/>
  <c r="M152" i="145"/>
  <c r="M151" i="145"/>
  <c r="M150" i="145"/>
  <c r="M149" i="145"/>
  <c r="M148" i="145"/>
  <c r="M147" i="145"/>
  <c r="M146" i="145"/>
  <c r="M145" i="145"/>
  <c r="M184" i="145"/>
  <c r="M183" i="145"/>
  <c r="M168" i="145"/>
  <c r="M167" i="145"/>
  <c r="J135" i="145"/>
  <c r="M140" i="145"/>
  <c r="M139" i="145"/>
  <c r="M138" i="145"/>
  <c r="M137" i="145"/>
  <c r="M136" i="145"/>
  <c r="M135" i="145"/>
  <c r="M134" i="145"/>
  <c r="M133" i="145"/>
  <c r="M132" i="145"/>
  <c r="M131" i="145"/>
  <c r="M142" i="145"/>
  <c r="M141" i="145"/>
  <c r="M144" i="145"/>
  <c r="M143" i="145"/>
  <c r="J84" i="145"/>
  <c r="M85" i="145"/>
  <c r="M84" i="145"/>
  <c r="M83" i="145"/>
  <c r="M82" i="145"/>
  <c r="M81" i="145"/>
  <c r="M80" i="145"/>
  <c r="M79" i="145"/>
  <c r="M78" i="145"/>
  <c r="M77" i="145"/>
  <c r="M76" i="145"/>
  <c r="J97" i="145"/>
  <c r="M104" i="145"/>
  <c r="M103" i="145"/>
  <c r="M102" i="145"/>
  <c r="M101" i="145"/>
  <c r="M100" i="145"/>
  <c r="M99" i="145"/>
  <c r="M98" i="145"/>
  <c r="M97" i="145"/>
  <c r="M96" i="145"/>
  <c r="M95" i="145"/>
  <c r="M94" i="145"/>
  <c r="M93" i="145"/>
  <c r="M92" i="145"/>
  <c r="M91" i="145"/>
  <c r="M90" i="145"/>
  <c r="M89" i="145"/>
  <c r="M88" i="145"/>
  <c r="J118" i="145"/>
  <c r="J108" i="145"/>
  <c r="M128" i="145"/>
  <c r="M127" i="145"/>
  <c r="M126" i="145"/>
  <c r="M125" i="145"/>
  <c r="M124" i="145"/>
  <c r="M123" i="145"/>
  <c r="M122" i="145"/>
  <c r="M121" i="145"/>
  <c r="M120" i="145"/>
  <c r="M119" i="145"/>
  <c r="M118" i="145"/>
  <c r="M117" i="145"/>
  <c r="M116" i="145"/>
  <c r="M115" i="145"/>
  <c r="M114" i="145"/>
  <c r="M113" i="145"/>
  <c r="M112" i="145"/>
  <c r="M111" i="145"/>
  <c r="M110" i="145"/>
  <c r="M109" i="145"/>
  <c r="M108" i="145"/>
  <c r="M107" i="145"/>
  <c r="M106" i="145"/>
  <c r="M130" i="145"/>
  <c r="M129" i="145"/>
  <c r="M105" i="145"/>
  <c r="M87" i="145"/>
  <c r="M86" i="145"/>
  <c r="J74" i="145"/>
  <c r="J61" i="145"/>
  <c r="M73" i="145"/>
  <c r="M72" i="145"/>
  <c r="M71" i="145"/>
  <c r="M70" i="145"/>
  <c r="M69" i="145"/>
  <c r="M68" i="145"/>
  <c r="M67" i="145"/>
  <c r="M66" i="145"/>
  <c r="M65" i="145"/>
  <c r="M64" i="145"/>
  <c r="M63" i="145"/>
  <c r="M62" i="145"/>
  <c r="M61" i="145"/>
  <c r="M60" i="145"/>
  <c r="M59" i="145"/>
  <c r="M58" i="145"/>
  <c r="M57" i="145"/>
  <c r="M56" i="145"/>
  <c r="M55" i="145"/>
  <c r="M54" i="145"/>
  <c r="M75" i="145"/>
  <c r="M74" i="145"/>
  <c r="G75" i="145"/>
  <c r="F75" i="145"/>
  <c r="F411" i="145"/>
  <c r="O446" i="145" s="1"/>
  <c r="F410" i="145"/>
  <c r="F394" i="145"/>
  <c r="F393" i="145"/>
  <c r="F372" i="145"/>
  <c r="F371" i="145"/>
  <c r="F351" i="145"/>
  <c r="F350" i="145"/>
  <c r="F333" i="145"/>
  <c r="F315" i="145"/>
  <c r="F314" i="145"/>
  <c r="F298" i="145"/>
  <c r="F297" i="145"/>
  <c r="F280" i="145"/>
  <c r="F279" i="145"/>
  <c r="F261" i="145"/>
  <c r="F260" i="145"/>
  <c r="F240" i="145"/>
  <c r="F223" i="145"/>
  <c r="F222" i="145"/>
  <c r="F210" i="145"/>
  <c r="F209" i="145"/>
  <c r="F190" i="145"/>
  <c r="F189" i="145"/>
  <c r="F176" i="145"/>
  <c r="F175" i="145"/>
  <c r="F161" i="145"/>
  <c r="F160" i="145"/>
  <c r="F146" i="145"/>
  <c r="F136" i="145"/>
  <c r="F135" i="145"/>
  <c r="F119" i="145"/>
  <c r="F118" i="145"/>
  <c r="F108" i="145"/>
  <c r="F98" i="145"/>
  <c r="F97" i="145"/>
  <c r="F84" i="145"/>
  <c r="F74" i="145"/>
  <c r="F62" i="145"/>
  <c r="F61" i="145"/>
  <c r="F51" i="145"/>
  <c r="F50" i="145"/>
  <c r="F39" i="145"/>
  <c r="F32" i="145"/>
  <c r="M53" i="145" s="1"/>
  <c r="F31" i="145"/>
  <c r="F21" i="145"/>
  <c r="F10" i="145"/>
  <c r="G411" i="145"/>
  <c r="N446" i="145" s="1"/>
  <c r="G410" i="145"/>
  <c r="G394" i="145"/>
  <c r="G393" i="145"/>
  <c r="G372" i="145"/>
  <c r="G371" i="145"/>
  <c r="G351" i="145"/>
  <c r="G350" i="145"/>
  <c r="G333" i="145"/>
  <c r="G315" i="145"/>
  <c r="G314" i="145"/>
  <c r="G298" i="145"/>
  <c r="G297" i="145"/>
  <c r="G280" i="145"/>
  <c r="G279" i="145"/>
  <c r="G261" i="145"/>
  <c r="G260" i="145"/>
  <c r="G240" i="145"/>
  <c r="G223" i="145"/>
  <c r="G222" i="145"/>
  <c r="G210" i="145"/>
  <c r="G209" i="145"/>
  <c r="G190" i="145"/>
  <c r="G189" i="145"/>
  <c r="G176" i="145"/>
  <c r="G175" i="145"/>
  <c r="G161" i="145"/>
  <c r="G160" i="145"/>
  <c r="G146" i="145"/>
  <c r="G136" i="145"/>
  <c r="G135" i="145"/>
  <c r="G119" i="145"/>
  <c r="G118" i="145"/>
  <c r="G108" i="145"/>
  <c r="G98" i="145"/>
  <c r="G97" i="145"/>
  <c r="G84" i="145"/>
  <c r="G74" i="145"/>
  <c r="G62" i="145"/>
  <c r="G61" i="145"/>
  <c r="G51" i="145"/>
  <c r="G50" i="145"/>
  <c r="G39" i="145"/>
  <c r="G32" i="145"/>
  <c r="G31" i="145"/>
  <c r="G21" i="145"/>
  <c r="G10" i="145"/>
  <c r="I443" i="145"/>
  <c r="N406" i="177" l="1"/>
  <c r="N407" i="177" s="1"/>
  <c r="N408" i="177" s="1"/>
  <c r="N409" i="177" s="1"/>
  <c r="N410" i="177" s="1"/>
  <c r="N411" i="177" s="1"/>
  <c r="N412" i="177" s="1"/>
  <c r="N413" i="177" s="1"/>
  <c r="N414" i="177" s="1"/>
  <c r="N415" i="177" s="1"/>
  <c r="L453" i="177"/>
  <c r="O452" i="177"/>
  <c r="F486" i="145"/>
  <c r="F497" i="145" s="1"/>
  <c r="E497" i="145"/>
  <c r="O191" i="157"/>
  <c r="O192" i="157" s="1"/>
  <c r="O193" i="157" s="1"/>
  <c r="O194" i="157" s="1"/>
  <c r="O195" i="157" s="1"/>
  <c r="O196" i="157" s="1"/>
  <c r="O197" i="157" s="1"/>
  <c r="O198" i="157" s="1"/>
  <c r="O199" i="157" s="1"/>
  <c r="O200" i="157" s="1"/>
  <c r="O201" i="157" s="1"/>
  <c r="N175" i="157"/>
  <c r="N176" i="157" s="1"/>
  <c r="N177" i="157" s="1"/>
  <c r="N178" i="157" s="1"/>
  <c r="N179" i="157" s="1"/>
  <c r="N180" i="157" s="1"/>
  <c r="N181" i="157" s="1"/>
  <c r="N182" i="157" s="1"/>
  <c r="N183" i="157" s="1"/>
  <c r="N184" i="157" s="1"/>
  <c r="N185" i="157" s="1"/>
  <c r="N186" i="157" s="1"/>
  <c r="N187" i="157" s="1"/>
  <c r="N188" i="157" s="1"/>
  <c r="N189" i="157" s="1"/>
  <c r="N190" i="157" s="1"/>
  <c r="N55" i="154"/>
  <c r="N56" i="154" s="1"/>
  <c r="N57" i="154" s="1"/>
  <c r="N58" i="154" s="1"/>
  <c r="N59" i="154" s="1"/>
  <c r="N60" i="154" s="1"/>
  <c r="N61" i="154" s="1"/>
  <c r="N62" i="154" s="1"/>
  <c r="N63" i="154" s="1"/>
  <c r="N64" i="154" s="1"/>
  <c r="N65" i="154" s="1"/>
  <c r="N66" i="154" s="1"/>
  <c r="N67" i="154" s="1"/>
  <c r="N68" i="154" s="1"/>
  <c r="N69" i="154" s="1"/>
  <c r="N70" i="154" s="1"/>
  <c r="N71" i="154" s="1"/>
  <c r="N72" i="154" s="1"/>
  <c r="N73" i="154" s="1"/>
  <c r="N74" i="154" s="1"/>
  <c r="N75" i="154" s="1"/>
  <c r="N76" i="154" s="1"/>
  <c r="N77" i="154" s="1"/>
  <c r="N78" i="154" s="1"/>
  <c r="N79" i="154" s="1"/>
  <c r="N80" i="154" s="1"/>
  <c r="N81" i="154" s="1"/>
  <c r="N82" i="154" s="1"/>
  <c r="N83" i="154" s="1"/>
  <c r="N84" i="154" s="1"/>
  <c r="N85" i="154" s="1"/>
  <c r="N86" i="154" s="1"/>
  <c r="N87" i="154" s="1"/>
  <c r="N88" i="154" s="1"/>
  <c r="O46" i="154"/>
  <c r="O47" i="154" s="1"/>
  <c r="O48" i="154" s="1"/>
  <c r="O49" i="154" s="1"/>
  <c r="O50" i="154" s="1"/>
  <c r="O51" i="154" s="1"/>
  <c r="O52" i="154" s="1"/>
  <c r="O53" i="154" s="1"/>
  <c r="O54" i="154" s="1"/>
  <c r="N78" i="151"/>
  <c r="N79" i="151" s="1"/>
  <c r="N80" i="151" s="1"/>
  <c r="N81" i="151" s="1"/>
  <c r="N82" i="151" s="1"/>
  <c r="N83" i="151" s="1"/>
  <c r="N84" i="151" s="1"/>
  <c r="N85" i="151" s="1"/>
  <c r="N86" i="151" s="1"/>
  <c r="N87" i="151" s="1"/>
  <c r="N88" i="151" s="1"/>
  <c r="N89" i="151" s="1"/>
  <c r="N90" i="151" s="1"/>
  <c r="N91" i="151" s="1"/>
  <c r="N92" i="151" s="1"/>
  <c r="N93" i="151" s="1"/>
  <c r="N94" i="151" s="1"/>
  <c r="N95" i="151" s="1"/>
  <c r="N96" i="151" s="1"/>
  <c r="N97" i="151" s="1"/>
  <c r="N98" i="151" s="1"/>
  <c r="N99" i="151" s="1"/>
  <c r="N100" i="151" s="1"/>
  <c r="N101" i="151" s="1"/>
  <c r="N102" i="151" s="1"/>
  <c r="N103" i="151" s="1"/>
  <c r="O63" i="151"/>
  <c r="O64" i="151" s="1"/>
  <c r="O65" i="151" s="1"/>
  <c r="O66" i="151" s="1"/>
  <c r="O67" i="151" s="1"/>
  <c r="O68" i="151" s="1"/>
  <c r="O69" i="151" s="1"/>
  <c r="O70" i="151" s="1"/>
  <c r="O71" i="151" s="1"/>
  <c r="O72" i="151" s="1"/>
  <c r="O73" i="151" s="1"/>
  <c r="O74" i="151" s="1"/>
  <c r="O75" i="151" s="1"/>
  <c r="O76" i="151" s="1"/>
  <c r="O77" i="151" s="1"/>
  <c r="F401" i="148"/>
  <c r="F411" i="148" s="1"/>
  <c r="O64" i="148"/>
  <c r="O65" i="148" s="1"/>
  <c r="O66" i="148" s="1"/>
  <c r="O67" i="148" s="1"/>
  <c r="O68" i="148" s="1"/>
  <c r="O69" i="148" s="1"/>
  <c r="O70" i="148" s="1"/>
  <c r="O71" i="148" s="1"/>
  <c r="O72" i="148" s="1"/>
  <c r="O73" i="148" s="1"/>
  <c r="O74" i="148" s="1"/>
  <c r="O75" i="148" s="1"/>
  <c r="N37" i="148"/>
  <c r="N38" i="148" s="1"/>
  <c r="N39" i="148" s="1"/>
  <c r="N40" i="148" s="1"/>
  <c r="N41" i="148" s="1"/>
  <c r="N42" i="148" s="1"/>
  <c r="N43" i="148" s="1"/>
  <c r="N44" i="148" s="1"/>
  <c r="N45" i="148" s="1"/>
  <c r="N46" i="148" s="1"/>
  <c r="N47" i="148" s="1"/>
  <c r="N48" i="148" s="1"/>
  <c r="N49" i="148" s="1"/>
  <c r="N50" i="148" s="1"/>
  <c r="N51" i="148" s="1"/>
  <c r="N52" i="148" s="1"/>
  <c r="N53" i="148" s="1"/>
  <c r="N54" i="148" s="1"/>
  <c r="N55" i="148" s="1"/>
  <c r="N56" i="148" s="1"/>
  <c r="N57" i="148" s="1"/>
  <c r="N58" i="148" s="1"/>
  <c r="N59" i="148" s="1"/>
  <c r="N60" i="148" s="1"/>
  <c r="N61" i="148" s="1"/>
  <c r="N62" i="148" s="1"/>
  <c r="N63" i="148" s="1"/>
  <c r="N64" i="148" s="1"/>
  <c r="F474" i="145"/>
  <c r="F485" i="145" s="1"/>
  <c r="N445" i="145"/>
  <c r="G443" i="145"/>
  <c r="G444" i="145" s="1"/>
  <c r="C443" i="145"/>
  <c r="N7" i="145"/>
  <c r="N8" i="145" s="1"/>
  <c r="N9" i="145" s="1"/>
  <c r="N10" i="145" s="1"/>
  <c r="N11" i="145" s="1"/>
  <c r="N12" i="145" s="1"/>
  <c r="N13" i="145" s="1"/>
  <c r="N14" i="145" s="1"/>
  <c r="N416" i="177" l="1"/>
  <c r="N417" i="177" s="1"/>
  <c r="O202" i="157"/>
  <c r="O203" i="157" s="1"/>
  <c r="O204" i="157" s="1"/>
  <c r="O205" i="157" s="1"/>
  <c r="O206" i="157" s="1"/>
  <c r="O207" i="157" s="1"/>
  <c r="O208" i="157" s="1"/>
  <c r="O209" i="157" s="1"/>
  <c r="O210" i="157" s="1"/>
  <c r="O211" i="157" s="1"/>
  <c r="O212" i="157" s="1"/>
  <c r="O213" i="157" s="1"/>
  <c r="O214" i="157" s="1"/>
  <c r="O215" i="157" s="1"/>
  <c r="O216" i="157" s="1"/>
  <c r="O217" i="157" s="1"/>
  <c r="O218" i="157" s="1"/>
  <c r="O219" i="157" s="1"/>
  <c r="N191" i="157"/>
  <c r="N192" i="157" s="1"/>
  <c r="N193" i="157" s="1"/>
  <c r="N194" i="157" s="1"/>
  <c r="N195" i="157" s="1"/>
  <c r="N196" i="157" s="1"/>
  <c r="N197" i="157" s="1"/>
  <c r="N198" i="157" s="1"/>
  <c r="N199" i="157" s="1"/>
  <c r="N200" i="157" s="1"/>
  <c r="N201" i="157" s="1"/>
  <c r="N202" i="157" s="1"/>
  <c r="N89" i="154"/>
  <c r="N90" i="154" s="1"/>
  <c r="N91" i="154" s="1"/>
  <c r="N92" i="154" s="1"/>
  <c r="N93" i="154" s="1"/>
  <c r="N94" i="154" s="1"/>
  <c r="N95" i="154" s="1"/>
  <c r="N96" i="154" s="1"/>
  <c r="N97" i="154" s="1"/>
  <c r="N98" i="154" s="1"/>
  <c r="N99" i="154" s="1"/>
  <c r="N100" i="154" s="1"/>
  <c r="N101" i="154" s="1"/>
  <c r="N102" i="154" s="1"/>
  <c r="N103" i="154" s="1"/>
  <c r="N104" i="154" s="1"/>
  <c r="N105" i="154" s="1"/>
  <c r="N106" i="154" s="1"/>
  <c r="N107" i="154" s="1"/>
  <c r="N108" i="154" s="1"/>
  <c r="N109" i="154" s="1"/>
  <c r="N110" i="154" s="1"/>
  <c r="N111" i="154" s="1"/>
  <c r="N112" i="154" s="1"/>
  <c r="N113" i="154" s="1"/>
  <c r="N114" i="154" s="1"/>
  <c r="N115" i="154" s="1"/>
  <c r="N116" i="154" s="1"/>
  <c r="N117" i="154" s="1"/>
  <c r="N118" i="154" s="1"/>
  <c r="O55" i="154"/>
  <c r="O56" i="154" s="1"/>
  <c r="O57" i="154" s="1"/>
  <c r="O58" i="154" s="1"/>
  <c r="O59" i="154" s="1"/>
  <c r="O60" i="154" s="1"/>
  <c r="O61" i="154" s="1"/>
  <c r="O62" i="154" s="1"/>
  <c r="O63" i="154" s="1"/>
  <c r="O64" i="154" s="1"/>
  <c r="O65" i="154" s="1"/>
  <c r="O66" i="154" s="1"/>
  <c r="O67" i="154" s="1"/>
  <c r="O68" i="154" s="1"/>
  <c r="O69" i="154" s="1"/>
  <c r="O70" i="154" s="1"/>
  <c r="O71" i="154" s="1"/>
  <c r="O72" i="154" s="1"/>
  <c r="O73" i="154" s="1"/>
  <c r="O74" i="154" s="1"/>
  <c r="O75" i="154" s="1"/>
  <c r="O76" i="154" s="1"/>
  <c r="O77" i="154" s="1"/>
  <c r="O78" i="154" s="1"/>
  <c r="O79" i="154" s="1"/>
  <c r="O80" i="154" s="1"/>
  <c r="O81" i="154" s="1"/>
  <c r="O82" i="154" s="1"/>
  <c r="O83" i="154" s="1"/>
  <c r="O84" i="154" s="1"/>
  <c r="O85" i="154" s="1"/>
  <c r="O86" i="154" s="1"/>
  <c r="O87" i="154" s="1"/>
  <c r="O88" i="154" s="1"/>
  <c r="N104" i="151"/>
  <c r="N105" i="151" s="1"/>
  <c r="N106" i="151" s="1"/>
  <c r="N107" i="151" s="1"/>
  <c r="N108" i="151" s="1"/>
  <c r="N109" i="151" s="1"/>
  <c r="N110" i="151" s="1"/>
  <c r="N111" i="151" s="1"/>
  <c r="N112" i="151" s="1"/>
  <c r="N113" i="151" s="1"/>
  <c r="N114" i="151" s="1"/>
  <c r="N115" i="151" s="1"/>
  <c r="N116" i="151" s="1"/>
  <c r="N117" i="151" s="1"/>
  <c r="N118" i="151" s="1"/>
  <c r="N119" i="151" s="1"/>
  <c r="N120" i="151" s="1"/>
  <c r="N121" i="151" s="1"/>
  <c r="N122" i="151" s="1"/>
  <c r="N123" i="151" s="1"/>
  <c r="N124" i="151" s="1"/>
  <c r="N125" i="151" s="1"/>
  <c r="N126" i="151" s="1"/>
  <c r="N127" i="151" s="1"/>
  <c r="N128" i="151" s="1"/>
  <c r="N129" i="151" s="1"/>
  <c r="N130" i="151" s="1"/>
  <c r="O78" i="151"/>
  <c r="O79" i="151" s="1"/>
  <c r="O80" i="151" s="1"/>
  <c r="O81" i="151" s="1"/>
  <c r="O82" i="151" s="1"/>
  <c r="O83" i="151" s="1"/>
  <c r="O84" i="151" s="1"/>
  <c r="O85" i="151" s="1"/>
  <c r="O86" i="151" s="1"/>
  <c r="O87" i="151" s="1"/>
  <c r="O88" i="151" s="1"/>
  <c r="O89" i="151" s="1"/>
  <c r="O90" i="151" s="1"/>
  <c r="O91" i="151" s="1"/>
  <c r="O92" i="151" s="1"/>
  <c r="O93" i="151" s="1"/>
  <c r="O94" i="151" s="1"/>
  <c r="O95" i="151" s="1"/>
  <c r="O96" i="151" s="1"/>
  <c r="O97" i="151" s="1"/>
  <c r="O98" i="151" s="1"/>
  <c r="O99" i="151" s="1"/>
  <c r="O100" i="151" s="1"/>
  <c r="O101" i="151" s="1"/>
  <c r="O102" i="151" s="1"/>
  <c r="O76" i="148"/>
  <c r="O77" i="148" s="1"/>
  <c r="O78" i="148" s="1"/>
  <c r="O79" i="148" s="1"/>
  <c r="O80" i="148" s="1"/>
  <c r="N65" i="148"/>
  <c r="N66" i="148" s="1"/>
  <c r="N67" i="148" s="1"/>
  <c r="N68" i="148" s="1"/>
  <c r="N69" i="148" s="1"/>
  <c r="N70" i="148" s="1"/>
  <c r="N71" i="148" s="1"/>
  <c r="N72" i="148" s="1"/>
  <c r="N73" i="148" s="1"/>
  <c r="N74" i="148" s="1"/>
  <c r="N75" i="148" s="1"/>
  <c r="L443" i="145"/>
  <c r="L444" i="145" s="1"/>
  <c r="N15" i="145"/>
  <c r="N16" i="145" s="1"/>
  <c r="N17" i="145" s="1"/>
  <c r="N18" i="145" s="1"/>
  <c r="O7" i="145"/>
  <c r="O8" i="145" s="1"/>
  <c r="O9" i="145" s="1"/>
  <c r="O10" i="145" s="1"/>
  <c r="O11" i="145" s="1"/>
  <c r="O12" i="145" s="1"/>
  <c r="O13" i="145" s="1"/>
  <c r="O14" i="145" s="1"/>
  <c r="E290" i="142"/>
  <c r="E289" i="142"/>
  <c r="F289" i="142" s="1"/>
  <c r="E288" i="142"/>
  <c r="E287" i="142"/>
  <c r="F287" i="142" s="1"/>
  <c r="G287" i="142" s="1"/>
  <c r="F286" i="142"/>
  <c r="E286" i="142"/>
  <c r="B299" i="142"/>
  <c r="B285" i="142"/>
  <c r="E292" i="142"/>
  <c r="F292" i="142" s="1"/>
  <c r="G292" i="142" s="1"/>
  <c r="E280" i="142"/>
  <c r="F280" i="142" s="1"/>
  <c r="G280" i="142" s="1"/>
  <c r="E283" i="142"/>
  <c r="F283" i="142" s="1"/>
  <c r="E274" i="142"/>
  <c r="F274" i="142" s="1"/>
  <c r="J271" i="142"/>
  <c r="J256" i="142"/>
  <c r="E275" i="142"/>
  <c r="F275" i="142" s="1"/>
  <c r="E276" i="142"/>
  <c r="F276" i="142" s="1"/>
  <c r="G276" i="142" s="1"/>
  <c r="E277" i="142"/>
  <c r="F277" i="142" s="1"/>
  <c r="E278" i="142"/>
  <c r="F278" i="142" s="1"/>
  <c r="E279" i="142"/>
  <c r="F279" i="142" s="1"/>
  <c r="E281" i="142"/>
  <c r="F281" i="142" s="1"/>
  <c r="G281" i="142" s="1"/>
  <c r="E282" i="142"/>
  <c r="F282" i="142" s="1"/>
  <c r="E284" i="142"/>
  <c r="F284" i="142" s="1"/>
  <c r="G284" i="142" s="1"/>
  <c r="E291" i="142"/>
  <c r="F291" i="142" s="1"/>
  <c r="G291" i="142" s="1"/>
  <c r="E293" i="142"/>
  <c r="F293" i="142" s="1"/>
  <c r="E294" i="142"/>
  <c r="F294" i="142" s="1"/>
  <c r="E295" i="142"/>
  <c r="F295" i="142" s="1"/>
  <c r="G295" i="142" s="1"/>
  <c r="E296" i="142"/>
  <c r="F296" i="142" s="1"/>
  <c r="G296" i="142" s="1"/>
  <c r="E297" i="142"/>
  <c r="F297" i="142" s="1"/>
  <c r="E298" i="142"/>
  <c r="F298" i="142" s="1"/>
  <c r="L242" i="142"/>
  <c r="I242" i="142"/>
  <c r="C242" i="142"/>
  <c r="O7" i="142" s="1"/>
  <c r="O8" i="142" s="1"/>
  <c r="O9" i="142" s="1"/>
  <c r="O10" i="142" s="1"/>
  <c r="O11" i="142" s="1"/>
  <c r="O12" i="142" s="1"/>
  <c r="O13" i="142" s="1"/>
  <c r="O14" i="142" s="1"/>
  <c r="O15" i="142" s="1"/>
  <c r="O16" i="142" s="1"/>
  <c r="O17" i="142" s="1"/>
  <c r="O18" i="142" s="1"/>
  <c r="O19" i="142" s="1"/>
  <c r="N7" i="142"/>
  <c r="N8" i="142" s="1"/>
  <c r="N9" i="142" s="1"/>
  <c r="N10" i="142" s="1"/>
  <c r="N11" i="142" s="1"/>
  <c r="F285" i="142" l="1"/>
  <c r="E299" i="142"/>
  <c r="N418" i="177"/>
  <c r="N419" i="177" s="1"/>
  <c r="N420" i="177" s="1"/>
  <c r="G286" i="142"/>
  <c r="E285" i="142"/>
  <c r="O220" i="157"/>
  <c r="O221" i="157" s="1"/>
  <c r="O222" i="157" s="1"/>
  <c r="O223" i="157" s="1"/>
  <c r="O224" i="157" s="1"/>
  <c r="O225" i="157" s="1"/>
  <c r="O226" i="157" s="1"/>
  <c r="O227" i="157" s="1"/>
  <c r="O228" i="157" s="1"/>
  <c r="O229" i="157" s="1"/>
  <c r="O230" i="157" s="1"/>
  <c r="O231" i="157" s="1"/>
  <c r="O232" i="157" s="1"/>
  <c r="O233" i="157" s="1"/>
  <c r="O234" i="157" s="1"/>
  <c r="O235" i="157" s="1"/>
  <c r="O236" i="157" s="1"/>
  <c r="O237" i="157" s="1"/>
  <c r="O238" i="157" s="1"/>
  <c r="O239" i="157" s="1"/>
  <c r="O240" i="157" s="1"/>
  <c r="O241" i="157" s="1"/>
  <c r="O242" i="157" s="1"/>
  <c r="O243" i="157" s="1"/>
  <c r="O244" i="157" s="1"/>
  <c r="O245" i="157" s="1"/>
  <c r="O246" i="157" s="1"/>
  <c r="O247" i="157" s="1"/>
  <c r="O248" i="157" s="1"/>
  <c r="O249" i="157" s="1"/>
  <c r="O250" i="157" s="1"/>
  <c r="O251" i="157" s="1"/>
  <c r="O252" i="157" s="1"/>
  <c r="O253" i="157" s="1"/>
  <c r="O254" i="157" s="1"/>
  <c r="O255" i="157" s="1"/>
  <c r="O256" i="157" s="1"/>
  <c r="O257" i="157" s="1"/>
  <c r="O258" i="157" s="1"/>
  <c r="O259" i="157" s="1"/>
  <c r="O260" i="157" s="1"/>
  <c r="O261" i="157" s="1"/>
  <c r="O262" i="157" s="1"/>
  <c r="O263" i="157" s="1"/>
  <c r="O264" i="157" s="1"/>
  <c r="O265" i="157" s="1"/>
  <c r="O266" i="157" s="1"/>
  <c r="O267" i="157" s="1"/>
  <c r="O268" i="157" s="1"/>
  <c r="O269" i="157" s="1"/>
  <c r="O270" i="157" s="1"/>
  <c r="O271" i="157" s="1"/>
  <c r="O272" i="157" s="1"/>
  <c r="O273" i="157" s="1"/>
  <c r="O274" i="157" s="1"/>
  <c r="O275" i="157" s="1"/>
  <c r="O276" i="157" s="1"/>
  <c r="O277" i="157" s="1"/>
  <c r="O278" i="157" s="1"/>
  <c r="O279" i="157" s="1"/>
  <c r="O280" i="157" s="1"/>
  <c r="O281" i="157" s="1"/>
  <c r="O282" i="157" s="1"/>
  <c r="O283" i="157" s="1"/>
  <c r="O284" i="157" s="1"/>
  <c r="O285" i="157" s="1"/>
  <c r="O286" i="157" s="1"/>
  <c r="O287" i="157" s="1"/>
  <c r="N203" i="157"/>
  <c r="N204" i="157" s="1"/>
  <c r="N205" i="157" s="1"/>
  <c r="N206" i="157" s="1"/>
  <c r="N207" i="157" s="1"/>
  <c r="N208" i="157" s="1"/>
  <c r="N209" i="157" s="1"/>
  <c r="N210" i="157" s="1"/>
  <c r="N211" i="157" s="1"/>
  <c r="N212" i="157" s="1"/>
  <c r="N213" i="157" s="1"/>
  <c r="N214" i="157" s="1"/>
  <c r="N215" i="157" s="1"/>
  <c r="N216" i="157" s="1"/>
  <c r="N217" i="157" s="1"/>
  <c r="N218" i="157" s="1"/>
  <c r="N219" i="157" s="1"/>
  <c r="N119" i="154"/>
  <c r="N120" i="154" s="1"/>
  <c r="N121" i="154" s="1"/>
  <c r="N122" i="154" s="1"/>
  <c r="N123" i="154" s="1"/>
  <c r="N124" i="154" s="1"/>
  <c r="N125" i="154" s="1"/>
  <c r="N126" i="154" s="1"/>
  <c r="N127" i="154" s="1"/>
  <c r="N128" i="154" s="1"/>
  <c r="N129" i="154" s="1"/>
  <c r="N130" i="154" s="1"/>
  <c r="N131" i="154" s="1"/>
  <c r="O89" i="154"/>
  <c r="O90" i="154" s="1"/>
  <c r="O91" i="154" s="1"/>
  <c r="O92" i="154" s="1"/>
  <c r="O93" i="154" s="1"/>
  <c r="O94" i="154" s="1"/>
  <c r="O95" i="154" s="1"/>
  <c r="O96" i="154" s="1"/>
  <c r="O97" i="154" s="1"/>
  <c r="O98" i="154" s="1"/>
  <c r="O99" i="154" s="1"/>
  <c r="O100" i="154" s="1"/>
  <c r="O101" i="154" s="1"/>
  <c r="O102" i="154" s="1"/>
  <c r="O103" i="154" s="1"/>
  <c r="O104" i="154" s="1"/>
  <c r="O105" i="154" s="1"/>
  <c r="O106" i="154" s="1"/>
  <c r="O107" i="154" s="1"/>
  <c r="O108" i="154" s="1"/>
  <c r="O109" i="154" s="1"/>
  <c r="O110" i="154" s="1"/>
  <c r="O111" i="154" s="1"/>
  <c r="O112" i="154" s="1"/>
  <c r="O113" i="154" s="1"/>
  <c r="O114" i="154" s="1"/>
  <c r="O115" i="154" s="1"/>
  <c r="O116" i="154" s="1"/>
  <c r="O117" i="154" s="1"/>
  <c r="O118" i="154" s="1"/>
  <c r="N131" i="151"/>
  <c r="O103" i="151"/>
  <c r="O104" i="151" s="1"/>
  <c r="O105" i="151" s="1"/>
  <c r="O106" i="151" s="1"/>
  <c r="O107" i="151" s="1"/>
  <c r="O108" i="151" s="1"/>
  <c r="O109" i="151" s="1"/>
  <c r="O110" i="151" s="1"/>
  <c r="O111" i="151" s="1"/>
  <c r="O112" i="151" s="1"/>
  <c r="O113" i="151" s="1"/>
  <c r="O114" i="151" s="1"/>
  <c r="O115" i="151" s="1"/>
  <c r="O116" i="151" s="1"/>
  <c r="O117" i="151" s="1"/>
  <c r="O118" i="151" s="1"/>
  <c r="O119" i="151" s="1"/>
  <c r="O120" i="151" s="1"/>
  <c r="O121" i="151" s="1"/>
  <c r="O122" i="151" s="1"/>
  <c r="O123" i="151" s="1"/>
  <c r="O124" i="151" s="1"/>
  <c r="O125" i="151" s="1"/>
  <c r="O126" i="151" s="1"/>
  <c r="O127" i="151" s="1"/>
  <c r="O128" i="151" s="1"/>
  <c r="O129" i="151" s="1"/>
  <c r="O81" i="148"/>
  <c r="O82" i="148" s="1"/>
  <c r="O83" i="148" s="1"/>
  <c r="O84" i="148" s="1"/>
  <c r="O85" i="148" s="1"/>
  <c r="O86" i="148" s="1"/>
  <c r="O87" i="148" s="1"/>
  <c r="O88" i="148" s="1"/>
  <c r="O89" i="148" s="1"/>
  <c r="O90" i="148" s="1"/>
  <c r="O91" i="148" s="1"/>
  <c r="O92" i="148" s="1"/>
  <c r="O93" i="148" s="1"/>
  <c r="O94" i="148" s="1"/>
  <c r="O95" i="148" s="1"/>
  <c r="O96" i="148" s="1"/>
  <c r="O97" i="148" s="1"/>
  <c r="O98" i="148" s="1"/>
  <c r="O99" i="148" s="1"/>
  <c r="O100" i="148" s="1"/>
  <c r="O101" i="148" s="1"/>
  <c r="O102" i="148" s="1"/>
  <c r="N76" i="148"/>
  <c r="N77" i="148" s="1"/>
  <c r="N78" i="148" s="1"/>
  <c r="N79" i="148" s="1"/>
  <c r="N80" i="148" s="1"/>
  <c r="O443" i="145"/>
  <c r="N19" i="145"/>
  <c r="N20" i="145" s="1"/>
  <c r="N21" i="145" s="1"/>
  <c r="N22" i="145" s="1"/>
  <c r="N23" i="145" s="1"/>
  <c r="N24" i="145" s="1"/>
  <c r="N25" i="145" s="1"/>
  <c r="N26" i="145" s="1"/>
  <c r="N27" i="145" s="1"/>
  <c r="N28" i="145" s="1"/>
  <c r="N29" i="145" s="1"/>
  <c r="N30" i="145" s="1"/>
  <c r="N31" i="145" s="1"/>
  <c r="N32" i="145" s="1"/>
  <c r="N33" i="145" s="1"/>
  <c r="N34" i="145" s="1"/>
  <c r="N35" i="145" s="1"/>
  <c r="N36" i="145" s="1"/>
  <c r="N37" i="145" s="1"/>
  <c r="N38" i="145" s="1"/>
  <c r="N39" i="145" s="1"/>
  <c r="N40" i="145" s="1"/>
  <c r="N41" i="145" s="1"/>
  <c r="N42" i="145" s="1"/>
  <c r="N43" i="145" s="1"/>
  <c r="N44" i="145" s="1"/>
  <c r="N45" i="145" s="1"/>
  <c r="N46" i="145" s="1"/>
  <c r="N47" i="145" s="1"/>
  <c r="N48" i="145" s="1"/>
  <c r="N49" i="145" s="1"/>
  <c r="N50" i="145" s="1"/>
  <c r="N51" i="145" s="1"/>
  <c r="O15" i="145"/>
  <c r="O16" i="145" s="1"/>
  <c r="O17" i="145" s="1"/>
  <c r="F288" i="142"/>
  <c r="G288" i="142" s="1"/>
  <c r="G289" i="142"/>
  <c r="F290" i="142"/>
  <c r="G290" i="142" s="1"/>
  <c r="G277" i="142"/>
  <c r="G297" i="142"/>
  <c r="G293" i="142"/>
  <c r="G282" i="142"/>
  <c r="G278" i="142"/>
  <c r="G274" i="142"/>
  <c r="G298" i="142"/>
  <c r="G294" i="142"/>
  <c r="G283" i="142"/>
  <c r="G279" i="142"/>
  <c r="G275" i="142"/>
  <c r="N12" i="142"/>
  <c r="N13" i="142" s="1"/>
  <c r="O20" i="142"/>
  <c r="O21" i="142" s="1"/>
  <c r="O22" i="142" s="1"/>
  <c r="O23" i="142" s="1"/>
  <c r="O24" i="142" s="1"/>
  <c r="O25" i="142" s="1"/>
  <c r="O26" i="142" s="1"/>
  <c r="L243" i="142"/>
  <c r="G242" i="142"/>
  <c r="D288" i="136"/>
  <c r="E288" i="136" s="1"/>
  <c r="N421" i="177" l="1"/>
  <c r="N422" i="177" s="1"/>
  <c r="F288" i="136"/>
  <c r="G288" i="136" s="1"/>
  <c r="G285" i="142"/>
  <c r="G299" i="142"/>
  <c r="F299" i="142"/>
  <c r="N220" i="157"/>
  <c r="N132" i="154"/>
  <c r="N133" i="154" s="1"/>
  <c r="N134" i="154" s="1"/>
  <c r="N135" i="154" s="1"/>
  <c r="N136" i="154" s="1"/>
  <c r="N137" i="154" s="1"/>
  <c r="N138" i="154" s="1"/>
  <c r="N139" i="154" s="1"/>
  <c r="N140" i="154" s="1"/>
  <c r="N141" i="154" s="1"/>
  <c r="N142" i="154" s="1"/>
  <c r="N143" i="154" s="1"/>
  <c r="O119" i="154"/>
  <c r="O120" i="154" s="1"/>
  <c r="O121" i="154" s="1"/>
  <c r="O122" i="154" s="1"/>
  <c r="O123" i="154" s="1"/>
  <c r="O124" i="154" s="1"/>
  <c r="O125" i="154" s="1"/>
  <c r="O126" i="154" s="1"/>
  <c r="O127" i="154" s="1"/>
  <c r="O128" i="154" s="1"/>
  <c r="O129" i="154" s="1"/>
  <c r="O130" i="154" s="1"/>
  <c r="O131" i="154" s="1"/>
  <c r="N132" i="151"/>
  <c r="N133" i="151" s="1"/>
  <c r="N134" i="151" s="1"/>
  <c r="N135" i="151" s="1"/>
  <c r="N136" i="151" s="1"/>
  <c r="N137" i="151" s="1"/>
  <c r="N138" i="151" s="1"/>
  <c r="N139" i="151" s="1"/>
  <c r="N140" i="151" s="1"/>
  <c r="N141" i="151" s="1"/>
  <c r="N142" i="151" s="1"/>
  <c r="N143" i="151" s="1"/>
  <c r="N144" i="151" s="1"/>
  <c r="O130" i="151"/>
  <c r="O131" i="151" s="1"/>
  <c r="O132" i="151" s="1"/>
  <c r="O133" i="151" s="1"/>
  <c r="O134" i="151" s="1"/>
  <c r="O135" i="151" s="1"/>
  <c r="O136" i="151" s="1"/>
  <c r="O137" i="151" s="1"/>
  <c r="O138" i="151" s="1"/>
  <c r="O139" i="151" s="1"/>
  <c r="O140" i="151" s="1"/>
  <c r="O141" i="151" s="1"/>
  <c r="O142" i="151" s="1"/>
  <c r="O143" i="151" s="1"/>
  <c r="O144" i="151" s="1"/>
  <c r="O103" i="148"/>
  <c r="O104" i="148" s="1"/>
  <c r="O105" i="148" s="1"/>
  <c r="O106" i="148" s="1"/>
  <c r="O107" i="148" s="1"/>
  <c r="O108" i="148" s="1"/>
  <c r="O109" i="148" s="1"/>
  <c r="O110" i="148" s="1"/>
  <c r="O111" i="148" s="1"/>
  <c r="O112" i="148" s="1"/>
  <c r="O113" i="148" s="1"/>
  <c r="N81" i="148"/>
  <c r="N82" i="148" s="1"/>
  <c r="N83" i="148" s="1"/>
  <c r="N84" i="148" s="1"/>
  <c r="N85" i="148" s="1"/>
  <c r="N86" i="148" s="1"/>
  <c r="N87" i="148" s="1"/>
  <c r="N88" i="148" s="1"/>
  <c r="N89" i="148" s="1"/>
  <c r="N90" i="148" s="1"/>
  <c r="N91" i="148" s="1"/>
  <c r="N92" i="148" s="1"/>
  <c r="N93" i="148" s="1"/>
  <c r="N94" i="148" s="1"/>
  <c r="N95" i="148" s="1"/>
  <c r="N96" i="148" s="1"/>
  <c r="N97" i="148" s="1"/>
  <c r="N98" i="148" s="1"/>
  <c r="N99" i="148" s="1"/>
  <c r="N100" i="148" s="1"/>
  <c r="N101" i="148" s="1"/>
  <c r="N102" i="148" s="1"/>
  <c r="N52" i="145"/>
  <c r="N53" i="145" s="1"/>
  <c r="N54" i="145" s="1"/>
  <c r="N55" i="145" s="1"/>
  <c r="N56" i="145" s="1"/>
  <c r="N57" i="145" s="1"/>
  <c r="N58" i="145" s="1"/>
  <c r="N59" i="145" s="1"/>
  <c r="N60" i="145" s="1"/>
  <c r="N61" i="145" s="1"/>
  <c r="N62" i="145" s="1"/>
  <c r="N63" i="145" s="1"/>
  <c r="N64" i="145" s="1"/>
  <c r="N65" i="145" s="1"/>
  <c r="N66" i="145" s="1"/>
  <c r="N67" i="145" s="1"/>
  <c r="N68" i="145" s="1"/>
  <c r="N69" i="145" s="1"/>
  <c r="N70" i="145" s="1"/>
  <c r="N71" i="145" s="1"/>
  <c r="N72" i="145" s="1"/>
  <c r="O18" i="145"/>
  <c r="O19" i="145" s="1"/>
  <c r="O20" i="145" s="1"/>
  <c r="O21" i="145" s="1"/>
  <c r="O22" i="145" s="1"/>
  <c r="O23" i="145" s="1"/>
  <c r="O24" i="145" s="1"/>
  <c r="O25" i="145" s="1"/>
  <c r="O26" i="145" s="1"/>
  <c r="O27" i="145" s="1"/>
  <c r="O28" i="145" s="1"/>
  <c r="O29" i="145" s="1"/>
  <c r="O30" i="145" s="1"/>
  <c r="O31" i="145" s="1"/>
  <c r="O32" i="145" s="1"/>
  <c r="O33" i="145" s="1"/>
  <c r="O34" i="145" s="1"/>
  <c r="O35" i="145" s="1"/>
  <c r="O36" i="145" s="1"/>
  <c r="O37" i="145" s="1"/>
  <c r="O38" i="145" s="1"/>
  <c r="O39" i="145" s="1"/>
  <c r="O40" i="145" s="1"/>
  <c r="O41" i="145" s="1"/>
  <c r="O42" i="145" s="1"/>
  <c r="O43" i="145" s="1"/>
  <c r="O44" i="145" s="1"/>
  <c r="O45" i="145" s="1"/>
  <c r="O46" i="145" s="1"/>
  <c r="O47" i="145" s="1"/>
  <c r="O48" i="145" s="1"/>
  <c r="O49" i="145" s="1"/>
  <c r="O50" i="145" s="1"/>
  <c r="O51" i="145" s="1"/>
  <c r="N14" i="142"/>
  <c r="N15" i="142" s="1"/>
  <c r="N16" i="142" s="1"/>
  <c r="N17" i="142" s="1"/>
  <c r="N18" i="142" s="1"/>
  <c r="N19" i="142" s="1"/>
  <c r="N20" i="142" s="1"/>
  <c r="N21" i="142" s="1"/>
  <c r="N22" i="142" s="1"/>
  <c r="N23" i="142" s="1"/>
  <c r="N24" i="142" s="1"/>
  <c r="N25" i="142" s="1"/>
  <c r="N26" i="142" s="1"/>
  <c r="N27" i="142" s="1"/>
  <c r="N28" i="142" s="1"/>
  <c r="O27" i="142"/>
  <c r="O28" i="142" s="1"/>
  <c r="O29" i="142" s="1"/>
  <c r="O30" i="142" s="1"/>
  <c r="O31" i="142" s="1"/>
  <c r="O242" i="142"/>
  <c r="G243" i="142"/>
  <c r="E253" i="139"/>
  <c r="F253" i="139" s="1"/>
  <c r="G253" i="139" s="1"/>
  <c r="E254" i="139"/>
  <c r="F254" i="139" s="1"/>
  <c r="E255" i="139"/>
  <c r="F255" i="139" s="1"/>
  <c r="E256" i="139"/>
  <c r="F256" i="139"/>
  <c r="E257" i="139"/>
  <c r="F257" i="139"/>
  <c r="G257" i="139" s="1"/>
  <c r="E258" i="139"/>
  <c r="F258" i="139" s="1"/>
  <c r="G258" i="139" s="1"/>
  <c r="E259" i="139"/>
  <c r="F259" i="139" s="1"/>
  <c r="E260" i="139"/>
  <c r="F260" i="139" s="1"/>
  <c r="E252" i="139"/>
  <c r="F252" i="139" s="1"/>
  <c r="E242" i="139"/>
  <c r="E243" i="139"/>
  <c r="F243" i="139" s="1"/>
  <c r="G243" i="139" s="1"/>
  <c r="E244" i="139"/>
  <c r="F244" i="139"/>
  <c r="E245" i="139"/>
  <c r="F245" i="139" s="1"/>
  <c r="E246" i="139"/>
  <c r="F246" i="139" s="1"/>
  <c r="E247" i="139"/>
  <c r="F247" i="139" s="1"/>
  <c r="G247" i="139" s="1"/>
  <c r="E248" i="139"/>
  <c r="F248" i="139" s="1"/>
  <c r="G248" i="139" s="1"/>
  <c r="E241" i="139"/>
  <c r="F241" i="139" s="1"/>
  <c r="B261" i="139"/>
  <c r="J225" i="139"/>
  <c r="J237" i="139"/>
  <c r="B249" i="139"/>
  <c r="D250" i="139"/>
  <c r="E250" i="139" s="1"/>
  <c r="D251" i="139"/>
  <c r="E251" i="139" s="1"/>
  <c r="F251" i="139" s="1"/>
  <c r="O242" i="136"/>
  <c r="N241" i="136"/>
  <c r="G244" i="139" l="1"/>
  <c r="G254" i="139"/>
  <c r="F250" i="139"/>
  <c r="F261" i="139" s="1"/>
  <c r="E261" i="139"/>
  <c r="E249" i="139"/>
  <c r="G260" i="139"/>
  <c r="G246" i="139"/>
  <c r="F242" i="139"/>
  <c r="G242" i="139" s="1"/>
  <c r="G256" i="139"/>
  <c r="N221" i="157"/>
  <c r="N222" i="157" s="1"/>
  <c r="N223" i="157" s="1"/>
  <c r="N224" i="157" s="1"/>
  <c r="N225" i="157" s="1"/>
  <c r="N226" i="157" s="1"/>
  <c r="N227" i="157" s="1"/>
  <c r="N228" i="157" s="1"/>
  <c r="N229" i="157" s="1"/>
  <c r="N230" i="157" s="1"/>
  <c r="N231" i="157" s="1"/>
  <c r="N232" i="157" s="1"/>
  <c r="N233" i="157" s="1"/>
  <c r="N234" i="157" s="1"/>
  <c r="N235" i="157" s="1"/>
  <c r="N236" i="157" s="1"/>
  <c r="N237" i="157" s="1"/>
  <c r="N238" i="157" s="1"/>
  <c r="N239" i="157" s="1"/>
  <c r="N240" i="157" s="1"/>
  <c r="N241" i="157" s="1"/>
  <c r="N242" i="157" s="1"/>
  <c r="N144" i="154"/>
  <c r="N145" i="154" s="1"/>
  <c r="N146" i="154" s="1"/>
  <c r="N147" i="154" s="1"/>
  <c r="N148" i="154" s="1"/>
  <c r="N149" i="154" s="1"/>
  <c r="N150" i="154" s="1"/>
  <c r="N151" i="154" s="1"/>
  <c r="N152" i="154" s="1"/>
  <c r="N153" i="154" s="1"/>
  <c r="N154" i="154" s="1"/>
  <c r="N155" i="154" s="1"/>
  <c r="N156" i="154" s="1"/>
  <c r="N157" i="154" s="1"/>
  <c r="N158" i="154" s="1"/>
  <c r="N159" i="154" s="1"/>
  <c r="N160" i="154" s="1"/>
  <c r="N161" i="154" s="1"/>
  <c r="N162" i="154" s="1"/>
  <c r="O132" i="154"/>
  <c r="O133" i="154" s="1"/>
  <c r="O134" i="154" s="1"/>
  <c r="O135" i="154" s="1"/>
  <c r="O136" i="154" s="1"/>
  <c r="O137" i="154" s="1"/>
  <c r="O138" i="154" s="1"/>
  <c r="O139" i="154" s="1"/>
  <c r="O140" i="154" s="1"/>
  <c r="O141" i="154" s="1"/>
  <c r="O142" i="154" s="1"/>
  <c r="O143" i="154" s="1"/>
  <c r="O145" i="151"/>
  <c r="O146" i="151" s="1"/>
  <c r="O147" i="151" s="1"/>
  <c r="O148" i="151" s="1"/>
  <c r="O149" i="151" s="1"/>
  <c r="O150" i="151" s="1"/>
  <c r="O151" i="151" s="1"/>
  <c r="O152" i="151" s="1"/>
  <c r="O153" i="151" s="1"/>
  <c r="O154" i="151" s="1"/>
  <c r="O155" i="151" s="1"/>
  <c r="O156" i="151" s="1"/>
  <c r="O157" i="151" s="1"/>
  <c r="O158" i="151" s="1"/>
  <c r="O159" i="151" s="1"/>
  <c r="O160" i="151" s="1"/>
  <c r="O161" i="151" s="1"/>
  <c r="O162" i="151" s="1"/>
  <c r="O163" i="151" s="1"/>
  <c r="O164" i="151" s="1"/>
  <c r="O165" i="151" s="1"/>
  <c r="O166" i="151" s="1"/>
  <c r="O167" i="151" s="1"/>
  <c r="O168" i="151" s="1"/>
  <c r="O169" i="151" s="1"/>
  <c r="O170" i="151" s="1"/>
  <c r="N145" i="151"/>
  <c r="N146" i="151" s="1"/>
  <c r="N147" i="151" s="1"/>
  <c r="N148" i="151" s="1"/>
  <c r="N149" i="151" s="1"/>
  <c r="N150" i="151" s="1"/>
  <c r="N151" i="151" s="1"/>
  <c r="N152" i="151" s="1"/>
  <c r="N153" i="151" s="1"/>
  <c r="N154" i="151" s="1"/>
  <c r="N155" i="151" s="1"/>
  <c r="N156" i="151" s="1"/>
  <c r="N157" i="151" s="1"/>
  <c r="N158" i="151" s="1"/>
  <c r="N159" i="151" s="1"/>
  <c r="N160" i="151" s="1"/>
  <c r="N161" i="151" s="1"/>
  <c r="N162" i="151" s="1"/>
  <c r="N163" i="151" s="1"/>
  <c r="N164" i="151" s="1"/>
  <c r="N165" i="151" s="1"/>
  <c r="N166" i="151" s="1"/>
  <c r="N167" i="151" s="1"/>
  <c r="N168" i="151" s="1"/>
  <c r="N169" i="151" s="1"/>
  <c r="N170" i="151" s="1"/>
  <c r="O114" i="148"/>
  <c r="O115" i="148" s="1"/>
  <c r="O116" i="148" s="1"/>
  <c r="O117" i="148" s="1"/>
  <c r="O118" i="148" s="1"/>
  <c r="O119" i="148" s="1"/>
  <c r="O120" i="148" s="1"/>
  <c r="N103" i="148"/>
  <c r="N104" i="148" s="1"/>
  <c r="N105" i="148" s="1"/>
  <c r="N106" i="148" s="1"/>
  <c r="N107" i="148" s="1"/>
  <c r="N108" i="148" s="1"/>
  <c r="N109" i="148" s="1"/>
  <c r="N110" i="148" s="1"/>
  <c r="N111" i="148" s="1"/>
  <c r="N112" i="148" s="1"/>
  <c r="N113" i="148" s="1"/>
  <c r="N114" i="148" s="1"/>
  <c r="N73" i="145"/>
  <c r="N74" i="145" s="1"/>
  <c r="O52" i="145"/>
  <c r="O53" i="145" s="1"/>
  <c r="O54" i="145" s="1"/>
  <c r="O55" i="145" s="1"/>
  <c r="O56" i="145" s="1"/>
  <c r="O57" i="145" s="1"/>
  <c r="O58" i="145" s="1"/>
  <c r="O59" i="145" s="1"/>
  <c r="O60" i="145" s="1"/>
  <c r="O61" i="145" s="1"/>
  <c r="O62" i="145" s="1"/>
  <c r="O63" i="145" s="1"/>
  <c r="O64" i="145" s="1"/>
  <c r="O65" i="145" s="1"/>
  <c r="O66" i="145" s="1"/>
  <c r="O67" i="145" s="1"/>
  <c r="O68" i="145" s="1"/>
  <c r="O69" i="145" s="1"/>
  <c r="O70" i="145" s="1"/>
  <c r="O71" i="145" s="1"/>
  <c r="O72" i="145" s="1"/>
  <c r="N29" i="142"/>
  <c r="N30" i="142" s="1"/>
  <c r="N31" i="142" s="1"/>
  <c r="N32" i="142" s="1"/>
  <c r="O32" i="142"/>
  <c r="O33" i="142" s="1"/>
  <c r="O34" i="142" s="1"/>
  <c r="O35" i="142" s="1"/>
  <c r="O36" i="142" s="1"/>
  <c r="O37" i="142" s="1"/>
  <c r="O38" i="142" s="1"/>
  <c r="O39" i="142" s="1"/>
  <c r="O40" i="142" s="1"/>
  <c r="O41" i="142" s="1"/>
  <c r="O42" i="142" s="1"/>
  <c r="O43" i="142" s="1"/>
  <c r="G259" i="139"/>
  <c r="G255" i="139"/>
  <c r="G245" i="139"/>
  <c r="G252" i="139"/>
  <c r="G251" i="139"/>
  <c r="G250" i="139"/>
  <c r="G241" i="139"/>
  <c r="N217" i="139"/>
  <c r="N216" i="139"/>
  <c r="O217" i="139"/>
  <c r="O216" i="139"/>
  <c r="L214" i="139"/>
  <c r="I214" i="139"/>
  <c r="C214" i="139"/>
  <c r="O7" i="139" s="1"/>
  <c r="O8" i="139" s="1"/>
  <c r="O9" i="139" s="1"/>
  <c r="O10" i="139" s="1"/>
  <c r="O11" i="139" s="1"/>
  <c r="O12" i="139" s="1"/>
  <c r="O13" i="139" s="1"/>
  <c r="O14" i="139" s="1"/>
  <c r="O15" i="139" s="1"/>
  <c r="O16" i="139" s="1"/>
  <c r="O17" i="139" s="1"/>
  <c r="N7" i="139"/>
  <c r="N8" i="139" s="1"/>
  <c r="N9" i="139" s="1"/>
  <c r="N10" i="139" s="1"/>
  <c r="N11" i="139" s="1"/>
  <c r="N12" i="139" s="1"/>
  <c r="O423" i="177" l="1"/>
  <c r="O424" i="177" s="1"/>
  <c r="O425" i="177" s="1"/>
  <c r="O426" i="177" s="1"/>
  <c r="O427" i="177" s="1"/>
  <c r="O428" i="177" s="1"/>
  <c r="O429" i="177" s="1"/>
  <c r="O430" i="177" s="1"/>
  <c r="O431" i="177" s="1"/>
  <c r="O432" i="177" s="1"/>
  <c r="O433" i="177" s="1"/>
  <c r="O434" i="177" s="1"/>
  <c r="O435" i="177" s="1"/>
  <c r="O436" i="177" s="1"/>
  <c r="O437" i="177" s="1"/>
  <c r="O438" i="177" s="1"/>
  <c r="O439" i="177" s="1"/>
  <c r="O440" i="177" s="1"/>
  <c r="O441" i="177" s="1"/>
  <c r="O442" i="177" s="1"/>
  <c r="O443" i="177" s="1"/>
  <c r="O444" i="177" s="1"/>
  <c r="O445" i="177" s="1"/>
  <c r="O446" i="177" s="1"/>
  <c r="O447" i="177" s="1"/>
  <c r="O448" i="177" s="1"/>
  <c r="O449" i="177" s="1"/>
  <c r="O450" i="177" s="1"/>
  <c r="O451" i="177" s="1"/>
  <c r="N423" i="177"/>
  <c r="N424" i="177" s="1"/>
  <c r="N425" i="177" s="1"/>
  <c r="N426" i="177" s="1"/>
  <c r="N427" i="177" s="1"/>
  <c r="N428" i="177" s="1"/>
  <c r="N429" i="177" s="1"/>
  <c r="N430" i="177" s="1"/>
  <c r="N431" i="177" s="1"/>
  <c r="N432" i="177" s="1"/>
  <c r="N433" i="177" s="1"/>
  <c r="N434" i="177" s="1"/>
  <c r="N435" i="177" s="1"/>
  <c r="N436" i="177" s="1"/>
  <c r="N437" i="177" s="1"/>
  <c r="N438" i="177" s="1"/>
  <c r="N439" i="177" s="1"/>
  <c r="N440" i="177" s="1"/>
  <c r="N441" i="177" s="1"/>
  <c r="N442" i="177" s="1"/>
  <c r="N443" i="177" s="1"/>
  <c r="N444" i="177" s="1"/>
  <c r="N445" i="177" s="1"/>
  <c r="N446" i="177" s="1"/>
  <c r="N447" i="177" s="1"/>
  <c r="N448" i="177" s="1"/>
  <c r="N449" i="177" s="1"/>
  <c r="N450" i="177" s="1"/>
  <c r="N451" i="177" s="1"/>
  <c r="N453" i="177" s="1"/>
  <c r="O463" i="177" s="1"/>
  <c r="O464" i="177" s="1"/>
  <c r="G249" i="139"/>
  <c r="F249" i="139"/>
  <c r="G261" i="139"/>
  <c r="N243" i="157"/>
  <c r="N244" i="157" s="1"/>
  <c r="N245" i="157" s="1"/>
  <c r="N246" i="157" s="1"/>
  <c r="N247" i="157" s="1"/>
  <c r="N248" i="157" s="1"/>
  <c r="N249" i="157" s="1"/>
  <c r="N250" i="157" s="1"/>
  <c r="N251" i="157" s="1"/>
  <c r="N252" i="157" s="1"/>
  <c r="N253" i="157" s="1"/>
  <c r="N254" i="157" s="1"/>
  <c r="N255" i="157" s="1"/>
  <c r="N256" i="157" s="1"/>
  <c r="N257" i="157" s="1"/>
  <c r="N258" i="157" s="1"/>
  <c r="N259" i="157" s="1"/>
  <c r="N260" i="157" s="1"/>
  <c r="N261" i="157" s="1"/>
  <c r="N262" i="157" s="1"/>
  <c r="N263" i="157" s="1"/>
  <c r="N264" i="157" s="1"/>
  <c r="N265" i="157" s="1"/>
  <c r="N266" i="157" s="1"/>
  <c r="N267" i="157" s="1"/>
  <c r="N268" i="157" s="1"/>
  <c r="N269" i="157" s="1"/>
  <c r="N270" i="157" s="1"/>
  <c r="N271" i="157" s="1"/>
  <c r="N272" i="157" s="1"/>
  <c r="N273" i="157" s="1"/>
  <c r="N274" i="157" s="1"/>
  <c r="N275" i="157" s="1"/>
  <c r="N276" i="157" s="1"/>
  <c r="N277" i="157" s="1"/>
  <c r="N278" i="157" s="1"/>
  <c r="N279" i="157" s="1"/>
  <c r="N280" i="157" s="1"/>
  <c r="N281" i="157" s="1"/>
  <c r="N282" i="157" s="1"/>
  <c r="N283" i="157" s="1"/>
  <c r="N284" i="157" s="1"/>
  <c r="N285" i="157" s="1"/>
  <c r="N286" i="157" s="1"/>
  <c r="N287" i="157" s="1"/>
  <c r="N289" i="157" s="1"/>
  <c r="O296" i="157" s="1"/>
  <c r="O297" i="157" s="1"/>
  <c r="N163" i="154"/>
  <c r="N164" i="154" s="1"/>
  <c r="N165" i="154" s="1"/>
  <c r="N166" i="154" s="1"/>
  <c r="N167" i="154" s="1"/>
  <c r="N168" i="154" s="1"/>
  <c r="N169" i="154" s="1"/>
  <c r="O144" i="154"/>
  <c r="O145" i="154" s="1"/>
  <c r="O146" i="154" s="1"/>
  <c r="O147" i="154" s="1"/>
  <c r="O148" i="154" s="1"/>
  <c r="O149" i="154" s="1"/>
  <c r="O150" i="154" s="1"/>
  <c r="O151" i="154" s="1"/>
  <c r="O152" i="154" s="1"/>
  <c r="O153" i="154" s="1"/>
  <c r="O154" i="154" s="1"/>
  <c r="O155" i="154" s="1"/>
  <c r="O156" i="154" s="1"/>
  <c r="O157" i="154" s="1"/>
  <c r="O158" i="154" s="1"/>
  <c r="O159" i="154" s="1"/>
  <c r="O160" i="154" s="1"/>
  <c r="O161" i="154" s="1"/>
  <c r="O162" i="154" s="1"/>
  <c r="N171" i="151"/>
  <c r="N172" i="151" s="1"/>
  <c r="N173" i="151" s="1"/>
  <c r="N174" i="151" s="1"/>
  <c r="N175" i="151" s="1"/>
  <c r="N176" i="151" s="1"/>
  <c r="N177" i="151" s="1"/>
  <c r="N178" i="151" s="1"/>
  <c r="N179" i="151" s="1"/>
  <c r="N180" i="151" s="1"/>
  <c r="N181" i="151" s="1"/>
  <c r="N182" i="151" s="1"/>
  <c r="N183" i="151" s="1"/>
  <c r="N184" i="151" s="1"/>
  <c r="N185" i="151" s="1"/>
  <c r="N186" i="151" s="1"/>
  <c r="N187" i="151" s="1"/>
  <c r="N188" i="151" s="1"/>
  <c r="N189" i="151" s="1"/>
  <c r="N190" i="151" s="1"/>
  <c r="N191" i="151" s="1"/>
  <c r="N192" i="151" s="1"/>
  <c r="N193" i="151" s="1"/>
  <c r="N194" i="151" s="1"/>
  <c r="N195" i="151" s="1"/>
  <c r="N196" i="151" s="1"/>
  <c r="N197" i="151" s="1"/>
  <c r="N198" i="151" s="1"/>
  <c r="N199" i="151" s="1"/>
  <c r="N200" i="151" s="1"/>
  <c r="N201" i="151" s="1"/>
  <c r="N202" i="151" s="1"/>
  <c r="N203" i="151" s="1"/>
  <c r="O171" i="151"/>
  <c r="O172" i="151" s="1"/>
  <c r="O173" i="151" s="1"/>
  <c r="O174" i="151" s="1"/>
  <c r="O175" i="151" s="1"/>
  <c r="O176" i="151" s="1"/>
  <c r="O177" i="151" s="1"/>
  <c r="O178" i="151" s="1"/>
  <c r="O179" i="151" s="1"/>
  <c r="O180" i="151" s="1"/>
  <c r="O181" i="151" s="1"/>
  <c r="O182" i="151" s="1"/>
  <c r="O183" i="151" s="1"/>
  <c r="O184" i="151" s="1"/>
  <c r="O185" i="151" s="1"/>
  <c r="O186" i="151" s="1"/>
  <c r="O187" i="151" s="1"/>
  <c r="O188" i="151" s="1"/>
  <c r="O189" i="151" s="1"/>
  <c r="O190" i="151" s="1"/>
  <c r="O191" i="151" s="1"/>
  <c r="O192" i="151" s="1"/>
  <c r="O193" i="151" s="1"/>
  <c r="O194" i="151" s="1"/>
  <c r="O195" i="151" s="1"/>
  <c r="O196" i="151" s="1"/>
  <c r="O197" i="151" s="1"/>
  <c r="O198" i="151" s="1"/>
  <c r="O199" i="151" s="1"/>
  <c r="O200" i="151" s="1"/>
  <c r="O201" i="151" s="1"/>
  <c r="O202" i="151" s="1"/>
  <c r="O121" i="148"/>
  <c r="O122" i="148" s="1"/>
  <c r="O123" i="148" s="1"/>
  <c r="O124" i="148" s="1"/>
  <c r="O125" i="148" s="1"/>
  <c r="O126" i="148" s="1"/>
  <c r="O127" i="148" s="1"/>
  <c r="O128" i="148" s="1"/>
  <c r="O129" i="148" s="1"/>
  <c r="O130" i="148" s="1"/>
  <c r="O131" i="148" s="1"/>
  <c r="O132" i="148" s="1"/>
  <c r="O133" i="148" s="1"/>
  <c r="N115" i="148"/>
  <c r="N116" i="148" s="1"/>
  <c r="N117" i="148" s="1"/>
  <c r="N118" i="148" s="1"/>
  <c r="N119" i="148" s="1"/>
  <c r="N120" i="148" s="1"/>
  <c r="N121" i="148" s="1"/>
  <c r="N75" i="145"/>
  <c r="N76" i="145" s="1"/>
  <c r="N77" i="145" s="1"/>
  <c r="N78" i="145" s="1"/>
  <c r="N79" i="145" s="1"/>
  <c r="N80" i="145" s="1"/>
  <c r="N81" i="145" s="1"/>
  <c r="N82" i="145" s="1"/>
  <c r="N83" i="145" s="1"/>
  <c r="N84" i="145" s="1"/>
  <c r="N85" i="145" s="1"/>
  <c r="O73" i="145"/>
  <c r="O74" i="145" s="1"/>
  <c r="O75" i="145" s="1"/>
  <c r="O76" i="145" s="1"/>
  <c r="O77" i="145" s="1"/>
  <c r="O78" i="145" s="1"/>
  <c r="O79" i="145" s="1"/>
  <c r="O80" i="145" s="1"/>
  <c r="O81" i="145" s="1"/>
  <c r="O82" i="145" s="1"/>
  <c r="O83" i="145" s="1"/>
  <c r="O84" i="145" s="1"/>
  <c r="O85" i="145" s="1"/>
  <c r="N33" i="142"/>
  <c r="N34" i="142" s="1"/>
  <c r="N35" i="142" s="1"/>
  <c r="N36" i="142" s="1"/>
  <c r="N37" i="142" s="1"/>
  <c r="N38" i="142" s="1"/>
  <c r="N39" i="142" s="1"/>
  <c r="N40" i="142" s="1"/>
  <c r="N41" i="142" s="1"/>
  <c r="N42" i="142" s="1"/>
  <c r="N43" i="142" s="1"/>
  <c r="N44" i="142" s="1"/>
  <c r="N45" i="142" s="1"/>
  <c r="N46" i="142" s="1"/>
  <c r="N47" i="142" s="1"/>
  <c r="N48" i="142" s="1"/>
  <c r="N49" i="142" s="1"/>
  <c r="N50" i="142" s="1"/>
  <c r="N51" i="142" s="1"/>
  <c r="O44" i="142"/>
  <c r="O45" i="142" s="1"/>
  <c r="O46" i="142" s="1"/>
  <c r="O47" i="142" s="1"/>
  <c r="O48" i="142" s="1"/>
  <c r="O49" i="142" s="1"/>
  <c r="O50" i="142" s="1"/>
  <c r="O51" i="142" s="1"/>
  <c r="N13" i="139"/>
  <c r="N14" i="139" s="1"/>
  <c r="N15" i="139" s="1"/>
  <c r="N16" i="139" s="1"/>
  <c r="N17" i="139" s="1"/>
  <c r="N18" i="139" s="1"/>
  <c r="N19" i="139" s="1"/>
  <c r="N20" i="139" s="1"/>
  <c r="N21" i="139" s="1"/>
  <c r="N22" i="139" s="1"/>
  <c r="N23" i="139" s="1"/>
  <c r="N24" i="139" s="1"/>
  <c r="N25" i="139" s="1"/>
  <c r="O18" i="139"/>
  <c r="O19" i="139" s="1"/>
  <c r="G214" i="139"/>
  <c r="L215" i="139"/>
  <c r="N384" i="160" l="1"/>
  <c r="N386" i="160" s="1"/>
  <c r="O393" i="160" s="1"/>
  <c r="O394" i="160" s="1"/>
  <c r="N170" i="154"/>
  <c r="N171" i="154" s="1"/>
  <c r="N172" i="154" s="1"/>
  <c r="N173" i="154" s="1"/>
  <c r="N174" i="154" s="1"/>
  <c r="N175" i="154" s="1"/>
  <c r="N176" i="154" s="1"/>
  <c r="N177" i="154" s="1"/>
  <c r="N178" i="154" s="1"/>
  <c r="N179" i="154" s="1"/>
  <c r="N180" i="154" s="1"/>
  <c r="N181" i="154" s="1"/>
  <c r="N182" i="154" s="1"/>
  <c r="N183" i="154" s="1"/>
  <c r="N184" i="154" s="1"/>
  <c r="N185" i="154" s="1"/>
  <c r="N186" i="154" s="1"/>
  <c r="N187" i="154" s="1"/>
  <c r="O163" i="154"/>
  <c r="O164" i="154" s="1"/>
  <c r="O165" i="154" s="1"/>
  <c r="O166" i="154" s="1"/>
  <c r="O167" i="154" s="1"/>
  <c r="O168" i="154" s="1"/>
  <c r="O169" i="154" s="1"/>
  <c r="O203" i="151"/>
  <c r="O204" i="151" s="1"/>
  <c r="O205" i="151" s="1"/>
  <c r="O206" i="151" s="1"/>
  <c r="O207" i="151" s="1"/>
  <c r="O208" i="151" s="1"/>
  <c r="O209" i="151" s="1"/>
  <c r="O210" i="151" s="1"/>
  <c r="O211" i="151" s="1"/>
  <c r="O212" i="151" s="1"/>
  <c r="O213" i="151" s="1"/>
  <c r="O214" i="151" s="1"/>
  <c r="O215" i="151" s="1"/>
  <c r="O216" i="151" s="1"/>
  <c r="O217" i="151" s="1"/>
  <c r="O218" i="151" s="1"/>
  <c r="O219" i="151" s="1"/>
  <c r="O220" i="151" s="1"/>
  <c r="O221" i="151" s="1"/>
  <c r="O222" i="151" s="1"/>
  <c r="O223" i="151" s="1"/>
  <c r="O224" i="151" s="1"/>
  <c r="N204" i="151"/>
  <c r="N205" i="151" s="1"/>
  <c r="N206" i="151" s="1"/>
  <c r="N207" i="151" s="1"/>
  <c r="N208" i="151" s="1"/>
  <c r="N209" i="151" s="1"/>
  <c r="N210" i="151" s="1"/>
  <c r="N211" i="151" s="1"/>
  <c r="N212" i="151" s="1"/>
  <c r="N213" i="151" s="1"/>
  <c r="N214" i="151" s="1"/>
  <c r="N215" i="151" s="1"/>
  <c r="N216" i="151" s="1"/>
  <c r="N217" i="151" s="1"/>
  <c r="N218" i="151" s="1"/>
  <c r="N219" i="151" s="1"/>
  <c r="N220" i="151" s="1"/>
  <c r="N221" i="151" s="1"/>
  <c r="N222" i="151" s="1"/>
  <c r="N223" i="151" s="1"/>
  <c r="N224" i="151" s="1"/>
  <c r="N225" i="151" s="1"/>
  <c r="O134" i="148"/>
  <c r="O135" i="148" s="1"/>
  <c r="O136" i="148" s="1"/>
  <c r="O137" i="148" s="1"/>
  <c r="O138" i="148" s="1"/>
  <c r="O139" i="148" s="1"/>
  <c r="O140" i="148" s="1"/>
  <c r="O141" i="148" s="1"/>
  <c r="O142" i="148" s="1"/>
  <c r="O143" i="148" s="1"/>
  <c r="O144" i="148" s="1"/>
  <c r="O145" i="148" s="1"/>
  <c r="O146" i="148" s="1"/>
  <c r="O147" i="148" s="1"/>
  <c r="O148" i="148" s="1"/>
  <c r="O149" i="148" s="1"/>
  <c r="O150" i="148" s="1"/>
  <c r="O151" i="148" s="1"/>
  <c r="O152" i="148" s="1"/>
  <c r="O153" i="148" s="1"/>
  <c r="O154" i="148" s="1"/>
  <c r="O155" i="148" s="1"/>
  <c r="O156" i="148" s="1"/>
  <c r="N122" i="148"/>
  <c r="N123" i="148" s="1"/>
  <c r="N124" i="148" s="1"/>
  <c r="N125" i="148" s="1"/>
  <c r="N126" i="148" s="1"/>
  <c r="N127" i="148" s="1"/>
  <c r="N128" i="148" s="1"/>
  <c r="N129" i="148" s="1"/>
  <c r="N130" i="148" s="1"/>
  <c r="N131" i="148" s="1"/>
  <c r="N132" i="148" s="1"/>
  <c r="N133" i="148" s="1"/>
  <c r="N134" i="148" s="1"/>
  <c r="O86" i="145"/>
  <c r="O87" i="145" s="1"/>
  <c r="O88" i="145" s="1"/>
  <c r="O89" i="145" s="1"/>
  <c r="O90" i="145" s="1"/>
  <c r="O91" i="145" s="1"/>
  <c r="O92" i="145" s="1"/>
  <c r="O93" i="145" s="1"/>
  <c r="O94" i="145" s="1"/>
  <c r="O95" i="145" s="1"/>
  <c r="O96" i="145" s="1"/>
  <c r="O97" i="145" s="1"/>
  <c r="O98" i="145" s="1"/>
  <c r="O99" i="145" s="1"/>
  <c r="O100" i="145" s="1"/>
  <c r="O101" i="145" s="1"/>
  <c r="O102" i="145" s="1"/>
  <c r="O103" i="145" s="1"/>
  <c r="O104" i="145" s="1"/>
  <c r="N86" i="145"/>
  <c r="N87" i="145" s="1"/>
  <c r="N88" i="145" s="1"/>
  <c r="N89" i="145" s="1"/>
  <c r="N90" i="145" s="1"/>
  <c r="N91" i="145" s="1"/>
  <c r="N92" i="145" s="1"/>
  <c r="N93" i="145" s="1"/>
  <c r="N94" i="145" s="1"/>
  <c r="N95" i="145" s="1"/>
  <c r="N96" i="145" s="1"/>
  <c r="N97" i="145" s="1"/>
  <c r="N98" i="145" s="1"/>
  <c r="N99" i="145" s="1"/>
  <c r="N100" i="145" s="1"/>
  <c r="N101" i="145" s="1"/>
  <c r="N102" i="145" s="1"/>
  <c r="N103" i="145" s="1"/>
  <c r="N104" i="145" s="1"/>
  <c r="N52" i="142"/>
  <c r="O52" i="142"/>
  <c r="O53" i="142" s="1"/>
  <c r="O54" i="142" s="1"/>
  <c r="O55" i="142" s="1"/>
  <c r="O56" i="142" s="1"/>
  <c r="O57" i="142" s="1"/>
  <c r="O58" i="142" s="1"/>
  <c r="O59" i="142" s="1"/>
  <c r="O60" i="142" s="1"/>
  <c r="O61" i="142" s="1"/>
  <c r="O62" i="142" s="1"/>
  <c r="O20" i="139"/>
  <c r="O21" i="139" s="1"/>
  <c r="O22" i="139" s="1"/>
  <c r="O23" i="139" s="1"/>
  <c r="O24" i="139" s="1"/>
  <c r="O25" i="139" s="1"/>
  <c r="O26" i="139" s="1"/>
  <c r="O27" i="139" s="1"/>
  <c r="O28" i="139" s="1"/>
  <c r="O29" i="139" s="1"/>
  <c r="O30" i="139" s="1"/>
  <c r="N26" i="139"/>
  <c r="N27" i="139" s="1"/>
  <c r="N28" i="139" s="1"/>
  <c r="N29" i="139" s="1"/>
  <c r="N30" i="139" s="1"/>
  <c r="O214" i="139"/>
  <c r="O31" i="139" l="1"/>
  <c r="O32" i="139" s="1"/>
  <c r="O33" i="139" s="1"/>
  <c r="O34" i="139" s="1"/>
  <c r="O35" i="139" s="1"/>
  <c r="O36" i="139" s="1"/>
  <c r="O37" i="139" s="1"/>
  <c r="O38" i="139" s="1"/>
  <c r="O39" i="139" s="1"/>
  <c r="O40" i="139" s="1"/>
  <c r="O41" i="139" s="1"/>
  <c r="O42" i="139" s="1"/>
  <c r="O43" i="139" s="1"/>
  <c r="O44" i="139" s="1"/>
  <c r="O45" i="139" s="1"/>
  <c r="O46" i="139" s="1"/>
  <c r="O47" i="139" s="1"/>
  <c r="N188" i="154"/>
  <c r="N189" i="154" s="1"/>
  <c r="N190" i="154" s="1"/>
  <c r="N191" i="154" s="1"/>
  <c r="N192" i="154" s="1"/>
  <c r="N193" i="154" s="1"/>
  <c r="N194" i="154" s="1"/>
  <c r="N195" i="154" s="1"/>
  <c r="N196" i="154" s="1"/>
  <c r="N197" i="154" s="1"/>
  <c r="N198" i="154" s="1"/>
  <c r="N199" i="154" s="1"/>
  <c r="N200" i="154" s="1"/>
  <c r="N201" i="154" s="1"/>
  <c r="N202" i="154" s="1"/>
  <c r="N203" i="154" s="1"/>
  <c r="N204" i="154" s="1"/>
  <c r="N205" i="154" s="1"/>
  <c r="N206" i="154" s="1"/>
  <c r="N207" i="154" s="1"/>
  <c r="N208" i="154" s="1"/>
  <c r="O170" i="154"/>
  <c r="O171" i="154" s="1"/>
  <c r="O172" i="154" s="1"/>
  <c r="O173" i="154" s="1"/>
  <c r="O174" i="154" s="1"/>
  <c r="O175" i="154" s="1"/>
  <c r="O176" i="154" s="1"/>
  <c r="O177" i="154" s="1"/>
  <c r="O178" i="154" s="1"/>
  <c r="O179" i="154" s="1"/>
  <c r="O180" i="154" s="1"/>
  <c r="O181" i="154" s="1"/>
  <c r="O182" i="154" s="1"/>
  <c r="O183" i="154" s="1"/>
  <c r="O184" i="154" s="1"/>
  <c r="O185" i="154" s="1"/>
  <c r="O186" i="154" s="1"/>
  <c r="O187" i="154" s="1"/>
  <c r="N226" i="151"/>
  <c r="N227" i="151" s="1"/>
  <c r="N228" i="151" s="1"/>
  <c r="N229" i="151" s="1"/>
  <c r="N230" i="151" s="1"/>
  <c r="N231" i="151" s="1"/>
  <c r="N232" i="151" s="1"/>
  <c r="N233" i="151" s="1"/>
  <c r="N234" i="151" s="1"/>
  <c r="O225" i="151"/>
  <c r="O226" i="151" s="1"/>
  <c r="O227" i="151" s="1"/>
  <c r="O228" i="151" s="1"/>
  <c r="O229" i="151" s="1"/>
  <c r="O230" i="151" s="1"/>
  <c r="O231" i="151" s="1"/>
  <c r="O232" i="151" s="1"/>
  <c r="O233" i="151" s="1"/>
  <c r="O234" i="151" s="1"/>
  <c r="O157" i="148"/>
  <c r="O158" i="148" s="1"/>
  <c r="O159" i="148" s="1"/>
  <c r="O160" i="148" s="1"/>
  <c r="O161" i="148" s="1"/>
  <c r="O162" i="148" s="1"/>
  <c r="O163" i="148" s="1"/>
  <c r="O164" i="148" s="1"/>
  <c r="O165" i="148" s="1"/>
  <c r="O166" i="148" s="1"/>
  <c r="O167" i="148" s="1"/>
  <c r="O168" i="148" s="1"/>
  <c r="O169" i="148" s="1"/>
  <c r="O170" i="148" s="1"/>
  <c r="O171" i="148" s="1"/>
  <c r="O172" i="148" s="1"/>
  <c r="O173" i="148" s="1"/>
  <c r="O174" i="148" s="1"/>
  <c r="O175" i="148" s="1"/>
  <c r="O176" i="148" s="1"/>
  <c r="O177" i="148" s="1"/>
  <c r="O178" i="148" s="1"/>
  <c r="N135" i="148"/>
  <c r="N136" i="148" s="1"/>
  <c r="N137" i="148" s="1"/>
  <c r="N138" i="148" s="1"/>
  <c r="N139" i="148" s="1"/>
  <c r="N140" i="148" s="1"/>
  <c r="N141" i="148" s="1"/>
  <c r="N142" i="148" s="1"/>
  <c r="N143" i="148" s="1"/>
  <c r="N144" i="148" s="1"/>
  <c r="N145" i="148" s="1"/>
  <c r="N146" i="148" s="1"/>
  <c r="N147" i="148" s="1"/>
  <c r="N148" i="148" s="1"/>
  <c r="N149" i="148" s="1"/>
  <c r="N150" i="148" s="1"/>
  <c r="N151" i="148" s="1"/>
  <c r="N152" i="148" s="1"/>
  <c r="N153" i="148" s="1"/>
  <c r="N154" i="148" s="1"/>
  <c r="N155" i="148" s="1"/>
  <c r="N156" i="148" s="1"/>
  <c r="N105" i="145"/>
  <c r="N106" i="145" s="1"/>
  <c r="N107" i="145" s="1"/>
  <c r="N108" i="145" s="1"/>
  <c r="N109" i="145" s="1"/>
  <c r="N110" i="145" s="1"/>
  <c r="N111" i="145" s="1"/>
  <c r="N112" i="145" s="1"/>
  <c r="N113" i="145" s="1"/>
  <c r="N114" i="145" s="1"/>
  <c r="N115" i="145" s="1"/>
  <c r="N116" i="145" s="1"/>
  <c r="N117" i="145" s="1"/>
  <c r="N118" i="145" s="1"/>
  <c r="N119" i="145" s="1"/>
  <c r="N120" i="145" s="1"/>
  <c r="N121" i="145" s="1"/>
  <c r="N122" i="145" s="1"/>
  <c r="N123" i="145" s="1"/>
  <c r="N124" i="145" s="1"/>
  <c r="N125" i="145" s="1"/>
  <c r="N126" i="145" s="1"/>
  <c r="N127" i="145" s="1"/>
  <c r="N128" i="145" s="1"/>
  <c r="O105" i="145"/>
  <c r="O106" i="145" s="1"/>
  <c r="O107" i="145" s="1"/>
  <c r="O108" i="145" s="1"/>
  <c r="O109" i="145" s="1"/>
  <c r="O110" i="145" s="1"/>
  <c r="O111" i="145" s="1"/>
  <c r="O112" i="145" s="1"/>
  <c r="O113" i="145" s="1"/>
  <c r="O114" i="145" s="1"/>
  <c r="O115" i="145" s="1"/>
  <c r="O116" i="145" s="1"/>
  <c r="O117" i="145" s="1"/>
  <c r="O118" i="145" s="1"/>
  <c r="O119" i="145" s="1"/>
  <c r="O120" i="145" s="1"/>
  <c r="O121" i="145" s="1"/>
  <c r="O122" i="145" s="1"/>
  <c r="O123" i="145" s="1"/>
  <c r="O124" i="145" s="1"/>
  <c r="O125" i="145" s="1"/>
  <c r="O126" i="145" s="1"/>
  <c r="O127" i="145" s="1"/>
  <c r="O128" i="145" s="1"/>
  <c r="N53" i="142"/>
  <c r="N54" i="142" s="1"/>
  <c r="N55" i="142" s="1"/>
  <c r="N56" i="142" s="1"/>
  <c r="N57" i="142" s="1"/>
  <c r="N58" i="142" s="1"/>
  <c r="N59" i="142" s="1"/>
  <c r="N60" i="142" s="1"/>
  <c r="N61" i="142" s="1"/>
  <c r="N62" i="142" s="1"/>
  <c r="N63" i="142" s="1"/>
  <c r="O63" i="142"/>
  <c r="O64" i="142" s="1"/>
  <c r="O65" i="142" s="1"/>
  <c r="O66" i="142" s="1"/>
  <c r="O67" i="142" s="1"/>
  <c r="O68" i="142" s="1"/>
  <c r="O69" i="142" s="1"/>
  <c r="O70" i="142" s="1"/>
  <c r="N31" i="139"/>
  <c r="N209" i="154" l="1"/>
  <c r="N210" i="154" s="1"/>
  <c r="N211" i="154" s="1"/>
  <c r="N212" i="154" s="1"/>
  <c r="N213" i="154" s="1"/>
  <c r="N214" i="154" s="1"/>
  <c r="N215" i="154" s="1"/>
  <c r="N216" i="154" s="1"/>
  <c r="N217" i="154" s="1"/>
  <c r="N218" i="154" s="1"/>
  <c r="N219" i="154" s="1"/>
  <c r="N220" i="154" s="1"/>
  <c r="N221" i="154" s="1"/>
  <c r="N222" i="154" s="1"/>
  <c r="N223" i="154" s="1"/>
  <c r="N224" i="154" s="1"/>
  <c r="N225" i="154" s="1"/>
  <c r="O188" i="154"/>
  <c r="O189" i="154" s="1"/>
  <c r="O190" i="154" s="1"/>
  <c r="O191" i="154" s="1"/>
  <c r="O192" i="154" s="1"/>
  <c r="O193" i="154" s="1"/>
  <c r="O194" i="154" s="1"/>
  <c r="O195" i="154" s="1"/>
  <c r="O196" i="154" s="1"/>
  <c r="O197" i="154" s="1"/>
  <c r="O198" i="154" s="1"/>
  <c r="O199" i="154" s="1"/>
  <c r="O200" i="154" s="1"/>
  <c r="O201" i="154" s="1"/>
  <c r="O202" i="154" s="1"/>
  <c r="O203" i="154" s="1"/>
  <c r="O204" i="154" s="1"/>
  <c r="O205" i="154" s="1"/>
  <c r="O206" i="154" s="1"/>
  <c r="O207" i="154" s="1"/>
  <c r="O235" i="151"/>
  <c r="O236" i="151" s="1"/>
  <c r="O237" i="151" s="1"/>
  <c r="O238" i="151" s="1"/>
  <c r="O239" i="151" s="1"/>
  <c r="O240" i="151" s="1"/>
  <c r="O241" i="151" s="1"/>
  <c r="O242" i="151" s="1"/>
  <c r="O243" i="151" s="1"/>
  <c r="O244" i="151" s="1"/>
  <c r="O245" i="151" s="1"/>
  <c r="O246" i="151" s="1"/>
  <c r="O247" i="151" s="1"/>
  <c r="O248" i="151" s="1"/>
  <c r="O249" i="151" s="1"/>
  <c r="O250" i="151" s="1"/>
  <c r="O251" i="151" s="1"/>
  <c r="O252" i="151" s="1"/>
  <c r="O253" i="151" s="1"/>
  <c r="O254" i="151" s="1"/>
  <c r="O255" i="151" s="1"/>
  <c r="O256" i="151" s="1"/>
  <c r="O257" i="151" s="1"/>
  <c r="O258" i="151" s="1"/>
  <c r="O259" i="151" s="1"/>
  <c r="O260" i="151" s="1"/>
  <c r="O261" i="151" s="1"/>
  <c r="O262" i="151" s="1"/>
  <c r="O263" i="151" s="1"/>
  <c r="O264" i="151" s="1"/>
  <c r="O265" i="151" s="1"/>
  <c r="O266" i="151" s="1"/>
  <c r="O267" i="151" s="1"/>
  <c r="N235" i="151"/>
  <c r="N236" i="151" s="1"/>
  <c r="N237" i="151" s="1"/>
  <c r="N238" i="151" s="1"/>
  <c r="N239" i="151" s="1"/>
  <c r="N240" i="151" s="1"/>
  <c r="N241" i="151" s="1"/>
  <c r="N242" i="151" s="1"/>
  <c r="N243" i="151" s="1"/>
  <c r="N244" i="151" s="1"/>
  <c r="N245" i="151" s="1"/>
  <c r="N246" i="151" s="1"/>
  <c r="N247" i="151" s="1"/>
  <c r="N248" i="151" s="1"/>
  <c r="N249" i="151" s="1"/>
  <c r="N250" i="151" s="1"/>
  <c r="N251" i="151" s="1"/>
  <c r="N252" i="151" s="1"/>
  <c r="N253" i="151" s="1"/>
  <c r="N254" i="151" s="1"/>
  <c r="N255" i="151" s="1"/>
  <c r="N256" i="151" s="1"/>
  <c r="N257" i="151" s="1"/>
  <c r="N258" i="151" s="1"/>
  <c r="N259" i="151" s="1"/>
  <c r="N260" i="151" s="1"/>
  <c r="N261" i="151" s="1"/>
  <c r="N262" i="151" s="1"/>
  <c r="N263" i="151" s="1"/>
  <c r="N264" i="151" s="1"/>
  <c r="N265" i="151" s="1"/>
  <c r="N266" i="151" s="1"/>
  <c r="N267" i="151" s="1"/>
  <c r="N268" i="151" s="1"/>
  <c r="O179" i="148"/>
  <c r="O180" i="148" s="1"/>
  <c r="O181" i="148" s="1"/>
  <c r="O182" i="148" s="1"/>
  <c r="O183" i="148" s="1"/>
  <c r="O184" i="148" s="1"/>
  <c r="O185" i="148" s="1"/>
  <c r="O186" i="148" s="1"/>
  <c r="O187" i="148" s="1"/>
  <c r="O188" i="148" s="1"/>
  <c r="O189" i="148" s="1"/>
  <c r="O190" i="148" s="1"/>
  <c r="O191" i="148" s="1"/>
  <c r="O192" i="148" s="1"/>
  <c r="O193" i="148" s="1"/>
  <c r="O194" i="148" s="1"/>
  <c r="O195" i="148" s="1"/>
  <c r="O196" i="148" s="1"/>
  <c r="O197" i="148" s="1"/>
  <c r="O198" i="148" s="1"/>
  <c r="O199" i="148" s="1"/>
  <c r="O200" i="148" s="1"/>
  <c r="O201" i="148" s="1"/>
  <c r="O202" i="148" s="1"/>
  <c r="O203" i="148" s="1"/>
  <c r="O204" i="148" s="1"/>
  <c r="O205" i="148" s="1"/>
  <c r="N157" i="148"/>
  <c r="O129" i="145"/>
  <c r="O130" i="145" s="1"/>
  <c r="O131" i="145" s="1"/>
  <c r="O132" i="145" s="1"/>
  <c r="O133" i="145" s="1"/>
  <c r="O134" i="145" s="1"/>
  <c r="O135" i="145" s="1"/>
  <c r="O136" i="145" s="1"/>
  <c r="O137" i="145" s="1"/>
  <c r="O138" i="145" s="1"/>
  <c r="O139" i="145" s="1"/>
  <c r="N129" i="145"/>
  <c r="N64" i="142"/>
  <c r="N65" i="142" s="1"/>
  <c r="N66" i="142" s="1"/>
  <c r="N67" i="142" s="1"/>
  <c r="N68" i="142" s="1"/>
  <c r="N69" i="142" s="1"/>
  <c r="N70" i="142" s="1"/>
  <c r="N71" i="142" s="1"/>
  <c r="O71" i="142"/>
  <c r="O72" i="142" s="1"/>
  <c r="O73" i="142" s="1"/>
  <c r="O74" i="142" s="1"/>
  <c r="O75" i="142" s="1"/>
  <c r="O76" i="142" s="1"/>
  <c r="O77" i="142" s="1"/>
  <c r="O78" i="142" s="1"/>
  <c r="O79" i="142" s="1"/>
  <c r="O80" i="142" s="1"/>
  <c r="N32" i="139"/>
  <c r="N33" i="139" s="1"/>
  <c r="N34" i="139" s="1"/>
  <c r="N35" i="139" s="1"/>
  <c r="N36" i="139" s="1"/>
  <c r="N37" i="139" s="1"/>
  <c r="N38" i="139" s="1"/>
  <c r="N39" i="139" s="1"/>
  <c r="N40" i="139" s="1"/>
  <c r="N41" i="139" s="1"/>
  <c r="N42" i="139" s="1"/>
  <c r="N43" i="139" s="1"/>
  <c r="N44" i="139" s="1"/>
  <c r="N45" i="139" s="1"/>
  <c r="N46" i="139" s="1"/>
  <c r="N47" i="139" s="1"/>
  <c r="N48" i="139" s="1"/>
  <c r="O48" i="139"/>
  <c r="O49" i="139" s="1"/>
  <c r="O50" i="139" s="1"/>
  <c r="O51" i="139" s="1"/>
  <c r="O52" i="139" s="1"/>
  <c r="O53" i="139" s="1"/>
  <c r="O54" i="139" s="1"/>
  <c r="O55" i="139" s="1"/>
  <c r="O56" i="139" s="1"/>
  <c r="O57" i="139" s="1"/>
  <c r="O58" i="139" s="1"/>
  <c r="O59" i="139" s="1"/>
  <c r="O60" i="139" s="1"/>
  <c r="O61" i="139" s="1"/>
  <c r="N226" i="154" l="1"/>
  <c r="N227" i="154" s="1"/>
  <c r="N228" i="154" s="1"/>
  <c r="N229" i="154" s="1"/>
  <c r="N230" i="154" s="1"/>
  <c r="N231" i="154" s="1"/>
  <c r="N232" i="154" s="1"/>
  <c r="N233" i="154" s="1"/>
  <c r="N234" i="154" s="1"/>
  <c r="N235" i="154" s="1"/>
  <c r="N236" i="154" s="1"/>
  <c r="N237" i="154" s="1"/>
  <c r="N238" i="154" s="1"/>
  <c r="N239" i="154" s="1"/>
  <c r="N240" i="154" s="1"/>
  <c r="N241" i="154" s="1"/>
  <c r="N242" i="154" s="1"/>
  <c r="N243" i="154" s="1"/>
  <c r="N244" i="154" s="1"/>
  <c r="N245" i="154" s="1"/>
  <c r="N246" i="154" s="1"/>
  <c r="N247" i="154" s="1"/>
  <c r="N248" i="154" s="1"/>
  <c r="N249" i="154" s="1"/>
  <c r="N250" i="154" s="1"/>
  <c r="N251" i="154" s="1"/>
  <c r="N252" i="154" s="1"/>
  <c r="N253" i="154" s="1"/>
  <c r="N254" i="154" s="1"/>
  <c r="N255" i="154" s="1"/>
  <c r="N256" i="154" s="1"/>
  <c r="N257" i="154" s="1"/>
  <c r="N258" i="154" s="1"/>
  <c r="N259" i="154" s="1"/>
  <c r="N260" i="154" s="1"/>
  <c r="N261" i="154" s="1"/>
  <c r="N262" i="154" s="1"/>
  <c r="N263" i="154" s="1"/>
  <c r="N264" i="154" s="1"/>
  <c r="N265" i="154" s="1"/>
  <c r="N266" i="154" s="1"/>
  <c r="N267" i="154" s="1"/>
  <c r="N268" i="154" s="1"/>
  <c r="N269" i="154" s="1"/>
  <c r="N270" i="154" s="1"/>
  <c r="N271" i="154" s="1"/>
  <c r="N272" i="154" s="1"/>
  <c r="N273" i="154" s="1"/>
  <c r="N274" i="154" s="1"/>
  <c r="N275" i="154" s="1"/>
  <c r="N276" i="154" s="1"/>
  <c r="N278" i="154" s="1"/>
  <c r="O285" i="154" s="1"/>
  <c r="O286" i="154" s="1"/>
  <c r="O208" i="154"/>
  <c r="O209" i="154" s="1"/>
  <c r="O210" i="154" s="1"/>
  <c r="O211" i="154" s="1"/>
  <c r="O212" i="154" s="1"/>
  <c r="O213" i="154" s="1"/>
  <c r="O214" i="154" s="1"/>
  <c r="O215" i="154" s="1"/>
  <c r="O216" i="154" s="1"/>
  <c r="O217" i="154" s="1"/>
  <c r="O218" i="154" s="1"/>
  <c r="O219" i="154" s="1"/>
  <c r="O220" i="154" s="1"/>
  <c r="O221" i="154" s="1"/>
  <c r="O222" i="154" s="1"/>
  <c r="O223" i="154" s="1"/>
  <c r="O224" i="154" s="1"/>
  <c r="O225" i="154" s="1"/>
  <c r="O226" i="154" s="1"/>
  <c r="O227" i="154" s="1"/>
  <c r="O228" i="154" s="1"/>
  <c r="O229" i="154" s="1"/>
  <c r="O230" i="154" s="1"/>
  <c r="O231" i="154" s="1"/>
  <c r="O232" i="154" s="1"/>
  <c r="O233" i="154" s="1"/>
  <c r="O234" i="154" s="1"/>
  <c r="O235" i="154" s="1"/>
  <c r="O236" i="154" s="1"/>
  <c r="O237" i="154" s="1"/>
  <c r="O238" i="154" s="1"/>
  <c r="O239" i="154" s="1"/>
  <c r="O240" i="154" s="1"/>
  <c r="O241" i="154" s="1"/>
  <c r="O242" i="154" s="1"/>
  <c r="O243" i="154" s="1"/>
  <c r="O244" i="154" s="1"/>
  <c r="O245" i="154" s="1"/>
  <c r="O246" i="154" s="1"/>
  <c r="O247" i="154" s="1"/>
  <c r="O248" i="154" s="1"/>
  <c r="O249" i="154" s="1"/>
  <c r="O250" i="154" s="1"/>
  <c r="O251" i="154" s="1"/>
  <c r="O252" i="154" s="1"/>
  <c r="O253" i="154" s="1"/>
  <c r="O254" i="154" s="1"/>
  <c r="O255" i="154" s="1"/>
  <c r="O256" i="154" s="1"/>
  <c r="O257" i="154" s="1"/>
  <c r="O258" i="154" s="1"/>
  <c r="O259" i="154" s="1"/>
  <c r="O260" i="154" s="1"/>
  <c r="O261" i="154" s="1"/>
  <c r="O262" i="154" s="1"/>
  <c r="O263" i="154" s="1"/>
  <c r="O264" i="154" s="1"/>
  <c r="O265" i="154" s="1"/>
  <c r="O266" i="154" s="1"/>
  <c r="O267" i="154" s="1"/>
  <c r="O268" i="154" s="1"/>
  <c r="O269" i="154" s="1"/>
  <c r="O270" i="154" s="1"/>
  <c r="O271" i="154" s="1"/>
  <c r="O272" i="154" s="1"/>
  <c r="O273" i="154" s="1"/>
  <c r="O274" i="154" s="1"/>
  <c r="O275" i="154" s="1"/>
  <c r="O276" i="154" s="1"/>
  <c r="N269" i="151"/>
  <c r="N270" i="151" s="1"/>
  <c r="N271" i="151" s="1"/>
  <c r="N272" i="151" s="1"/>
  <c r="O268" i="151"/>
  <c r="O269" i="151" s="1"/>
  <c r="O270" i="151" s="1"/>
  <c r="O271" i="151" s="1"/>
  <c r="O272" i="151" s="1"/>
  <c r="O206" i="148"/>
  <c r="O207" i="148" s="1"/>
  <c r="O208" i="148" s="1"/>
  <c r="O209" i="148" s="1"/>
  <c r="O210" i="148" s="1"/>
  <c r="O211" i="148" s="1"/>
  <c r="O212" i="148" s="1"/>
  <c r="O213" i="148" s="1"/>
  <c r="O214" i="148" s="1"/>
  <c r="N158" i="148"/>
  <c r="N159" i="148" s="1"/>
  <c r="N160" i="148" s="1"/>
  <c r="N161" i="148" s="1"/>
  <c r="N162" i="148" s="1"/>
  <c r="N163" i="148" s="1"/>
  <c r="N164" i="148" s="1"/>
  <c r="N165" i="148" s="1"/>
  <c r="N166" i="148" s="1"/>
  <c r="N167" i="148" s="1"/>
  <c r="N168" i="148" s="1"/>
  <c r="N169" i="148" s="1"/>
  <c r="N170" i="148" s="1"/>
  <c r="N171" i="148" s="1"/>
  <c r="N172" i="148" s="1"/>
  <c r="N173" i="148" s="1"/>
  <c r="N174" i="148" s="1"/>
  <c r="N175" i="148" s="1"/>
  <c r="N176" i="148" s="1"/>
  <c r="N177" i="148" s="1"/>
  <c r="N178" i="148" s="1"/>
  <c r="O140" i="145"/>
  <c r="O141" i="145" s="1"/>
  <c r="O142" i="145" s="1"/>
  <c r="O143" i="145" s="1"/>
  <c r="N130" i="145"/>
  <c r="N131" i="145" s="1"/>
  <c r="N132" i="145" s="1"/>
  <c r="N133" i="145" s="1"/>
  <c r="N134" i="145" s="1"/>
  <c r="N135" i="145" s="1"/>
  <c r="N136" i="145" s="1"/>
  <c r="N137" i="145" s="1"/>
  <c r="N138" i="145" s="1"/>
  <c r="N139" i="145" s="1"/>
  <c r="N72" i="142"/>
  <c r="N73" i="142" s="1"/>
  <c r="N74" i="142" s="1"/>
  <c r="N75" i="142" s="1"/>
  <c r="N76" i="142" s="1"/>
  <c r="N77" i="142" s="1"/>
  <c r="N78" i="142" s="1"/>
  <c r="N79" i="142" s="1"/>
  <c r="N80" i="142" s="1"/>
  <c r="N81" i="142" s="1"/>
  <c r="N82" i="142" s="1"/>
  <c r="N83" i="142" s="1"/>
  <c r="N84" i="142" s="1"/>
  <c r="N85" i="142" s="1"/>
  <c r="N86" i="142" s="1"/>
  <c r="N87" i="142" s="1"/>
  <c r="N88" i="142" s="1"/>
  <c r="N89" i="142" s="1"/>
  <c r="O81" i="142"/>
  <c r="O82" i="142" s="1"/>
  <c r="O83" i="142" s="1"/>
  <c r="O84" i="142" s="1"/>
  <c r="O85" i="142" s="1"/>
  <c r="O86" i="142" s="1"/>
  <c r="O87" i="142" s="1"/>
  <c r="O88" i="142" s="1"/>
  <c r="O62" i="139"/>
  <c r="O63" i="139" s="1"/>
  <c r="O64" i="139" s="1"/>
  <c r="O65" i="139" s="1"/>
  <c r="O66" i="139" s="1"/>
  <c r="O67" i="139" s="1"/>
  <c r="O68" i="139" s="1"/>
  <c r="O69" i="139" s="1"/>
  <c r="N49" i="139"/>
  <c r="N50" i="139" s="1"/>
  <c r="N51" i="139" s="1"/>
  <c r="N52" i="139" s="1"/>
  <c r="N53" i="139" s="1"/>
  <c r="N54" i="139" s="1"/>
  <c r="N55" i="139" s="1"/>
  <c r="N56" i="139" s="1"/>
  <c r="N57" i="139" s="1"/>
  <c r="N58" i="139" s="1"/>
  <c r="N59" i="139" s="1"/>
  <c r="N60" i="139" s="1"/>
  <c r="N61" i="139" s="1"/>
  <c r="N62" i="139" s="1"/>
  <c r="N273" i="151" l="1"/>
  <c r="O273" i="151"/>
  <c r="O274" i="151" s="1"/>
  <c r="O275" i="151" s="1"/>
  <c r="O276" i="151" s="1"/>
  <c r="O277" i="151" s="1"/>
  <c r="O278" i="151" s="1"/>
  <c r="O279" i="151" s="1"/>
  <c r="O280" i="151" s="1"/>
  <c r="O281" i="151" s="1"/>
  <c r="O282" i="151" s="1"/>
  <c r="O283" i="151" s="1"/>
  <c r="O284" i="151" s="1"/>
  <c r="O285" i="151" s="1"/>
  <c r="O286" i="151" s="1"/>
  <c r="O287" i="151" s="1"/>
  <c r="O288" i="151" s="1"/>
  <c r="O289" i="151" s="1"/>
  <c r="O290" i="151" s="1"/>
  <c r="O291" i="151" s="1"/>
  <c r="O292" i="151" s="1"/>
  <c r="O293" i="151" s="1"/>
  <c r="O294" i="151" s="1"/>
  <c r="O295" i="151" s="1"/>
  <c r="O296" i="151" s="1"/>
  <c r="O297" i="151" s="1"/>
  <c r="O298" i="151" s="1"/>
  <c r="O299" i="151" s="1"/>
  <c r="O300" i="151" s="1"/>
  <c r="O301" i="151" s="1"/>
  <c r="O302" i="151" s="1"/>
  <c r="O303" i="151" s="1"/>
  <c r="O304" i="151" s="1"/>
  <c r="O305" i="151" s="1"/>
  <c r="O306" i="151" s="1"/>
  <c r="O307" i="151" s="1"/>
  <c r="O308" i="151" s="1"/>
  <c r="O309" i="151" s="1"/>
  <c r="O310" i="151" s="1"/>
  <c r="O311" i="151" s="1"/>
  <c r="O312" i="151" s="1"/>
  <c r="O313" i="151" s="1"/>
  <c r="O314" i="151" s="1"/>
  <c r="O315" i="151" s="1"/>
  <c r="O316" i="151" s="1"/>
  <c r="O317" i="151" s="1"/>
  <c r="O318" i="151" s="1"/>
  <c r="O319" i="151" s="1"/>
  <c r="O320" i="151" s="1"/>
  <c r="O321" i="151" s="1"/>
  <c r="O322" i="151" s="1"/>
  <c r="O323" i="151" s="1"/>
  <c r="O324" i="151" s="1"/>
  <c r="O325" i="151" s="1"/>
  <c r="O326" i="151" s="1"/>
  <c r="O327" i="151" s="1"/>
  <c r="O215" i="148"/>
  <c r="O216" i="148" s="1"/>
  <c r="O217" i="148" s="1"/>
  <c r="O218" i="148" s="1"/>
  <c r="O219" i="148" s="1"/>
  <c r="O220" i="148" s="1"/>
  <c r="O221" i="148" s="1"/>
  <c r="O222" i="148" s="1"/>
  <c r="O223" i="148" s="1"/>
  <c r="O224" i="148" s="1"/>
  <c r="O225" i="148" s="1"/>
  <c r="O226" i="148" s="1"/>
  <c r="O227" i="148" s="1"/>
  <c r="O228" i="148" s="1"/>
  <c r="N179" i="148"/>
  <c r="N180" i="148" s="1"/>
  <c r="N181" i="148" s="1"/>
  <c r="N182" i="148" s="1"/>
  <c r="N183" i="148" s="1"/>
  <c r="N184" i="148" s="1"/>
  <c r="N185" i="148" s="1"/>
  <c r="N186" i="148" s="1"/>
  <c r="N187" i="148" s="1"/>
  <c r="N188" i="148" s="1"/>
  <c r="N189" i="148" s="1"/>
  <c r="N190" i="148" s="1"/>
  <c r="N191" i="148" s="1"/>
  <c r="N192" i="148" s="1"/>
  <c r="N193" i="148" s="1"/>
  <c r="N194" i="148" s="1"/>
  <c r="N195" i="148" s="1"/>
  <c r="N196" i="148" s="1"/>
  <c r="N197" i="148" s="1"/>
  <c r="N198" i="148" s="1"/>
  <c r="N199" i="148" s="1"/>
  <c r="N200" i="148" s="1"/>
  <c r="N201" i="148" s="1"/>
  <c r="N202" i="148" s="1"/>
  <c r="N203" i="148" s="1"/>
  <c r="N204" i="148" s="1"/>
  <c r="N205" i="148" s="1"/>
  <c r="N206" i="148" s="1"/>
  <c r="O144" i="145"/>
  <c r="O145" i="145" s="1"/>
  <c r="O146" i="145" s="1"/>
  <c r="O147" i="145" s="1"/>
  <c r="O148" i="145" s="1"/>
  <c r="O149" i="145" s="1"/>
  <c r="O150" i="145" s="1"/>
  <c r="O151" i="145" s="1"/>
  <c r="O152" i="145" s="1"/>
  <c r="O153" i="145" s="1"/>
  <c r="O154" i="145" s="1"/>
  <c r="O155" i="145" s="1"/>
  <c r="O156" i="145" s="1"/>
  <c r="O157" i="145" s="1"/>
  <c r="O158" i="145" s="1"/>
  <c r="O159" i="145" s="1"/>
  <c r="O160" i="145" s="1"/>
  <c r="O161" i="145" s="1"/>
  <c r="O162" i="145" s="1"/>
  <c r="O163" i="145" s="1"/>
  <c r="O164" i="145" s="1"/>
  <c r="O165" i="145" s="1"/>
  <c r="O166" i="145" s="1"/>
  <c r="O167" i="145" s="1"/>
  <c r="N140" i="145"/>
  <c r="N141" i="145" s="1"/>
  <c r="N142" i="145" s="1"/>
  <c r="N143" i="145" s="1"/>
  <c r="N144" i="145" s="1"/>
  <c r="O89" i="142"/>
  <c r="O90" i="142" s="1"/>
  <c r="N90" i="142"/>
  <c r="N91" i="142" s="1"/>
  <c r="O70" i="139"/>
  <c r="O71" i="139" s="1"/>
  <c r="O72" i="139" s="1"/>
  <c r="O73" i="139" s="1"/>
  <c r="O74" i="139" s="1"/>
  <c r="N63" i="139"/>
  <c r="N64" i="139" s="1"/>
  <c r="N65" i="139" s="1"/>
  <c r="N66" i="139" s="1"/>
  <c r="N67" i="139" s="1"/>
  <c r="N68" i="139" s="1"/>
  <c r="N69" i="139" s="1"/>
  <c r="N70" i="139" s="1"/>
  <c r="N274" i="151" l="1"/>
  <c r="N275" i="151" s="1"/>
  <c r="N276" i="151" s="1"/>
  <c r="N277" i="151" s="1"/>
  <c r="N278" i="151" s="1"/>
  <c r="N279" i="151" s="1"/>
  <c r="N280" i="151" s="1"/>
  <c r="N281" i="151" s="1"/>
  <c r="N282" i="151" s="1"/>
  <c r="N283" i="151" s="1"/>
  <c r="N284" i="151" s="1"/>
  <c r="O229" i="148"/>
  <c r="O230" i="148" s="1"/>
  <c r="O231" i="148" s="1"/>
  <c r="O232" i="148" s="1"/>
  <c r="O233" i="148" s="1"/>
  <c r="O234" i="148" s="1"/>
  <c r="O235" i="148" s="1"/>
  <c r="N207" i="148"/>
  <c r="N208" i="148" s="1"/>
  <c r="N209" i="148" s="1"/>
  <c r="N210" i="148" s="1"/>
  <c r="N211" i="148" s="1"/>
  <c r="N212" i="148" s="1"/>
  <c r="N213" i="148" s="1"/>
  <c r="N214" i="148" s="1"/>
  <c r="N215" i="148" s="1"/>
  <c r="O168" i="145"/>
  <c r="O169" i="145" s="1"/>
  <c r="O170" i="145" s="1"/>
  <c r="O171" i="145" s="1"/>
  <c r="O172" i="145" s="1"/>
  <c r="O173" i="145" s="1"/>
  <c r="O174" i="145" s="1"/>
  <c r="O175" i="145" s="1"/>
  <c r="O176" i="145" s="1"/>
  <c r="O177" i="145" s="1"/>
  <c r="O178" i="145" s="1"/>
  <c r="O179" i="145" s="1"/>
  <c r="O180" i="145" s="1"/>
  <c r="O181" i="145" s="1"/>
  <c r="O182" i="145" s="1"/>
  <c r="O183" i="145" s="1"/>
  <c r="N145" i="145"/>
  <c r="N146" i="145" s="1"/>
  <c r="N147" i="145" s="1"/>
  <c r="N148" i="145" s="1"/>
  <c r="N149" i="145" s="1"/>
  <c r="N150" i="145" s="1"/>
  <c r="N151" i="145" s="1"/>
  <c r="N152" i="145" s="1"/>
  <c r="N153" i="145" s="1"/>
  <c r="N154" i="145" s="1"/>
  <c r="N155" i="145" s="1"/>
  <c r="N156" i="145" s="1"/>
  <c r="N157" i="145" s="1"/>
  <c r="N158" i="145" s="1"/>
  <c r="N159" i="145" s="1"/>
  <c r="N160" i="145" s="1"/>
  <c r="N161" i="145" s="1"/>
  <c r="N162" i="145" s="1"/>
  <c r="N163" i="145" s="1"/>
  <c r="N164" i="145" s="1"/>
  <c r="N165" i="145" s="1"/>
  <c r="N166" i="145" s="1"/>
  <c r="N167" i="145" s="1"/>
  <c r="N168" i="145" s="1"/>
  <c r="N92" i="142"/>
  <c r="N93" i="142" s="1"/>
  <c r="N94" i="142" s="1"/>
  <c r="N95" i="142" s="1"/>
  <c r="N96" i="142" s="1"/>
  <c r="N97" i="142" s="1"/>
  <c r="N98" i="142" s="1"/>
  <c r="N99" i="142" s="1"/>
  <c r="O91" i="142"/>
  <c r="O92" i="142" s="1"/>
  <c r="O93" i="142" s="1"/>
  <c r="O94" i="142" s="1"/>
  <c r="O95" i="142" s="1"/>
  <c r="O96" i="142" s="1"/>
  <c r="O97" i="142" s="1"/>
  <c r="O98" i="142" s="1"/>
  <c r="O99" i="142" s="1"/>
  <c r="O75" i="139"/>
  <c r="O76" i="139" s="1"/>
  <c r="O77" i="139" s="1"/>
  <c r="O78" i="139" s="1"/>
  <c r="O79" i="139" s="1"/>
  <c r="O80" i="139" s="1"/>
  <c r="O81" i="139" s="1"/>
  <c r="O82" i="139" s="1"/>
  <c r="O83" i="139" s="1"/>
  <c r="O84" i="139" s="1"/>
  <c r="N71" i="139"/>
  <c r="N72" i="139" s="1"/>
  <c r="N73" i="139" s="1"/>
  <c r="N74" i="139" s="1"/>
  <c r="N75" i="139" s="1"/>
  <c r="N285" i="151" l="1"/>
  <c r="N286" i="151" s="1"/>
  <c r="N287" i="151" s="1"/>
  <c r="N288" i="151" s="1"/>
  <c r="N289" i="151" s="1"/>
  <c r="N290" i="151" s="1"/>
  <c r="N291" i="151" s="1"/>
  <c r="N292" i="151" s="1"/>
  <c r="N293" i="151" s="1"/>
  <c r="N294" i="151" s="1"/>
  <c r="N295" i="151" s="1"/>
  <c r="N296" i="151" s="1"/>
  <c r="N297" i="151" s="1"/>
  <c r="N298" i="151" s="1"/>
  <c r="N299" i="151" s="1"/>
  <c r="N300" i="151" s="1"/>
  <c r="N301" i="151" s="1"/>
  <c r="N302" i="151" s="1"/>
  <c r="N303" i="151" s="1"/>
  <c r="N304" i="151" s="1"/>
  <c r="N305" i="151" s="1"/>
  <c r="N306" i="151" s="1"/>
  <c r="N307" i="151" s="1"/>
  <c r="N308" i="151" s="1"/>
  <c r="N309" i="151" s="1"/>
  <c r="N310" i="151" s="1"/>
  <c r="N311" i="151" s="1"/>
  <c r="N312" i="151" s="1"/>
  <c r="N313" i="151" s="1"/>
  <c r="N314" i="151" s="1"/>
  <c r="N315" i="151" s="1"/>
  <c r="N316" i="151" s="1"/>
  <c r="N317" i="151" s="1"/>
  <c r="N318" i="151" s="1"/>
  <c r="N319" i="151" s="1"/>
  <c r="N320" i="151" s="1"/>
  <c r="N321" i="151" s="1"/>
  <c r="N322" i="151" s="1"/>
  <c r="N323" i="151" s="1"/>
  <c r="N324" i="151" s="1"/>
  <c r="N325" i="151" s="1"/>
  <c r="N326" i="151" s="1"/>
  <c r="N327" i="151" s="1"/>
  <c r="N329" i="151" s="1"/>
  <c r="O336" i="151" s="1"/>
  <c r="O337" i="151" s="1"/>
  <c r="O236" i="148"/>
  <c r="O237" i="148" s="1"/>
  <c r="O238" i="148" s="1"/>
  <c r="O239" i="148" s="1"/>
  <c r="O240" i="148" s="1"/>
  <c r="O241" i="148" s="1"/>
  <c r="O242" i="148" s="1"/>
  <c r="O243" i="148" s="1"/>
  <c r="O244" i="148" s="1"/>
  <c r="O245" i="148" s="1"/>
  <c r="O246" i="148" s="1"/>
  <c r="O247" i="148" s="1"/>
  <c r="O248" i="148" s="1"/>
  <c r="O249" i="148" s="1"/>
  <c r="O250" i="148" s="1"/>
  <c r="N216" i="148"/>
  <c r="N217" i="148" s="1"/>
  <c r="N218" i="148" s="1"/>
  <c r="N219" i="148" s="1"/>
  <c r="N220" i="148" s="1"/>
  <c r="N221" i="148" s="1"/>
  <c r="N222" i="148" s="1"/>
  <c r="N223" i="148" s="1"/>
  <c r="N224" i="148" s="1"/>
  <c r="N225" i="148" s="1"/>
  <c r="N226" i="148" s="1"/>
  <c r="N227" i="148" s="1"/>
  <c r="N228" i="148" s="1"/>
  <c r="O184" i="145"/>
  <c r="O185" i="145" s="1"/>
  <c r="O186" i="145" s="1"/>
  <c r="O187" i="145" s="1"/>
  <c r="O188" i="145" s="1"/>
  <c r="O189" i="145" s="1"/>
  <c r="O190" i="145" s="1"/>
  <c r="N169" i="145"/>
  <c r="N170" i="145" s="1"/>
  <c r="N171" i="145" s="1"/>
  <c r="N172" i="145" s="1"/>
  <c r="N173" i="145" s="1"/>
  <c r="N174" i="145" s="1"/>
  <c r="N175" i="145" s="1"/>
  <c r="N176" i="145" s="1"/>
  <c r="N177" i="145" s="1"/>
  <c r="N178" i="145" s="1"/>
  <c r="N179" i="145" s="1"/>
  <c r="N180" i="145" s="1"/>
  <c r="N181" i="145" s="1"/>
  <c r="N182" i="145" s="1"/>
  <c r="N183" i="145" s="1"/>
  <c r="N184" i="145" s="1"/>
  <c r="O100" i="142"/>
  <c r="O101" i="142" s="1"/>
  <c r="O102" i="142" s="1"/>
  <c r="O103" i="142" s="1"/>
  <c r="O104" i="142" s="1"/>
  <c r="O105" i="142" s="1"/>
  <c r="O106" i="142" s="1"/>
  <c r="O107" i="142" s="1"/>
  <c r="N100" i="142"/>
  <c r="N101" i="142" s="1"/>
  <c r="O85" i="139"/>
  <c r="O86" i="139" s="1"/>
  <c r="O87" i="139" s="1"/>
  <c r="O88" i="139" s="1"/>
  <c r="O89" i="139" s="1"/>
  <c r="O90" i="139" s="1"/>
  <c r="O91" i="139" s="1"/>
  <c r="O92" i="139" s="1"/>
  <c r="N76" i="139"/>
  <c r="N77" i="139" s="1"/>
  <c r="N78" i="139" s="1"/>
  <c r="N79" i="139" s="1"/>
  <c r="N80" i="139" s="1"/>
  <c r="N81" i="139" s="1"/>
  <c r="N82" i="139" s="1"/>
  <c r="N83" i="139" s="1"/>
  <c r="N84" i="139" s="1"/>
  <c r="N85" i="139" s="1"/>
  <c r="O251" i="148" l="1"/>
  <c r="O252" i="148" s="1"/>
  <c r="O253" i="148" s="1"/>
  <c r="O254" i="148" s="1"/>
  <c r="O255" i="148" s="1"/>
  <c r="O256" i="148" s="1"/>
  <c r="O257" i="148" s="1"/>
  <c r="O258" i="148" s="1"/>
  <c r="O259" i="148" s="1"/>
  <c r="N229" i="148"/>
  <c r="N230" i="148" s="1"/>
  <c r="N231" i="148" s="1"/>
  <c r="N232" i="148" s="1"/>
  <c r="N233" i="148" s="1"/>
  <c r="N234" i="148" s="1"/>
  <c r="N235" i="148" s="1"/>
  <c r="O191" i="145"/>
  <c r="O192" i="145" s="1"/>
  <c r="O193" i="145" s="1"/>
  <c r="O194" i="145" s="1"/>
  <c r="O195" i="145" s="1"/>
  <c r="O196" i="145" s="1"/>
  <c r="O197" i="145" s="1"/>
  <c r="O198" i="145" s="1"/>
  <c r="O199" i="145" s="1"/>
  <c r="O200" i="145" s="1"/>
  <c r="O201" i="145" s="1"/>
  <c r="O202" i="145" s="1"/>
  <c r="O203" i="145" s="1"/>
  <c r="O204" i="145" s="1"/>
  <c r="O205" i="145" s="1"/>
  <c r="O206" i="145" s="1"/>
  <c r="O207" i="145" s="1"/>
  <c r="O208" i="145" s="1"/>
  <c r="O209" i="145" s="1"/>
  <c r="O210" i="145" s="1"/>
  <c r="O211" i="145" s="1"/>
  <c r="N185" i="145"/>
  <c r="N186" i="145" s="1"/>
  <c r="N187" i="145" s="1"/>
  <c r="N188" i="145" s="1"/>
  <c r="N189" i="145" s="1"/>
  <c r="N190" i="145" s="1"/>
  <c r="N191" i="145" s="1"/>
  <c r="N102" i="142"/>
  <c r="N103" i="142" s="1"/>
  <c r="N104" i="142" s="1"/>
  <c r="N105" i="142" s="1"/>
  <c r="N106" i="142" s="1"/>
  <c r="N107" i="142" s="1"/>
  <c r="N108" i="142" s="1"/>
  <c r="O108" i="142"/>
  <c r="O109" i="142" s="1"/>
  <c r="O110" i="142" s="1"/>
  <c r="O111" i="142" s="1"/>
  <c r="O112" i="142" s="1"/>
  <c r="O93" i="139"/>
  <c r="O94" i="139" s="1"/>
  <c r="O95" i="139" s="1"/>
  <c r="O96" i="139" s="1"/>
  <c r="O97" i="139" s="1"/>
  <c r="O98" i="139" s="1"/>
  <c r="O99" i="139" s="1"/>
  <c r="O100" i="139" s="1"/>
  <c r="O101" i="139" s="1"/>
  <c r="O102" i="139" s="1"/>
  <c r="O103" i="139" s="1"/>
  <c r="N86" i="139"/>
  <c r="N87" i="139" s="1"/>
  <c r="N88" i="139" s="1"/>
  <c r="N89" i="139" s="1"/>
  <c r="N90" i="139" s="1"/>
  <c r="N91" i="139" s="1"/>
  <c r="N92" i="139" s="1"/>
  <c r="O260" i="148" l="1"/>
  <c r="O261" i="148" s="1"/>
  <c r="O262" i="148" s="1"/>
  <c r="O263" i="148" s="1"/>
  <c r="O264" i="148" s="1"/>
  <c r="O265" i="148" s="1"/>
  <c r="O266" i="148" s="1"/>
  <c r="O267" i="148" s="1"/>
  <c r="O268" i="148" s="1"/>
  <c r="O269" i="148" s="1"/>
  <c r="O270" i="148" s="1"/>
  <c r="N236" i="148"/>
  <c r="N237" i="148" s="1"/>
  <c r="N238" i="148" s="1"/>
  <c r="N239" i="148" s="1"/>
  <c r="N240" i="148" s="1"/>
  <c r="N241" i="148" s="1"/>
  <c r="N242" i="148" s="1"/>
  <c r="N243" i="148" s="1"/>
  <c r="N244" i="148" s="1"/>
  <c r="N245" i="148" s="1"/>
  <c r="N246" i="148" s="1"/>
  <c r="N247" i="148" s="1"/>
  <c r="N248" i="148" s="1"/>
  <c r="N249" i="148" s="1"/>
  <c r="N250" i="148" s="1"/>
  <c r="O212" i="145"/>
  <c r="O213" i="145" s="1"/>
  <c r="O214" i="145" s="1"/>
  <c r="O215" i="145" s="1"/>
  <c r="O216" i="145" s="1"/>
  <c r="O217" i="145" s="1"/>
  <c r="O218" i="145" s="1"/>
  <c r="O219" i="145" s="1"/>
  <c r="O220" i="145" s="1"/>
  <c r="O221" i="145" s="1"/>
  <c r="O222" i="145" s="1"/>
  <c r="O223" i="145" s="1"/>
  <c r="O224" i="145" s="1"/>
  <c r="O225" i="145" s="1"/>
  <c r="O226" i="145" s="1"/>
  <c r="O227" i="145" s="1"/>
  <c r="O228" i="145" s="1"/>
  <c r="O229" i="145" s="1"/>
  <c r="O230" i="145" s="1"/>
  <c r="O231" i="145" s="1"/>
  <c r="O232" i="145" s="1"/>
  <c r="O233" i="145" s="1"/>
  <c r="O234" i="145" s="1"/>
  <c r="O235" i="145" s="1"/>
  <c r="O236" i="145" s="1"/>
  <c r="O237" i="145" s="1"/>
  <c r="O238" i="145" s="1"/>
  <c r="N192" i="145"/>
  <c r="N193" i="145" s="1"/>
  <c r="N194" i="145" s="1"/>
  <c r="N195" i="145" s="1"/>
  <c r="N196" i="145" s="1"/>
  <c r="N197" i="145" s="1"/>
  <c r="N198" i="145" s="1"/>
  <c r="N199" i="145" s="1"/>
  <c r="N200" i="145" s="1"/>
  <c r="N201" i="145" s="1"/>
  <c r="N202" i="145" s="1"/>
  <c r="N203" i="145" s="1"/>
  <c r="N204" i="145" s="1"/>
  <c r="N205" i="145" s="1"/>
  <c r="N206" i="145" s="1"/>
  <c r="N207" i="145" s="1"/>
  <c r="N208" i="145" s="1"/>
  <c r="N209" i="145" s="1"/>
  <c r="N210" i="145" s="1"/>
  <c r="N211" i="145" s="1"/>
  <c r="N109" i="142"/>
  <c r="N110" i="142" s="1"/>
  <c r="N111" i="142" s="1"/>
  <c r="N112" i="142" s="1"/>
  <c r="N113" i="142" s="1"/>
  <c r="N114" i="142" s="1"/>
  <c r="N115" i="142" s="1"/>
  <c r="N116" i="142" s="1"/>
  <c r="N117" i="142" s="1"/>
  <c r="N118" i="142" s="1"/>
  <c r="N119" i="142" s="1"/>
  <c r="O113" i="142"/>
  <c r="O114" i="142" s="1"/>
  <c r="O115" i="142" s="1"/>
  <c r="O116" i="142" s="1"/>
  <c r="O117" i="142" s="1"/>
  <c r="O118" i="142" s="1"/>
  <c r="O119" i="142" s="1"/>
  <c r="O104" i="139"/>
  <c r="O105" i="139" s="1"/>
  <c r="O106" i="139" s="1"/>
  <c r="O107" i="139" s="1"/>
  <c r="O108" i="139" s="1"/>
  <c r="O109" i="139" s="1"/>
  <c r="O110" i="139" s="1"/>
  <c r="O111" i="139" s="1"/>
  <c r="O112" i="139" s="1"/>
  <c r="O113" i="139" s="1"/>
  <c r="O114" i="139" s="1"/>
  <c r="O115" i="139" s="1"/>
  <c r="O116" i="139" s="1"/>
  <c r="O117" i="139" s="1"/>
  <c r="O118" i="139" s="1"/>
  <c r="O119" i="139" s="1"/>
  <c r="O120" i="139" s="1"/>
  <c r="O121" i="139" s="1"/>
  <c r="O122" i="139" s="1"/>
  <c r="O123" i="139" s="1"/>
  <c r="O124" i="139" s="1"/>
  <c r="O125" i="139" s="1"/>
  <c r="O126" i="139" s="1"/>
  <c r="O127" i="139" s="1"/>
  <c r="O128" i="139" s="1"/>
  <c r="N93" i="139"/>
  <c r="N94" i="139" s="1"/>
  <c r="N95" i="139" s="1"/>
  <c r="N96" i="139" s="1"/>
  <c r="N97" i="139" s="1"/>
  <c r="N98" i="139" s="1"/>
  <c r="N99" i="139" s="1"/>
  <c r="N100" i="139" s="1"/>
  <c r="N101" i="139" s="1"/>
  <c r="N102" i="139" s="1"/>
  <c r="N103" i="139" s="1"/>
  <c r="N104" i="139" s="1"/>
  <c r="O271" i="148" l="1"/>
  <c r="O272" i="148" s="1"/>
  <c r="O273" i="148" s="1"/>
  <c r="O274" i="148" s="1"/>
  <c r="O275" i="148" s="1"/>
  <c r="O276" i="148" s="1"/>
  <c r="O277" i="148" s="1"/>
  <c r="O278" i="148" s="1"/>
  <c r="O279" i="148" s="1"/>
  <c r="O280" i="148" s="1"/>
  <c r="O281" i="148" s="1"/>
  <c r="O282" i="148" s="1"/>
  <c r="O283" i="148" s="1"/>
  <c r="O284" i="148" s="1"/>
  <c r="O285" i="148" s="1"/>
  <c r="O286" i="148" s="1"/>
  <c r="O287" i="148" s="1"/>
  <c r="O288" i="148" s="1"/>
  <c r="O289" i="148" s="1"/>
  <c r="O290" i="148" s="1"/>
  <c r="N251" i="148"/>
  <c r="N252" i="148" s="1"/>
  <c r="N253" i="148" s="1"/>
  <c r="N254" i="148" s="1"/>
  <c r="N255" i="148" s="1"/>
  <c r="N256" i="148" s="1"/>
  <c r="N257" i="148" s="1"/>
  <c r="N258" i="148" s="1"/>
  <c r="N259" i="148" s="1"/>
  <c r="O239" i="145"/>
  <c r="O240" i="145" s="1"/>
  <c r="O241" i="145" s="1"/>
  <c r="O242" i="145" s="1"/>
  <c r="O243" i="145" s="1"/>
  <c r="O244" i="145" s="1"/>
  <c r="O245" i="145" s="1"/>
  <c r="O246" i="145" s="1"/>
  <c r="O247" i="145" s="1"/>
  <c r="O248" i="145" s="1"/>
  <c r="O249" i="145" s="1"/>
  <c r="O250" i="145" s="1"/>
  <c r="O251" i="145" s="1"/>
  <c r="O252" i="145" s="1"/>
  <c r="N212" i="145"/>
  <c r="O120" i="142"/>
  <c r="O121" i="142" s="1"/>
  <c r="O122" i="142" s="1"/>
  <c r="O123" i="142" s="1"/>
  <c r="N120" i="142"/>
  <c r="N121" i="142" s="1"/>
  <c r="O129" i="139"/>
  <c r="O130" i="139" s="1"/>
  <c r="O131" i="139" s="1"/>
  <c r="O132" i="139" s="1"/>
  <c r="O133" i="139" s="1"/>
  <c r="O134" i="139" s="1"/>
  <c r="O135" i="139" s="1"/>
  <c r="O136" i="139" s="1"/>
  <c r="O137" i="139" s="1"/>
  <c r="N105" i="139"/>
  <c r="N106" i="139" s="1"/>
  <c r="N107" i="139" s="1"/>
  <c r="N108" i="139" s="1"/>
  <c r="N109" i="139" s="1"/>
  <c r="N110" i="139" s="1"/>
  <c r="N111" i="139" s="1"/>
  <c r="N112" i="139" s="1"/>
  <c r="N113" i="139" s="1"/>
  <c r="N114" i="139" s="1"/>
  <c r="N115" i="139" s="1"/>
  <c r="N116" i="139" s="1"/>
  <c r="N117" i="139" s="1"/>
  <c r="N118" i="139" s="1"/>
  <c r="N119" i="139" s="1"/>
  <c r="N120" i="139" s="1"/>
  <c r="N121" i="139" s="1"/>
  <c r="N122" i="139" s="1"/>
  <c r="N123" i="139" s="1"/>
  <c r="N124" i="139" s="1"/>
  <c r="N125" i="139" s="1"/>
  <c r="N126" i="139" s="1"/>
  <c r="N127" i="139" s="1"/>
  <c r="N128" i="139" s="1"/>
  <c r="O291" i="148" l="1"/>
  <c r="O292" i="148" s="1"/>
  <c r="O293" i="148" s="1"/>
  <c r="O294" i="148" s="1"/>
  <c r="O295" i="148" s="1"/>
  <c r="O296" i="148" s="1"/>
  <c r="O297" i="148" s="1"/>
  <c r="O298" i="148" s="1"/>
  <c r="O299" i="148" s="1"/>
  <c r="O300" i="148" s="1"/>
  <c r="O301" i="148" s="1"/>
  <c r="O302" i="148" s="1"/>
  <c r="O303" i="148" s="1"/>
  <c r="O304" i="148" s="1"/>
  <c r="O305" i="148" s="1"/>
  <c r="O306" i="148" s="1"/>
  <c r="O307" i="148" s="1"/>
  <c r="O308" i="148" s="1"/>
  <c r="O309" i="148" s="1"/>
  <c r="O310" i="148" s="1"/>
  <c r="O311" i="148" s="1"/>
  <c r="O312" i="148" s="1"/>
  <c r="O313" i="148" s="1"/>
  <c r="O314" i="148" s="1"/>
  <c r="O315" i="148" s="1"/>
  <c r="O316" i="148" s="1"/>
  <c r="O317" i="148" s="1"/>
  <c r="O318" i="148" s="1"/>
  <c r="O319" i="148" s="1"/>
  <c r="O320" i="148" s="1"/>
  <c r="O321" i="148" s="1"/>
  <c r="O322" i="148" s="1"/>
  <c r="O323" i="148" s="1"/>
  <c r="N260" i="148"/>
  <c r="O253" i="145"/>
  <c r="O254" i="145" s="1"/>
  <c r="O255" i="145" s="1"/>
  <c r="O256" i="145" s="1"/>
  <c r="O257" i="145" s="1"/>
  <c r="O258" i="145" s="1"/>
  <c r="O259" i="145" s="1"/>
  <c r="O260" i="145" s="1"/>
  <c r="O261" i="145" s="1"/>
  <c r="O262" i="145" s="1"/>
  <c r="O263" i="145" s="1"/>
  <c r="O264" i="145" s="1"/>
  <c r="O265" i="145" s="1"/>
  <c r="O266" i="145" s="1"/>
  <c r="O267" i="145" s="1"/>
  <c r="O268" i="145" s="1"/>
  <c r="O269" i="145" s="1"/>
  <c r="O270" i="145" s="1"/>
  <c r="O271" i="145" s="1"/>
  <c r="O272" i="145" s="1"/>
  <c r="O273" i="145" s="1"/>
  <c r="O274" i="145" s="1"/>
  <c r="O275" i="145" s="1"/>
  <c r="O276" i="145" s="1"/>
  <c r="O277" i="145" s="1"/>
  <c r="O278" i="145" s="1"/>
  <c r="O279" i="145" s="1"/>
  <c r="O280" i="145" s="1"/>
  <c r="N213" i="145"/>
  <c r="N214" i="145" s="1"/>
  <c r="N215" i="145" s="1"/>
  <c r="N216" i="145" s="1"/>
  <c r="N217" i="145" s="1"/>
  <c r="N218" i="145" s="1"/>
  <c r="N219" i="145" s="1"/>
  <c r="N220" i="145" s="1"/>
  <c r="N221" i="145" s="1"/>
  <c r="N222" i="145" s="1"/>
  <c r="N223" i="145" s="1"/>
  <c r="N224" i="145" s="1"/>
  <c r="N225" i="145" s="1"/>
  <c r="N226" i="145" s="1"/>
  <c r="N227" i="145" s="1"/>
  <c r="N228" i="145" s="1"/>
  <c r="N229" i="145" s="1"/>
  <c r="N230" i="145" s="1"/>
  <c r="N231" i="145" s="1"/>
  <c r="N232" i="145" s="1"/>
  <c r="N233" i="145" s="1"/>
  <c r="N234" i="145" s="1"/>
  <c r="N235" i="145" s="1"/>
  <c r="N236" i="145" s="1"/>
  <c r="N237" i="145" s="1"/>
  <c r="N238" i="145" s="1"/>
  <c r="N122" i="142"/>
  <c r="N123" i="142" s="1"/>
  <c r="N124" i="142" s="1"/>
  <c r="N125" i="142" s="1"/>
  <c r="N126" i="142" s="1"/>
  <c r="N127" i="142" s="1"/>
  <c r="N128" i="142" s="1"/>
  <c r="N129" i="142" s="1"/>
  <c r="N130" i="142" s="1"/>
  <c r="O124" i="142"/>
  <c r="O125" i="142" s="1"/>
  <c r="O126" i="142" s="1"/>
  <c r="O127" i="142" s="1"/>
  <c r="O128" i="142" s="1"/>
  <c r="O129" i="142" s="1"/>
  <c r="O130" i="142" s="1"/>
  <c r="O131" i="142" s="1"/>
  <c r="O132" i="142" s="1"/>
  <c r="O133" i="142" s="1"/>
  <c r="O134" i="142" s="1"/>
  <c r="O135" i="142" s="1"/>
  <c r="O136" i="142" s="1"/>
  <c r="O137" i="142" s="1"/>
  <c r="O138" i="142" s="1"/>
  <c r="O139" i="142" s="1"/>
  <c r="O140" i="142" s="1"/>
  <c r="O141" i="142" s="1"/>
  <c r="O142" i="142" s="1"/>
  <c r="O143" i="142" s="1"/>
  <c r="O144" i="142" s="1"/>
  <c r="O145" i="142" s="1"/>
  <c r="O146" i="142" s="1"/>
  <c r="O147" i="142" s="1"/>
  <c r="O148" i="142" s="1"/>
  <c r="O149" i="142" s="1"/>
  <c r="O150" i="142" s="1"/>
  <c r="O151" i="142" s="1"/>
  <c r="O152" i="142" s="1"/>
  <c r="O153" i="142" s="1"/>
  <c r="O154" i="142" s="1"/>
  <c r="O155" i="142" s="1"/>
  <c r="O156" i="142" s="1"/>
  <c r="O157" i="142" s="1"/>
  <c r="O158" i="142" s="1"/>
  <c r="O159" i="142" s="1"/>
  <c r="O160" i="142" s="1"/>
  <c r="O161" i="142" s="1"/>
  <c r="O162" i="142" s="1"/>
  <c r="O163" i="142" s="1"/>
  <c r="O164" i="142" s="1"/>
  <c r="O165" i="142" s="1"/>
  <c r="O166" i="142" s="1"/>
  <c r="O167" i="142" s="1"/>
  <c r="O168" i="142" s="1"/>
  <c r="O169" i="142" s="1"/>
  <c r="O170" i="142" s="1"/>
  <c r="O171" i="142" s="1"/>
  <c r="O172" i="142" s="1"/>
  <c r="O173" i="142" s="1"/>
  <c r="O174" i="142" s="1"/>
  <c r="O175" i="142" s="1"/>
  <c r="O176" i="142" s="1"/>
  <c r="O177" i="142" s="1"/>
  <c r="O178" i="142" s="1"/>
  <c r="O179" i="142" s="1"/>
  <c r="O180" i="142" s="1"/>
  <c r="O181" i="142" s="1"/>
  <c r="O182" i="142" s="1"/>
  <c r="O183" i="142" s="1"/>
  <c r="O184" i="142" s="1"/>
  <c r="O185" i="142" s="1"/>
  <c r="O186" i="142" s="1"/>
  <c r="O187" i="142" s="1"/>
  <c r="O188" i="142" s="1"/>
  <c r="O189" i="142" s="1"/>
  <c r="O190" i="142" s="1"/>
  <c r="O191" i="142" s="1"/>
  <c r="O192" i="142" s="1"/>
  <c r="O193" i="142" s="1"/>
  <c r="O194" i="142" s="1"/>
  <c r="O195" i="142" s="1"/>
  <c r="O196" i="142" s="1"/>
  <c r="O197" i="142" s="1"/>
  <c r="O198" i="142" s="1"/>
  <c r="O199" i="142" s="1"/>
  <c r="O200" i="142" s="1"/>
  <c r="O201" i="142" s="1"/>
  <c r="O202" i="142" s="1"/>
  <c r="O203" i="142" s="1"/>
  <c r="O204" i="142" s="1"/>
  <c r="O138" i="139"/>
  <c r="O139" i="139" s="1"/>
  <c r="O140" i="139" s="1"/>
  <c r="O141" i="139" s="1"/>
  <c r="O142" i="139" s="1"/>
  <c r="O143" i="139" s="1"/>
  <c r="O144" i="139" s="1"/>
  <c r="O145" i="139" s="1"/>
  <c r="O146" i="139" s="1"/>
  <c r="N129" i="139"/>
  <c r="O324" i="148" l="1"/>
  <c r="O325" i="148" s="1"/>
  <c r="O326" i="148" s="1"/>
  <c r="O327" i="148" s="1"/>
  <c r="O328" i="148" s="1"/>
  <c r="O329" i="148" s="1"/>
  <c r="N261" i="148"/>
  <c r="N262" i="148" s="1"/>
  <c r="N263" i="148" s="1"/>
  <c r="N264" i="148" s="1"/>
  <c r="N265" i="148" s="1"/>
  <c r="N266" i="148" s="1"/>
  <c r="N267" i="148" s="1"/>
  <c r="N268" i="148" s="1"/>
  <c r="N269" i="148" s="1"/>
  <c r="N270" i="148" s="1"/>
  <c r="O281" i="145"/>
  <c r="O282" i="145" s="1"/>
  <c r="O283" i="145" s="1"/>
  <c r="O284" i="145" s="1"/>
  <c r="O285" i="145" s="1"/>
  <c r="O286" i="145" s="1"/>
  <c r="O287" i="145" s="1"/>
  <c r="O288" i="145" s="1"/>
  <c r="O289" i="145" s="1"/>
  <c r="O290" i="145" s="1"/>
  <c r="O291" i="145" s="1"/>
  <c r="O292" i="145" s="1"/>
  <c r="O293" i="145" s="1"/>
  <c r="O294" i="145" s="1"/>
  <c r="O295" i="145" s="1"/>
  <c r="O296" i="145" s="1"/>
  <c r="O297" i="145" s="1"/>
  <c r="O298" i="145" s="1"/>
  <c r="N239" i="145"/>
  <c r="N240" i="145" s="1"/>
  <c r="N131" i="142"/>
  <c r="N132" i="142" s="1"/>
  <c r="N133" i="142" s="1"/>
  <c r="N134" i="142" s="1"/>
  <c r="N135" i="142" s="1"/>
  <c r="N136" i="142" s="1"/>
  <c r="N137" i="142" s="1"/>
  <c r="N138" i="142" s="1"/>
  <c r="N139" i="142" s="1"/>
  <c r="N140" i="142" s="1"/>
  <c r="N141" i="142" s="1"/>
  <c r="N142" i="142" s="1"/>
  <c r="N143" i="142" s="1"/>
  <c r="N144" i="142" s="1"/>
  <c r="N145" i="142" s="1"/>
  <c r="N146" i="142" s="1"/>
  <c r="N147" i="142" s="1"/>
  <c r="N148" i="142" s="1"/>
  <c r="N149" i="142" s="1"/>
  <c r="N150" i="142" s="1"/>
  <c r="O147" i="139"/>
  <c r="O148" i="139" s="1"/>
  <c r="O149" i="139" s="1"/>
  <c r="O150" i="139" s="1"/>
  <c r="O151" i="139" s="1"/>
  <c r="O152" i="139" s="1"/>
  <c r="O153" i="139" s="1"/>
  <c r="O154" i="139" s="1"/>
  <c r="O155" i="139" s="1"/>
  <c r="O156" i="139" s="1"/>
  <c r="O157" i="139" s="1"/>
  <c r="O158" i="139" s="1"/>
  <c r="O159" i="139" s="1"/>
  <c r="O160" i="139" s="1"/>
  <c r="O161" i="139" s="1"/>
  <c r="O162" i="139" s="1"/>
  <c r="O163" i="139" s="1"/>
  <c r="O164" i="139" s="1"/>
  <c r="O165" i="139" s="1"/>
  <c r="O166" i="139" s="1"/>
  <c r="N130" i="139"/>
  <c r="N131" i="139" s="1"/>
  <c r="N132" i="139" s="1"/>
  <c r="N133" i="139" s="1"/>
  <c r="N134" i="139" s="1"/>
  <c r="N135" i="139" s="1"/>
  <c r="N136" i="139" s="1"/>
  <c r="N137" i="139" s="1"/>
  <c r="O330" i="148" l="1"/>
  <c r="O331" i="148" s="1"/>
  <c r="O332" i="148" s="1"/>
  <c r="O333" i="148" s="1"/>
  <c r="O334" i="148" s="1"/>
  <c r="O335" i="148" s="1"/>
  <c r="O336" i="148" s="1"/>
  <c r="O337" i="148" s="1"/>
  <c r="O338" i="148" s="1"/>
  <c r="O339" i="148" s="1"/>
  <c r="O340" i="148" s="1"/>
  <c r="O341" i="148" s="1"/>
  <c r="O342" i="148" s="1"/>
  <c r="O343" i="148" s="1"/>
  <c r="O344" i="148" s="1"/>
  <c r="O345" i="148" s="1"/>
  <c r="O346" i="148" s="1"/>
  <c r="O347" i="148" s="1"/>
  <c r="O348" i="148" s="1"/>
  <c r="O349" i="148" s="1"/>
  <c r="O350" i="148" s="1"/>
  <c r="O351" i="148" s="1"/>
  <c r="O352" i="148" s="1"/>
  <c r="O353" i="148" s="1"/>
  <c r="O354" i="148" s="1"/>
  <c r="O355" i="148" s="1"/>
  <c r="O356" i="148" s="1"/>
  <c r="O357" i="148" s="1"/>
  <c r="O358" i="148" s="1"/>
  <c r="O359" i="148" s="1"/>
  <c r="O360" i="148" s="1"/>
  <c r="O361" i="148" s="1"/>
  <c r="O362" i="148" s="1"/>
  <c r="O363" i="148" s="1"/>
  <c r="O364" i="148" s="1"/>
  <c r="O365" i="148" s="1"/>
  <c r="O366" i="148" s="1"/>
  <c r="O367" i="148" s="1"/>
  <c r="O368" i="148" s="1"/>
  <c r="O369" i="148" s="1"/>
  <c r="N271" i="148"/>
  <c r="O299" i="145"/>
  <c r="O300" i="145" s="1"/>
  <c r="O301" i="145" s="1"/>
  <c r="O302" i="145" s="1"/>
  <c r="O303" i="145" s="1"/>
  <c r="O304" i="145" s="1"/>
  <c r="O305" i="145" s="1"/>
  <c r="O306" i="145" s="1"/>
  <c r="O307" i="145" s="1"/>
  <c r="N241" i="145"/>
  <c r="N242" i="145" s="1"/>
  <c r="N243" i="145" s="1"/>
  <c r="N244" i="145" s="1"/>
  <c r="N245" i="145" s="1"/>
  <c r="N246" i="145" s="1"/>
  <c r="N247" i="145" s="1"/>
  <c r="N248" i="145" s="1"/>
  <c r="N249" i="145" s="1"/>
  <c r="N250" i="145" s="1"/>
  <c r="N251" i="145" s="1"/>
  <c r="N252" i="145" s="1"/>
  <c r="N151" i="142"/>
  <c r="N152" i="142" s="1"/>
  <c r="N153" i="142" s="1"/>
  <c r="N154" i="142" s="1"/>
  <c r="N155" i="142" s="1"/>
  <c r="N156" i="142" s="1"/>
  <c r="N157" i="142" s="1"/>
  <c r="O167" i="139"/>
  <c r="O168" i="139" s="1"/>
  <c r="O169" i="139" s="1"/>
  <c r="O170" i="139" s="1"/>
  <c r="O171" i="139" s="1"/>
  <c r="O172" i="139" s="1"/>
  <c r="O173" i="139" s="1"/>
  <c r="O174" i="139" s="1"/>
  <c r="O175" i="139" s="1"/>
  <c r="O176" i="139" s="1"/>
  <c r="N138" i="139"/>
  <c r="N272" i="148" l="1"/>
  <c r="N273" i="148" s="1"/>
  <c r="N274" i="148" s="1"/>
  <c r="N275" i="148" s="1"/>
  <c r="N276" i="148" s="1"/>
  <c r="N277" i="148" s="1"/>
  <c r="N278" i="148" s="1"/>
  <c r="N279" i="148" s="1"/>
  <c r="N280" i="148" s="1"/>
  <c r="N281" i="148" s="1"/>
  <c r="N282" i="148" s="1"/>
  <c r="N283" i="148" s="1"/>
  <c r="N284" i="148" s="1"/>
  <c r="N285" i="148" s="1"/>
  <c r="N286" i="148" s="1"/>
  <c r="N287" i="148" s="1"/>
  <c r="N288" i="148" s="1"/>
  <c r="N289" i="148" s="1"/>
  <c r="N290" i="148" s="1"/>
  <c r="O308" i="145"/>
  <c r="O309" i="145" s="1"/>
  <c r="O310" i="145" s="1"/>
  <c r="O311" i="145" s="1"/>
  <c r="O312" i="145" s="1"/>
  <c r="O313" i="145" s="1"/>
  <c r="O314" i="145" s="1"/>
  <c r="O315" i="145" s="1"/>
  <c r="O316" i="145" s="1"/>
  <c r="O317" i="145" s="1"/>
  <c r="O318" i="145" s="1"/>
  <c r="O319" i="145" s="1"/>
  <c r="O320" i="145" s="1"/>
  <c r="O321" i="145" s="1"/>
  <c r="O322" i="145" s="1"/>
  <c r="O323" i="145" s="1"/>
  <c r="O324" i="145" s="1"/>
  <c r="O325" i="145" s="1"/>
  <c r="O326" i="145" s="1"/>
  <c r="O327" i="145" s="1"/>
  <c r="O328" i="145" s="1"/>
  <c r="O329" i="145" s="1"/>
  <c r="N253" i="145"/>
  <c r="N254" i="145" s="1"/>
  <c r="N255" i="145" s="1"/>
  <c r="N256" i="145" s="1"/>
  <c r="N257" i="145" s="1"/>
  <c r="N258" i="145" s="1"/>
  <c r="N259" i="145" s="1"/>
  <c r="N260" i="145" s="1"/>
  <c r="N261" i="145" s="1"/>
  <c r="N262" i="145" s="1"/>
  <c r="N263" i="145" s="1"/>
  <c r="N264" i="145" s="1"/>
  <c r="N265" i="145" s="1"/>
  <c r="N266" i="145" s="1"/>
  <c r="N267" i="145" s="1"/>
  <c r="N268" i="145" s="1"/>
  <c r="N269" i="145" s="1"/>
  <c r="N270" i="145" s="1"/>
  <c r="N271" i="145" s="1"/>
  <c r="N272" i="145" s="1"/>
  <c r="N273" i="145" s="1"/>
  <c r="N274" i="145" s="1"/>
  <c r="N275" i="145" s="1"/>
  <c r="N276" i="145" s="1"/>
  <c r="N277" i="145" s="1"/>
  <c r="N278" i="145" s="1"/>
  <c r="N279" i="145" s="1"/>
  <c r="N280" i="145" s="1"/>
  <c r="N281" i="145" s="1"/>
  <c r="N158" i="142"/>
  <c r="N159" i="142" s="1"/>
  <c r="N160" i="142" s="1"/>
  <c r="N161" i="142" s="1"/>
  <c r="N162" i="142" s="1"/>
  <c r="N163" i="142" s="1"/>
  <c r="N164" i="142" s="1"/>
  <c r="N165" i="142" s="1"/>
  <c r="N166" i="142" s="1"/>
  <c r="N167" i="142" s="1"/>
  <c r="N168" i="142" s="1"/>
  <c r="N169" i="142" s="1"/>
  <c r="N170" i="142" s="1"/>
  <c r="N171" i="142" s="1"/>
  <c r="O177" i="139"/>
  <c r="O178" i="139" s="1"/>
  <c r="O179" i="139" s="1"/>
  <c r="O180" i="139" s="1"/>
  <c r="O181" i="139" s="1"/>
  <c r="O182" i="139" s="1"/>
  <c r="O183" i="139" s="1"/>
  <c r="O184" i="139" s="1"/>
  <c r="O185" i="139" s="1"/>
  <c r="O186" i="139" s="1"/>
  <c r="O187" i="139" s="1"/>
  <c r="O188" i="139" s="1"/>
  <c r="O189" i="139" s="1"/>
  <c r="O190" i="139" s="1"/>
  <c r="O191" i="139" s="1"/>
  <c r="O192" i="139" s="1"/>
  <c r="O193" i="139" s="1"/>
  <c r="O194" i="139" s="1"/>
  <c r="O195" i="139" s="1"/>
  <c r="O196" i="139" s="1"/>
  <c r="O197" i="139" s="1"/>
  <c r="O198" i="139" s="1"/>
  <c r="O199" i="139" s="1"/>
  <c r="O200" i="139" s="1"/>
  <c r="O201" i="139" s="1"/>
  <c r="O202" i="139" s="1"/>
  <c r="O203" i="139" s="1"/>
  <c r="O204" i="139" s="1"/>
  <c r="O205" i="139" s="1"/>
  <c r="O206" i="139" s="1"/>
  <c r="O207" i="139" s="1"/>
  <c r="O208" i="139" s="1"/>
  <c r="O209" i="139" s="1"/>
  <c r="O210" i="139" s="1"/>
  <c r="O211" i="139" s="1"/>
  <c r="O212" i="139" s="1"/>
  <c r="O213" i="139" s="1"/>
  <c r="N139" i="139"/>
  <c r="N140" i="139" s="1"/>
  <c r="N141" i="139" s="1"/>
  <c r="N142" i="139" s="1"/>
  <c r="N143" i="139" s="1"/>
  <c r="N144" i="139" s="1"/>
  <c r="N145" i="139" s="1"/>
  <c r="N146" i="139" s="1"/>
  <c r="N147" i="139" s="1"/>
  <c r="N291" i="148" l="1"/>
  <c r="N292" i="148" s="1"/>
  <c r="N293" i="148" s="1"/>
  <c r="N294" i="148" s="1"/>
  <c r="N295" i="148" s="1"/>
  <c r="N296" i="148" s="1"/>
  <c r="N297" i="148" s="1"/>
  <c r="N298" i="148" s="1"/>
  <c r="N299" i="148" s="1"/>
  <c r="N300" i="148" s="1"/>
  <c r="N301" i="148" s="1"/>
  <c r="N302" i="148" s="1"/>
  <c r="N303" i="148" s="1"/>
  <c r="N304" i="148" s="1"/>
  <c r="O330" i="145"/>
  <c r="O331" i="145" s="1"/>
  <c r="O332" i="145" s="1"/>
  <c r="O333" i="145" s="1"/>
  <c r="O334" i="145" s="1"/>
  <c r="O335" i="145" s="1"/>
  <c r="O336" i="145" s="1"/>
  <c r="O337" i="145" s="1"/>
  <c r="O338" i="145" s="1"/>
  <c r="O339" i="145" s="1"/>
  <c r="O340" i="145" s="1"/>
  <c r="O341" i="145" s="1"/>
  <c r="O342" i="145" s="1"/>
  <c r="O343" i="145" s="1"/>
  <c r="O344" i="145" s="1"/>
  <c r="O345" i="145" s="1"/>
  <c r="O346" i="145" s="1"/>
  <c r="O347" i="145" s="1"/>
  <c r="O348" i="145" s="1"/>
  <c r="O349" i="145" s="1"/>
  <c r="O350" i="145" s="1"/>
  <c r="O351" i="145" s="1"/>
  <c r="O352" i="145" s="1"/>
  <c r="O353" i="145" s="1"/>
  <c r="O354" i="145" s="1"/>
  <c r="O355" i="145" s="1"/>
  <c r="O356" i="145" s="1"/>
  <c r="O357" i="145" s="1"/>
  <c r="O358" i="145" s="1"/>
  <c r="O359" i="145" s="1"/>
  <c r="O360" i="145" s="1"/>
  <c r="N282" i="145"/>
  <c r="N283" i="145" s="1"/>
  <c r="N284" i="145" s="1"/>
  <c r="N285" i="145" s="1"/>
  <c r="N286" i="145" s="1"/>
  <c r="N287" i="145" s="1"/>
  <c r="N288" i="145" s="1"/>
  <c r="N289" i="145" s="1"/>
  <c r="N290" i="145" s="1"/>
  <c r="N291" i="145" s="1"/>
  <c r="N292" i="145" s="1"/>
  <c r="N293" i="145" s="1"/>
  <c r="N294" i="145" s="1"/>
  <c r="N295" i="145" s="1"/>
  <c r="N296" i="145" s="1"/>
  <c r="N297" i="145" s="1"/>
  <c r="N298" i="145" s="1"/>
  <c r="N172" i="142"/>
  <c r="N173" i="142" s="1"/>
  <c r="N174" i="142" s="1"/>
  <c r="N175" i="142" s="1"/>
  <c r="N176" i="142" s="1"/>
  <c r="N177" i="142" s="1"/>
  <c r="N178" i="142" s="1"/>
  <c r="N179" i="142" s="1"/>
  <c r="N180" i="142" s="1"/>
  <c r="N181" i="142" s="1"/>
  <c r="N182" i="142" s="1"/>
  <c r="N183" i="142" s="1"/>
  <c r="N184" i="142" s="1"/>
  <c r="O205" i="142"/>
  <c r="O206" i="142" s="1"/>
  <c r="O207" i="142" s="1"/>
  <c r="O208" i="142" s="1"/>
  <c r="O209" i="142" s="1"/>
  <c r="O210" i="142" s="1"/>
  <c r="O211" i="142" s="1"/>
  <c r="O212" i="142" s="1"/>
  <c r="O213" i="142" s="1"/>
  <c r="O214" i="142" s="1"/>
  <c r="O215" i="142" s="1"/>
  <c r="O216" i="142" s="1"/>
  <c r="O217" i="142" s="1"/>
  <c r="O218" i="142" s="1"/>
  <c r="O219" i="142" s="1"/>
  <c r="O220" i="142" s="1"/>
  <c r="O221" i="142" s="1"/>
  <c r="O222" i="142" s="1"/>
  <c r="O223" i="142" s="1"/>
  <c r="O224" i="142" s="1"/>
  <c r="O225" i="142" s="1"/>
  <c r="O226" i="142" s="1"/>
  <c r="O227" i="142" s="1"/>
  <c r="O228" i="142" s="1"/>
  <c r="O229" i="142" s="1"/>
  <c r="O230" i="142" s="1"/>
  <c r="O231" i="142" s="1"/>
  <c r="O232" i="142" s="1"/>
  <c r="O233" i="142" s="1"/>
  <c r="O234" i="142" s="1"/>
  <c r="O235" i="142" s="1"/>
  <c r="O236" i="142" s="1"/>
  <c r="O237" i="142" s="1"/>
  <c r="O238" i="142" s="1"/>
  <c r="O239" i="142" s="1"/>
  <c r="O240" i="142" s="1"/>
  <c r="O241" i="142" s="1"/>
  <c r="N148" i="139"/>
  <c r="N149" i="139" s="1"/>
  <c r="N150" i="139" s="1"/>
  <c r="N151" i="139" s="1"/>
  <c r="N152" i="139" s="1"/>
  <c r="N153" i="139" s="1"/>
  <c r="N154" i="139" s="1"/>
  <c r="N155" i="139" s="1"/>
  <c r="N156" i="139" s="1"/>
  <c r="N305" i="148" l="1"/>
  <c r="N306" i="148" s="1"/>
  <c r="N307" i="148" s="1"/>
  <c r="N308" i="148" s="1"/>
  <c r="N309" i="148" s="1"/>
  <c r="N310" i="148" s="1"/>
  <c r="N311" i="148" s="1"/>
  <c r="N312" i="148" s="1"/>
  <c r="N313" i="148" s="1"/>
  <c r="N314" i="148" s="1"/>
  <c r="N315" i="148" s="1"/>
  <c r="N316" i="148" s="1"/>
  <c r="N317" i="148" s="1"/>
  <c r="N318" i="148" s="1"/>
  <c r="N319" i="148" s="1"/>
  <c r="N320" i="148" s="1"/>
  <c r="N321" i="148" s="1"/>
  <c r="N322" i="148" s="1"/>
  <c r="N323" i="148" s="1"/>
  <c r="O361" i="145"/>
  <c r="O362" i="145" s="1"/>
  <c r="O363" i="145" s="1"/>
  <c r="O364" i="145" s="1"/>
  <c r="O365" i="145" s="1"/>
  <c r="O366" i="145" s="1"/>
  <c r="O367" i="145" s="1"/>
  <c r="O368" i="145" s="1"/>
  <c r="O369" i="145" s="1"/>
  <c r="O370" i="145" s="1"/>
  <c r="O371" i="145" s="1"/>
  <c r="O372" i="145" s="1"/>
  <c r="O373" i="145" s="1"/>
  <c r="O374" i="145" s="1"/>
  <c r="O375" i="145" s="1"/>
  <c r="O376" i="145" s="1"/>
  <c r="O377" i="145" s="1"/>
  <c r="O378" i="145" s="1"/>
  <c r="O379" i="145" s="1"/>
  <c r="O380" i="145" s="1"/>
  <c r="O381" i="145" s="1"/>
  <c r="O382" i="145" s="1"/>
  <c r="O383" i="145" s="1"/>
  <c r="O384" i="145" s="1"/>
  <c r="O385" i="145" s="1"/>
  <c r="O386" i="145" s="1"/>
  <c r="O387" i="145" s="1"/>
  <c r="N299" i="145"/>
  <c r="N300" i="145" s="1"/>
  <c r="N301" i="145" s="1"/>
  <c r="N302" i="145" s="1"/>
  <c r="N303" i="145" s="1"/>
  <c r="N304" i="145" s="1"/>
  <c r="N305" i="145" s="1"/>
  <c r="N306" i="145" s="1"/>
  <c r="N307" i="145" s="1"/>
  <c r="N185" i="142"/>
  <c r="N186" i="142" s="1"/>
  <c r="N187" i="142" s="1"/>
  <c r="N188" i="142" s="1"/>
  <c r="N189" i="142" s="1"/>
  <c r="N157" i="139"/>
  <c r="N158" i="139" s="1"/>
  <c r="N159" i="139" s="1"/>
  <c r="N160" i="139" s="1"/>
  <c r="N161" i="139" s="1"/>
  <c r="N162" i="139" s="1"/>
  <c r="N163" i="139" s="1"/>
  <c r="N164" i="139" s="1"/>
  <c r="N165" i="139" s="1"/>
  <c r="N166" i="139" s="1"/>
  <c r="N167" i="139" s="1"/>
  <c r="N324" i="148" l="1"/>
  <c r="N325" i="148" s="1"/>
  <c r="N326" i="148" s="1"/>
  <c r="N327" i="148" s="1"/>
  <c r="N328" i="148" s="1"/>
  <c r="N329" i="148" s="1"/>
  <c r="N330" i="148" s="1"/>
  <c r="O388" i="145"/>
  <c r="O389" i="145" s="1"/>
  <c r="O390" i="145" s="1"/>
  <c r="O391" i="145" s="1"/>
  <c r="O392" i="145" s="1"/>
  <c r="O393" i="145" s="1"/>
  <c r="O394" i="145" s="1"/>
  <c r="O395" i="145" s="1"/>
  <c r="O396" i="145" s="1"/>
  <c r="O397" i="145" s="1"/>
  <c r="O398" i="145" s="1"/>
  <c r="O399" i="145" s="1"/>
  <c r="O400" i="145" s="1"/>
  <c r="O401" i="145" s="1"/>
  <c r="O402" i="145" s="1"/>
  <c r="O403" i="145" s="1"/>
  <c r="O404" i="145" s="1"/>
  <c r="O405" i="145" s="1"/>
  <c r="O406" i="145" s="1"/>
  <c r="O407" i="145" s="1"/>
  <c r="O408" i="145" s="1"/>
  <c r="O409" i="145" s="1"/>
  <c r="O410" i="145" s="1"/>
  <c r="O411" i="145" s="1"/>
  <c r="O412" i="145" s="1"/>
  <c r="O413" i="145" s="1"/>
  <c r="O414" i="145" s="1"/>
  <c r="O415" i="145" s="1"/>
  <c r="O416" i="145" s="1"/>
  <c r="O417" i="145" s="1"/>
  <c r="O418" i="145" s="1"/>
  <c r="O419" i="145" s="1"/>
  <c r="O420" i="145" s="1"/>
  <c r="O421" i="145" s="1"/>
  <c r="O422" i="145" s="1"/>
  <c r="O423" i="145" s="1"/>
  <c r="O424" i="145" s="1"/>
  <c r="O425" i="145" s="1"/>
  <c r="O426" i="145" s="1"/>
  <c r="O427" i="145" s="1"/>
  <c r="O428" i="145" s="1"/>
  <c r="O429" i="145" s="1"/>
  <c r="O430" i="145" s="1"/>
  <c r="O431" i="145" s="1"/>
  <c r="O432" i="145" s="1"/>
  <c r="O433" i="145" s="1"/>
  <c r="O434" i="145" s="1"/>
  <c r="O435" i="145" s="1"/>
  <c r="O436" i="145" s="1"/>
  <c r="O437" i="145" s="1"/>
  <c r="O438" i="145" s="1"/>
  <c r="O439" i="145" s="1"/>
  <c r="O440" i="145" s="1"/>
  <c r="O441" i="145" s="1"/>
  <c r="O442" i="145" s="1"/>
  <c r="N308" i="145"/>
  <c r="N309" i="145" s="1"/>
  <c r="N310" i="145" s="1"/>
  <c r="N311" i="145" s="1"/>
  <c r="N312" i="145" s="1"/>
  <c r="N313" i="145" s="1"/>
  <c r="N314" i="145" s="1"/>
  <c r="N315" i="145" s="1"/>
  <c r="N316" i="145" s="1"/>
  <c r="N317" i="145" s="1"/>
  <c r="N318" i="145" s="1"/>
  <c r="N319" i="145" s="1"/>
  <c r="N320" i="145" s="1"/>
  <c r="N321" i="145" s="1"/>
  <c r="N322" i="145" s="1"/>
  <c r="N323" i="145" s="1"/>
  <c r="N324" i="145" s="1"/>
  <c r="N325" i="145" s="1"/>
  <c r="N326" i="145" s="1"/>
  <c r="N327" i="145" s="1"/>
  <c r="N328" i="145" s="1"/>
  <c r="N329" i="145" s="1"/>
  <c r="N190" i="142"/>
  <c r="N191" i="142" s="1"/>
  <c r="N192" i="142" s="1"/>
  <c r="N193" i="142" s="1"/>
  <c r="N194" i="142" s="1"/>
  <c r="N195" i="142" s="1"/>
  <c r="N196" i="142" s="1"/>
  <c r="N197" i="142" s="1"/>
  <c r="N198" i="142" s="1"/>
  <c r="N199" i="142" s="1"/>
  <c r="N200" i="142" s="1"/>
  <c r="N201" i="142" s="1"/>
  <c r="N202" i="142" s="1"/>
  <c r="N203" i="142" s="1"/>
  <c r="N204" i="142" s="1"/>
  <c r="N168" i="139"/>
  <c r="N169" i="139" s="1"/>
  <c r="N170" i="139" s="1"/>
  <c r="N171" i="139" s="1"/>
  <c r="N172" i="139" s="1"/>
  <c r="N173" i="139" s="1"/>
  <c r="N174" i="139" s="1"/>
  <c r="N175" i="139" s="1"/>
  <c r="N176" i="139" s="1"/>
  <c r="N331" i="148" l="1"/>
  <c r="N332" i="148" s="1"/>
  <c r="N333" i="148" s="1"/>
  <c r="N334" i="148" s="1"/>
  <c r="N335" i="148" s="1"/>
  <c r="N336" i="148" s="1"/>
  <c r="N337" i="148" s="1"/>
  <c r="N338" i="148" s="1"/>
  <c r="N339" i="148" s="1"/>
  <c r="N340" i="148" s="1"/>
  <c r="N341" i="148" s="1"/>
  <c r="N342" i="148" s="1"/>
  <c r="N343" i="148" s="1"/>
  <c r="N344" i="148" s="1"/>
  <c r="N345" i="148" s="1"/>
  <c r="N346" i="148" s="1"/>
  <c r="N347" i="148" s="1"/>
  <c r="N348" i="148" s="1"/>
  <c r="N330" i="145"/>
  <c r="N177" i="139"/>
  <c r="N178" i="139" s="1"/>
  <c r="N179" i="139" s="1"/>
  <c r="N180" i="139" s="1"/>
  <c r="N181" i="139" s="1"/>
  <c r="N182" i="139" s="1"/>
  <c r="N183" i="139" s="1"/>
  <c r="N184" i="139" s="1"/>
  <c r="N185" i="139" s="1"/>
  <c r="N186" i="139" s="1"/>
  <c r="N187" i="139" s="1"/>
  <c r="N188" i="139" s="1"/>
  <c r="N189" i="139" s="1"/>
  <c r="N349" i="148" l="1"/>
  <c r="N350" i="148" s="1"/>
  <c r="N351" i="148" s="1"/>
  <c r="N352" i="148" s="1"/>
  <c r="N353" i="148" s="1"/>
  <c r="N354" i="148" s="1"/>
  <c r="N355" i="148" s="1"/>
  <c r="N356" i="148" s="1"/>
  <c r="N357" i="148" s="1"/>
  <c r="N358" i="148" s="1"/>
  <c r="N359" i="148" s="1"/>
  <c r="N360" i="148" s="1"/>
  <c r="N361" i="148" s="1"/>
  <c r="N362" i="148" s="1"/>
  <c r="N363" i="148" s="1"/>
  <c r="N364" i="148" s="1"/>
  <c r="N365" i="148" s="1"/>
  <c r="N366" i="148" s="1"/>
  <c r="N367" i="148" s="1"/>
  <c r="N368" i="148" s="1"/>
  <c r="N369" i="148" s="1"/>
  <c r="N371" i="148" s="1"/>
  <c r="O378" i="148" s="1"/>
  <c r="O379" i="148" s="1"/>
  <c r="N331" i="145"/>
  <c r="N332" i="145" s="1"/>
  <c r="N333" i="145" s="1"/>
  <c r="N334" i="145" s="1"/>
  <c r="N335" i="145" s="1"/>
  <c r="N336" i="145" s="1"/>
  <c r="N337" i="145" s="1"/>
  <c r="N338" i="145" s="1"/>
  <c r="N339" i="145" s="1"/>
  <c r="N340" i="145" s="1"/>
  <c r="N341" i="145" s="1"/>
  <c r="N342" i="145" s="1"/>
  <c r="N343" i="145" s="1"/>
  <c r="N344" i="145" s="1"/>
  <c r="N345" i="145" s="1"/>
  <c r="N346" i="145" s="1"/>
  <c r="N347" i="145" s="1"/>
  <c r="N348" i="145" s="1"/>
  <c r="N349" i="145" s="1"/>
  <c r="N350" i="145" s="1"/>
  <c r="N351" i="145" s="1"/>
  <c r="N352" i="145" s="1"/>
  <c r="N353" i="145" s="1"/>
  <c r="N354" i="145" s="1"/>
  <c r="N355" i="145" s="1"/>
  <c r="N356" i="145" s="1"/>
  <c r="N357" i="145" s="1"/>
  <c r="N358" i="145" s="1"/>
  <c r="N359" i="145" s="1"/>
  <c r="N360" i="145" s="1"/>
  <c r="N205" i="142"/>
  <c r="N206" i="142" s="1"/>
  <c r="N207" i="142" s="1"/>
  <c r="N208" i="142" s="1"/>
  <c r="N209" i="142" s="1"/>
  <c r="N210" i="142" s="1"/>
  <c r="N211" i="142" s="1"/>
  <c r="N212" i="142" s="1"/>
  <c r="N213" i="142" s="1"/>
  <c r="N214" i="142" s="1"/>
  <c r="N215" i="142" s="1"/>
  <c r="N216" i="142" s="1"/>
  <c r="N217" i="142" s="1"/>
  <c r="N218" i="142" s="1"/>
  <c r="N219" i="142" s="1"/>
  <c r="N220" i="142" s="1"/>
  <c r="N221" i="142" s="1"/>
  <c r="N222" i="142" s="1"/>
  <c r="N223" i="142" s="1"/>
  <c r="N224" i="142" s="1"/>
  <c r="N225" i="142" s="1"/>
  <c r="N226" i="142" s="1"/>
  <c r="N227" i="142" s="1"/>
  <c r="N228" i="142" s="1"/>
  <c r="N229" i="142" s="1"/>
  <c r="N230" i="142" s="1"/>
  <c r="N231" i="142" s="1"/>
  <c r="N232" i="142" s="1"/>
  <c r="N233" i="142" s="1"/>
  <c r="N234" i="142" s="1"/>
  <c r="N235" i="142" s="1"/>
  <c r="N236" i="142" s="1"/>
  <c r="N237" i="142" s="1"/>
  <c r="N238" i="142" s="1"/>
  <c r="N239" i="142" s="1"/>
  <c r="N240" i="142" s="1"/>
  <c r="N241" i="142" s="1"/>
  <c r="N190" i="139"/>
  <c r="N191" i="139" s="1"/>
  <c r="N192" i="139" s="1"/>
  <c r="N193" i="139" s="1"/>
  <c r="N194" i="139" s="1"/>
  <c r="N195" i="139" s="1"/>
  <c r="N196" i="139" s="1"/>
  <c r="N197" i="139" s="1"/>
  <c r="N361" i="145" l="1"/>
  <c r="N362" i="145" s="1"/>
  <c r="N363" i="145" s="1"/>
  <c r="N364" i="145" s="1"/>
  <c r="N365" i="145" s="1"/>
  <c r="N366" i="145" s="1"/>
  <c r="N367" i="145" s="1"/>
  <c r="N368" i="145" s="1"/>
  <c r="N369" i="145" s="1"/>
  <c r="N370" i="145" s="1"/>
  <c r="N371" i="145" s="1"/>
  <c r="N372" i="145" s="1"/>
  <c r="N373" i="145" s="1"/>
  <c r="N374" i="145" s="1"/>
  <c r="N375" i="145" s="1"/>
  <c r="N376" i="145" s="1"/>
  <c r="N377" i="145" s="1"/>
  <c r="N378" i="145" s="1"/>
  <c r="N379" i="145" s="1"/>
  <c r="N380" i="145" s="1"/>
  <c r="N381" i="145" s="1"/>
  <c r="N382" i="145" s="1"/>
  <c r="N383" i="145" s="1"/>
  <c r="N384" i="145" s="1"/>
  <c r="N385" i="145" s="1"/>
  <c r="N386" i="145" s="1"/>
  <c r="N387" i="145" s="1"/>
  <c r="N388" i="145" s="1"/>
  <c r="N243" i="142"/>
  <c r="O250" i="142" s="1"/>
  <c r="O251" i="142" s="1"/>
  <c r="N198" i="139"/>
  <c r="N199" i="139" s="1"/>
  <c r="N200" i="139" s="1"/>
  <c r="N201" i="139" s="1"/>
  <c r="N202" i="139" s="1"/>
  <c r="N203" i="139" s="1"/>
  <c r="N204" i="139" s="1"/>
  <c r="N205" i="139" s="1"/>
  <c r="N206" i="139" s="1"/>
  <c r="N207" i="139" s="1"/>
  <c r="N208" i="139" s="1"/>
  <c r="N209" i="139" s="1"/>
  <c r="N210" i="139" s="1"/>
  <c r="N211" i="139" s="1"/>
  <c r="N212" i="139" s="1"/>
  <c r="N213" i="139" s="1"/>
  <c r="N215" i="139" s="1"/>
  <c r="O222" i="139" s="1"/>
  <c r="O223" i="139" s="1"/>
  <c r="N389" i="145" l="1"/>
  <c r="N390" i="145" s="1"/>
  <c r="N391" i="145" s="1"/>
  <c r="N392" i="145" s="1"/>
  <c r="N393" i="145" s="1"/>
  <c r="N394" i="145" s="1"/>
  <c r="N395" i="145" s="1"/>
  <c r="N396" i="145" s="1"/>
  <c r="N397" i="145" s="1"/>
  <c r="N398" i="145" s="1"/>
  <c r="N399" i="145" s="1"/>
  <c r="N400" i="145" s="1"/>
  <c r="N401" i="145" s="1"/>
  <c r="N402" i="145" s="1"/>
  <c r="N403" i="145" s="1"/>
  <c r="N404" i="145" s="1"/>
  <c r="N405" i="145" s="1"/>
  <c r="N406" i="145" s="1"/>
  <c r="N407" i="145" s="1"/>
  <c r="N408" i="145" s="1"/>
  <c r="N409" i="145" s="1"/>
  <c r="N410" i="145" s="1"/>
  <c r="N411" i="145" s="1"/>
  <c r="N412" i="145" s="1"/>
  <c r="E290" i="136"/>
  <c r="E289" i="136"/>
  <c r="N413" i="145" l="1"/>
  <c r="N414" i="145" s="1"/>
  <c r="N415" i="145" s="1"/>
  <c r="N416" i="145" s="1"/>
  <c r="N417" i="145" s="1"/>
  <c r="N418" i="145" s="1"/>
  <c r="N419" i="145" s="1"/>
  <c r="N420" i="145" s="1"/>
  <c r="N421" i="145" s="1"/>
  <c r="N422" i="145" s="1"/>
  <c r="N423" i="145" s="1"/>
  <c r="N424" i="145" s="1"/>
  <c r="N425" i="145" s="1"/>
  <c r="N426" i="145" s="1"/>
  <c r="N427" i="145" s="1"/>
  <c r="N428" i="145" s="1"/>
  <c r="N429" i="145" s="1"/>
  <c r="N430" i="145" s="1"/>
  <c r="N431" i="145" s="1"/>
  <c r="N432" i="145" s="1"/>
  <c r="N433" i="145" s="1"/>
  <c r="N434" i="145" s="1"/>
  <c r="N435" i="145" s="1"/>
  <c r="N436" i="145" s="1"/>
  <c r="N437" i="145" s="1"/>
  <c r="N438" i="145" s="1"/>
  <c r="N439" i="145" s="1"/>
  <c r="N440" i="145" s="1"/>
  <c r="N441" i="145" s="1"/>
  <c r="N442" i="145" s="1"/>
  <c r="N444" i="145" s="1"/>
  <c r="O451" i="145" s="1"/>
  <c r="O452" i="145" s="1"/>
  <c r="E280" i="136"/>
  <c r="E281" i="136"/>
  <c r="E279" i="136"/>
  <c r="B291" i="136" l="1"/>
  <c r="B282" i="136"/>
  <c r="D275" i="136"/>
  <c r="E275" i="136" s="1"/>
  <c r="D271" i="136"/>
  <c r="E271" i="136" s="1"/>
  <c r="D286" i="136"/>
  <c r="E286" i="136" s="1"/>
  <c r="D269" i="136"/>
  <c r="E269" i="136" s="1"/>
  <c r="J264" i="136"/>
  <c r="J255" i="136"/>
  <c r="D270" i="136"/>
  <c r="E270" i="136" s="1"/>
  <c r="D272" i="136"/>
  <c r="E272" i="136" s="1"/>
  <c r="D273" i="136"/>
  <c r="E273" i="136" s="1"/>
  <c r="D274" i="136"/>
  <c r="E274" i="136" s="1"/>
  <c r="D276" i="136"/>
  <c r="E276" i="136" s="1"/>
  <c r="D277" i="136"/>
  <c r="E277" i="136" s="1"/>
  <c r="D278" i="136"/>
  <c r="E278" i="136" s="1"/>
  <c r="D283" i="136"/>
  <c r="E283" i="136" s="1"/>
  <c r="D285" i="136"/>
  <c r="E285" i="136" s="1"/>
  <c r="D287" i="136"/>
  <c r="E287" i="136" s="1"/>
  <c r="O241" i="136"/>
  <c r="O240" i="136"/>
  <c r="N240" i="136"/>
  <c r="O239" i="136"/>
  <c r="L238" i="136"/>
  <c r="I238" i="136"/>
  <c r="C238" i="136"/>
  <c r="O7" i="136" s="1"/>
  <c r="O8" i="136" s="1"/>
  <c r="O9" i="136" s="1"/>
  <c r="N7" i="136"/>
  <c r="N8" i="136" s="1"/>
  <c r="N9" i="136" s="1"/>
  <c r="N10" i="136" s="1"/>
  <c r="N11" i="136" s="1"/>
  <c r="N12" i="136" s="1"/>
  <c r="N13" i="136" s="1"/>
  <c r="N14" i="136" s="1"/>
  <c r="N15" i="136" s="1"/>
  <c r="N16" i="136" s="1"/>
  <c r="N17" i="136" s="1"/>
  <c r="N18" i="136" s="1"/>
  <c r="E282" i="136" l="1"/>
  <c r="D284" i="136"/>
  <c r="E284" i="136" s="1"/>
  <c r="F284" i="136" s="1"/>
  <c r="G284" i="136" s="1"/>
  <c r="F289" i="136"/>
  <c r="G289" i="136" s="1"/>
  <c r="F285" i="136"/>
  <c r="G285" i="136" s="1"/>
  <c r="F281" i="136"/>
  <c r="G281" i="136" s="1"/>
  <c r="F277" i="136"/>
  <c r="G277" i="136" s="1"/>
  <c r="F273" i="136"/>
  <c r="G273" i="136" s="1"/>
  <c r="F269" i="136"/>
  <c r="F280" i="136"/>
  <c r="G280" i="136" s="1"/>
  <c r="F276" i="136"/>
  <c r="G276" i="136" s="1"/>
  <c r="F272" i="136"/>
  <c r="G272" i="136" s="1"/>
  <c r="F287" i="136"/>
  <c r="G287" i="136" s="1"/>
  <c r="F283" i="136"/>
  <c r="F275" i="136"/>
  <c r="G275" i="136" s="1"/>
  <c r="F271" i="136"/>
  <c r="G271" i="136" s="1"/>
  <c r="F290" i="136"/>
  <c r="G290" i="136" s="1"/>
  <c r="F286" i="136"/>
  <c r="G286" i="136" s="1"/>
  <c r="F278" i="136"/>
  <c r="G278" i="136" s="1"/>
  <c r="F274" i="136"/>
  <c r="G274" i="136" s="1"/>
  <c r="F270" i="136"/>
  <c r="G270" i="136" s="1"/>
  <c r="N19" i="136"/>
  <c r="N20" i="136" s="1"/>
  <c r="N21" i="136" s="1"/>
  <c r="N22" i="136" s="1"/>
  <c r="N23" i="136" s="1"/>
  <c r="N24" i="136" s="1"/>
  <c r="N25" i="136" s="1"/>
  <c r="N26" i="136" s="1"/>
  <c r="N27" i="136" s="1"/>
  <c r="N28" i="136" s="1"/>
  <c r="N29" i="136" s="1"/>
  <c r="N30" i="136" s="1"/>
  <c r="N31" i="136" s="1"/>
  <c r="O10" i="136"/>
  <c r="O11" i="136" s="1"/>
  <c r="O12" i="136" s="1"/>
  <c r="O13" i="136" s="1"/>
  <c r="O14" i="136" s="1"/>
  <c r="O15" i="136" s="1"/>
  <c r="O16" i="136" s="1"/>
  <c r="L239" i="136"/>
  <c r="G238" i="136"/>
  <c r="G239" i="136" s="1"/>
  <c r="D249" i="133"/>
  <c r="E249" i="133" s="1"/>
  <c r="D250" i="133"/>
  <c r="E250" i="133" s="1"/>
  <c r="D251" i="133"/>
  <c r="E251" i="133"/>
  <c r="F251" i="133" s="1"/>
  <c r="E291" i="136" l="1"/>
  <c r="F249" i="133"/>
  <c r="G249" i="133" s="1"/>
  <c r="G251" i="133"/>
  <c r="F291" i="136"/>
  <c r="F282" i="136"/>
  <c r="F250" i="133"/>
  <c r="G250" i="133" s="1"/>
  <c r="G283" i="136"/>
  <c r="G291" i="136" s="1"/>
  <c r="F279" i="136"/>
  <c r="G279" i="136" s="1"/>
  <c r="G269" i="136"/>
  <c r="G282" i="136" s="1"/>
  <c r="N32" i="136"/>
  <c r="N33" i="136" s="1"/>
  <c r="N34" i="136" s="1"/>
  <c r="N35" i="136" s="1"/>
  <c r="N36" i="136" s="1"/>
  <c r="N37" i="136" s="1"/>
  <c r="N38" i="136" s="1"/>
  <c r="N39" i="136" s="1"/>
  <c r="O17" i="136"/>
  <c r="O18" i="136" s="1"/>
  <c r="O19" i="136" s="1"/>
  <c r="O20" i="136" s="1"/>
  <c r="O21" i="136" s="1"/>
  <c r="O22" i="136" s="1"/>
  <c r="O23" i="136" s="1"/>
  <c r="O24" i="136" s="1"/>
  <c r="O25" i="136" s="1"/>
  <c r="O26" i="136" s="1"/>
  <c r="O27" i="136" s="1"/>
  <c r="O28" i="136" s="1"/>
  <c r="O29" i="136" s="1"/>
  <c r="O30" i="136" s="1"/>
  <c r="O238" i="136"/>
  <c r="B263" i="133"/>
  <c r="B253" i="133"/>
  <c r="J244" i="133"/>
  <c r="J234" i="133"/>
  <c r="D262" i="133"/>
  <c r="E262" i="133" s="1"/>
  <c r="D261" i="133"/>
  <c r="E261" i="133" s="1"/>
  <c r="D260" i="133"/>
  <c r="E260" i="133" s="1"/>
  <c r="D259" i="133"/>
  <c r="E259" i="133" s="1"/>
  <c r="D258" i="133"/>
  <c r="E258" i="133" s="1"/>
  <c r="D257" i="133"/>
  <c r="E257" i="133" s="1"/>
  <c r="D256" i="133"/>
  <c r="E256" i="133" s="1"/>
  <c r="D255" i="133"/>
  <c r="E255" i="133" s="1"/>
  <c r="D254" i="133"/>
  <c r="E254" i="133" s="1"/>
  <c r="D252" i="133"/>
  <c r="E252" i="133" s="1"/>
  <c r="J194" i="133"/>
  <c r="M199" i="133"/>
  <c r="M198" i="133"/>
  <c r="M197" i="133"/>
  <c r="M196" i="133"/>
  <c r="M195" i="133"/>
  <c r="M194" i="133"/>
  <c r="M193" i="133"/>
  <c r="J187" i="133"/>
  <c r="M190" i="133"/>
  <c r="M189" i="133"/>
  <c r="M188" i="133"/>
  <c r="M187" i="133"/>
  <c r="M186" i="133"/>
  <c r="M185" i="133"/>
  <c r="M184" i="133"/>
  <c r="M183" i="133"/>
  <c r="M182" i="133"/>
  <c r="M192" i="133"/>
  <c r="M191" i="133"/>
  <c r="F194" i="133"/>
  <c r="G194" i="133"/>
  <c r="F195" i="133"/>
  <c r="G195" i="133"/>
  <c r="J160" i="133"/>
  <c r="J168" i="133"/>
  <c r="J173" i="133"/>
  <c r="J176" i="133"/>
  <c r="M181" i="133"/>
  <c r="M180" i="133"/>
  <c r="M179" i="133"/>
  <c r="M178" i="133"/>
  <c r="M177" i="133"/>
  <c r="M176" i="133"/>
  <c r="M175" i="133"/>
  <c r="M174" i="133"/>
  <c r="M173" i="133"/>
  <c r="M172" i="133"/>
  <c r="M171" i="133"/>
  <c r="M170" i="133"/>
  <c r="M169" i="133"/>
  <c r="M168" i="133"/>
  <c r="M167" i="133"/>
  <c r="M166" i="133"/>
  <c r="M165" i="133"/>
  <c r="M164" i="133"/>
  <c r="M163" i="133"/>
  <c r="M162" i="133"/>
  <c r="M161" i="133"/>
  <c r="M160" i="133"/>
  <c r="M159" i="133"/>
  <c r="M158" i="133"/>
  <c r="M157" i="133"/>
  <c r="F187" i="133"/>
  <c r="G187" i="133"/>
  <c r="J147" i="133"/>
  <c r="J152" i="133"/>
  <c r="M156" i="133"/>
  <c r="M155" i="133"/>
  <c r="M154" i="133"/>
  <c r="M153" i="133"/>
  <c r="M152" i="133"/>
  <c r="M151" i="133"/>
  <c r="M150" i="133"/>
  <c r="M149" i="133"/>
  <c r="M148" i="133"/>
  <c r="M147" i="133"/>
  <c r="M146" i="133"/>
  <c r="F160" i="133"/>
  <c r="G160" i="133"/>
  <c r="F168" i="133"/>
  <c r="G168" i="133"/>
  <c r="F169" i="133"/>
  <c r="G169" i="133"/>
  <c r="F173" i="133"/>
  <c r="G173" i="133"/>
  <c r="F176" i="133"/>
  <c r="G176" i="133"/>
  <c r="F177" i="133"/>
  <c r="G177" i="133"/>
  <c r="J134" i="133"/>
  <c r="J140" i="133"/>
  <c r="M143" i="133"/>
  <c r="M142" i="133"/>
  <c r="M141" i="133"/>
  <c r="M140" i="133"/>
  <c r="M139" i="133"/>
  <c r="M138" i="133"/>
  <c r="M137" i="133"/>
  <c r="M136" i="133"/>
  <c r="M135" i="133"/>
  <c r="M134" i="133"/>
  <c r="M133" i="133"/>
  <c r="M132" i="133"/>
  <c r="M131" i="133"/>
  <c r="M130" i="133"/>
  <c r="M145" i="133"/>
  <c r="M144" i="133"/>
  <c r="F147" i="133"/>
  <c r="G147" i="133"/>
  <c r="F152" i="133"/>
  <c r="G152" i="133"/>
  <c r="J111" i="133"/>
  <c r="J116" i="133"/>
  <c r="J119" i="133"/>
  <c r="J126" i="133"/>
  <c r="M129" i="133"/>
  <c r="M128" i="133"/>
  <c r="M127" i="133"/>
  <c r="M126" i="133"/>
  <c r="M125" i="133"/>
  <c r="M124" i="133"/>
  <c r="M123" i="133"/>
  <c r="M122" i="133"/>
  <c r="M121" i="133"/>
  <c r="M120" i="133"/>
  <c r="M119" i="133"/>
  <c r="M118" i="133"/>
  <c r="M117" i="133"/>
  <c r="M116" i="133"/>
  <c r="M115" i="133"/>
  <c r="M114" i="133"/>
  <c r="M113" i="133"/>
  <c r="M112" i="133"/>
  <c r="M111" i="133"/>
  <c r="M110" i="133"/>
  <c r="M109" i="133"/>
  <c r="M108" i="133"/>
  <c r="F134" i="133"/>
  <c r="G134" i="133"/>
  <c r="F140" i="133"/>
  <c r="G140" i="133"/>
  <c r="J103" i="133"/>
  <c r="M107" i="133"/>
  <c r="M106" i="133"/>
  <c r="M105" i="133"/>
  <c r="M104" i="133"/>
  <c r="M103" i="133"/>
  <c r="M102" i="133"/>
  <c r="M101" i="133"/>
  <c r="F111" i="133"/>
  <c r="G111" i="133"/>
  <c r="F112" i="133"/>
  <c r="G112" i="133"/>
  <c r="F116" i="133"/>
  <c r="G116" i="133"/>
  <c r="F119" i="133"/>
  <c r="G119" i="133"/>
  <c r="F126" i="133"/>
  <c r="G126" i="133"/>
  <c r="J83" i="133"/>
  <c r="J88" i="133"/>
  <c r="J91" i="133"/>
  <c r="J97" i="133"/>
  <c r="M100" i="133"/>
  <c r="M99" i="133"/>
  <c r="M98" i="133"/>
  <c r="M97" i="133"/>
  <c r="M96" i="133"/>
  <c r="M95" i="133"/>
  <c r="M94" i="133"/>
  <c r="M93" i="133"/>
  <c r="M92" i="133"/>
  <c r="M91" i="133"/>
  <c r="M90" i="133"/>
  <c r="M89" i="133"/>
  <c r="M88" i="133"/>
  <c r="M87" i="133"/>
  <c r="M86" i="133"/>
  <c r="M85" i="133"/>
  <c r="M84" i="133"/>
  <c r="M83" i="133"/>
  <c r="F103" i="133"/>
  <c r="G103" i="133"/>
  <c r="J69" i="133"/>
  <c r="J76" i="133"/>
  <c r="M80" i="133"/>
  <c r="M79" i="133"/>
  <c r="M78" i="133"/>
  <c r="M77" i="133"/>
  <c r="M76" i="133"/>
  <c r="M75" i="133"/>
  <c r="M74" i="133"/>
  <c r="M73" i="133"/>
  <c r="M72" i="133"/>
  <c r="M71" i="133"/>
  <c r="M70" i="133"/>
  <c r="M69" i="133"/>
  <c r="M68" i="133"/>
  <c r="M67" i="133"/>
  <c r="M66" i="133"/>
  <c r="M65" i="133"/>
  <c r="M82" i="133"/>
  <c r="M81" i="133"/>
  <c r="J51" i="133"/>
  <c r="J55" i="133"/>
  <c r="J62" i="133"/>
  <c r="J64" i="133"/>
  <c r="M64" i="133"/>
  <c r="M63" i="133"/>
  <c r="M62" i="133"/>
  <c r="M61" i="133"/>
  <c r="M60" i="133"/>
  <c r="M59" i="133"/>
  <c r="M58" i="133"/>
  <c r="M57" i="133"/>
  <c r="M56" i="133"/>
  <c r="M55" i="133"/>
  <c r="M54" i="133"/>
  <c r="M53" i="133"/>
  <c r="M52" i="133"/>
  <c r="M51" i="133"/>
  <c r="M50" i="133"/>
  <c r="M49" i="133"/>
  <c r="M48" i="133"/>
  <c r="F97" i="133"/>
  <c r="F91" i="133"/>
  <c r="F88" i="133"/>
  <c r="F83" i="133"/>
  <c r="F76" i="133"/>
  <c r="F69" i="133"/>
  <c r="G97" i="133"/>
  <c r="G91" i="133"/>
  <c r="G88" i="133"/>
  <c r="G83" i="133"/>
  <c r="G76" i="133"/>
  <c r="G69" i="133"/>
  <c r="F62" i="133"/>
  <c r="F55" i="133"/>
  <c r="F51" i="133"/>
  <c r="F64" i="133"/>
  <c r="G64" i="133"/>
  <c r="G62" i="133"/>
  <c r="G55" i="133"/>
  <c r="G51" i="133"/>
  <c r="F35" i="133"/>
  <c r="F28" i="133"/>
  <c r="F41" i="133"/>
  <c r="F42" i="133"/>
  <c r="G42" i="133"/>
  <c r="G41" i="133"/>
  <c r="G28" i="133"/>
  <c r="G35" i="133"/>
  <c r="F24" i="133"/>
  <c r="F16" i="133"/>
  <c r="G24" i="133"/>
  <c r="G16" i="133"/>
  <c r="F12" i="133"/>
  <c r="F11" i="133"/>
  <c r="G12" i="133"/>
  <c r="G11" i="133"/>
  <c r="I226" i="133"/>
  <c r="L226" i="133"/>
  <c r="C226" i="133"/>
  <c r="O7" i="133" s="1"/>
  <c r="O8" i="133" s="1"/>
  <c r="O9" i="133" s="1"/>
  <c r="O10" i="133" s="1"/>
  <c r="N7" i="133"/>
  <c r="N8" i="133" s="1"/>
  <c r="N9" i="133" s="1"/>
  <c r="N10" i="133" s="1"/>
  <c r="N11" i="133" s="1"/>
  <c r="N12" i="133" s="1"/>
  <c r="N13" i="133" s="1"/>
  <c r="N14" i="133" s="1"/>
  <c r="N15" i="133" s="1"/>
  <c r="N16" i="133" s="1"/>
  <c r="N17" i="133" s="1"/>
  <c r="N18" i="133" s="1"/>
  <c r="N19" i="133" s="1"/>
  <c r="N40" i="136" l="1"/>
  <c r="N41" i="136" s="1"/>
  <c r="N42" i="136" s="1"/>
  <c r="N43" i="136" s="1"/>
  <c r="N44" i="136" s="1"/>
  <c r="N45" i="136" s="1"/>
  <c r="N46" i="136" s="1"/>
  <c r="N47" i="136" s="1"/>
  <c r="O31" i="136"/>
  <c r="O32" i="136" s="1"/>
  <c r="O33" i="136" s="1"/>
  <c r="O34" i="136" s="1"/>
  <c r="O35" i="136" s="1"/>
  <c r="O36" i="136" s="1"/>
  <c r="O37" i="136" s="1"/>
  <c r="O38" i="136" s="1"/>
  <c r="E253" i="133"/>
  <c r="E263" i="133"/>
  <c r="F255" i="133"/>
  <c r="G255" i="133" s="1"/>
  <c r="F259" i="133"/>
  <c r="G259" i="133" s="1"/>
  <c r="F252" i="133"/>
  <c r="G252" i="133" s="1"/>
  <c r="F256" i="133"/>
  <c r="G256" i="133" s="1"/>
  <c r="F260" i="133"/>
  <c r="G260" i="133" s="1"/>
  <c r="F257" i="133"/>
  <c r="G257" i="133" s="1"/>
  <c r="F261" i="133"/>
  <c r="G261" i="133" s="1"/>
  <c r="F254" i="133"/>
  <c r="F258" i="133"/>
  <c r="G258" i="133" s="1"/>
  <c r="F262" i="133"/>
  <c r="G262" i="133" s="1"/>
  <c r="L227" i="133"/>
  <c r="O11" i="133"/>
  <c r="O12" i="133" s="1"/>
  <c r="O13" i="133" s="1"/>
  <c r="O14" i="133" s="1"/>
  <c r="O15" i="133" s="1"/>
  <c r="O16" i="133" s="1"/>
  <c r="O17" i="133" s="1"/>
  <c r="N20" i="133"/>
  <c r="N21" i="133" s="1"/>
  <c r="N22" i="133" s="1"/>
  <c r="N23" i="133" s="1"/>
  <c r="N24" i="133" s="1"/>
  <c r="N25" i="133" s="1"/>
  <c r="N26" i="133" s="1"/>
  <c r="N27" i="133" s="1"/>
  <c r="N28" i="133" s="1"/>
  <c r="N29" i="133" s="1"/>
  <c r="G226" i="133"/>
  <c r="J190" i="130"/>
  <c r="J198" i="130"/>
  <c r="D201" i="130"/>
  <c r="E201" i="130" s="1"/>
  <c r="D202" i="130"/>
  <c r="E202" i="130" s="1"/>
  <c r="D203" i="130"/>
  <c r="E203" i="130" s="1"/>
  <c r="D204" i="130"/>
  <c r="E204" i="130" s="1"/>
  <c r="D205" i="130"/>
  <c r="E205" i="130" s="1"/>
  <c r="B206" i="130"/>
  <c r="D207" i="130"/>
  <c r="E207" i="130" s="1"/>
  <c r="D208" i="130"/>
  <c r="E208" i="130" s="1"/>
  <c r="D209" i="130"/>
  <c r="E209" i="130" s="1"/>
  <c r="D210" i="130"/>
  <c r="E210" i="130" s="1"/>
  <c r="D211" i="130"/>
  <c r="E211" i="130" s="1"/>
  <c r="D212" i="130"/>
  <c r="E212" i="130" s="1"/>
  <c r="D213" i="130"/>
  <c r="E213" i="130" s="1"/>
  <c r="B214" i="130"/>
  <c r="N48" i="136" l="1"/>
  <c r="N49" i="136" s="1"/>
  <c r="N50" i="136" s="1"/>
  <c r="N51" i="136" s="1"/>
  <c r="N52" i="136" s="1"/>
  <c r="N53" i="136" s="1"/>
  <c r="N54" i="136" s="1"/>
  <c r="N55" i="136" s="1"/>
  <c r="N56" i="136" s="1"/>
  <c r="N57" i="136" s="1"/>
  <c r="O39" i="136"/>
  <c r="O40" i="136" s="1"/>
  <c r="O41" i="136" s="1"/>
  <c r="O42" i="136" s="1"/>
  <c r="O43" i="136" s="1"/>
  <c r="O44" i="136" s="1"/>
  <c r="O45" i="136" s="1"/>
  <c r="O46" i="136" s="1"/>
  <c r="G254" i="133"/>
  <c r="G263" i="133" s="1"/>
  <c r="F263" i="133"/>
  <c r="F253" i="133"/>
  <c r="G253" i="133"/>
  <c r="N30" i="133"/>
  <c r="N31" i="133" s="1"/>
  <c r="N32" i="133" s="1"/>
  <c r="N33" i="133" s="1"/>
  <c r="N34" i="133" s="1"/>
  <c r="N35" i="133" s="1"/>
  <c r="N36" i="133" s="1"/>
  <c r="N37" i="133" s="1"/>
  <c r="N38" i="133" s="1"/>
  <c r="N39" i="133" s="1"/>
  <c r="N40" i="133" s="1"/>
  <c r="N41" i="133" s="1"/>
  <c r="N42" i="133" s="1"/>
  <c r="N43" i="133" s="1"/>
  <c r="N44" i="133" s="1"/>
  <c r="N45" i="133" s="1"/>
  <c r="N46" i="133" s="1"/>
  <c r="O18" i="133"/>
  <c r="O19" i="133" s="1"/>
  <c r="O20" i="133" s="1"/>
  <c r="O21" i="133" s="1"/>
  <c r="O22" i="133" s="1"/>
  <c r="O23" i="133" s="1"/>
  <c r="O24" i="133" s="1"/>
  <c r="O25" i="133" s="1"/>
  <c r="O26" i="133" s="1"/>
  <c r="O27" i="133" s="1"/>
  <c r="O28" i="133" s="1"/>
  <c r="O226" i="133"/>
  <c r="F202" i="130"/>
  <c r="G202" i="130" s="1"/>
  <c r="F211" i="130"/>
  <c r="G211" i="130" s="1"/>
  <c r="G207" i="130"/>
  <c r="E214" i="130"/>
  <c r="F207" i="130"/>
  <c r="F203" i="130"/>
  <c r="G203" i="130" s="1"/>
  <c r="F210" i="130"/>
  <c r="G210" i="130" s="1"/>
  <c r="F213" i="130"/>
  <c r="G213" i="130" s="1"/>
  <c r="F209" i="130"/>
  <c r="G209" i="130" s="1"/>
  <c r="F205" i="130"/>
  <c r="G205" i="130" s="1"/>
  <c r="E206" i="130"/>
  <c r="F201" i="130"/>
  <c r="G201" i="130" s="1"/>
  <c r="F212" i="130"/>
  <c r="G212" i="130" s="1"/>
  <c r="F208" i="130"/>
  <c r="G208" i="130" s="1"/>
  <c r="F204" i="130"/>
  <c r="G204" i="130" s="1"/>
  <c r="N58" i="136" l="1"/>
  <c r="N59" i="136" s="1"/>
  <c r="O47" i="136"/>
  <c r="O48" i="136" s="1"/>
  <c r="O49" i="136" s="1"/>
  <c r="O50" i="136" s="1"/>
  <c r="O51" i="136" s="1"/>
  <c r="O52" i="136" s="1"/>
  <c r="O53" i="136" s="1"/>
  <c r="O54" i="136" s="1"/>
  <c r="O55" i="136" s="1"/>
  <c r="O56" i="136" s="1"/>
  <c r="O57" i="136" s="1"/>
  <c r="N47" i="133"/>
  <c r="O29" i="133"/>
  <c r="O30" i="133" s="1"/>
  <c r="O31" i="133" s="1"/>
  <c r="O32" i="133" s="1"/>
  <c r="O33" i="133" s="1"/>
  <c r="O34" i="133" s="1"/>
  <c r="O35" i="133" s="1"/>
  <c r="O36" i="133" s="1"/>
  <c r="O37" i="133" s="1"/>
  <c r="O38" i="133" s="1"/>
  <c r="O39" i="133" s="1"/>
  <c r="O40" i="133" s="1"/>
  <c r="O41" i="133" s="1"/>
  <c r="O42" i="133" s="1"/>
  <c r="O43" i="133" s="1"/>
  <c r="O44" i="133" s="1"/>
  <c r="O45" i="133" s="1"/>
  <c r="O46" i="133" s="1"/>
  <c r="G206" i="130"/>
  <c r="G214" i="130"/>
  <c r="F206" i="130"/>
  <c r="F214" i="130"/>
  <c r="O58" i="136" l="1"/>
  <c r="O59" i="136" s="1"/>
  <c r="O60" i="136" s="1"/>
  <c r="N60" i="136"/>
  <c r="N61" i="136" s="1"/>
  <c r="N48" i="133"/>
  <c r="N49" i="133" s="1"/>
  <c r="N50" i="133" s="1"/>
  <c r="N51" i="133" s="1"/>
  <c r="N52" i="133" s="1"/>
  <c r="N53" i="133" s="1"/>
  <c r="N54" i="133" s="1"/>
  <c r="N55" i="133" s="1"/>
  <c r="N56" i="133" s="1"/>
  <c r="N57" i="133" s="1"/>
  <c r="N58" i="133" s="1"/>
  <c r="N59" i="133" s="1"/>
  <c r="N60" i="133" s="1"/>
  <c r="N61" i="133" s="1"/>
  <c r="N62" i="133" s="1"/>
  <c r="N63" i="133" s="1"/>
  <c r="N64" i="133" s="1"/>
  <c r="N65" i="133" s="1"/>
  <c r="N66" i="133" s="1"/>
  <c r="N67" i="133" s="1"/>
  <c r="N68" i="133" s="1"/>
  <c r="N69" i="133" s="1"/>
  <c r="N70" i="133" s="1"/>
  <c r="N71" i="133" s="1"/>
  <c r="N72" i="133" s="1"/>
  <c r="N73" i="133" s="1"/>
  <c r="N74" i="133" s="1"/>
  <c r="N75" i="133" s="1"/>
  <c r="N76" i="133" s="1"/>
  <c r="N77" i="133" s="1"/>
  <c r="N78" i="133" s="1"/>
  <c r="N79" i="133" s="1"/>
  <c r="N80" i="133" s="1"/>
  <c r="O47" i="133"/>
  <c r="O48" i="133" s="1"/>
  <c r="O49" i="133" s="1"/>
  <c r="O50" i="133" s="1"/>
  <c r="O51" i="133" s="1"/>
  <c r="O52" i="133" s="1"/>
  <c r="O53" i="133" s="1"/>
  <c r="O54" i="133" s="1"/>
  <c r="O55" i="133" s="1"/>
  <c r="O56" i="133" s="1"/>
  <c r="O57" i="133" s="1"/>
  <c r="O58" i="133" s="1"/>
  <c r="O59" i="133" s="1"/>
  <c r="O60" i="133" s="1"/>
  <c r="O61" i="133" s="1"/>
  <c r="O62" i="133" s="1"/>
  <c r="O63" i="133" s="1"/>
  <c r="O64" i="133" s="1"/>
  <c r="L181" i="130"/>
  <c r="I181" i="130"/>
  <c r="G181" i="130"/>
  <c r="C181" i="130"/>
  <c r="N7" i="130"/>
  <c r="N8" i="130" s="1"/>
  <c r="N9" i="130" s="1"/>
  <c r="N62" i="136" l="1"/>
  <c r="N63" i="136" s="1"/>
  <c r="N64" i="136" s="1"/>
  <c r="N65" i="136" s="1"/>
  <c r="N66" i="136" s="1"/>
  <c r="N67" i="136" s="1"/>
  <c r="O61" i="136"/>
  <c r="O62" i="136" s="1"/>
  <c r="O63" i="136" s="1"/>
  <c r="O64" i="136" s="1"/>
  <c r="O65" i="136" s="1"/>
  <c r="O66" i="136" s="1"/>
  <c r="N81" i="133"/>
  <c r="N82" i="133" s="1"/>
  <c r="N83" i="133" s="1"/>
  <c r="N84" i="133" s="1"/>
  <c r="N85" i="133" s="1"/>
  <c r="N86" i="133" s="1"/>
  <c r="N87" i="133" s="1"/>
  <c r="N88" i="133" s="1"/>
  <c r="N89" i="133" s="1"/>
  <c r="N90" i="133" s="1"/>
  <c r="N91" i="133" s="1"/>
  <c r="N92" i="133" s="1"/>
  <c r="N93" i="133" s="1"/>
  <c r="N94" i="133" s="1"/>
  <c r="N95" i="133" s="1"/>
  <c r="N96" i="133" s="1"/>
  <c r="N97" i="133" s="1"/>
  <c r="N98" i="133" s="1"/>
  <c r="N99" i="133" s="1"/>
  <c r="N100" i="133" s="1"/>
  <c r="O65" i="133"/>
  <c r="O66" i="133" s="1"/>
  <c r="O67" i="133" s="1"/>
  <c r="O68" i="133" s="1"/>
  <c r="O69" i="133" s="1"/>
  <c r="O70" i="133" s="1"/>
  <c r="O71" i="133" s="1"/>
  <c r="O72" i="133" s="1"/>
  <c r="O73" i="133" s="1"/>
  <c r="O74" i="133" s="1"/>
  <c r="O75" i="133" s="1"/>
  <c r="O76" i="133" s="1"/>
  <c r="O77" i="133" s="1"/>
  <c r="O78" i="133" s="1"/>
  <c r="O79" i="133" s="1"/>
  <c r="O80" i="133" s="1"/>
  <c r="N10" i="130"/>
  <c r="L182" i="130"/>
  <c r="O181" i="130"/>
  <c r="O7" i="130"/>
  <c r="O8" i="130" s="1"/>
  <c r="O9" i="130" s="1"/>
  <c r="B303" i="127"/>
  <c r="D292" i="127"/>
  <c r="E292" i="127" s="1"/>
  <c r="D295" i="127"/>
  <c r="E295" i="127" s="1"/>
  <c r="D300" i="127"/>
  <c r="E300" i="127" s="1"/>
  <c r="D290" i="127"/>
  <c r="E290" i="127" s="1"/>
  <c r="J274" i="127"/>
  <c r="D302" i="127"/>
  <c r="E302" i="127" s="1"/>
  <c r="D301" i="127"/>
  <c r="E301" i="127" s="1"/>
  <c r="D299" i="127"/>
  <c r="E299" i="127" s="1"/>
  <c r="D298" i="127"/>
  <c r="E298" i="127" s="1"/>
  <c r="D297" i="127"/>
  <c r="E297" i="127" s="1"/>
  <c r="D296" i="127"/>
  <c r="E296" i="127" s="1"/>
  <c r="D294" i="127"/>
  <c r="E294" i="127" s="1"/>
  <c r="D293" i="127"/>
  <c r="E293" i="127" s="1"/>
  <c r="D291" i="127"/>
  <c r="E291" i="127" s="1"/>
  <c r="N262" i="127"/>
  <c r="N261" i="127"/>
  <c r="O262" i="127"/>
  <c r="I259" i="127"/>
  <c r="L259" i="127"/>
  <c r="C259" i="127"/>
  <c r="O7" i="127" s="1"/>
  <c r="O8" i="127" s="1"/>
  <c r="O9" i="127" s="1"/>
  <c r="N7" i="127"/>
  <c r="N8" i="127" s="1"/>
  <c r="N9" i="127" s="1"/>
  <c r="N10" i="127" s="1"/>
  <c r="N11" i="127" s="1"/>
  <c r="N12" i="127" s="1"/>
  <c r="N68" i="136" l="1"/>
  <c r="N69" i="136" s="1"/>
  <c r="N70" i="136" s="1"/>
  <c r="N71" i="136" s="1"/>
  <c r="O67" i="136"/>
  <c r="O68" i="136" s="1"/>
  <c r="O69" i="136" s="1"/>
  <c r="O70" i="136" s="1"/>
  <c r="O71" i="136" s="1"/>
  <c r="N101" i="133"/>
  <c r="N102" i="133" s="1"/>
  <c r="N103" i="133" s="1"/>
  <c r="N104" i="133" s="1"/>
  <c r="N105" i="133" s="1"/>
  <c r="N106" i="133" s="1"/>
  <c r="N107" i="133" s="1"/>
  <c r="O81" i="133"/>
  <c r="O82" i="133" s="1"/>
  <c r="O83" i="133" s="1"/>
  <c r="O84" i="133" s="1"/>
  <c r="O85" i="133" s="1"/>
  <c r="O86" i="133" s="1"/>
  <c r="O87" i="133" s="1"/>
  <c r="O88" i="133" s="1"/>
  <c r="O89" i="133" s="1"/>
  <c r="O90" i="133" s="1"/>
  <c r="O91" i="133" s="1"/>
  <c r="O92" i="133" s="1"/>
  <c r="O93" i="133" s="1"/>
  <c r="O94" i="133" s="1"/>
  <c r="O95" i="133" s="1"/>
  <c r="O96" i="133" s="1"/>
  <c r="O97" i="133" s="1"/>
  <c r="O98" i="133" s="1"/>
  <c r="O99" i="133" s="1"/>
  <c r="O100" i="133" s="1"/>
  <c r="O101" i="133" s="1"/>
  <c r="O102" i="133" s="1"/>
  <c r="O103" i="133" s="1"/>
  <c r="O104" i="133" s="1"/>
  <c r="O105" i="133" s="1"/>
  <c r="O106" i="133" s="1"/>
  <c r="O107" i="133" s="1"/>
  <c r="O108" i="133" s="1"/>
  <c r="O109" i="133" s="1"/>
  <c r="O110" i="133" s="1"/>
  <c r="O111" i="133" s="1"/>
  <c r="O112" i="133" s="1"/>
  <c r="O113" i="133" s="1"/>
  <c r="O114" i="133" s="1"/>
  <c r="O115" i="133" s="1"/>
  <c r="O116" i="133" s="1"/>
  <c r="O117" i="133" s="1"/>
  <c r="O118" i="133" s="1"/>
  <c r="O119" i="133" s="1"/>
  <c r="O120" i="133" s="1"/>
  <c r="O121" i="133" s="1"/>
  <c r="O122" i="133" s="1"/>
  <c r="O123" i="133" s="1"/>
  <c r="O124" i="133" s="1"/>
  <c r="O125" i="133" s="1"/>
  <c r="O126" i="133" s="1"/>
  <c r="O127" i="133" s="1"/>
  <c r="O128" i="133" s="1"/>
  <c r="O129" i="133" s="1"/>
  <c r="O130" i="133" s="1"/>
  <c r="O131" i="133" s="1"/>
  <c r="O132" i="133" s="1"/>
  <c r="O133" i="133" s="1"/>
  <c r="O134" i="133" s="1"/>
  <c r="O135" i="133" s="1"/>
  <c r="O136" i="133" s="1"/>
  <c r="O137" i="133" s="1"/>
  <c r="O138" i="133" s="1"/>
  <c r="O139" i="133" s="1"/>
  <c r="O140" i="133" s="1"/>
  <c r="O141" i="133" s="1"/>
  <c r="O142" i="133" s="1"/>
  <c r="O143" i="133" s="1"/>
  <c r="O144" i="133" s="1"/>
  <c r="O145" i="133" s="1"/>
  <c r="O146" i="133" s="1"/>
  <c r="O147" i="133" s="1"/>
  <c r="O148" i="133" s="1"/>
  <c r="O149" i="133" s="1"/>
  <c r="O150" i="133" s="1"/>
  <c r="O151" i="133" s="1"/>
  <c r="O152" i="133" s="1"/>
  <c r="O153" i="133" s="1"/>
  <c r="O154" i="133" s="1"/>
  <c r="O155" i="133" s="1"/>
  <c r="O156" i="133" s="1"/>
  <c r="O157" i="133" s="1"/>
  <c r="O158" i="133" s="1"/>
  <c r="O159" i="133" s="1"/>
  <c r="O160" i="133" s="1"/>
  <c r="O161" i="133" s="1"/>
  <c r="O162" i="133" s="1"/>
  <c r="O163" i="133" s="1"/>
  <c r="O164" i="133" s="1"/>
  <c r="O165" i="133" s="1"/>
  <c r="O166" i="133" s="1"/>
  <c r="O167" i="133" s="1"/>
  <c r="O168" i="133" s="1"/>
  <c r="O169" i="133" s="1"/>
  <c r="O170" i="133" s="1"/>
  <c r="O171" i="133" s="1"/>
  <c r="O172" i="133" s="1"/>
  <c r="O173" i="133" s="1"/>
  <c r="O174" i="133" s="1"/>
  <c r="O175" i="133" s="1"/>
  <c r="O176" i="133" s="1"/>
  <c r="O177" i="133" s="1"/>
  <c r="O178" i="133" s="1"/>
  <c r="O179" i="133" s="1"/>
  <c r="O180" i="133" s="1"/>
  <c r="O181" i="133" s="1"/>
  <c r="O182" i="133" s="1"/>
  <c r="O183" i="133" s="1"/>
  <c r="O184" i="133" s="1"/>
  <c r="O185" i="133" s="1"/>
  <c r="O186" i="133" s="1"/>
  <c r="O187" i="133" s="1"/>
  <c r="O188" i="133" s="1"/>
  <c r="O189" i="133" s="1"/>
  <c r="O190" i="133" s="1"/>
  <c r="O191" i="133" s="1"/>
  <c r="O192" i="133" s="1"/>
  <c r="O193" i="133" s="1"/>
  <c r="O194" i="133" s="1"/>
  <c r="O195" i="133" s="1"/>
  <c r="O196" i="133" s="1"/>
  <c r="O197" i="133" s="1"/>
  <c r="O198" i="133" s="1"/>
  <c r="O199" i="133" s="1"/>
  <c r="O200" i="133" s="1"/>
  <c r="O201" i="133" s="1"/>
  <c r="O202" i="133" s="1"/>
  <c r="O203" i="133" s="1"/>
  <c r="O204" i="133" s="1"/>
  <c r="O205" i="133" s="1"/>
  <c r="O206" i="133" s="1"/>
  <c r="O207" i="133" s="1"/>
  <c r="O208" i="133" s="1"/>
  <c r="O209" i="133" s="1"/>
  <c r="O210" i="133" s="1"/>
  <c r="O211" i="133" s="1"/>
  <c r="O212" i="133" s="1"/>
  <c r="O213" i="133" s="1"/>
  <c r="O214" i="133" s="1"/>
  <c r="O215" i="133" s="1"/>
  <c r="O216" i="133" s="1"/>
  <c r="O217" i="133" s="1"/>
  <c r="O218" i="133" s="1"/>
  <c r="O219" i="133" s="1"/>
  <c r="O220" i="133" s="1"/>
  <c r="O221" i="133" s="1"/>
  <c r="O222" i="133" s="1"/>
  <c r="O223" i="133" s="1"/>
  <c r="O224" i="133" s="1"/>
  <c r="O225" i="133" s="1"/>
  <c r="O10" i="130"/>
  <c r="O11" i="130" s="1"/>
  <c r="O12" i="130" s="1"/>
  <c r="O13" i="130" s="1"/>
  <c r="O14" i="130" s="1"/>
  <c r="O15" i="130" s="1"/>
  <c r="O16" i="130" s="1"/>
  <c r="O17" i="130" s="1"/>
  <c r="O18" i="130" s="1"/>
  <c r="O19" i="130" s="1"/>
  <c r="O20" i="130" s="1"/>
  <c r="O21" i="130" s="1"/>
  <c r="O22" i="130" s="1"/>
  <c r="O23" i="130" s="1"/>
  <c r="O24" i="130" s="1"/>
  <c r="O25" i="130" s="1"/>
  <c r="O26" i="130" s="1"/>
  <c r="O27" i="130" s="1"/>
  <c r="O28" i="130" s="1"/>
  <c r="O29" i="130" s="1"/>
  <c r="O30" i="130" s="1"/>
  <c r="O31" i="130" s="1"/>
  <c r="O32" i="130" s="1"/>
  <c r="O33" i="130" s="1"/>
  <c r="O34" i="130" s="1"/>
  <c r="O35" i="130" s="1"/>
  <c r="N11" i="130"/>
  <c r="N12" i="130" s="1"/>
  <c r="N13" i="130" s="1"/>
  <c r="N14" i="130" s="1"/>
  <c r="N15" i="130" s="1"/>
  <c r="N16" i="130" s="1"/>
  <c r="N17" i="130" s="1"/>
  <c r="N18" i="130" s="1"/>
  <c r="N19" i="130" s="1"/>
  <c r="N20" i="130" s="1"/>
  <c r="N21" i="130" s="1"/>
  <c r="N22" i="130" s="1"/>
  <c r="N23" i="130" s="1"/>
  <c r="N24" i="130" s="1"/>
  <c r="N25" i="130" s="1"/>
  <c r="N26" i="130" s="1"/>
  <c r="N27" i="130" s="1"/>
  <c r="N28" i="130" s="1"/>
  <c r="N29" i="130" s="1"/>
  <c r="N30" i="130" s="1"/>
  <c r="N31" i="130" s="1"/>
  <c r="N32" i="130" s="1"/>
  <c r="N33" i="130" s="1"/>
  <c r="N34" i="130" s="1"/>
  <c r="N35" i="130" s="1"/>
  <c r="E303" i="127"/>
  <c r="G292" i="127"/>
  <c r="F290" i="127"/>
  <c r="F291" i="127"/>
  <c r="G291" i="127" s="1"/>
  <c r="F292" i="127"/>
  <c r="F293" i="127"/>
  <c r="G293" i="127" s="1"/>
  <c r="F294" i="127"/>
  <c r="G294" i="127" s="1"/>
  <c r="F295" i="127"/>
  <c r="G295" i="127" s="1"/>
  <c r="F296" i="127"/>
  <c r="G296" i="127" s="1"/>
  <c r="F297" i="127"/>
  <c r="G297" i="127" s="1"/>
  <c r="F298" i="127"/>
  <c r="F299" i="127"/>
  <c r="G299" i="127" s="1"/>
  <c r="F300" i="127"/>
  <c r="G300" i="127" s="1"/>
  <c r="F301" i="127"/>
  <c r="G301" i="127" s="1"/>
  <c r="F302" i="127"/>
  <c r="G302" i="127" s="1"/>
  <c r="L260" i="127"/>
  <c r="N13" i="127"/>
  <c r="N14" i="127" s="1"/>
  <c r="N15" i="127" s="1"/>
  <c r="N16" i="127" s="1"/>
  <c r="N17" i="127" s="1"/>
  <c r="N18" i="127" s="1"/>
  <c r="N19" i="127" s="1"/>
  <c r="N20" i="127" s="1"/>
  <c r="N21" i="127" s="1"/>
  <c r="N22" i="127" s="1"/>
  <c r="N23" i="127" s="1"/>
  <c r="N24" i="127" s="1"/>
  <c r="N25" i="127" s="1"/>
  <c r="N26" i="127" s="1"/>
  <c r="N27" i="127" s="1"/>
  <c r="N28" i="127" s="1"/>
  <c r="N29" i="127" s="1"/>
  <c r="N30" i="127" s="1"/>
  <c r="N31" i="127" s="1"/>
  <c r="N32" i="127" s="1"/>
  <c r="G259" i="127"/>
  <c r="O10" i="127"/>
  <c r="O11" i="127" s="1"/>
  <c r="B252" i="124"/>
  <c r="B246" i="124"/>
  <c r="J236" i="124"/>
  <c r="J230" i="124"/>
  <c r="D239" i="124"/>
  <c r="E239" i="124" s="1"/>
  <c r="D240" i="124"/>
  <c r="E240" i="124"/>
  <c r="F240" i="124" s="1"/>
  <c r="D241" i="124"/>
  <c r="E241" i="124" s="1"/>
  <c r="F241" i="124" s="1"/>
  <c r="D242" i="124"/>
  <c r="E242" i="124" s="1"/>
  <c r="F242" i="124" s="1"/>
  <c r="D243" i="124"/>
  <c r="E243" i="124"/>
  <c r="F243" i="124" s="1"/>
  <c r="D244" i="124"/>
  <c r="E244" i="124" s="1"/>
  <c r="F244" i="124" s="1"/>
  <c r="D245" i="124"/>
  <c r="E245" i="124" s="1"/>
  <c r="F245" i="124" s="1"/>
  <c r="D247" i="124"/>
  <c r="E247" i="124" s="1"/>
  <c r="D248" i="124"/>
  <c r="E248" i="124" s="1"/>
  <c r="F248" i="124" s="1"/>
  <c r="D249" i="124"/>
  <c r="E249" i="124" s="1"/>
  <c r="F249" i="124" s="1"/>
  <c r="D250" i="124"/>
  <c r="E250" i="124" s="1"/>
  <c r="F250" i="124" s="1"/>
  <c r="D251" i="124"/>
  <c r="E251" i="124" s="1"/>
  <c r="F251" i="124" s="1"/>
  <c r="I221" i="124"/>
  <c r="L221" i="124"/>
  <c r="C221" i="124"/>
  <c r="O7" i="124" s="1"/>
  <c r="O8" i="124" s="1"/>
  <c r="O9" i="124" s="1"/>
  <c r="O10" i="124" s="1"/>
  <c r="O11" i="124" s="1"/>
  <c r="N7" i="124"/>
  <c r="N8" i="124" s="1"/>
  <c r="N9" i="124" s="1"/>
  <c r="N10" i="124" s="1"/>
  <c r="N11" i="124" s="1"/>
  <c r="N12" i="124" s="1"/>
  <c r="N13" i="124" s="1"/>
  <c r="N14" i="124" s="1"/>
  <c r="N15" i="124" s="1"/>
  <c r="N72" i="136" l="1"/>
  <c r="O72" i="136"/>
  <c r="O73" i="136" s="1"/>
  <c r="O74" i="136" s="1"/>
  <c r="O75" i="136" s="1"/>
  <c r="O76" i="136" s="1"/>
  <c r="O77" i="136" s="1"/>
  <c r="O78" i="136" s="1"/>
  <c r="O79" i="136" s="1"/>
  <c r="O80" i="136" s="1"/>
  <c r="O81" i="136" s="1"/>
  <c r="O82" i="136" s="1"/>
  <c r="O83" i="136" s="1"/>
  <c r="O84" i="136" s="1"/>
  <c r="O85" i="136" s="1"/>
  <c r="O86" i="136" s="1"/>
  <c r="N108" i="133"/>
  <c r="N109" i="133" s="1"/>
  <c r="N110" i="133" s="1"/>
  <c r="N111" i="133" s="1"/>
  <c r="N112" i="133" s="1"/>
  <c r="N113" i="133" s="1"/>
  <c r="N114" i="133" s="1"/>
  <c r="N115" i="133" s="1"/>
  <c r="N116" i="133" s="1"/>
  <c r="N117" i="133" s="1"/>
  <c r="N118" i="133" s="1"/>
  <c r="N119" i="133" s="1"/>
  <c r="N120" i="133" s="1"/>
  <c r="N121" i="133" s="1"/>
  <c r="N122" i="133" s="1"/>
  <c r="N123" i="133" s="1"/>
  <c r="N124" i="133" s="1"/>
  <c r="N125" i="133" s="1"/>
  <c r="N126" i="133" s="1"/>
  <c r="N127" i="133" s="1"/>
  <c r="N128" i="133" s="1"/>
  <c r="N129" i="133" s="1"/>
  <c r="N36" i="130"/>
  <c r="O36" i="130"/>
  <c r="O37" i="130" s="1"/>
  <c r="O38" i="130" s="1"/>
  <c r="O39" i="130" s="1"/>
  <c r="O40" i="130" s="1"/>
  <c r="O41" i="130" s="1"/>
  <c r="O42" i="130" s="1"/>
  <c r="O43" i="130" s="1"/>
  <c r="O44" i="130" s="1"/>
  <c r="O45" i="130" s="1"/>
  <c r="O46" i="130" s="1"/>
  <c r="O47" i="130" s="1"/>
  <c r="O48" i="130" s="1"/>
  <c r="O49" i="130" s="1"/>
  <c r="G290" i="127"/>
  <c r="F303" i="127"/>
  <c r="G298" i="127"/>
  <c r="O259" i="127"/>
  <c r="N33" i="127"/>
  <c r="N34" i="127" s="1"/>
  <c r="N35" i="127" s="1"/>
  <c r="N36" i="127" s="1"/>
  <c r="N37" i="127" s="1"/>
  <c r="N38" i="127" s="1"/>
  <c r="N39" i="127" s="1"/>
  <c r="N40" i="127" s="1"/>
  <c r="N41" i="127" s="1"/>
  <c r="N42" i="127" s="1"/>
  <c r="N43" i="127" s="1"/>
  <c r="N44" i="127" s="1"/>
  <c r="N45" i="127" s="1"/>
  <c r="N46" i="127" s="1"/>
  <c r="N47" i="127" s="1"/>
  <c r="N48" i="127" s="1"/>
  <c r="N49" i="127" s="1"/>
  <c r="N50" i="127" s="1"/>
  <c r="N51" i="127" s="1"/>
  <c r="N52" i="127" s="1"/>
  <c r="N53" i="127" s="1"/>
  <c r="N54" i="127" s="1"/>
  <c r="O12" i="127"/>
  <c r="O13" i="127" s="1"/>
  <c r="O14" i="127" s="1"/>
  <c r="O15" i="127" s="1"/>
  <c r="O16" i="127" s="1"/>
  <c r="O17" i="127" s="1"/>
  <c r="O18" i="127" s="1"/>
  <c r="O19" i="127" s="1"/>
  <c r="O20" i="127" s="1"/>
  <c r="O21" i="127" s="1"/>
  <c r="O22" i="127" s="1"/>
  <c r="O23" i="127" s="1"/>
  <c r="O24" i="127" s="1"/>
  <c r="O25" i="127" s="1"/>
  <c r="O26" i="127" s="1"/>
  <c r="O27" i="127" s="1"/>
  <c r="O28" i="127" s="1"/>
  <c r="O29" i="127" s="1"/>
  <c r="O30" i="127" s="1"/>
  <c r="O31" i="127" s="1"/>
  <c r="O32" i="127" s="1"/>
  <c r="F247" i="124"/>
  <c r="F252" i="124" s="1"/>
  <c r="E252" i="124"/>
  <c r="F239" i="124"/>
  <c r="F246" i="124" s="1"/>
  <c r="E246" i="124"/>
  <c r="G251" i="124"/>
  <c r="G250" i="124"/>
  <c r="G249" i="124"/>
  <c r="G248" i="124"/>
  <c r="G247" i="124"/>
  <c r="G245" i="124"/>
  <c r="G244" i="124"/>
  <c r="G243" i="124"/>
  <c r="G242" i="124"/>
  <c r="G241" i="124"/>
  <c r="G240" i="124"/>
  <c r="N16" i="124"/>
  <c r="N17" i="124" s="1"/>
  <c r="N18" i="124" s="1"/>
  <c r="N19" i="124" s="1"/>
  <c r="N20" i="124" s="1"/>
  <c r="N21" i="124" s="1"/>
  <c r="N22" i="124" s="1"/>
  <c r="N23" i="124" s="1"/>
  <c r="N24" i="124" s="1"/>
  <c r="L222" i="124"/>
  <c r="G221" i="124"/>
  <c r="O12" i="124"/>
  <c r="O87" i="136" l="1"/>
  <c r="O88" i="136" s="1"/>
  <c r="O89" i="136" s="1"/>
  <c r="O90" i="136" s="1"/>
  <c r="O91" i="136" s="1"/>
  <c r="O92" i="136" s="1"/>
  <c r="N73" i="136"/>
  <c r="N74" i="136" s="1"/>
  <c r="N75" i="136" s="1"/>
  <c r="N76" i="136" s="1"/>
  <c r="N77" i="136" s="1"/>
  <c r="N78" i="136" s="1"/>
  <c r="N79" i="136" s="1"/>
  <c r="N80" i="136" s="1"/>
  <c r="N81" i="136" s="1"/>
  <c r="N82" i="136" s="1"/>
  <c r="N83" i="136" s="1"/>
  <c r="N84" i="136" s="1"/>
  <c r="N85" i="136" s="1"/>
  <c r="N86" i="136" s="1"/>
  <c r="N87" i="136" s="1"/>
  <c r="N130" i="133"/>
  <c r="N131" i="133" s="1"/>
  <c r="N132" i="133" s="1"/>
  <c r="N133" i="133" s="1"/>
  <c r="N134" i="133" s="1"/>
  <c r="N135" i="133" s="1"/>
  <c r="N136" i="133" s="1"/>
  <c r="N137" i="133" s="1"/>
  <c r="N138" i="133" s="1"/>
  <c r="N139" i="133" s="1"/>
  <c r="N140" i="133" s="1"/>
  <c r="N141" i="133" s="1"/>
  <c r="N142" i="133" s="1"/>
  <c r="N143" i="133" s="1"/>
  <c r="N144" i="133" s="1"/>
  <c r="O50" i="130"/>
  <c r="O51" i="130" s="1"/>
  <c r="O52" i="130" s="1"/>
  <c r="O53" i="130" s="1"/>
  <c r="N37" i="130"/>
  <c r="N38" i="130" s="1"/>
  <c r="N39" i="130" s="1"/>
  <c r="N40" i="130" s="1"/>
  <c r="N41" i="130" s="1"/>
  <c r="N42" i="130" s="1"/>
  <c r="N43" i="130" s="1"/>
  <c r="N44" i="130" s="1"/>
  <c r="N45" i="130" s="1"/>
  <c r="N46" i="130" s="1"/>
  <c r="N47" i="130" s="1"/>
  <c r="N48" i="130" s="1"/>
  <c r="N49" i="130" s="1"/>
  <c r="N50" i="130" s="1"/>
  <c r="G303" i="127"/>
  <c r="N55" i="127"/>
  <c r="N56" i="127" s="1"/>
  <c r="N57" i="127" s="1"/>
  <c r="N58" i="127" s="1"/>
  <c r="N59" i="127" s="1"/>
  <c r="N60" i="127" s="1"/>
  <c r="N61" i="127" s="1"/>
  <c r="N62" i="127" s="1"/>
  <c r="N63" i="127" s="1"/>
  <c r="N64" i="127" s="1"/>
  <c r="N65" i="127" s="1"/>
  <c r="N66" i="127" s="1"/>
  <c r="N67" i="127" s="1"/>
  <c r="O33" i="127"/>
  <c r="O34" i="127" s="1"/>
  <c r="O35" i="127" s="1"/>
  <c r="O36" i="127" s="1"/>
  <c r="O37" i="127" s="1"/>
  <c r="O38" i="127" s="1"/>
  <c r="O39" i="127" s="1"/>
  <c r="O40" i="127" s="1"/>
  <c r="O41" i="127" s="1"/>
  <c r="O42" i="127" s="1"/>
  <c r="O43" i="127" s="1"/>
  <c r="O44" i="127" s="1"/>
  <c r="O45" i="127" s="1"/>
  <c r="O46" i="127" s="1"/>
  <c r="O47" i="127" s="1"/>
  <c r="O48" i="127" s="1"/>
  <c r="O49" i="127" s="1"/>
  <c r="O50" i="127" s="1"/>
  <c r="O51" i="127" s="1"/>
  <c r="O52" i="127" s="1"/>
  <c r="O53" i="127" s="1"/>
  <c r="G239" i="124"/>
  <c r="G246" i="124" s="1"/>
  <c r="G252" i="124"/>
  <c r="N25" i="124"/>
  <c r="N26" i="124" s="1"/>
  <c r="N27" i="124" s="1"/>
  <c r="N28" i="124" s="1"/>
  <c r="N29" i="124" s="1"/>
  <c r="O13" i="124"/>
  <c r="O14" i="124" s="1"/>
  <c r="O15" i="124" s="1"/>
  <c r="O16" i="124" s="1"/>
  <c r="O17" i="124" s="1"/>
  <c r="O18" i="124" s="1"/>
  <c r="O19" i="124" s="1"/>
  <c r="O20" i="124" s="1"/>
  <c r="O21" i="124" s="1"/>
  <c r="O22" i="124" s="1"/>
  <c r="O23" i="124" s="1"/>
  <c r="O221" i="124"/>
  <c r="O93" i="136" l="1"/>
  <c r="O94" i="136" s="1"/>
  <c r="O95" i="136" s="1"/>
  <c r="O96" i="136" s="1"/>
  <c r="O97" i="136" s="1"/>
  <c r="O98" i="136" s="1"/>
  <c r="O99" i="136" s="1"/>
  <c r="O100" i="136" s="1"/>
  <c r="O101" i="136" s="1"/>
  <c r="O102" i="136" s="1"/>
  <c r="O103" i="136" s="1"/>
  <c r="O104" i="136" s="1"/>
  <c r="O105" i="136" s="1"/>
  <c r="O106" i="136" s="1"/>
  <c r="O107" i="136" s="1"/>
  <c r="O108" i="136" s="1"/>
  <c r="O109" i="136" s="1"/>
  <c r="O110" i="136" s="1"/>
  <c r="O111" i="136" s="1"/>
  <c r="O112" i="136" s="1"/>
  <c r="O113" i="136" s="1"/>
  <c r="O114" i="136" s="1"/>
  <c r="O115" i="136" s="1"/>
  <c r="O116" i="136" s="1"/>
  <c r="O117" i="136" s="1"/>
  <c r="O118" i="136" s="1"/>
  <c r="O119" i="136" s="1"/>
  <c r="O120" i="136" s="1"/>
  <c r="O121" i="136" s="1"/>
  <c r="O122" i="136" s="1"/>
  <c r="O123" i="136" s="1"/>
  <c r="O124" i="136" s="1"/>
  <c r="O125" i="136" s="1"/>
  <c r="O126" i="136" s="1"/>
  <c r="O127" i="136" s="1"/>
  <c r="O128" i="136" s="1"/>
  <c r="O129" i="136" s="1"/>
  <c r="O130" i="136" s="1"/>
  <c r="O131" i="136" s="1"/>
  <c r="O132" i="136" s="1"/>
  <c r="O133" i="136" s="1"/>
  <c r="O134" i="136" s="1"/>
  <c r="O135" i="136" s="1"/>
  <c r="O136" i="136" s="1"/>
  <c r="O137" i="136" s="1"/>
  <c r="O138" i="136" s="1"/>
  <c r="O139" i="136" s="1"/>
  <c r="O140" i="136" s="1"/>
  <c r="O141" i="136" s="1"/>
  <c r="N88" i="136"/>
  <c r="N89" i="136" s="1"/>
  <c r="N90" i="136" s="1"/>
  <c r="N91" i="136" s="1"/>
  <c r="N92" i="136" s="1"/>
  <c r="N145" i="133"/>
  <c r="N146" i="133" s="1"/>
  <c r="N147" i="133" s="1"/>
  <c r="N148" i="133" s="1"/>
  <c r="N149" i="133" s="1"/>
  <c r="N150" i="133" s="1"/>
  <c r="N151" i="133" s="1"/>
  <c r="N152" i="133" s="1"/>
  <c r="N153" i="133" s="1"/>
  <c r="N154" i="133" s="1"/>
  <c r="N155" i="133" s="1"/>
  <c r="N156" i="133" s="1"/>
  <c r="O54" i="130"/>
  <c r="O55" i="130" s="1"/>
  <c r="O56" i="130" s="1"/>
  <c r="O57" i="130" s="1"/>
  <c r="O58" i="130" s="1"/>
  <c r="O59" i="130" s="1"/>
  <c r="O60" i="130" s="1"/>
  <c r="O61" i="130" s="1"/>
  <c r="O62" i="130" s="1"/>
  <c r="O63" i="130" s="1"/>
  <c r="O64" i="130" s="1"/>
  <c r="O65" i="130" s="1"/>
  <c r="O66" i="130" s="1"/>
  <c r="O67" i="130" s="1"/>
  <c r="O68" i="130" s="1"/>
  <c r="O69" i="130" s="1"/>
  <c r="O70" i="130" s="1"/>
  <c r="O71" i="130" s="1"/>
  <c r="O72" i="130" s="1"/>
  <c r="N51" i="130"/>
  <c r="N52" i="130" s="1"/>
  <c r="N53" i="130" s="1"/>
  <c r="N54" i="130" s="1"/>
  <c r="N68" i="127"/>
  <c r="N69" i="127" s="1"/>
  <c r="N70" i="127" s="1"/>
  <c r="N71" i="127" s="1"/>
  <c r="N72" i="127" s="1"/>
  <c r="N73" i="127" s="1"/>
  <c r="N74" i="127" s="1"/>
  <c r="N75" i="127" s="1"/>
  <c r="N76" i="127" s="1"/>
  <c r="N77" i="127" s="1"/>
  <c r="N78" i="127" s="1"/>
  <c r="N79" i="127" s="1"/>
  <c r="N80" i="127" s="1"/>
  <c r="N81" i="127" s="1"/>
  <c r="N82" i="127" s="1"/>
  <c r="N83" i="127" s="1"/>
  <c r="N84" i="127" s="1"/>
  <c r="N85" i="127" s="1"/>
  <c r="N86" i="127" s="1"/>
  <c r="O54" i="127"/>
  <c r="O55" i="127" s="1"/>
  <c r="O56" i="127" s="1"/>
  <c r="O57" i="127" s="1"/>
  <c r="O58" i="127" s="1"/>
  <c r="O59" i="127" s="1"/>
  <c r="O60" i="127" s="1"/>
  <c r="O61" i="127" s="1"/>
  <c r="O62" i="127" s="1"/>
  <c r="O63" i="127" s="1"/>
  <c r="O64" i="127" s="1"/>
  <c r="O65" i="127" s="1"/>
  <c r="O66" i="127" s="1"/>
  <c r="O67" i="127" s="1"/>
  <c r="N30" i="124"/>
  <c r="N31" i="124" s="1"/>
  <c r="N32" i="124" s="1"/>
  <c r="N33" i="124" s="1"/>
  <c r="O24" i="124"/>
  <c r="O25" i="124" s="1"/>
  <c r="O26" i="124" s="1"/>
  <c r="O27" i="124" s="1"/>
  <c r="O28" i="124" s="1"/>
  <c r="O29" i="124" s="1"/>
  <c r="O142" i="136" l="1"/>
  <c r="O143" i="136" s="1"/>
  <c r="O144" i="136" s="1"/>
  <c r="O145" i="136" s="1"/>
  <c r="O146" i="136" s="1"/>
  <c r="O147" i="136" s="1"/>
  <c r="O148" i="136" s="1"/>
  <c r="O149" i="136" s="1"/>
  <c r="O150" i="136" s="1"/>
  <c r="N93" i="136"/>
  <c r="N157" i="133"/>
  <c r="N158" i="133" s="1"/>
  <c r="N159" i="133" s="1"/>
  <c r="N160" i="133" s="1"/>
  <c r="N161" i="133" s="1"/>
  <c r="N162" i="133" s="1"/>
  <c r="N163" i="133" s="1"/>
  <c r="N164" i="133" s="1"/>
  <c r="N165" i="133" s="1"/>
  <c r="N166" i="133" s="1"/>
  <c r="N167" i="133" s="1"/>
  <c r="N168" i="133" s="1"/>
  <c r="N169" i="133" s="1"/>
  <c r="N170" i="133" s="1"/>
  <c r="N171" i="133" s="1"/>
  <c r="N172" i="133" s="1"/>
  <c r="N173" i="133" s="1"/>
  <c r="N174" i="133" s="1"/>
  <c r="N175" i="133" s="1"/>
  <c r="N176" i="133" s="1"/>
  <c r="N177" i="133" s="1"/>
  <c r="N178" i="133" s="1"/>
  <c r="N179" i="133" s="1"/>
  <c r="N180" i="133" s="1"/>
  <c r="N181" i="133" s="1"/>
  <c r="O73" i="130"/>
  <c r="O74" i="130" s="1"/>
  <c r="O75" i="130" s="1"/>
  <c r="O76" i="130" s="1"/>
  <c r="O77" i="130" s="1"/>
  <c r="O78" i="130" s="1"/>
  <c r="O79" i="130" s="1"/>
  <c r="O80" i="130" s="1"/>
  <c r="O81" i="130" s="1"/>
  <c r="O82" i="130" s="1"/>
  <c r="N55" i="130"/>
  <c r="N56" i="130" s="1"/>
  <c r="N57" i="130" s="1"/>
  <c r="N58" i="130" s="1"/>
  <c r="N59" i="130" s="1"/>
  <c r="N60" i="130" s="1"/>
  <c r="N61" i="130" s="1"/>
  <c r="N62" i="130" s="1"/>
  <c r="N63" i="130" s="1"/>
  <c r="N64" i="130" s="1"/>
  <c r="N65" i="130" s="1"/>
  <c r="N66" i="130" s="1"/>
  <c r="N67" i="130" s="1"/>
  <c r="N68" i="130" s="1"/>
  <c r="N69" i="130" s="1"/>
  <c r="N70" i="130" s="1"/>
  <c r="N71" i="130" s="1"/>
  <c r="N72" i="130" s="1"/>
  <c r="N73" i="130" s="1"/>
  <c r="N87" i="127"/>
  <c r="N88" i="127" s="1"/>
  <c r="N89" i="127" s="1"/>
  <c r="N90" i="127" s="1"/>
  <c r="N91" i="127" s="1"/>
  <c r="N92" i="127" s="1"/>
  <c r="N93" i="127" s="1"/>
  <c r="N94" i="127" s="1"/>
  <c r="N95" i="127" s="1"/>
  <c r="N96" i="127" s="1"/>
  <c r="N97" i="127" s="1"/>
  <c r="N98" i="127" s="1"/>
  <c r="N99" i="127" s="1"/>
  <c r="N100" i="127" s="1"/>
  <c r="O68" i="127"/>
  <c r="O69" i="127" s="1"/>
  <c r="O70" i="127" s="1"/>
  <c r="O71" i="127" s="1"/>
  <c r="O72" i="127" s="1"/>
  <c r="O73" i="127" s="1"/>
  <c r="O74" i="127" s="1"/>
  <c r="O75" i="127" s="1"/>
  <c r="O76" i="127" s="1"/>
  <c r="O77" i="127" s="1"/>
  <c r="O78" i="127" s="1"/>
  <c r="O79" i="127" s="1"/>
  <c r="O80" i="127" s="1"/>
  <c r="O81" i="127" s="1"/>
  <c r="O82" i="127" s="1"/>
  <c r="O83" i="127" s="1"/>
  <c r="O84" i="127" s="1"/>
  <c r="O85" i="127" s="1"/>
  <c r="O86" i="127" s="1"/>
  <c r="N34" i="124"/>
  <c r="N35" i="124" s="1"/>
  <c r="N36" i="124" s="1"/>
  <c r="N37" i="124" s="1"/>
  <c r="N38" i="124" s="1"/>
  <c r="N39" i="124" s="1"/>
  <c r="N40" i="124" s="1"/>
  <c r="N41" i="124" s="1"/>
  <c r="N42" i="124" s="1"/>
  <c r="N43" i="124" s="1"/>
  <c r="N44" i="124" s="1"/>
  <c r="N45" i="124" s="1"/>
  <c r="N46" i="124" s="1"/>
  <c r="N47" i="124" s="1"/>
  <c r="N48" i="124" s="1"/>
  <c r="N49" i="124" s="1"/>
  <c r="N50" i="124" s="1"/>
  <c r="N51" i="124" s="1"/>
  <c r="N52" i="124" s="1"/>
  <c r="O30" i="124"/>
  <c r="O31" i="124" s="1"/>
  <c r="O32" i="124" s="1"/>
  <c r="O33" i="124" s="1"/>
  <c r="O151" i="136" l="1"/>
  <c r="O152" i="136" s="1"/>
  <c r="O153" i="136" s="1"/>
  <c r="O154" i="136" s="1"/>
  <c r="O155" i="136" s="1"/>
  <c r="O156" i="136" s="1"/>
  <c r="O157" i="136" s="1"/>
  <c r="O158" i="136" s="1"/>
  <c r="O159" i="136" s="1"/>
  <c r="O160" i="136" s="1"/>
  <c r="O161" i="136" s="1"/>
  <c r="O162" i="136" s="1"/>
  <c r="O163" i="136" s="1"/>
  <c r="O164" i="136" s="1"/>
  <c r="O165" i="136" s="1"/>
  <c r="O166" i="136" s="1"/>
  <c r="O167" i="136" s="1"/>
  <c r="O168" i="136" s="1"/>
  <c r="O169" i="136" s="1"/>
  <c r="O170" i="136" s="1"/>
  <c r="O171" i="136" s="1"/>
  <c r="O172" i="136" s="1"/>
  <c r="O173" i="136" s="1"/>
  <c r="O174" i="136" s="1"/>
  <c r="O175" i="136" s="1"/>
  <c r="O176" i="136" s="1"/>
  <c r="O177" i="136" s="1"/>
  <c r="O178" i="136" s="1"/>
  <c r="O179" i="136" s="1"/>
  <c r="O180" i="136" s="1"/>
  <c r="O181" i="136" s="1"/>
  <c r="O182" i="136" s="1"/>
  <c r="O183" i="136" s="1"/>
  <c r="O184" i="136" s="1"/>
  <c r="O185" i="136" s="1"/>
  <c r="O186" i="136" s="1"/>
  <c r="O187" i="136" s="1"/>
  <c r="O188" i="136" s="1"/>
  <c r="O189" i="136" s="1"/>
  <c r="O190" i="136" s="1"/>
  <c r="O191" i="136" s="1"/>
  <c r="O192" i="136" s="1"/>
  <c r="O193" i="136" s="1"/>
  <c r="O194" i="136" s="1"/>
  <c r="O195" i="136" s="1"/>
  <c r="O196" i="136" s="1"/>
  <c r="O197" i="136" s="1"/>
  <c r="O198" i="136" s="1"/>
  <c r="O199" i="136" s="1"/>
  <c r="O200" i="136" s="1"/>
  <c r="O201" i="136" s="1"/>
  <c r="O202" i="136" s="1"/>
  <c r="O203" i="136" s="1"/>
  <c r="O204" i="136" s="1"/>
  <c r="O205" i="136" s="1"/>
  <c r="O206" i="136" s="1"/>
  <c r="O207" i="136" s="1"/>
  <c r="O208" i="136" s="1"/>
  <c r="O209" i="136" s="1"/>
  <c r="O210" i="136" s="1"/>
  <c r="O211" i="136" s="1"/>
  <c r="O212" i="136" s="1"/>
  <c r="O213" i="136" s="1"/>
  <c r="O214" i="136" s="1"/>
  <c r="O215" i="136" s="1"/>
  <c r="O216" i="136" s="1"/>
  <c r="O217" i="136" s="1"/>
  <c r="O218" i="136" s="1"/>
  <c r="O219" i="136" s="1"/>
  <c r="O220" i="136" s="1"/>
  <c r="O221" i="136" s="1"/>
  <c r="O222" i="136" s="1"/>
  <c r="O223" i="136" s="1"/>
  <c r="O224" i="136" s="1"/>
  <c r="O225" i="136" s="1"/>
  <c r="O226" i="136" s="1"/>
  <c r="O227" i="136" s="1"/>
  <c r="O228" i="136" s="1"/>
  <c r="O229" i="136" s="1"/>
  <c r="O230" i="136" s="1"/>
  <c r="O231" i="136" s="1"/>
  <c r="O232" i="136" s="1"/>
  <c r="O233" i="136" s="1"/>
  <c r="O234" i="136" s="1"/>
  <c r="O235" i="136" s="1"/>
  <c r="O236" i="136" s="1"/>
  <c r="O237" i="136" s="1"/>
  <c r="N94" i="136"/>
  <c r="N95" i="136" s="1"/>
  <c r="N96" i="136" s="1"/>
  <c r="N97" i="136" s="1"/>
  <c r="N98" i="136" s="1"/>
  <c r="N99" i="136" s="1"/>
  <c r="N100" i="136" s="1"/>
  <c r="N101" i="136" s="1"/>
  <c r="N102" i="136" s="1"/>
  <c r="N103" i="136" s="1"/>
  <c r="N104" i="136" s="1"/>
  <c r="N105" i="136" s="1"/>
  <c r="N106" i="136" s="1"/>
  <c r="N107" i="136" s="1"/>
  <c r="N108" i="136" s="1"/>
  <c r="N182" i="133"/>
  <c r="N183" i="133" s="1"/>
  <c r="N184" i="133" s="1"/>
  <c r="N185" i="133" s="1"/>
  <c r="N186" i="133" s="1"/>
  <c r="N187" i="133" s="1"/>
  <c r="N188" i="133" s="1"/>
  <c r="N189" i="133" s="1"/>
  <c r="N190" i="133" s="1"/>
  <c r="N191" i="133" s="1"/>
  <c r="O83" i="130"/>
  <c r="O84" i="130" s="1"/>
  <c r="O85" i="130" s="1"/>
  <c r="O86" i="130" s="1"/>
  <c r="O87" i="130" s="1"/>
  <c r="O88" i="130" s="1"/>
  <c r="O89" i="130" s="1"/>
  <c r="O90" i="130" s="1"/>
  <c r="O91" i="130" s="1"/>
  <c r="O92" i="130" s="1"/>
  <c r="O93" i="130" s="1"/>
  <c r="O94" i="130" s="1"/>
  <c r="O95" i="130" s="1"/>
  <c r="O96" i="130" s="1"/>
  <c r="O97" i="130" s="1"/>
  <c r="O98" i="130" s="1"/>
  <c r="N74" i="130"/>
  <c r="N75" i="130" s="1"/>
  <c r="N76" i="130" s="1"/>
  <c r="N77" i="130" s="1"/>
  <c r="N78" i="130" s="1"/>
  <c r="N79" i="130" s="1"/>
  <c r="N80" i="130" s="1"/>
  <c r="N81" i="130" s="1"/>
  <c r="N82" i="130" s="1"/>
  <c r="N101" i="127"/>
  <c r="O87" i="127"/>
  <c r="O88" i="127" s="1"/>
  <c r="O89" i="127" s="1"/>
  <c r="O90" i="127" s="1"/>
  <c r="O91" i="127" s="1"/>
  <c r="O92" i="127" s="1"/>
  <c r="O93" i="127" s="1"/>
  <c r="O94" i="127" s="1"/>
  <c r="O95" i="127" s="1"/>
  <c r="O96" i="127" s="1"/>
  <c r="O97" i="127" s="1"/>
  <c r="O98" i="127" s="1"/>
  <c r="O99" i="127" s="1"/>
  <c r="O100" i="127" s="1"/>
  <c r="N53" i="124"/>
  <c r="N54" i="124" s="1"/>
  <c r="N55" i="124" s="1"/>
  <c r="N56" i="124" s="1"/>
  <c r="N57" i="124" s="1"/>
  <c r="N58" i="124" s="1"/>
  <c r="N59" i="124" s="1"/>
  <c r="N60" i="124" s="1"/>
  <c r="N61" i="124" s="1"/>
  <c r="N62" i="124" s="1"/>
  <c r="N63" i="124" s="1"/>
  <c r="N64" i="124" s="1"/>
  <c r="N65" i="124" s="1"/>
  <c r="N66" i="124" s="1"/>
  <c r="N67" i="124" s="1"/>
  <c r="N68" i="124" s="1"/>
  <c r="N69" i="124" s="1"/>
  <c r="N70" i="124" s="1"/>
  <c r="N71" i="124" s="1"/>
  <c r="N72" i="124" s="1"/>
  <c r="N73" i="124" s="1"/>
  <c r="N74" i="124" s="1"/>
  <c r="N75" i="124" s="1"/>
  <c r="N76" i="124" s="1"/>
  <c r="N77" i="124" s="1"/>
  <c r="O34" i="124"/>
  <c r="O35" i="124" s="1"/>
  <c r="O36" i="124" s="1"/>
  <c r="O37" i="124" s="1"/>
  <c r="O38" i="124" s="1"/>
  <c r="O39" i="124" s="1"/>
  <c r="O40" i="124" s="1"/>
  <c r="O41" i="124" s="1"/>
  <c r="O42" i="124" s="1"/>
  <c r="O43" i="124" s="1"/>
  <c r="O44" i="124" s="1"/>
  <c r="O45" i="124" s="1"/>
  <c r="O46" i="124" s="1"/>
  <c r="O47" i="124" s="1"/>
  <c r="O48" i="124" s="1"/>
  <c r="O49" i="124" s="1"/>
  <c r="O50" i="124" s="1"/>
  <c r="O51" i="124" s="1"/>
  <c r="N109" i="136" l="1"/>
  <c r="N110" i="136" s="1"/>
  <c r="N111" i="136" s="1"/>
  <c r="N112" i="136" s="1"/>
  <c r="N113" i="136" s="1"/>
  <c r="N114" i="136" s="1"/>
  <c r="N115" i="136" s="1"/>
  <c r="N116" i="136" s="1"/>
  <c r="N117" i="136" s="1"/>
  <c r="N118" i="136" s="1"/>
  <c r="N119" i="136" s="1"/>
  <c r="N120" i="136" s="1"/>
  <c r="N192" i="133"/>
  <c r="N193" i="133" s="1"/>
  <c r="N194" i="133" s="1"/>
  <c r="N195" i="133" s="1"/>
  <c r="N196" i="133" s="1"/>
  <c r="N197" i="133" s="1"/>
  <c r="N198" i="133" s="1"/>
  <c r="N199" i="133" s="1"/>
  <c r="N200" i="133" s="1"/>
  <c r="N201" i="133" s="1"/>
  <c r="N202" i="133" s="1"/>
  <c r="N203" i="133" s="1"/>
  <c r="N204" i="133" s="1"/>
  <c r="N205" i="133" s="1"/>
  <c r="N206" i="133" s="1"/>
  <c r="N207" i="133" s="1"/>
  <c r="N208" i="133" s="1"/>
  <c r="N209" i="133" s="1"/>
  <c r="N210" i="133" s="1"/>
  <c r="N211" i="133" s="1"/>
  <c r="N212" i="133" s="1"/>
  <c r="N213" i="133" s="1"/>
  <c r="N214" i="133" s="1"/>
  <c r="N215" i="133" s="1"/>
  <c r="N216" i="133" s="1"/>
  <c r="N217" i="133" s="1"/>
  <c r="N218" i="133" s="1"/>
  <c r="N219" i="133" s="1"/>
  <c r="N220" i="133" s="1"/>
  <c r="N221" i="133" s="1"/>
  <c r="N222" i="133" s="1"/>
  <c r="N223" i="133" s="1"/>
  <c r="N224" i="133" s="1"/>
  <c r="N225" i="133" s="1"/>
  <c r="N227" i="133" s="1"/>
  <c r="O234" i="133" s="1"/>
  <c r="O235" i="133" s="1"/>
  <c r="O99" i="130"/>
  <c r="O100" i="130" s="1"/>
  <c r="O101" i="130" s="1"/>
  <c r="O102" i="130" s="1"/>
  <c r="O103" i="130" s="1"/>
  <c r="O104" i="130" s="1"/>
  <c r="O105" i="130" s="1"/>
  <c r="O106" i="130" s="1"/>
  <c r="O107" i="130" s="1"/>
  <c r="O108" i="130" s="1"/>
  <c r="O109" i="130" s="1"/>
  <c r="O110" i="130" s="1"/>
  <c r="N83" i="130"/>
  <c r="N84" i="130" s="1"/>
  <c r="N85" i="130" s="1"/>
  <c r="N86" i="130" s="1"/>
  <c r="N87" i="130" s="1"/>
  <c r="N88" i="130" s="1"/>
  <c r="N89" i="130" s="1"/>
  <c r="N90" i="130" s="1"/>
  <c r="N91" i="130" s="1"/>
  <c r="N92" i="130" s="1"/>
  <c r="N93" i="130" s="1"/>
  <c r="N94" i="130" s="1"/>
  <c r="N95" i="130" s="1"/>
  <c r="N96" i="130" s="1"/>
  <c r="N97" i="130" s="1"/>
  <c r="N98" i="130" s="1"/>
  <c r="O101" i="127"/>
  <c r="O102" i="127" s="1"/>
  <c r="O103" i="127" s="1"/>
  <c r="O104" i="127" s="1"/>
  <c r="O105" i="127" s="1"/>
  <c r="O106" i="127" s="1"/>
  <c r="O107" i="127" s="1"/>
  <c r="O108" i="127" s="1"/>
  <c r="O109" i="127" s="1"/>
  <c r="O110" i="127" s="1"/>
  <c r="O111" i="127" s="1"/>
  <c r="O112" i="127" s="1"/>
  <c r="O113" i="127" s="1"/>
  <c r="O114" i="127" s="1"/>
  <c r="O115" i="127" s="1"/>
  <c r="O116" i="127" s="1"/>
  <c r="O117" i="127" s="1"/>
  <c r="O118" i="127" s="1"/>
  <c r="O119" i="127" s="1"/>
  <c r="O120" i="127" s="1"/>
  <c r="O121" i="127" s="1"/>
  <c r="O122" i="127" s="1"/>
  <c r="O123" i="127" s="1"/>
  <c r="O124" i="127" s="1"/>
  <c r="N102" i="127"/>
  <c r="N103" i="127" s="1"/>
  <c r="N104" i="127" s="1"/>
  <c r="N105" i="127" s="1"/>
  <c r="N106" i="127" s="1"/>
  <c r="N107" i="127" s="1"/>
  <c r="N108" i="127" s="1"/>
  <c r="N109" i="127" s="1"/>
  <c r="N110" i="127" s="1"/>
  <c r="N111" i="127" s="1"/>
  <c r="N112" i="127" s="1"/>
  <c r="N113" i="127" s="1"/>
  <c r="N114" i="127" s="1"/>
  <c r="N115" i="127" s="1"/>
  <c r="N116" i="127" s="1"/>
  <c r="N117" i="127" s="1"/>
  <c r="N118" i="127" s="1"/>
  <c r="N119" i="127" s="1"/>
  <c r="N120" i="127" s="1"/>
  <c r="N121" i="127" s="1"/>
  <c r="N122" i="127" s="1"/>
  <c r="N123" i="127" s="1"/>
  <c r="N124" i="127" s="1"/>
  <c r="N78" i="124"/>
  <c r="N79" i="124" s="1"/>
  <c r="N80" i="124" s="1"/>
  <c r="N81" i="124" s="1"/>
  <c r="N82" i="124" s="1"/>
  <c r="N83" i="124" s="1"/>
  <c r="N84" i="124" s="1"/>
  <c r="N85" i="124" s="1"/>
  <c r="O52" i="124"/>
  <c r="O53" i="124" s="1"/>
  <c r="O54" i="124" s="1"/>
  <c r="O55" i="124" s="1"/>
  <c r="O56" i="124" s="1"/>
  <c r="O57" i="124" s="1"/>
  <c r="O58" i="124" s="1"/>
  <c r="O59" i="124" s="1"/>
  <c r="O60" i="124" s="1"/>
  <c r="O61" i="124" s="1"/>
  <c r="O62" i="124" s="1"/>
  <c r="O63" i="124" s="1"/>
  <c r="O64" i="124" s="1"/>
  <c r="O65" i="124" s="1"/>
  <c r="O66" i="124" s="1"/>
  <c r="O67" i="124" s="1"/>
  <c r="O68" i="124" s="1"/>
  <c r="O69" i="124" s="1"/>
  <c r="O70" i="124" s="1"/>
  <c r="O71" i="124" s="1"/>
  <c r="O72" i="124" s="1"/>
  <c r="O73" i="124" s="1"/>
  <c r="O74" i="124" s="1"/>
  <c r="O75" i="124" s="1"/>
  <c r="O76" i="124" s="1"/>
  <c r="O77" i="124" s="1"/>
  <c r="N121" i="136" l="1"/>
  <c r="N122" i="136" s="1"/>
  <c r="N123" i="136" s="1"/>
  <c r="N124" i="136" s="1"/>
  <c r="N125" i="136" s="1"/>
  <c r="N126" i="136" s="1"/>
  <c r="N127" i="136" s="1"/>
  <c r="N128" i="136" s="1"/>
  <c r="N129" i="136" s="1"/>
  <c r="N130" i="136" s="1"/>
  <c r="N131" i="136" s="1"/>
  <c r="O111" i="130"/>
  <c r="O112" i="130" s="1"/>
  <c r="O113" i="130" s="1"/>
  <c r="O114" i="130" s="1"/>
  <c r="O115" i="130" s="1"/>
  <c r="O116" i="130" s="1"/>
  <c r="O117" i="130" s="1"/>
  <c r="O118" i="130" s="1"/>
  <c r="O119" i="130" s="1"/>
  <c r="N99" i="130"/>
  <c r="N125" i="127"/>
  <c r="N126" i="127" s="1"/>
  <c r="N127" i="127" s="1"/>
  <c r="N128" i="127" s="1"/>
  <c r="N129" i="127" s="1"/>
  <c r="N130" i="127" s="1"/>
  <c r="N131" i="127" s="1"/>
  <c r="N132" i="127" s="1"/>
  <c r="N133" i="127" s="1"/>
  <c r="O125" i="127"/>
  <c r="O126" i="127" s="1"/>
  <c r="O127" i="127" s="1"/>
  <c r="O128" i="127" s="1"/>
  <c r="O129" i="127" s="1"/>
  <c r="O130" i="127" s="1"/>
  <c r="O131" i="127" s="1"/>
  <c r="O132" i="127" s="1"/>
  <c r="O133" i="127" s="1"/>
  <c r="N86" i="124"/>
  <c r="N87" i="124" s="1"/>
  <c r="N88" i="124" s="1"/>
  <c r="N89" i="124" s="1"/>
  <c r="N90" i="124" s="1"/>
  <c r="N91" i="124" s="1"/>
  <c r="N92" i="124" s="1"/>
  <c r="N93" i="124" s="1"/>
  <c r="N94" i="124" s="1"/>
  <c r="N95" i="124" s="1"/>
  <c r="N96" i="124" s="1"/>
  <c r="N97" i="124" s="1"/>
  <c r="N98" i="124" s="1"/>
  <c r="N99" i="124" s="1"/>
  <c r="N100" i="124" s="1"/>
  <c r="N101" i="124" s="1"/>
  <c r="N102" i="124" s="1"/>
  <c r="N103" i="124" s="1"/>
  <c r="N104" i="124" s="1"/>
  <c r="N105" i="124" s="1"/>
  <c r="N106" i="124" s="1"/>
  <c r="N107" i="124" s="1"/>
  <c r="N108" i="124" s="1"/>
  <c r="N109" i="124" s="1"/>
  <c r="N110" i="124" s="1"/>
  <c r="N111" i="124" s="1"/>
  <c r="N112" i="124" s="1"/>
  <c r="O78" i="124"/>
  <c r="O79" i="124" s="1"/>
  <c r="O80" i="124" s="1"/>
  <c r="O81" i="124" s="1"/>
  <c r="O82" i="124" s="1"/>
  <c r="O83" i="124" s="1"/>
  <c r="O84" i="124" s="1"/>
  <c r="N132" i="136" l="1"/>
  <c r="N133" i="136" s="1"/>
  <c r="N134" i="136" s="1"/>
  <c r="N135" i="136" s="1"/>
  <c r="N136" i="136" s="1"/>
  <c r="N137" i="136" s="1"/>
  <c r="N138" i="136" s="1"/>
  <c r="N139" i="136" s="1"/>
  <c r="N140" i="136" s="1"/>
  <c r="N141" i="136" s="1"/>
  <c r="O120" i="130"/>
  <c r="O121" i="130" s="1"/>
  <c r="O122" i="130" s="1"/>
  <c r="O123" i="130" s="1"/>
  <c r="O124" i="130" s="1"/>
  <c r="O125" i="130" s="1"/>
  <c r="O126" i="130" s="1"/>
  <c r="O127" i="130" s="1"/>
  <c r="O128" i="130" s="1"/>
  <c r="O129" i="130" s="1"/>
  <c r="O130" i="130" s="1"/>
  <c r="O131" i="130" s="1"/>
  <c r="O132" i="130" s="1"/>
  <c r="O133" i="130" s="1"/>
  <c r="O134" i="130" s="1"/>
  <c r="O135" i="130" s="1"/>
  <c r="O136" i="130" s="1"/>
  <c r="O137" i="130" s="1"/>
  <c r="O138" i="130" s="1"/>
  <c r="O139" i="130" s="1"/>
  <c r="O140" i="130" s="1"/>
  <c r="N100" i="130"/>
  <c r="N101" i="130" s="1"/>
  <c r="N102" i="130" s="1"/>
  <c r="N103" i="130" s="1"/>
  <c r="N104" i="130" s="1"/>
  <c r="N105" i="130" s="1"/>
  <c r="N106" i="130" s="1"/>
  <c r="N107" i="130" s="1"/>
  <c r="N108" i="130" s="1"/>
  <c r="N109" i="130" s="1"/>
  <c r="N110" i="130" s="1"/>
  <c r="O134" i="127"/>
  <c r="O135" i="127" s="1"/>
  <c r="O136" i="127" s="1"/>
  <c r="O137" i="127" s="1"/>
  <c r="O138" i="127" s="1"/>
  <c r="O139" i="127" s="1"/>
  <c r="O140" i="127" s="1"/>
  <c r="O141" i="127" s="1"/>
  <c r="O142" i="127" s="1"/>
  <c r="O143" i="127" s="1"/>
  <c r="O144" i="127" s="1"/>
  <c r="O145" i="127" s="1"/>
  <c r="O146" i="127" s="1"/>
  <c r="O147" i="127" s="1"/>
  <c r="N134" i="127"/>
  <c r="N113" i="124"/>
  <c r="N114" i="124" s="1"/>
  <c r="N115" i="124" s="1"/>
  <c r="N116" i="124" s="1"/>
  <c r="N117" i="124" s="1"/>
  <c r="N118" i="124" s="1"/>
  <c r="N119" i="124" s="1"/>
  <c r="N120" i="124" s="1"/>
  <c r="N121" i="124" s="1"/>
  <c r="N122" i="124" s="1"/>
  <c r="N123" i="124" s="1"/>
  <c r="N124" i="124" s="1"/>
  <c r="N125" i="124" s="1"/>
  <c r="N126" i="124" s="1"/>
  <c r="N127" i="124" s="1"/>
  <c r="N128" i="124" s="1"/>
  <c r="N129" i="124" s="1"/>
  <c r="N130" i="124" s="1"/>
  <c r="N131" i="124" s="1"/>
  <c r="N132" i="124" s="1"/>
  <c r="N133" i="124" s="1"/>
  <c r="N134" i="124" s="1"/>
  <c r="N135" i="124" s="1"/>
  <c r="N136" i="124" s="1"/>
  <c r="N137" i="124" s="1"/>
  <c r="O85" i="124"/>
  <c r="O86" i="124" s="1"/>
  <c r="O87" i="124" s="1"/>
  <c r="O88" i="124" s="1"/>
  <c r="O89" i="124" s="1"/>
  <c r="O90" i="124" s="1"/>
  <c r="O91" i="124" s="1"/>
  <c r="O92" i="124" s="1"/>
  <c r="O93" i="124" s="1"/>
  <c r="O94" i="124" s="1"/>
  <c r="O95" i="124" s="1"/>
  <c r="O96" i="124" s="1"/>
  <c r="O97" i="124" s="1"/>
  <c r="O98" i="124" s="1"/>
  <c r="O99" i="124" s="1"/>
  <c r="O100" i="124" s="1"/>
  <c r="O101" i="124" s="1"/>
  <c r="O102" i="124" s="1"/>
  <c r="O103" i="124" s="1"/>
  <c r="O104" i="124" s="1"/>
  <c r="O105" i="124" s="1"/>
  <c r="O106" i="124" s="1"/>
  <c r="O107" i="124" s="1"/>
  <c r="O108" i="124" s="1"/>
  <c r="O109" i="124" s="1"/>
  <c r="O110" i="124" s="1"/>
  <c r="O111" i="124" s="1"/>
  <c r="O112" i="124" s="1"/>
  <c r="N142" i="136" l="1"/>
  <c r="O141" i="130"/>
  <c r="O142" i="130" s="1"/>
  <c r="O143" i="130" s="1"/>
  <c r="O144" i="130" s="1"/>
  <c r="O145" i="130" s="1"/>
  <c r="O146" i="130" s="1"/>
  <c r="O147" i="130" s="1"/>
  <c r="O148" i="130" s="1"/>
  <c r="O149" i="130" s="1"/>
  <c r="O150" i="130" s="1"/>
  <c r="O151" i="130" s="1"/>
  <c r="O152" i="130" s="1"/>
  <c r="O153" i="130" s="1"/>
  <c r="O154" i="130" s="1"/>
  <c r="O155" i="130" s="1"/>
  <c r="O156" i="130" s="1"/>
  <c r="O157" i="130" s="1"/>
  <c r="O158" i="130" s="1"/>
  <c r="O159" i="130" s="1"/>
  <c r="O160" i="130" s="1"/>
  <c r="O161" i="130" s="1"/>
  <c r="O162" i="130" s="1"/>
  <c r="O163" i="130" s="1"/>
  <c r="O164" i="130" s="1"/>
  <c r="O165" i="130" s="1"/>
  <c r="O166" i="130" s="1"/>
  <c r="O167" i="130" s="1"/>
  <c r="O168" i="130" s="1"/>
  <c r="O169" i="130" s="1"/>
  <c r="O170" i="130" s="1"/>
  <c r="O171" i="130" s="1"/>
  <c r="O172" i="130" s="1"/>
  <c r="O173" i="130" s="1"/>
  <c r="O174" i="130" s="1"/>
  <c r="O175" i="130" s="1"/>
  <c r="O176" i="130" s="1"/>
  <c r="O177" i="130" s="1"/>
  <c r="O178" i="130" s="1"/>
  <c r="O179" i="130" s="1"/>
  <c r="O180" i="130" s="1"/>
  <c r="N111" i="130"/>
  <c r="N112" i="130" s="1"/>
  <c r="O148" i="127"/>
  <c r="O149" i="127" s="1"/>
  <c r="O150" i="127" s="1"/>
  <c r="O151" i="127" s="1"/>
  <c r="O152" i="127" s="1"/>
  <c r="O153" i="127" s="1"/>
  <c r="O154" i="127" s="1"/>
  <c r="O155" i="127" s="1"/>
  <c r="O156" i="127" s="1"/>
  <c r="O157" i="127" s="1"/>
  <c r="O158" i="127" s="1"/>
  <c r="O159" i="127" s="1"/>
  <c r="O160" i="127" s="1"/>
  <c r="O161" i="127" s="1"/>
  <c r="O162" i="127" s="1"/>
  <c r="O163" i="127" s="1"/>
  <c r="O164" i="127" s="1"/>
  <c r="O165" i="127" s="1"/>
  <c r="O166" i="127" s="1"/>
  <c r="O167" i="127" s="1"/>
  <c r="O168" i="127" s="1"/>
  <c r="O169" i="127" s="1"/>
  <c r="N135" i="127"/>
  <c r="N136" i="127" s="1"/>
  <c r="N137" i="127" s="1"/>
  <c r="N138" i="127" s="1"/>
  <c r="N139" i="127" s="1"/>
  <c r="N140" i="127" s="1"/>
  <c r="N141" i="127" s="1"/>
  <c r="N142" i="127" s="1"/>
  <c r="N143" i="127" s="1"/>
  <c r="N144" i="127" s="1"/>
  <c r="N145" i="127" s="1"/>
  <c r="N146" i="127" s="1"/>
  <c r="N147" i="127" s="1"/>
  <c r="N148" i="127" s="1"/>
  <c r="N138" i="124"/>
  <c r="N139" i="124" s="1"/>
  <c r="N140" i="124" s="1"/>
  <c r="N141" i="124" s="1"/>
  <c r="N142" i="124" s="1"/>
  <c r="N143" i="124" s="1"/>
  <c r="N144" i="124" s="1"/>
  <c r="N145" i="124" s="1"/>
  <c r="N146" i="124" s="1"/>
  <c r="N147" i="124" s="1"/>
  <c r="N148" i="124" s="1"/>
  <c r="N149" i="124" s="1"/>
  <c r="N150" i="124" s="1"/>
  <c r="N151" i="124" s="1"/>
  <c r="N152" i="124" s="1"/>
  <c r="N153" i="124" s="1"/>
  <c r="N154" i="124" s="1"/>
  <c r="N155" i="124" s="1"/>
  <c r="O113" i="124"/>
  <c r="O114" i="124" s="1"/>
  <c r="O115" i="124" s="1"/>
  <c r="O116" i="124" s="1"/>
  <c r="O117" i="124" s="1"/>
  <c r="O118" i="124" s="1"/>
  <c r="O119" i="124" s="1"/>
  <c r="O120" i="124" s="1"/>
  <c r="O121" i="124" s="1"/>
  <c r="O122" i="124" s="1"/>
  <c r="O123" i="124" s="1"/>
  <c r="O124" i="124" s="1"/>
  <c r="O125" i="124" s="1"/>
  <c r="O126" i="124" s="1"/>
  <c r="O127" i="124" s="1"/>
  <c r="O128" i="124" s="1"/>
  <c r="O129" i="124" s="1"/>
  <c r="O130" i="124" s="1"/>
  <c r="O131" i="124" s="1"/>
  <c r="O132" i="124" s="1"/>
  <c r="O133" i="124" s="1"/>
  <c r="O134" i="124" s="1"/>
  <c r="O135" i="124" s="1"/>
  <c r="O136" i="124" s="1"/>
  <c r="N143" i="136" l="1"/>
  <c r="N144" i="136" s="1"/>
  <c r="N145" i="136" s="1"/>
  <c r="N146" i="136" s="1"/>
  <c r="N147" i="136" s="1"/>
  <c r="N148" i="136" s="1"/>
  <c r="N113" i="130"/>
  <c r="N114" i="130" s="1"/>
  <c r="N115" i="130" s="1"/>
  <c r="N116" i="130" s="1"/>
  <c r="N117" i="130" s="1"/>
  <c r="N118" i="130" s="1"/>
  <c r="N119" i="130" s="1"/>
  <c r="O170" i="127"/>
  <c r="O171" i="127" s="1"/>
  <c r="O172" i="127" s="1"/>
  <c r="O173" i="127" s="1"/>
  <c r="O174" i="127" s="1"/>
  <c r="O175" i="127" s="1"/>
  <c r="O176" i="127" s="1"/>
  <c r="O177" i="127" s="1"/>
  <c r="O178" i="127" s="1"/>
  <c r="O179" i="127" s="1"/>
  <c r="O180" i="127" s="1"/>
  <c r="O181" i="127" s="1"/>
  <c r="O182" i="127" s="1"/>
  <c r="O183" i="127" s="1"/>
  <c r="O184" i="127" s="1"/>
  <c r="O185" i="127" s="1"/>
  <c r="O186" i="127" s="1"/>
  <c r="O187" i="127" s="1"/>
  <c r="O188" i="127" s="1"/>
  <c r="O189" i="127" s="1"/>
  <c r="O190" i="127" s="1"/>
  <c r="O191" i="127" s="1"/>
  <c r="O192" i="127" s="1"/>
  <c r="O193" i="127" s="1"/>
  <c r="O194" i="127" s="1"/>
  <c r="O195" i="127" s="1"/>
  <c r="O196" i="127" s="1"/>
  <c r="O197" i="127" s="1"/>
  <c r="N149" i="127"/>
  <c r="N150" i="127" s="1"/>
  <c r="N151" i="127" s="1"/>
  <c r="N152" i="127" s="1"/>
  <c r="N153" i="127" s="1"/>
  <c r="N154" i="127" s="1"/>
  <c r="N155" i="127" s="1"/>
  <c r="N156" i="127" s="1"/>
  <c r="N157" i="127" s="1"/>
  <c r="N158" i="127" s="1"/>
  <c r="N159" i="127" s="1"/>
  <c r="N160" i="127" s="1"/>
  <c r="N161" i="127" s="1"/>
  <c r="N162" i="127" s="1"/>
  <c r="N163" i="127" s="1"/>
  <c r="N164" i="127" s="1"/>
  <c r="N165" i="127" s="1"/>
  <c r="N166" i="127" s="1"/>
  <c r="N167" i="127" s="1"/>
  <c r="N168" i="127" s="1"/>
  <c r="N169" i="127" s="1"/>
  <c r="N156" i="124"/>
  <c r="N157" i="124" s="1"/>
  <c r="N158" i="124" s="1"/>
  <c r="N159" i="124" s="1"/>
  <c r="N160" i="124" s="1"/>
  <c r="N161" i="124" s="1"/>
  <c r="N162" i="124" s="1"/>
  <c r="N163" i="124" s="1"/>
  <c r="N164" i="124" s="1"/>
  <c r="N165" i="124" s="1"/>
  <c r="O137" i="124"/>
  <c r="O138" i="124" s="1"/>
  <c r="O139" i="124" s="1"/>
  <c r="O140" i="124" s="1"/>
  <c r="O141" i="124" s="1"/>
  <c r="O142" i="124" s="1"/>
  <c r="O143" i="124" s="1"/>
  <c r="O144" i="124" s="1"/>
  <c r="O145" i="124" s="1"/>
  <c r="O146" i="124" s="1"/>
  <c r="O147" i="124" s="1"/>
  <c r="O148" i="124" s="1"/>
  <c r="O149" i="124" s="1"/>
  <c r="O150" i="124" s="1"/>
  <c r="O151" i="124" s="1"/>
  <c r="O152" i="124" s="1"/>
  <c r="O153" i="124" s="1"/>
  <c r="O154" i="124" s="1"/>
  <c r="O155" i="124" s="1"/>
  <c r="O156" i="124" s="1"/>
  <c r="O157" i="124" s="1"/>
  <c r="O158" i="124" s="1"/>
  <c r="O159" i="124" s="1"/>
  <c r="O160" i="124" s="1"/>
  <c r="O161" i="124" s="1"/>
  <c r="O162" i="124" s="1"/>
  <c r="O163" i="124" s="1"/>
  <c r="O164" i="124" s="1"/>
  <c r="O165" i="124" s="1"/>
  <c r="O166" i="124" s="1"/>
  <c r="O167" i="124" s="1"/>
  <c r="O168" i="124" s="1"/>
  <c r="O169" i="124" s="1"/>
  <c r="O170" i="124" s="1"/>
  <c r="O171" i="124" s="1"/>
  <c r="O172" i="124" s="1"/>
  <c r="O173" i="124" s="1"/>
  <c r="O174" i="124" s="1"/>
  <c r="O175" i="124" s="1"/>
  <c r="O176" i="124" s="1"/>
  <c r="O177" i="124" s="1"/>
  <c r="O178" i="124" s="1"/>
  <c r="O179" i="124" s="1"/>
  <c r="O180" i="124" s="1"/>
  <c r="O181" i="124" s="1"/>
  <c r="O182" i="124" s="1"/>
  <c r="O183" i="124" s="1"/>
  <c r="O184" i="124" s="1"/>
  <c r="O185" i="124" s="1"/>
  <c r="O186" i="124" s="1"/>
  <c r="O187" i="124" s="1"/>
  <c r="O188" i="124" s="1"/>
  <c r="O189" i="124" s="1"/>
  <c r="O190" i="124" s="1"/>
  <c r="O191" i="124" s="1"/>
  <c r="O192" i="124" s="1"/>
  <c r="O193" i="124" s="1"/>
  <c r="O194" i="124" s="1"/>
  <c r="O195" i="124" s="1"/>
  <c r="O196" i="124" s="1"/>
  <c r="O197" i="124" s="1"/>
  <c r="O198" i="124" s="1"/>
  <c r="O199" i="124" s="1"/>
  <c r="O200" i="124" s="1"/>
  <c r="O201" i="124" s="1"/>
  <c r="O202" i="124" s="1"/>
  <c r="O203" i="124" s="1"/>
  <c r="O204" i="124" s="1"/>
  <c r="O205" i="124" s="1"/>
  <c r="O206" i="124" s="1"/>
  <c r="O207" i="124" s="1"/>
  <c r="O208" i="124" s="1"/>
  <c r="O209" i="124" s="1"/>
  <c r="O210" i="124" s="1"/>
  <c r="O211" i="124" s="1"/>
  <c r="O212" i="124" s="1"/>
  <c r="O213" i="124" s="1"/>
  <c r="O214" i="124" s="1"/>
  <c r="O215" i="124" s="1"/>
  <c r="O216" i="124" s="1"/>
  <c r="O217" i="124" s="1"/>
  <c r="O218" i="124" s="1"/>
  <c r="O219" i="124" s="1"/>
  <c r="O220" i="124" s="1"/>
  <c r="N149" i="136" l="1"/>
  <c r="N150" i="136" s="1"/>
  <c r="N151" i="136" s="1"/>
  <c r="N120" i="130"/>
  <c r="O198" i="127"/>
  <c r="O199" i="127" s="1"/>
  <c r="O200" i="127" s="1"/>
  <c r="O201" i="127" s="1"/>
  <c r="O202" i="127" s="1"/>
  <c r="O203" i="127" s="1"/>
  <c r="O204" i="127" s="1"/>
  <c r="O205" i="127" s="1"/>
  <c r="O206" i="127" s="1"/>
  <c r="O207" i="127" s="1"/>
  <c r="O208" i="127" s="1"/>
  <c r="O209" i="127" s="1"/>
  <c r="O210" i="127" s="1"/>
  <c r="O211" i="127" s="1"/>
  <c r="O212" i="127" s="1"/>
  <c r="O213" i="127" s="1"/>
  <c r="O214" i="127" s="1"/>
  <c r="O215" i="127" s="1"/>
  <c r="O216" i="127" s="1"/>
  <c r="O217" i="127" s="1"/>
  <c r="O218" i="127" s="1"/>
  <c r="O219" i="127" s="1"/>
  <c r="O220" i="127" s="1"/>
  <c r="O221" i="127" s="1"/>
  <c r="O222" i="127" s="1"/>
  <c r="O223" i="127" s="1"/>
  <c r="O224" i="127" s="1"/>
  <c r="O225" i="127" s="1"/>
  <c r="O226" i="127" s="1"/>
  <c r="O227" i="127" s="1"/>
  <c r="N170" i="127"/>
  <c r="N166" i="124"/>
  <c r="N167" i="124" s="1"/>
  <c r="N168" i="124" s="1"/>
  <c r="N169" i="124" s="1"/>
  <c r="N170" i="124" s="1"/>
  <c r="N171" i="124" s="1"/>
  <c r="N172" i="124" s="1"/>
  <c r="N173" i="124" s="1"/>
  <c r="N174" i="124" s="1"/>
  <c r="N175" i="124" s="1"/>
  <c r="N176" i="124" s="1"/>
  <c r="N177" i="124" s="1"/>
  <c r="N178" i="124" s="1"/>
  <c r="N179" i="124" s="1"/>
  <c r="N180" i="124" s="1"/>
  <c r="N181" i="124" s="1"/>
  <c r="N182" i="124" s="1"/>
  <c r="N183" i="124" s="1"/>
  <c r="N184" i="124" s="1"/>
  <c r="N185" i="124" s="1"/>
  <c r="N186" i="124" s="1"/>
  <c r="N187" i="124" s="1"/>
  <c r="N188" i="124" s="1"/>
  <c r="N189" i="124" s="1"/>
  <c r="N190" i="124" s="1"/>
  <c r="N191" i="124" s="1"/>
  <c r="N192" i="124" s="1"/>
  <c r="N193" i="124" s="1"/>
  <c r="N194" i="124" s="1"/>
  <c r="N195" i="124" s="1"/>
  <c r="N196" i="124" s="1"/>
  <c r="N197" i="124" s="1"/>
  <c r="N198" i="124" s="1"/>
  <c r="N199" i="124" s="1"/>
  <c r="N200" i="124" s="1"/>
  <c r="N201" i="124" s="1"/>
  <c r="N202" i="124" s="1"/>
  <c r="N203" i="124" s="1"/>
  <c r="N204" i="124" s="1"/>
  <c r="N205" i="124" s="1"/>
  <c r="N206" i="124" s="1"/>
  <c r="N207" i="124" s="1"/>
  <c r="N208" i="124" s="1"/>
  <c r="N209" i="124" s="1"/>
  <c r="N210" i="124" s="1"/>
  <c r="N211" i="124" s="1"/>
  <c r="N212" i="124" s="1"/>
  <c r="N213" i="124" s="1"/>
  <c r="N214" i="124" s="1"/>
  <c r="N215" i="124" s="1"/>
  <c r="N216" i="124" s="1"/>
  <c r="N217" i="124" s="1"/>
  <c r="N218" i="124" s="1"/>
  <c r="N219" i="124" s="1"/>
  <c r="N220" i="124" s="1"/>
  <c r="N222" i="124" s="1"/>
  <c r="O229" i="124" s="1"/>
  <c r="N152" i="136" l="1"/>
  <c r="N153" i="136" s="1"/>
  <c r="N154" i="136" s="1"/>
  <c r="N155" i="136" s="1"/>
  <c r="N156" i="136" s="1"/>
  <c r="N157" i="136" s="1"/>
  <c r="N158" i="136" s="1"/>
  <c r="N159" i="136" s="1"/>
  <c r="N160" i="136" s="1"/>
  <c r="N161" i="136" s="1"/>
  <c r="N162" i="136" s="1"/>
  <c r="N163" i="136" s="1"/>
  <c r="N164" i="136" s="1"/>
  <c r="N121" i="130"/>
  <c r="N122" i="130" s="1"/>
  <c r="N123" i="130" s="1"/>
  <c r="N124" i="130" s="1"/>
  <c r="N125" i="130" s="1"/>
  <c r="N126" i="130" s="1"/>
  <c r="N127" i="130" s="1"/>
  <c r="N128" i="130" s="1"/>
  <c r="N129" i="130" s="1"/>
  <c r="N130" i="130" s="1"/>
  <c r="N131" i="130" s="1"/>
  <c r="N132" i="130" s="1"/>
  <c r="N133" i="130" s="1"/>
  <c r="N134" i="130" s="1"/>
  <c r="N135" i="130" s="1"/>
  <c r="N136" i="130" s="1"/>
  <c r="N137" i="130" s="1"/>
  <c r="N138" i="130" s="1"/>
  <c r="N139" i="130" s="1"/>
  <c r="N140" i="130" s="1"/>
  <c r="O228" i="127"/>
  <c r="O229" i="127" s="1"/>
  <c r="O230" i="127" s="1"/>
  <c r="O231" i="127" s="1"/>
  <c r="O232" i="127" s="1"/>
  <c r="O233" i="127" s="1"/>
  <c r="O234" i="127" s="1"/>
  <c r="O235" i="127" s="1"/>
  <c r="O236" i="127" s="1"/>
  <c r="O237" i="127" s="1"/>
  <c r="O238" i="127" s="1"/>
  <c r="O239" i="127" s="1"/>
  <c r="O240" i="127" s="1"/>
  <c r="O241" i="127" s="1"/>
  <c r="O242" i="127" s="1"/>
  <c r="O243" i="127" s="1"/>
  <c r="O244" i="127" s="1"/>
  <c r="O245" i="127" s="1"/>
  <c r="O246" i="127" s="1"/>
  <c r="O247" i="127" s="1"/>
  <c r="O248" i="127" s="1"/>
  <c r="O249" i="127" s="1"/>
  <c r="O250" i="127" s="1"/>
  <c r="O251" i="127" s="1"/>
  <c r="O252" i="127" s="1"/>
  <c r="O253" i="127" s="1"/>
  <c r="O254" i="127" s="1"/>
  <c r="O255" i="127" s="1"/>
  <c r="O256" i="127" s="1"/>
  <c r="O257" i="127" s="1"/>
  <c r="O258" i="127" s="1"/>
  <c r="N171" i="127"/>
  <c r="N172" i="127" s="1"/>
  <c r="N173" i="127" s="1"/>
  <c r="N174" i="127" s="1"/>
  <c r="N175" i="127" s="1"/>
  <c r="N176" i="127" s="1"/>
  <c r="N177" i="127" s="1"/>
  <c r="N178" i="127" s="1"/>
  <c r="N179" i="127" s="1"/>
  <c r="N180" i="127" s="1"/>
  <c r="N181" i="127" s="1"/>
  <c r="N182" i="127" s="1"/>
  <c r="N183" i="127" s="1"/>
  <c r="N184" i="127" s="1"/>
  <c r="N185" i="127" s="1"/>
  <c r="N186" i="127" s="1"/>
  <c r="N187" i="127" s="1"/>
  <c r="N188" i="127" s="1"/>
  <c r="N189" i="127" s="1"/>
  <c r="N190" i="127" s="1"/>
  <c r="N191" i="127" s="1"/>
  <c r="N192" i="127" s="1"/>
  <c r="N193" i="127" s="1"/>
  <c r="N194" i="127" s="1"/>
  <c r="N195" i="127" s="1"/>
  <c r="N196" i="127" s="1"/>
  <c r="N197" i="127" s="1"/>
  <c r="O230" i="124"/>
  <c r="N165" i="136" l="1"/>
  <c r="N166" i="136" s="1"/>
  <c r="N167" i="136" s="1"/>
  <c r="N168" i="136" s="1"/>
  <c r="N169" i="136" s="1"/>
  <c r="N170" i="136" s="1"/>
  <c r="N171" i="136" s="1"/>
  <c r="N172" i="136" s="1"/>
  <c r="N141" i="130"/>
  <c r="N198" i="127"/>
  <c r="B136" i="121"/>
  <c r="B134" i="121"/>
  <c r="J121" i="121"/>
  <c r="J119" i="121"/>
  <c r="D135" i="121"/>
  <c r="E135" i="121" s="1"/>
  <c r="E136" i="121" s="1"/>
  <c r="D133" i="121"/>
  <c r="E133" i="121" s="1"/>
  <c r="D132" i="121"/>
  <c r="E132" i="121" s="1"/>
  <c r="D131" i="121"/>
  <c r="E131" i="121" s="1"/>
  <c r="D130" i="121"/>
  <c r="E130" i="121" s="1"/>
  <c r="D129" i="121"/>
  <c r="E129" i="121" s="1"/>
  <c r="D128" i="121"/>
  <c r="E128" i="121" s="1"/>
  <c r="D127" i="121"/>
  <c r="E127" i="121" s="1"/>
  <c r="I110" i="121"/>
  <c r="L110" i="121"/>
  <c r="C110" i="121"/>
  <c r="O7" i="121" s="1"/>
  <c r="O8" i="121" s="1"/>
  <c r="O9" i="121" s="1"/>
  <c r="O10" i="121" s="1"/>
  <c r="O11" i="121" s="1"/>
  <c r="O12" i="121" s="1"/>
  <c r="O13" i="121" s="1"/>
  <c r="O14" i="121" s="1"/>
  <c r="O15" i="121" s="1"/>
  <c r="O16" i="121" s="1"/>
  <c r="O17" i="121" s="1"/>
  <c r="O18" i="121" s="1"/>
  <c r="O19" i="121" s="1"/>
  <c r="O20" i="121" s="1"/>
  <c r="O21" i="121" s="1"/>
  <c r="O22" i="121" s="1"/>
  <c r="O23" i="121" s="1"/>
  <c r="O24" i="121" s="1"/>
  <c r="O25" i="121" s="1"/>
  <c r="O26" i="121" s="1"/>
  <c r="O27" i="121" s="1"/>
  <c r="O28" i="121" s="1"/>
  <c r="O29" i="121" s="1"/>
  <c r="O30" i="121" s="1"/>
  <c r="O31" i="121" s="1"/>
  <c r="O32" i="121" s="1"/>
  <c r="O33" i="121" s="1"/>
  <c r="O34" i="121" s="1"/>
  <c r="O35" i="121" s="1"/>
  <c r="N7" i="121"/>
  <c r="N8" i="121" s="1"/>
  <c r="N9" i="121" s="1"/>
  <c r="N10" i="121" s="1"/>
  <c r="N11" i="121" s="1"/>
  <c r="N12" i="121" s="1"/>
  <c r="N13" i="121" s="1"/>
  <c r="N14" i="121" s="1"/>
  <c r="N15" i="121" s="1"/>
  <c r="N16" i="121" s="1"/>
  <c r="N17" i="121" s="1"/>
  <c r="N18" i="121" s="1"/>
  <c r="N19" i="121" s="1"/>
  <c r="N20" i="121" s="1"/>
  <c r="N21" i="121" s="1"/>
  <c r="N22" i="121" s="1"/>
  <c r="N23" i="121" s="1"/>
  <c r="N173" i="136" l="1"/>
  <c r="N174" i="136" s="1"/>
  <c r="N175" i="136" s="1"/>
  <c r="N176" i="136" s="1"/>
  <c r="N177" i="136" s="1"/>
  <c r="N178" i="136" s="1"/>
  <c r="N179" i="136" s="1"/>
  <c r="N180" i="136" s="1"/>
  <c r="N181" i="136" s="1"/>
  <c r="N142" i="130"/>
  <c r="N143" i="130" s="1"/>
  <c r="N144" i="130" s="1"/>
  <c r="N145" i="130" s="1"/>
  <c r="N146" i="130" s="1"/>
  <c r="N147" i="130" s="1"/>
  <c r="N148" i="130" s="1"/>
  <c r="N149" i="130" s="1"/>
  <c r="N150" i="130" s="1"/>
  <c r="N151" i="130" s="1"/>
  <c r="N152" i="130" s="1"/>
  <c r="N153" i="130" s="1"/>
  <c r="N154" i="130" s="1"/>
  <c r="N155" i="130" s="1"/>
  <c r="N156" i="130" s="1"/>
  <c r="N157" i="130" s="1"/>
  <c r="N158" i="130" s="1"/>
  <c r="N159" i="130" s="1"/>
  <c r="N160" i="130" s="1"/>
  <c r="N161" i="130" s="1"/>
  <c r="N199" i="127"/>
  <c r="N200" i="127" s="1"/>
  <c r="N201" i="127" s="1"/>
  <c r="N202" i="127" s="1"/>
  <c r="N203" i="127" s="1"/>
  <c r="N204" i="127" s="1"/>
  <c r="N205" i="127" s="1"/>
  <c r="N206" i="127" s="1"/>
  <c r="N207" i="127" s="1"/>
  <c r="N208" i="127" s="1"/>
  <c r="N209" i="127" s="1"/>
  <c r="N210" i="127" s="1"/>
  <c r="N211" i="127" s="1"/>
  <c r="N212" i="127" s="1"/>
  <c r="N213" i="127" s="1"/>
  <c r="N214" i="127" s="1"/>
  <c r="N215" i="127" s="1"/>
  <c r="N216" i="127" s="1"/>
  <c r="N217" i="127" s="1"/>
  <c r="N218" i="127" s="1"/>
  <c r="N219" i="127" s="1"/>
  <c r="N220" i="127" s="1"/>
  <c r="N221" i="127" s="1"/>
  <c r="N222" i="127" s="1"/>
  <c r="N223" i="127" s="1"/>
  <c r="N224" i="127" s="1"/>
  <c r="N225" i="127" s="1"/>
  <c r="N226" i="127" s="1"/>
  <c r="N227" i="127" s="1"/>
  <c r="E134" i="121"/>
  <c r="F127" i="121"/>
  <c r="F128" i="121"/>
  <c r="G128" i="121" s="1"/>
  <c r="F129" i="121"/>
  <c r="G129" i="121" s="1"/>
  <c r="F130" i="121"/>
  <c r="G130" i="121" s="1"/>
  <c r="F131" i="121"/>
  <c r="G131" i="121" s="1"/>
  <c r="F132" i="121"/>
  <c r="G132" i="121" s="1"/>
  <c r="F133" i="121"/>
  <c r="G133" i="121" s="1"/>
  <c r="F135" i="121"/>
  <c r="L111" i="121"/>
  <c r="N24" i="121"/>
  <c r="N25" i="121" s="1"/>
  <c r="N26" i="121" s="1"/>
  <c r="N27" i="121" s="1"/>
  <c r="N28" i="121" s="1"/>
  <c r="N29" i="121" s="1"/>
  <c r="N30" i="121" s="1"/>
  <c r="N31" i="121" s="1"/>
  <c r="N32" i="121" s="1"/>
  <c r="N33" i="121" s="1"/>
  <c r="N34" i="121" s="1"/>
  <c r="N35" i="121" s="1"/>
  <c r="G110" i="121"/>
  <c r="O36" i="121"/>
  <c r="O37" i="121" s="1"/>
  <c r="B112" i="118"/>
  <c r="B108" i="118"/>
  <c r="J98" i="118"/>
  <c r="J94" i="118"/>
  <c r="D111" i="118"/>
  <c r="E111" i="118" s="1"/>
  <c r="D110" i="118"/>
  <c r="E110" i="118" s="1"/>
  <c r="D109" i="118"/>
  <c r="E109" i="118" s="1"/>
  <c r="N88" i="118"/>
  <c r="O88" i="118"/>
  <c r="O87" i="118"/>
  <c r="N87" i="118"/>
  <c r="N86" i="118"/>
  <c r="O86" i="118"/>
  <c r="D107" i="118"/>
  <c r="E107" i="118" s="1"/>
  <c r="D106" i="118"/>
  <c r="E106" i="118" s="1"/>
  <c r="D105" i="118"/>
  <c r="E105" i="118" s="1"/>
  <c r="D104" i="118"/>
  <c r="E104" i="118" s="1"/>
  <c r="D103" i="118"/>
  <c r="E103" i="118" s="1"/>
  <c r="D102" i="118"/>
  <c r="E102" i="118" s="1"/>
  <c r="D101" i="118"/>
  <c r="E101" i="118" s="1"/>
  <c r="D100" i="118"/>
  <c r="E100" i="118" s="1"/>
  <c r="L84" i="118"/>
  <c r="I84" i="118"/>
  <c r="C84" i="118"/>
  <c r="O7" i="118" s="1"/>
  <c r="O8" i="118" s="1"/>
  <c r="O9" i="118" s="1"/>
  <c r="O10" i="118" s="1"/>
  <c r="O11" i="118" s="1"/>
  <c r="O12" i="118" s="1"/>
  <c r="O13" i="118" s="1"/>
  <c r="O14" i="118" s="1"/>
  <c r="O15" i="118" s="1"/>
  <c r="O16" i="118" s="1"/>
  <c r="O17" i="118" s="1"/>
  <c r="O18" i="118" s="1"/>
  <c r="O19" i="118" s="1"/>
  <c r="O20" i="118" s="1"/>
  <c r="O21" i="118" s="1"/>
  <c r="O22" i="118" s="1"/>
  <c r="O23" i="118" s="1"/>
  <c r="O24" i="118" s="1"/>
  <c r="O25" i="118" s="1"/>
  <c r="N7" i="118"/>
  <c r="N8" i="118" s="1"/>
  <c r="N9" i="118" s="1"/>
  <c r="N10" i="118" s="1"/>
  <c r="N11" i="118" s="1"/>
  <c r="N12" i="118" s="1"/>
  <c r="N13" i="118" s="1"/>
  <c r="N14" i="118" s="1"/>
  <c r="N15" i="118" s="1"/>
  <c r="N16" i="118" s="1"/>
  <c r="N17" i="118" s="1"/>
  <c r="N182" i="136" l="1"/>
  <c r="N183" i="136" s="1"/>
  <c r="N184" i="136" s="1"/>
  <c r="N185" i="136" s="1"/>
  <c r="N186" i="136" s="1"/>
  <c r="N187" i="136" s="1"/>
  <c r="N162" i="130"/>
  <c r="N163" i="130" s="1"/>
  <c r="N164" i="130" s="1"/>
  <c r="N165" i="130" s="1"/>
  <c r="N166" i="130" s="1"/>
  <c r="N167" i="130" s="1"/>
  <c r="N168" i="130" s="1"/>
  <c r="N169" i="130" s="1"/>
  <c r="N170" i="130" s="1"/>
  <c r="N171" i="130" s="1"/>
  <c r="N172" i="130" s="1"/>
  <c r="N173" i="130" s="1"/>
  <c r="N174" i="130" s="1"/>
  <c r="N175" i="130" s="1"/>
  <c r="N176" i="130" s="1"/>
  <c r="N177" i="130" s="1"/>
  <c r="N178" i="130" s="1"/>
  <c r="N179" i="130" s="1"/>
  <c r="N180" i="130" s="1"/>
  <c r="N182" i="130" s="1"/>
  <c r="O189" i="130" s="1"/>
  <c r="O190" i="130" s="1"/>
  <c r="N228" i="127"/>
  <c r="G135" i="121"/>
  <c r="G136" i="121" s="1"/>
  <c r="F136" i="121"/>
  <c r="F134" i="121"/>
  <c r="G127" i="121"/>
  <c r="G134" i="121" s="1"/>
  <c r="O38" i="121"/>
  <c r="O39" i="121" s="1"/>
  <c r="O40" i="121" s="1"/>
  <c r="O41" i="121" s="1"/>
  <c r="O42" i="121" s="1"/>
  <c r="O43" i="121" s="1"/>
  <c r="O44" i="121" s="1"/>
  <c r="N36" i="121"/>
  <c r="N37" i="121" s="1"/>
  <c r="O110" i="121"/>
  <c r="F111" i="118"/>
  <c r="G111" i="118" s="1"/>
  <c r="F109" i="118"/>
  <c r="E112" i="118"/>
  <c r="F110" i="118"/>
  <c r="G110" i="118" s="1"/>
  <c r="E108" i="118"/>
  <c r="O26" i="118"/>
  <c r="O27" i="118" s="1"/>
  <c r="O28" i="118" s="1"/>
  <c r="O29" i="118" s="1"/>
  <c r="O30" i="118" s="1"/>
  <c r="O31" i="118" s="1"/>
  <c r="N18" i="118"/>
  <c r="N19" i="118" s="1"/>
  <c r="N20" i="118" s="1"/>
  <c r="N21" i="118" s="1"/>
  <c r="G84" i="118"/>
  <c r="L85" i="118"/>
  <c r="F104" i="118"/>
  <c r="G104" i="118" s="1"/>
  <c r="F100" i="118"/>
  <c r="F102" i="118"/>
  <c r="G102" i="118" s="1"/>
  <c r="F106" i="118"/>
  <c r="G106" i="118" s="1"/>
  <c r="F101" i="118"/>
  <c r="G101" i="118" s="1"/>
  <c r="F103" i="118"/>
  <c r="G103" i="118" s="1"/>
  <c r="F105" i="118"/>
  <c r="G105" i="118" s="1"/>
  <c r="F107" i="118"/>
  <c r="G107" i="118" s="1"/>
  <c r="B251" i="115"/>
  <c r="N188" i="136" l="1"/>
  <c r="N189" i="136" s="1"/>
  <c r="N190" i="136" s="1"/>
  <c r="N191" i="136" s="1"/>
  <c r="N192" i="136" s="1"/>
  <c r="N193" i="136" s="1"/>
  <c r="N194" i="136" s="1"/>
  <c r="N195" i="136" s="1"/>
  <c r="N196" i="136" s="1"/>
  <c r="N197" i="136" s="1"/>
  <c r="N198" i="136" s="1"/>
  <c r="N199" i="136" s="1"/>
  <c r="N200" i="136" s="1"/>
  <c r="N201" i="136" s="1"/>
  <c r="N202" i="136" s="1"/>
  <c r="N203" i="136" s="1"/>
  <c r="N204" i="136" s="1"/>
  <c r="N205" i="136" s="1"/>
  <c r="N206" i="136" s="1"/>
  <c r="N207" i="136" s="1"/>
  <c r="N208" i="136" s="1"/>
  <c r="N209" i="136" s="1"/>
  <c r="N210" i="136" s="1"/>
  <c r="N211" i="136" s="1"/>
  <c r="N212" i="136" s="1"/>
  <c r="N213" i="136" s="1"/>
  <c r="N214" i="136" s="1"/>
  <c r="N215" i="136" s="1"/>
  <c r="N216" i="136" s="1"/>
  <c r="N217" i="136" s="1"/>
  <c r="N218" i="136" s="1"/>
  <c r="N219" i="136" s="1"/>
  <c r="N220" i="136" s="1"/>
  <c r="N221" i="136" s="1"/>
  <c r="N222" i="136" s="1"/>
  <c r="N223" i="136" s="1"/>
  <c r="N224" i="136" s="1"/>
  <c r="N225" i="136" s="1"/>
  <c r="N226" i="136" s="1"/>
  <c r="N227" i="136" s="1"/>
  <c r="N228" i="136" s="1"/>
  <c r="N229" i="136" s="1"/>
  <c r="N230" i="136" s="1"/>
  <c r="N231" i="136" s="1"/>
  <c r="N232" i="136" s="1"/>
  <c r="N233" i="136" s="1"/>
  <c r="N234" i="136" s="1"/>
  <c r="N235" i="136" s="1"/>
  <c r="N236" i="136" s="1"/>
  <c r="N237" i="136" s="1"/>
  <c r="N239" i="136" s="1"/>
  <c r="O246" i="136" s="1"/>
  <c r="O247" i="136" s="1"/>
  <c r="N229" i="127"/>
  <c r="N230" i="127" s="1"/>
  <c r="N231" i="127" s="1"/>
  <c r="N232" i="127" s="1"/>
  <c r="N233" i="127" s="1"/>
  <c r="N234" i="127" s="1"/>
  <c r="N235" i="127" s="1"/>
  <c r="N236" i="127" s="1"/>
  <c r="N237" i="127" s="1"/>
  <c r="N238" i="127" s="1"/>
  <c r="N239" i="127" s="1"/>
  <c r="N240" i="127" s="1"/>
  <c r="N241" i="127" s="1"/>
  <c r="N242" i="127" s="1"/>
  <c r="N243" i="127" s="1"/>
  <c r="N244" i="127" s="1"/>
  <c r="N245" i="127" s="1"/>
  <c r="N246" i="127" s="1"/>
  <c r="N247" i="127" s="1"/>
  <c r="N248" i="127" s="1"/>
  <c r="N249" i="127" s="1"/>
  <c r="N250" i="127" s="1"/>
  <c r="N251" i="127" s="1"/>
  <c r="N252" i="127" s="1"/>
  <c r="N253" i="127" s="1"/>
  <c r="N254" i="127" s="1"/>
  <c r="N255" i="127" s="1"/>
  <c r="N256" i="127" s="1"/>
  <c r="N257" i="127" s="1"/>
  <c r="N258" i="127" s="1"/>
  <c r="N260" i="127" s="1"/>
  <c r="O267" i="127" s="1"/>
  <c r="O268" i="127" s="1"/>
  <c r="O45" i="121"/>
  <c r="O46" i="121" s="1"/>
  <c r="O47" i="121" s="1"/>
  <c r="O48" i="121" s="1"/>
  <c r="O49" i="121" s="1"/>
  <c r="O50" i="121" s="1"/>
  <c r="O51" i="121" s="1"/>
  <c r="O52" i="121" s="1"/>
  <c r="O53" i="121" s="1"/>
  <c r="O54" i="121" s="1"/>
  <c r="O55" i="121" s="1"/>
  <c r="O56" i="121" s="1"/>
  <c r="O57" i="121" s="1"/>
  <c r="O58" i="121" s="1"/>
  <c r="O59" i="121" s="1"/>
  <c r="O60" i="121" s="1"/>
  <c r="N38" i="121"/>
  <c r="N39" i="121" s="1"/>
  <c r="N40" i="121" s="1"/>
  <c r="N41" i="121" s="1"/>
  <c r="N42" i="121" s="1"/>
  <c r="N43" i="121" s="1"/>
  <c r="N44" i="121" s="1"/>
  <c r="N45" i="121" s="1"/>
  <c r="F112" i="118"/>
  <c r="G109" i="118"/>
  <c r="G112" i="118" s="1"/>
  <c r="F108" i="118"/>
  <c r="O32" i="118"/>
  <c r="O33" i="118" s="1"/>
  <c r="O34" i="118" s="1"/>
  <c r="O35" i="118" s="1"/>
  <c r="O36" i="118" s="1"/>
  <c r="O37" i="118" s="1"/>
  <c r="O38" i="118" s="1"/>
  <c r="O39" i="118" s="1"/>
  <c r="N22" i="118"/>
  <c r="N23" i="118" s="1"/>
  <c r="N24" i="118" s="1"/>
  <c r="N25" i="118" s="1"/>
  <c r="N26" i="118" s="1"/>
  <c r="N27" i="118" s="1"/>
  <c r="N28" i="118" s="1"/>
  <c r="N29" i="118" s="1"/>
  <c r="N30" i="118" s="1"/>
  <c r="N31" i="118" s="1"/>
  <c r="O84" i="118"/>
  <c r="G100" i="118"/>
  <c r="G108" i="118" s="1"/>
  <c r="D250" i="115"/>
  <c r="E250" i="115" s="1"/>
  <c r="D249" i="115"/>
  <c r="E249" i="115" s="1"/>
  <c r="E248" i="115"/>
  <c r="D248" i="115"/>
  <c r="D247" i="115"/>
  <c r="E247" i="115" s="1"/>
  <c r="D246" i="115"/>
  <c r="E246" i="115" s="1"/>
  <c r="D245" i="115"/>
  <c r="E245" i="115" s="1"/>
  <c r="D244" i="115"/>
  <c r="E244" i="115" s="1"/>
  <c r="D243" i="115"/>
  <c r="E243" i="115" s="1"/>
  <c r="D242" i="115"/>
  <c r="E242" i="115" s="1"/>
  <c r="D241" i="115"/>
  <c r="E241" i="115" s="1"/>
  <c r="D240" i="115"/>
  <c r="E240" i="115" s="1"/>
  <c r="J238" i="115"/>
  <c r="N230" i="115"/>
  <c r="N227" i="115"/>
  <c r="E251" i="115" l="1"/>
  <c r="O61" i="121"/>
  <c r="O62" i="121" s="1"/>
  <c r="O63" i="121" s="1"/>
  <c r="O64" i="121" s="1"/>
  <c r="O65" i="121" s="1"/>
  <c r="O66" i="121" s="1"/>
  <c r="O67" i="121" s="1"/>
  <c r="O68" i="121" s="1"/>
  <c r="O69" i="121" s="1"/>
  <c r="O70" i="121" s="1"/>
  <c r="O71" i="121" s="1"/>
  <c r="O72" i="121" s="1"/>
  <c r="O73" i="121" s="1"/>
  <c r="O74" i="121" s="1"/>
  <c r="O75" i="121" s="1"/>
  <c r="N46" i="121"/>
  <c r="N47" i="121" s="1"/>
  <c r="N48" i="121" s="1"/>
  <c r="N49" i="121" s="1"/>
  <c r="N50" i="121" s="1"/>
  <c r="N51" i="121" s="1"/>
  <c r="N52" i="121" s="1"/>
  <c r="N53" i="121" s="1"/>
  <c r="N54" i="121" s="1"/>
  <c r="N55" i="121" s="1"/>
  <c r="N56" i="121" s="1"/>
  <c r="N57" i="121" s="1"/>
  <c r="N58" i="121" s="1"/>
  <c r="N59" i="121" s="1"/>
  <c r="N60" i="121" s="1"/>
  <c r="O40" i="118"/>
  <c r="O41" i="118" s="1"/>
  <c r="O42" i="118" s="1"/>
  <c r="N32" i="118"/>
  <c r="N33" i="118" s="1"/>
  <c r="N34" i="118" s="1"/>
  <c r="N35" i="118" s="1"/>
  <c r="N36" i="118" s="1"/>
  <c r="N37" i="118" s="1"/>
  <c r="N38" i="118" s="1"/>
  <c r="N39" i="118" s="1"/>
  <c r="N229" i="115"/>
  <c r="N228" i="115"/>
  <c r="F240" i="115"/>
  <c r="F241" i="115"/>
  <c r="G241" i="115" s="1"/>
  <c r="F242" i="115"/>
  <c r="G242" i="115" s="1"/>
  <c r="F243" i="115"/>
  <c r="G243" i="115" s="1"/>
  <c r="F244" i="115"/>
  <c r="G244" i="115" s="1"/>
  <c r="F245" i="115"/>
  <c r="G245" i="115" s="1"/>
  <c r="F246" i="115"/>
  <c r="G246" i="115" s="1"/>
  <c r="F247" i="115"/>
  <c r="G247" i="115" s="1"/>
  <c r="F248" i="115"/>
  <c r="G248" i="115" s="1"/>
  <c r="F249" i="115"/>
  <c r="G249" i="115" s="1"/>
  <c r="F250" i="115"/>
  <c r="G240" i="115" l="1"/>
  <c r="F251" i="115"/>
  <c r="O76" i="121"/>
  <c r="O77" i="121" s="1"/>
  <c r="O78" i="121" s="1"/>
  <c r="O79" i="121" s="1"/>
  <c r="O80" i="121" s="1"/>
  <c r="O81" i="121" s="1"/>
  <c r="O82" i="121" s="1"/>
  <c r="O83" i="121" s="1"/>
  <c r="O84" i="121" s="1"/>
  <c r="O85" i="121" s="1"/>
  <c r="O86" i="121" s="1"/>
  <c r="O87" i="121" s="1"/>
  <c r="O88" i="121" s="1"/>
  <c r="O89" i="121" s="1"/>
  <c r="O90" i="121" s="1"/>
  <c r="O91" i="121" s="1"/>
  <c r="O92" i="121" s="1"/>
  <c r="O93" i="121" s="1"/>
  <c r="O94" i="121" s="1"/>
  <c r="O95" i="121" s="1"/>
  <c r="O96" i="121" s="1"/>
  <c r="O97" i="121" s="1"/>
  <c r="O98" i="121" s="1"/>
  <c r="O99" i="121" s="1"/>
  <c r="O100" i="121" s="1"/>
  <c r="O101" i="121" s="1"/>
  <c r="O102" i="121" s="1"/>
  <c r="O103" i="121" s="1"/>
  <c r="O104" i="121" s="1"/>
  <c r="O105" i="121" s="1"/>
  <c r="O106" i="121" s="1"/>
  <c r="O107" i="121" s="1"/>
  <c r="O108" i="121" s="1"/>
  <c r="O109" i="121" s="1"/>
  <c r="N61" i="121"/>
  <c r="N62" i="121" s="1"/>
  <c r="N63" i="121" s="1"/>
  <c r="N64" i="121" s="1"/>
  <c r="N65" i="121" s="1"/>
  <c r="N66" i="121" s="1"/>
  <c r="N67" i="121" s="1"/>
  <c r="N68" i="121" s="1"/>
  <c r="N69" i="121" s="1"/>
  <c r="N70" i="121" s="1"/>
  <c r="N71" i="121" s="1"/>
  <c r="N72" i="121" s="1"/>
  <c r="N73" i="121" s="1"/>
  <c r="N74" i="121" s="1"/>
  <c r="N75" i="121" s="1"/>
  <c r="O43" i="118"/>
  <c r="O44" i="118" s="1"/>
  <c r="O45" i="118" s="1"/>
  <c r="O46" i="118" s="1"/>
  <c r="O47" i="118" s="1"/>
  <c r="O48" i="118" s="1"/>
  <c r="O49" i="118" s="1"/>
  <c r="O50" i="118" s="1"/>
  <c r="N40" i="118"/>
  <c r="G250" i="115"/>
  <c r="G251" i="115" l="1"/>
  <c r="N76" i="121"/>
  <c r="N77" i="121" s="1"/>
  <c r="N78" i="121" s="1"/>
  <c r="N79" i="121" s="1"/>
  <c r="N80" i="121" s="1"/>
  <c r="N81" i="121" s="1"/>
  <c r="N82" i="121" s="1"/>
  <c r="N83" i="121" s="1"/>
  <c r="N84" i="121" s="1"/>
  <c r="N85" i="121" s="1"/>
  <c r="N86" i="121" s="1"/>
  <c r="N87" i="121" s="1"/>
  <c r="N88" i="121" s="1"/>
  <c r="N89" i="121" s="1"/>
  <c r="O51" i="118"/>
  <c r="O52" i="118" s="1"/>
  <c r="O53" i="118" s="1"/>
  <c r="O54" i="118" s="1"/>
  <c r="N41" i="118"/>
  <c r="N42" i="118" s="1"/>
  <c r="L225" i="115"/>
  <c r="I225" i="115"/>
  <c r="G225" i="115"/>
  <c r="C225" i="115"/>
  <c r="N7" i="115"/>
  <c r="N8" i="115" s="1"/>
  <c r="N9" i="115" s="1"/>
  <c r="N10" i="115" s="1"/>
  <c r="N11" i="115" s="1"/>
  <c r="N12" i="115" s="1"/>
  <c r="N13" i="115" s="1"/>
  <c r="N90" i="121" l="1"/>
  <c r="N91" i="121" s="1"/>
  <c r="N92" i="121" s="1"/>
  <c r="N93" i="121" s="1"/>
  <c r="N94" i="121" s="1"/>
  <c r="N95" i="121" s="1"/>
  <c r="N96" i="121" s="1"/>
  <c r="N97" i="121" s="1"/>
  <c r="N98" i="121" s="1"/>
  <c r="N99" i="121" s="1"/>
  <c r="N100" i="121" s="1"/>
  <c r="N101" i="121" s="1"/>
  <c r="N102" i="121" s="1"/>
  <c r="N103" i="121" s="1"/>
  <c r="N104" i="121" s="1"/>
  <c r="N105" i="121" s="1"/>
  <c r="N106" i="121" s="1"/>
  <c r="N107" i="121" s="1"/>
  <c r="N108" i="121" s="1"/>
  <c r="N109" i="121" s="1"/>
  <c r="N111" i="121" s="1"/>
  <c r="O118" i="121" s="1"/>
  <c r="O119" i="121" s="1"/>
  <c r="O55" i="118"/>
  <c r="O56" i="118" s="1"/>
  <c r="O57" i="118" s="1"/>
  <c r="O58" i="118" s="1"/>
  <c r="O59" i="118" s="1"/>
  <c r="O60" i="118" s="1"/>
  <c r="O61" i="118" s="1"/>
  <c r="O62" i="118" s="1"/>
  <c r="O63" i="118" s="1"/>
  <c r="O64" i="118" s="1"/>
  <c r="O65" i="118" s="1"/>
  <c r="O66" i="118" s="1"/>
  <c r="O67" i="118" s="1"/>
  <c r="O68" i="118" s="1"/>
  <c r="O69" i="118" s="1"/>
  <c r="O70" i="118" s="1"/>
  <c r="O71" i="118" s="1"/>
  <c r="O72" i="118" s="1"/>
  <c r="O73" i="118" s="1"/>
  <c r="O74" i="118" s="1"/>
  <c r="O75" i="118" s="1"/>
  <c r="O76" i="118" s="1"/>
  <c r="O77" i="118" s="1"/>
  <c r="O78" i="118" s="1"/>
  <c r="O79" i="118" s="1"/>
  <c r="O80" i="118" s="1"/>
  <c r="O81" i="118" s="1"/>
  <c r="O82" i="118" s="1"/>
  <c r="O83" i="118" s="1"/>
  <c r="N43" i="118"/>
  <c r="N44" i="118" s="1"/>
  <c r="N45" i="118" s="1"/>
  <c r="N46" i="118" s="1"/>
  <c r="N47" i="118" s="1"/>
  <c r="N48" i="118" s="1"/>
  <c r="N49" i="118" s="1"/>
  <c r="N50" i="118" s="1"/>
  <c r="N14" i="115"/>
  <c r="O225" i="115"/>
  <c r="O7" i="115"/>
  <c r="O8" i="115" s="1"/>
  <c r="O9" i="115" s="1"/>
  <c r="O10" i="115" s="1"/>
  <c r="O11" i="115" s="1"/>
  <c r="O12" i="115" s="1"/>
  <c r="O13" i="115" s="1"/>
  <c r="L226" i="115"/>
  <c r="N51" i="118" l="1"/>
  <c r="N15" i="115"/>
  <c r="N16" i="115" s="1"/>
  <c r="N17" i="115" s="1"/>
  <c r="N18" i="115" s="1"/>
  <c r="N19" i="115" s="1"/>
  <c r="N20" i="115" s="1"/>
  <c r="O14" i="115"/>
  <c r="O15" i="115" s="1"/>
  <c r="O16" i="115" s="1"/>
  <c r="O17" i="115" s="1"/>
  <c r="O18" i="115" s="1"/>
  <c r="O19" i="115" s="1"/>
  <c r="O20" i="115" s="1"/>
  <c r="N52" i="118" l="1"/>
  <c r="N53" i="118" s="1"/>
  <c r="N54" i="118" s="1"/>
  <c r="O21" i="115"/>
  <c r="O22" i="115" s="1"/>
  <c r="O23" i="115" s="1"/>
  <c r="O24" i="115" s="1"/>
  <c r="N21" i="115"/>
  <c r="N22" i="115" s="1"/>
  <c r="B262" i="112"/>
  <c r="D261" i="112"/>
  <c r="E261" i="112" s="1"/>
  <c r="E262" i="112" s="1"/>
  <c r="B260" i="112"/>
  <c r="D259" i="112"/>
  <c r="E259" i="112" s="1"/>
  <c r="D258" i="112"/>
  <c r="E258" i="112" s="1"/>
  <c r="B257" i="112"/>
  <c r="D256" i="112"/>
  <c r="E256" i="112" s="1"/>
  <c r="D255" i="112"/>
  <c r="E255" i="112" s="1"/>
  <c r="D254" i="112"/>
  <c r="E254" i="112" s="1"/>
  <c r="D253" i="112"/>
  <c r="E253" i="112" s="1"/>
  <c r="D252" i="112"/>
  <c r="E252" i="112" s="1"/>
  <c r="D251" i="112"/>
  <c r="E251" i="112" s="1"/>
  <c r="D250" i="112"/>
  <c r="E250" i="112" s="1"/>
  <c r="D249" i="112"/>
  <c r="E249" i="112" s="1"/>
  <c r="D248" i="112"/>
  <c r="E248" i="112" s="1"/>
  <c r="D247" i="112"/>
  <c r="E247" i="112" s="1"/>
  <c r="D246" i="112"/>
  <c r="E246" i="112" s="1"/>
  <c r="D245" i="112"/>
  <c r="E245" i="112" s="1"/>
  <c r="D244" i="112"/>
  <c r="E244" i="112" s="1"/>
  <c r="J241" i="112"/>
  <c r="J238" i="112"/>
  <c r="J235" i="112"/>
  <c r="O223" i="112"/>
  <c r="O222" i="112"/>
  <c r="N223" i="112"/>
  <c r="N222" i="112"/>
  <c r="N221" i="112"/>
  <c r="L219" i="112"/>
  <c r="I219" i="112"/>
  <c r="C219" i="112"/>
  <c r="N7" i="112"/>
  <c r="N8" i="112" s="1"/>
  <c r="N9" i="112" s="1"/>
  <c r="N10" i="112" s="1"/>
  <c r="N11" i="112" s="1"/>
  <c r="N55" i="118" l="1"/>
  <c r="N56" i="118" s="1"/>
  <c r="N57" i="118" s="1"/>
  <c r="N58" i="118" s="1"/>
  <c r="N59" i="118" s="1"/>
  <c r="N60" i="118" s="1"/>
  <c r="N61" i="118" s="1"/>
  <c r="N62" i="118" s="1"/>
  <c r="N63" i="118" s="1"/>
  <c r="N64" i="118" s="1"/>
  <c r="N65" i="118" s="1"/>
  <c r="O25" i="115"/>
  <c r="O26" i="115" s="1"/>
  <c r="O27" i="115" s="1"/>
  <c r="O28" i="115" s="1"/>
  <c r="O29" i="115" s="1"/>
  <c r="O30" i="115" s="1"/>
  <c r="O31" i="115" s="1"/>
  <c r="O32" i="115" s="1"/>
  <c r="O33" i="115" s="1"/>
  <c r="N23" i="115"/>
  <c r="N24" i="115" s="1"/>
  <c r="N25" i="115" s="1"/>
  <c r="E257" i="112"/>
  <c r="E260" i="112"/>
  <c r="F244" i="112"/>
  <c r="F245" i="112"/>
  <c r="G245" i="112" s="1"/>
  <c r="F246" i="112"/>
  <c r="G246" i="112" s="1"/>
  <c r="F247" i="112"/>
  <c r="G247" i="112" s="1"/>
  <c r="F248" i="112"/>
  <c r="G248" i="112" s="1"/>
  <c r="F249" i="112"/>
  <c r="G249" i="112" s="1"/>
  <c r="F250" i="112"/>
  <c r="G250" i="112" s="1"/>
  <c r="F251" i="112"/>
  <c r="G251" i="112" s="1"/>
  <c r="F252" i="112"/>
  <c r="G252" i="112" s="1"/>
  <c r="F253" i="112"/>
  <c r="G253" i="112" s="1"/>
  <c r="F254" i="112"/>
  <c r="G254" i="112" s="1"/>
  <c r="F255" i="112"/>
  <c r="G255" i="112" s="1"/>
  <c r="F256" i="112"/>
  <c r="G256" i="112" s="1"/>
  <c r="F258" i="112"/>
  <c r="F259" i="112"/>
  <c r="G259" i="112" s="1"/>
  <c r="F261" i="112"/>
  <c r="F262" i="112" s="1"/>
  <c r="G244" i="112"/>
  <c r="G258" i="112"/>
  <c r="N12" i="112"/>
  <c r="N13" i="112" s="1"/>
  <c r="N14" i="112" s="1"/>
  <c r="N15" i="112" s="1"/>
  <c r="N16" i="112" s="1"/>
  <c r="N17" i="112" s="1"/>
  <c r="N18" i="112" s="1"/>
  <c r="N19" i="112" s="1"/>
  <c r="N20" i="112" s="1"/>
  <c r="N21" i="112" s="1"/>
  <c r="N22" i="112" s="1"/>
  <c r="N23" i="112" s="1"/>
  <c r="N24" i="112" s="1"/>
  <c r="G219" i="112"/>
  <c r="L220" i="112"/>
  <c r="O7" i="112"/>
  <c r="O8" i="112" s="1"/>
  <c r="O9" i="112" s="1"/>
  <c r="O10" i="112" s="1"/>
  <c r="D248" i="109"/>
  <c r="E248" i="109" s="1"/>
  <c r="D249" i="109"/>
  <c r="E249" i="109" s="1"/>
  <c r="D250" i="109"/>
  <c r="E250" i="109" s="1"/>
  <c r="D251" i="109"/>
  <c r="E251" i="109"/>
  <c r="D252" i="109"/>
  <c r="E252" i="109" s="1"/>
  <c r="D253" i="109"/>
  <c r="E253" i="109" s="1"/>
  <c r="D254" i="109"/>
  <c r="E254" i="109" s="1"/>
  <c r="D255" i="109"/>
  <c r="E255" i="109" s="1"/>
  <c r="D256" i="109"/>
  <c r="E256" i="109" s="1"/>
  <c r="D257" i="109"/>
  <c r="E257" i="109" s="1"/>
  <c r="D258" i="109"/>
  <c r="E258" i="109" s="1"/>
  <c r="D259" i="109"/>
  <c r="E259" i="109" s="1"/>
  <c r="D260" i="109"/>
  <c r="E260" i="109" s="1"/>
  <c r="B261" i="109"/>
  <c r="D262" i="109"/>
  <c r="E262" i="109" s="1"/>
  <c r="D263" i="109"/>
  <c r="E263" i="109" s="1"/>
  <c r="D264" i="109"/>
  <c r="E264" i="109" s="1"/>
  <c r="D265" i="109"/>
  <c r="E265" i="109" s="1"/>
  <c r="B266" i="109"/>
  <c r="D267" i="109"/>
  <c r="E267" i="109" s="1"/>
  <c r="B268" i="109"/>
  <c r="J241" i="109"/>
  <c r="J239" i="109"/>
  <c r="J234" i="109"/>
  <c r="L218" i="109"/>
  <c r="L219" i="109" s="1"/>
  <c r="I218" i="109"/>
  <c r="C218" i="109"/>
  <c r="N7" i="109"/>
  <c r="N8" i="109" s="1"/>
  <c r="N9" i="109" s="1"/>
  <c r="N10" i="109" s="1"/>
  <c r="N11" i="109" s="1"/>
  <c r="N12" i="109" s="1"/>
  <c r="N13" i="109" s="1"/>
  <c r="N14" i="109" s="1"/>
  <c r="N15" i="109" s="1"/>
  <c r="N66" i="118" l="1"/>
  <c r="N67" i="118" s="1"/>
  <c r="N68" i="118" s="1"/>
  <c r="N69" i="118" s="1"/>
  <c r="N70" i="118" s="1"/>
  <c r="O34" i="115"/>
  <c r="O35" i="115" s="1"/>
  <c r="O36" i="115" s="1"/>
  <c r="N26" i="115"/>
  <c r="N27" i="115" s="1"/>
  <c r="N28" i="115" s="1"/>
  <c r="N29" i="115" s="1"/>
  <c r="N30" i="115" s="1"/>
  <c r="N31" i="115" s="1"/>
  <c r="N32" i="115" s="1"/>
  <c r="N33" i="115" s="1"/>
  <c r="F260" i="112"/>
  <c r="G260" i="112"/>
  <c r="G257" i="112"/>
  <c r="F257" i="112"/>
  <c r="G261" i="112"/>
  <c r="G262" i="112" s="1"/>
  <c r="N25" i="112"/>
  <c r="O11" i="112"/>
  <c r="O12" i="112" s="1"/>
  <c r="O13" i="112" s="1"/>
  <c r="O14" i="112" s="1"/>
  <c r="O15" i="112" s="1"/>
  <c r="O16" i="112" s="1"/>
  <c r="O17" i="112" s="1"/>
  <c r="O18" i="112" s="1"/>
  <c r="O19" i="112" s="1"/>
  <c r="O20" i="112" s="1"/>
  <c r="O21" i="112" s="1"/>
  <c r="O22" i="112" s="1"/>
  <c r="O23" i="112" s="1"/>
  <c r="O24" i="112" s="1"/>
  <c r="O219" i="112"/>
  <c r="F260" i="109"/>
  <c r="G260" i="109" s="1"/>
  <c r="F259" i="109"/>
  <c r="G259" i="109" s="1"/>
  <c r="F258" i="109"/>
  <c r="G258" i="109" s="1"/>
  <c r="F257" i="109"/>
  <c r="G257" i="109" s="1"/>
  <c r="F256" i="109"/>
  <c r="G256" i="109" s="1"/>
  <c r="F255" i="109"/>
  <c r="G255" i="109" s="1"/>
  <c r="F254" i="109"/>
  <c r="G254" i="109" s="1"/>
  <c r="F253" i="109"/>
  <c r="G253" i="109" s="1"/>
  <c r="F252" i="109"/>
  <c r="G252" i="109" s="1"/>
  <c r="F251" i="109"/>
  <c r="G251" i="109" s="1"/>
  <c r="F250" i="109"/>
  <c r="G250" i="109" s="1"/>
  <c r="F249" i="109"/>
  <c r="G249" i="109" s="1"/>
  <c r="E261" i="109"/>
  <c r="F248" i="109"/>
  <c r="F265" i="109"/>
  <c r="G265" i="109" s="1"/>
  <c r="F264" i="109"/>
  <c r="G264" i="109" s="1"/>
  <c r="F263" i="109"/>
  <c r="G263" i="109" s="1"/>
  <c r="G262" i="109"/>
  <c r="F262" i="109"/>
  <c r="E266" i="109"/>
  <c r="E268" i="109"/>
  <c r="F267" i="109"/>
  <c r="F268" i="109" s="1"/>
  <c r="N16" i="109"/>
  <c r="N17" i="109" s="1"/>
  <c r="N18" i="109" s="1"/>
  <c r="N19" i="109" s="1"/>
  <c r="N20" i="109" s="1"/>
  <c r="N21" i="109" s="1"/>
  <c r="N22" i="109" s="1"/>
  <c r="N23" i="109" s="1"/>
  <c r="N24" i="109" s="1"/>
  <c r="N25" i="109" s="1"/>
  <c r="N26" i="109" s="1"/>
  <c r="N27" i="109" s="1"/>
  <c r="N28" i="109" s="1"/>
  <c r="N29" i="109" s="1"/>
  <c r="N30" i="109" s="1"/>
  <c r="N31" i="109" s="1"/>
  <c r="N32" i="109" s="1"/>
  <c r="N33" i="109" s="1"/>
  <c r="N34" i="109" s="1"/>
  <c r="N35" i="109" s="1"/>
  <c r="N36" i="109" s="1"/>
  <c r="N37" i="109" s="1"/>
  <c r="N38" i="109" s="1"/>
  <c r="N39" i="109" s="1"/>
  <c r="N40" i="109" s="1"/>
  <c r="N41" i="109" s="1"/>
  <c r="N42" i="109" s="1"/>
  <c r="N43" i="109" s="1"/>
  <c r="N44" i="109" s="1"/>
  <c r="N45" i="109" s="1"/>
  <c r="G218" i="109"/>
  <c r="O7" i="109"/>
  <c r="O8" i="109" s="1"/>
  <c r="O9" i="109" s="1"/>
  <c r="O10" i="109" s="1"/>
  <c r="O11" i="109" s="1"/>
  <c r="O12" i="109" s="1"/>
  <c r="O13" i="109" s="1"/>
  <c r="B217" i="105"/>
  <c r="D214" i="105"/>
  <c r="E214" i="105" s="1"/>
  <c r="F214" i="105" s="1"/>
  <c r="D215" i="105"/>
  <c r="E215" i="105" s="1"/>
  <c r="F215" i="105" s="1"/>
  <c r="G215" i="105" s="1"/>
  <c r="D216" i="105"/>
  <c r="E216" i="105" s="1"/>
  <c r="F216" i="105" s="1"/>
  <c r="G216" i="105" s="1"/>
  <c r="D218" i="105"/>
  <c r="E218" i="105"/>
  <c r="F218" i="105" s="1"/>
  <c r="D219" i="105"/>
  <c r="E219" i="105" s="1"/>
  <c r="F219" i="105" s="1"/>
  <c r="G219" i="105" s="1"/>
  <c r="D220" i="105"/>
  <c r="E220" i="105"/>
  <c r="F220" i="105" s="1"/>
  <c r="G220" i="105" s="1"/>
  <c r="B221" i="105"/>
  <c r="D222" i="105"/>
  <c r="E222" i="105"/>
  <c r="F222" i="105" s="1"/>
  <c r="D223" i="105"/>
  <c r="E223" i="105" s="1"/>
  <c r="F223" i="105" s="1"/>
  <c r="G223" i="105" s="1"/>
  <c r="D224" i="105"/>
  <c r="E224" i="105"/>
  <c r="F224" i="105" s="1"/>
  <c r="G224" i="105" s="1"/>
  <c r="B225" i="105"/>
  <c r="J190" i="105"/>
  <c r="J194" i="105"/>
  <c r="J198" i="105"/>
  <c r="D201" i="105"/>
  <c r="E201" i="105" s="1"/>
  <c r="D202" i="105"/>
  <c r="E202" i="105" s="1"/>
  <c r="F202" i="105" s="1"/>
  <c r="G202" i="105" s="1"/>
  <c r="D203" i="105"/>
  <c r="E203" i="105" s="1"/>
  <c r="F203" i="105" s="1"/>
  <c r="G203" i="105" s="1"/>
  <c r="D204" i="105"/>
  <c r="E204" i="105" s="1"/>
  <c r="F204" i="105" s="1"/>
  <c r="G204" i="105" s="1"/>
  <c r="D205" i="105"/>
  <c r="E205" i="105" s="1"/>
  <c r="F205" i="105" s="1"/>
  <c r="G205" i="105" s="1"/>
  <c r="D206" i="105"/>
  <c r="E206" i="105"/>
  <c r="F206" i="105" s="1"/>
  <c r="G206" i="105" s="1"/>
  <c r="D207" i="105"/>
  <c r="E207" i="105"/>
  <c r="F207" i="105" s="1"/>
  <c r="G207" i="105" s="1"/>
  <c r="D208" i="105"/>
  <c r="E208" i="105"/>
  <c r="F208" i="105" s="1"/>
  <c r="G208" i="105" s="1"/>
  <c r="D209" i="105"/>
  <c r="E209" i="105"/>
  <c r="F209" i="105" s="1"/>
  <c r="G209" i="105" s="1"/>
  <c r="D210" i="105"/>
  <c r="E210" i="105" s="1"/>
  <c r="D211" i="105"/>
  <c r="E211" i="105" s="1"/>
  <c r="D212" i="105"/>
  <c r="E212" i="105" s="1"/>
  <c r="D213" i="105"/>
  <c r="E213" i="105" s="1"/>
  <c r="E225" i="105" l="1"/>
  <c r="E221" i="105"/>
  <c r="N71" i="118"/>
  <c r="N72" i="118" s="1"/>
  <c r="N73" i="118" s="1"/>
  <c r="N74" i="118" s="1"/>
  <c r="N75" i="118" s="1"/>
  <c r="N76" i="118" s="1"/>
  <c r="N77" i="118" s="1"/>
  <c r="N78" i="118" s="1"/>
  <c r="N79" i="118" s="1"/>
  <c r="N80" i="118" s="1"/>
  <c r="N81" i="118" s="1"/>
  <c r="N82" i="118" s="1"/>
  <c r="N83" i="118" s="1"/>
  <c r="N85" i="118" s="1"/>
  <c r="O92" i="118" s="1"/>
  <c r="O93" i="118" s="1"/>
  <c r="O37" i="115"/>
  <c r="O38" i="115" s="1"/>
  <c r="O39" i="115" s="1"/>
  <c r="N34" i="115"/>
  <c r="N35" i="115" s="1"/>
  <c r="N26" i="112"/>
  <c r="N27" i="112" s="1"/>
  <c r="N28" i="112" s="1"/>
  <c r="N29" i="112" s="1"/>
  <c r="N30" i="112" s="1"/>
  <c r="N31" i="112" s="1"/>
  <c r="O25" i="112"/>
  <c r="O26" i="112" s="1"/>
  <c r="O27" i="112" s="1"/>
  <c r="O28" i="112" s="1"/>
  <c r="O29" i="112" s="1"/>
  <c r="O30" i="112" s="1"/>
  <c r="O31" i="112" s="1"/>
  <c r="O32" i="112" s="1"/>
  <c r="O33" i="112" s="1"/>
  <c r="O34" i="112" s="1"/>
  <c r="O35" i="112" s="1"/>
  <c r="O36" i="112" s="1"/>
  <c r="O37" i="112" s="1"/>
  <c r="O38" i="112" s="1"/>
  <c r="O39" i="112" s="1"/>
  <c r="O40" i="112" s="1"/>
  <c r="O41" i="112" s="1"/>
  <c r="O42" i="112" s="1"/>
  <c r="O43" i="112" s="1"/>
  <c r="O44" i="112" s="1"/>
  <c r="O45" i="112" s="1"/>
  <c r="O46" i="112" s="1"/>
  <c r="O47" i="112" s="1"/>
  <c r="O48" i="112" s="1"/>
  <c r="O49" i="112" s="1"/>
  <c r="O50" i="112" s="1"/>
  <c r="O51" i="112" s="1"/>
  <c r="O52" i="112" s="1"/>
  <c r="O53" i="112" s="1"/>
  <c r="O54" i="112" s="1"/>
  <c r="O55" i="112" s="1"/>
  <c r="O56" i="112" s="1"/>
  <c r="O57" i="112" s="1"/>
  <c r="O58" i="112" s="1"/>
  <c r="O59" i="112" s="1"/>
  <c r="O60" i="112" s="1"/>
  <c r="O61" i="112" s="1"/>
  <c r="O62" i="112" s="1"/>
  <c r="O63" i="112" s="1"/>
  <c r="O64" i="112" s="1"/>
  <c r="O65" i="112" s="1"/>
  <c r="O66" i="112" s="1"/>
  <c r="O67" i="112" s="1"/>
  <c r="O68" i="112" s="1"/>
  <c r="O69" i="112" s="1"/>
  <c r="O70" i="112" s="1"/>
  <c r="O71" i="112" s="1"/>
  <c r="O72" i="112" s="1"/>
  <c r="O73" i="112" s="1"/>
  <c r="O74" i="112" s="1"/>
  <c r="O75" i="112" s="1"/>
  <c r="O76" i="112" s="1"/>
  <c r="O77" i="112" s="1"/>
  <c r="O78" i="112" s="1"/>
  <c r="O79" i="112" s="1"/>
  <c r="O80" i="112" s="1"/>
  <c r="O81" i="112" s="1"/>
  <c r="O82" i="112" s="1"/>
  <c r="O83" i="112" s="1"/>
  <c r="O84" i="112" s="1"/>
  <c r="O85" i="112" s="1"/>
  <c r="O86" i="112" s="1"/>
  <c r="O87" i="112" s="1"/>
  <c r="O88" i="112" s="1"/>
  <c r="O89" i="112" s="1"/>
  <c r="O90" i="112" s="1"/>
  <c r="O91" i="112" s="1"/>
  <c r="O92" i="112" s="1"/>
  <c r="O93" i="112" s="1"/>
  <c r="O94" i="112" s="1"/>
  <c r="O95" i="112" s="1"/>
  <c r="O96" i="112" s="1"/>
  <c r="O97" i="112" s="1"/>
  <c r="O98" i="112" s="1"/>
  <c r="O99" i="112" s="1"/>
  <c r="O100" i="112" s="1"/>
  <c r="O101" i="112" s="1"/>
  <c r="O102" i="112" s="1"/>
  <c r="O103" i="112" s="1"/>
  <c r="O104" i="112" s="1"/>
  <c r="O105" i="112" s="1"/>
  <c r="O106" i="112" s="1"/>
  <c r="O107" i="112" s="1"/>
  <c r="O108" i="112" s="1"/>
  <c r="O109" i="112" s="1"/>
  <c r="O110" i="112" s="1"/>
  <c r="O111" i="112" s="1"/>
  <c r="O112" i="112" s="1"/>
  <c r="O113" i="112" s="1"/>
  <c r="O114" i="112" s="1"/>
  <c r="O115" i="112" s="1"/>
  <c r="O116" i="112" s="1"/>
  <c r="O117" i="112" s="1"/>
  <c r="O118" i="112" s="1"/>
  <c r="O119" i="112" s="1"/>
  <c r="O120" i="112" s="1"/>
  <c r="O121" i="112" s="1"/>
  <c r="O122" i="112" s="1"/>
  <c r="O123" i="112" s="1"/>
  <c r="O124" i="112" s="1"/>
  <c r="O125" i="112" s="1"/>
  <c r="O126" i="112" s="1"/>
  <c r="O127" i="112" s="1"/>
  <c r="O128" i="112" s="1"/>
  <c r="O129" i="112" s="1"/>
  <c r="O130" i="112" s="1"/>
  <c r="O131" i="112" s="1"/>
  <c r="O132" i="112" s="1"/>
  <c r="O133" i="112" s="1"/>
  <c r="O134" i="112" s="1"/>
  <c r="O135" i="112" s="1"/>
  <c r="O136" i="112" s="1"/>
  <c r="O137" i="112" s="1"/>
  <c r="O138" i="112" s="1"/>
  <c r="O139" i="112" s="1"/>
  <c r="O140" i="112" s="1"/>
  <c r="O141" i="112" s="1"/>
  <c r="O142" i="112" s="1"/>
  <c r="O143" i="112" s="1"/>
  <c r="O144" i="112" s="1"/>
  <c r="O145" i="112" s="1"/>
  <c r="O146" i="112" s="1"/>
  <c r="O147" i="112" s="1"/>
  <c r="O148" i="112" s="1"/>
  <c r="O149" i="112" s="1"/>
  <c r="O150" i="112" s="1"/>
  <c r="O151" i="112" s="1"/>
  <c r="O152" i="112" s="1"/>
  <c r="O153" i="112" s="1"/>
  <c r="O154" i="112" s="1"/>
  <c r="O155" i="112" s="1"/>
  <c r="O156" i="112" s="1"/>
  <c r="O157" i="112" s="1"/>
  <c r="O158" i="112" s="1"/>
  <c r="O159" i="112" s="1"/>
  <c r="O160" i="112" s="1"/>
  <c r="O161" i="112" s="1"/>
  <c r="O162" i="112" s="1"/>
  <c r="O163" i="112" s="1"/>
  <c r="O164" i="112" s="1"/>
  <c r="O165" i="112" s="1"/>
  <c r="O166" i="112" s="1"/>
  <c r="O167" i="112" s="1"/>
  <c r="O168" i="112" s="1"/>
  <c r="O169" i="112" s="1"/>
  <c r="O170" i="112" s="1"/>
  <c r="O171" i="112" s="1"/>
  <c r="O172" i="112" s="1"/>
  <c r="O173" i="112" s="1"/>
  <c r="O174" i="112" s="1"/>
  <c r="O175" i="112" s="1"/>
  <c r="O176" i="112" s="1"/>
  <c r="O177" i="112" s="1"/>
  <c r="O178" i="112" s="1"/>
  <c r="O179" i="112" s="1"/>
  <c r="O180" i="112" s="1"/>
  <c r="O181" i="112" s="1"/>
  <c r="O182" i="112" s="1"/>
  <c r="O183" i="112" s="1"/>
  <c r="O184" i="112" s="1"/>
  <c r="O185" i="112" s="1"/>
  <c r="O186" i="112" s="1"/>
  <c r="O187" i="112" s="1"/>
  <c r="O188" i="112" s="1"/>
  <c r="O189" i="112" s="1"/>
  <c r="O190" i="112" s="1"/>
  <c r="O191" i="112" s="1"/>
  <c r="O192" i="112" s="1"/>
  <c r="O193" i="112" s="1"/>
  <c r="O194" i="112" s="1"/>
  <c r="O195" i="112" s="1"/>
  <c r="O196" i="112" s="1"/>
  <c r="O197" i="112" s="1"/>
  <c r="O198" i="112" s="1"/>
  <c r="O199" i="112" s="1"/>
  <c r="O200" i="112" s="1"/>
  <c r="O201" i="112" s="1"/>
  <c r="O202" i="112" s="1"/>
  <c r="O203" i="112" s="1"/>
  <c r="O204" i="112" s="1"/>
  <c r="O205" i="112" s="1"/>
  <c r="O206" i="112" s="1"/>
  <c r="O207" i="112" s="1"/>
  <c r="O208" i="112" s="1"/>
  <c r="O209" i="112" s="1"/>
  <c r="O210" i="112" s="1"/>
  <c r="O211" i="112" s="1"/>
  <c r="O212" i="112" s="1"/>
  <c r="O213" i="112" s="1"/>
  <c r="O214" i="112" s="1"/>
  <c r="O215" i="112" s="1"/>
  <c r="O216" i="112" s="1"/>
  <c r="O217" i="112" s="1"/>
  <c r="O218" i="112" s="1"/>
  <c r="F261" i="109"/>
  <c r="G248" i="109"/>
  <c r="G261" i="109" s="1"/>
  <c r="G266" i="109"/>
  <c r="F266" i="109"/>
  <c r="G267" i="109"/>
  <c r="G268" i="109" s="1"/>
  <c r="N46" i="109"/>
  <c r="N47" i="109" s="1"/>
  <c r="N48" i="109" s="1"/>
  <c r="N49" i="109" s="1"/>
  <c r="O14" i="109"/>
  <c r="O15" i="109" s="1"/>
  <c r="O16" i="109" s="1"/>
  <c r="O17" i="109" s="1"/>
  <c r="O18" i="109" s="1"/>
  <c r="O19" i="109" s="1"/>
  <c r="O20" i="109" s="1"/>
  <c r="O21" i="109" s="1"/>
  <c r="O22" i="109" s="1"/>
  <c r="O23" i="109" s="1"/>
  <c r="O24" i="109" s="1"/>
  <c r="O25" i="109" s="1"/>
  <c r="O26" i="109" s="1"/>
  <c r="O27" i="109" s="1"/>
  <c r="O28" i="109" s="1"/>
  <c r="O29" i="109" s="1"/>
  <c r="O30" i="109" s="1"/>
  <c r="O31" i="109" s="1"/>
  <c r="O32" i="109" s="1"/>
  <c r="O33" i="109" s="1"/>
  <c r="O34" i="109" s="1"/>
  <c r="O35" i="109" s="1"/>
  <c r="O36" i="109" s="1"/>
  <c r="O37" i="109" s="1"/>
  <c r="O38" i="109" s="1"/>
  <c r="O39" i="109" s="1"/>
  <c r="O40" i="109" s="1"/>
  <c r="O41" i="109" s="1"/>
  <c r="O42" i="109" s="1"/>
  <c r="O43" i="109" s="1"/>
  <c r="O44" i="109" s="1"/>
  <c r="O218" i="109"/>
  <c r="E217" i="105"/>
  <c r="F225" i="105"/>
  <c r="G222" i="105"/>
  <c r="G225" i="105" s="1"/>
  <c r="F221" i="105"/>
  <c r="G218" i="105"/>
  <c r="G221" i="105" s="1"/>
  <c r="G214" i="105"/>
  <c r="F213" i="105"/>
  <c r="F201" i="105"/>
  <c r="G201" i="105" s="1"/>
  <c r="F212" i="105"/>
  <c r="G212" i="105"/>
  <c r="F211" i="105"/>
  <c r="G211" i="105" s="1"/>
  <c r="F210" i="105"/>
  <c r="G210" i="105" s="1"/>
  <c r="O40" i="115" l="1"/>
  <c r="O41" i="115" s="1"/>
  <c r="O42" i="115" s="1"/>
  <c r="O43" i="115" s="1"/>
  <c r="O44" i="115" s="1"/>
  <c r="O45" i="115" s="1"/>
  <c r="O46" i="115" s="1"/>
  <c r="O47" i="115" s="1"/>
  <c r="O48" i="115" s="1"/>
  <c r="O49" i="115" s="1"/>
  <c r="O50" i="115" s="1"/>
  <c r="O51" i="115" s="1"/>
  <c r="O52" i="115" s="1"/>
  <c r="O53" i="115" s="1"/>
  <c r="O54" i="115" s="1"/>
  <c r="O55" i="115" s="1"/>
  <c r="O56" i="115" s="1"/>
  <c r="O57" i="115" s="1"/>
  <c r="O58" i="115" s="1"/>
  <c r="O59" i="115" s="1"/>
  <c r="O60" i="115" s="1"/>
  <c r="O61" i="115" s="1"/>
  <c r="O62" i="115" s="1"/>
  <c r="O63" i="115" s="1"/>
  <c r="O64" i="115" s="1"/>
  <c r="O65" i="115" s="1"/>
  <c r="O66" i="115" s="1"/>
  <c r="O67" i="115" s="1"/>
  <c r="O68" i="115" s="1"/>
  <c r="O69" i="115" s="1"/>
  <c r="O70" i="115" s="1"/>
  <c r="O71" i="115" s="1"/>
  <c r="O72" i="115" s="1"/>
  <c r="O73" i="115" s="1"/>
  <c r="O74" i="115" s="1"/>
  <c r="O75" i="115" s="1"/>
  <c r="O76" i="115" s="1"/>
  <c r="O77" i="115" s="1"/>
  <c r="O78" i="115" s="1"/>
  <c r="O79" i="115" s="1"/>
  <c r="O80" i="115" s="1"/>
  <c r="O81" i="115" s="1"/>
  <c r="O82" i="115" s="1"/>
  <c r="O83" i="115" s="1"/>
  <c r="O84" i="115" s="1"/>
  <c r="O85" i="115" s="1"/>
  <c r="O86" i="115" s="1"/>
  <c r="O87" i="115" s="1"/>
  <c r="O88" i="115" s="1"/>
  <c r="O89" i="115" s="1"/>
  <c r="O90" i="115" s="1"/>
  <c r="O91" i="115" s="1"/>
  <c r="O92" i="115" s="1"/>
  <c r="O93" i="115" s="1"/>
  <c r="O94" i="115" s="1"/>
  <c r="O95" i="115" s="1"/>
  <c r="O96" i="115" s="1"/>
  <c r="O97" i="115" s="1"/>
  <c r="O98" i="115" s="1"/>
  <c r="O99" i="115" s="1"/>
  <c r="O100" i="115" s="1"/>
  <c r="O101" i="115" s="1"/>
  <c r="O102" i="115" s="1"/>
  <c r="O103" i="115" s="1"/>
  <c r="O104" i="115" s="1"/>
  <c r="O105" i="115" s="1"/>
  <c r="O106" i="115" s="1"/>
  <c r="O107" i="115" s="1"/>
  <c r="O108" i="115" s="1"/>
  <c r="O109" i="115" s="1"/>
  <c r="O110" i="115" s="1"/>
  <c r="O111" i="115" s="1"/>
  <c r="O112" i="115" s="1"/>
  <c r="O113" i="115" s="1"/>
  <c r="O114" i="115" s="1"/>
  <c r="O115" i="115" s="1"/>
  <c r="O116" i="115" s="1"/>
  <c r="O117" i="115" s="1"/>
  <c r="O118" i="115" s="1"/>
  <c r="O119" i="115" s="1"/>
  <c r="O120" i="115" s="1"/>
  <c r="O121" i="115" s="1"/>
  <c r="O122" i="115" s="1"/>
  <c r="O123" i="115" s="1"/>
  <c r="O124" i="115" s="1"/>
  <c r="O125" i="115" s="1"/>
  <c r="O126" i="115" s="1"/>
  <c r="O127" i="115" s="1"/>
  <c r="O128" i="115" s="1"/>
  <c r="O129" i="115" s="1"/>
  <c r="O130" i="115" s="1"/>
  <c r="O131" i="115" s="1"/>
  <c r="O132" i="115" s="1"/>
  <c r="O133" i="115" s="1"/>
  <c r="O134" i="115" s="1"/>
  <c r="O135" i="115" s="1"/>
  <c r="O136" i="115" s="1"/>
  <c r="O137" i="115" s="1"/>
  <c r="O138" i="115" s="1"/>
  <c r="O139" i="115" s="1"/>
  <c r="O140" i="115" s="1"/>
  <c r="O141" i="115" s="1"/>
  <c r="O142" i="115" s="1"/>
  <c r="O143" i="115" s="1"/>
  <c r="O144" i="115" s="1"/>
  <c r="O145" i="115" s="1"/>
  <c r="O146" i="115" s="1"/>
  <c r="O147" i="115" s="1"/>
  <c r="O148" i="115" s="1"/>
  <c r="O149" i="115" s="1"/>
  <c r="O150" i="115" s="1"/>
  <c r="O151" i="115" s="1"/>
  <c r="O152" i="115" s="1"/>
  <c r="O153" i="115" s="1"/>
  <c r="O154" i="115" s="1"/>
  <c r="O155" i="115" s="1"/>
  <c r="O156" i="115" s="1"/>
  <c r="O157" i="115" s="1"/>
  <c r="O158" i="115" s="1"/>
  <c r="O159" i="115" s="1"/>
  <c r="O160" i="115" s="1"/>
  <c r="O161" i="115" s="1"/>
  <c r="O162" i="115" s="1"/>
  <c r="O163" i="115" s="1"/>
  <c r="O164" i="115" s="1"/>
  <c r="O165" i="115" s="1"/>
  <c r="O166" i="115" s="1"/>
  <c r="O167" i="115" s="1"/>
  <c r="O168" i="115" s="1"/>
  <c r="O169" i="115" s="1"/>
  <c r="O170" i="115" s="1"/>
  <c r="O171" i="115" s="1"/>
  <c r="O172" i="115" s="1"/>
  <c r="O173" i="115" s="1"/>
  <c r="O174" i="115" s="1"/>
  <c r="O175" i="115" s="1"/>
  <c r="O176" i="115" s="1"/>
  <c r="O177" i="115" s="1"/>
  <c r="O178" i="115" s="1"/>
  <c r="O179" i="115" s="1"/>
  <c r="O180" i="115" s="1"/>
  <c r="O181" i="115" s="1"/>
  <c r="O182" i="115" s="1"/>
  <c r="O183" i="115" s="1"/>
  <c r="O184" i="115" s="1"/>
  <c r="O185" i="115" s="1"/>
  <c r="O186" i="115" s="1"/>
  <c r="O187" i="115" s="1"/>
  <c r="O188" i="115" s="1"/>
  <c r="O189" i="115" s="1"/>
  <c r="O190" i="115" s="1"/>
  <c r="O191" i="115" s="1"/>
  <c r="O192" i="115" s="1"/>
  <c r="O193" i="115" s="1"/>
  <c r="O194" i="115" s="1"/>
  <c r="O195" i="115" s="1"/>
  <c r="O196" i="115" s="1"/>
  <c r="O197" i="115" s="1"/>
  <c r="O198" i="115" s="1"/>
  <c r="O199" i="115" s="1"/>
  <c r="O200" i="115" s="1"/>
  <c r="O201" i="115" s="1"/>
  <c r="O202" i="115" s="1"/>
  <c r="O203" i="115" s="1"/>
  <c r="O204" i="115" s="1"/>
  <c r="O205" i="115" s="1"/>
  <c r="O206" i="115" s="1"/>
  <c r="O207" i="115" s="1"/>
  <c r="O208" i="115" s="1"/>
  <c r="O209" i="115" s="1"/>
  <c r="O210" i="115" s="1"/>
  <c r="O211" i="115" s="1"/>
  <c r="O212" i="115" s="1"/>
  <c r="O213" i="115" s="1"/>
  <c r="O214" i="115" s="1"/>
  <c r="O215" i="115" s="1"/>
  <c r="O216" i="115" s="1"/>
  <c r="O217" i="115" s="1"/>
  <c r="O218" i="115" s="1"/>
  <c r="O219" i="115" s="1"/>
  <c r="O220" i="115" s="1"/>
  <c r="O221" i="115" s="1"/>
  <c r="O222" i="115" s="1"/>
  <c r="O223" i="115" s="1"/>
  <c r="O224" i="115" s="1"/>
  <c r="N36" i="115"/>
  <c r="N37" i="115" s="1"/>
  <c r="N32" i="112"/>
  <c r="N33" i="112" s="1"/>
  <c r="N34" i="112" s="1"/>
  <c r="N35" i="112" s="1"/>
  <c r="N36" i="112" s="1"/>
  <c r="N50" i="109"/>
  <c r="N51" i="109" s="1"/>
  <c r="N52" i="109" s="1"/>
  <c r="N53" i="109" s="1"/>
  <c r="N54" i="109" s="1"/>
  <c r="N55" i="109" s="1"/>
  <c r="N56" i="109" s="1"/>
  <c r="N57" i="109" s="1"/>
  <c r="N58" i="109" s="1"/>
  <c r="N59" i="109" s="1"/>
  <c r="N60" i="109" s="1"/>
  <c r="N61" i="109" s="1"/>
  <c r="N62" i="109" s="1"/>
  <c r="N63" i="109" s="1"/>
  <c r="N64" i="109" s="1"/>
  <c r="O45" i="109"/>
  <c r="O46" i="109" s="1"/>
  <c r="O47" i="109" s="1"/>
  <c r="O48" i="109" s="1"/>
  <c r="F217" i="105"/>
  <c r="G213" i="105"/>
  <c r="G217" i="105" s="1"/>
  <c r="N38" i="115" l="1"/>
  <c r="N39" i="115" s="1"/>
  <c r="N40" i="115" s="1"/>
  <c r="N37" i="112"/>
  <c r="N38" i="112" s="1"/>
  <c r="N39" i="112" s="1"/>
  <c r="N40" i="112" s="1"/>
  <c r="N41" i="112" s="1"/>
  <c r="N42" i="112" s="1"/>
  <c r="N43" i="112" s="1"/>
  <c r="N44" i="112" s="1"/>
  <c r="N65" i="109"/>
  <c r="O49" i="109"/>
  <c r="O50" i="109" s="1"/>
  <c r="O51" i="109" s="1"/>
  <c r="O52" i="109" s="1"/>
  <c r="O53" i="109" s="1"/>
  <c r="O54" i="109" s="1"/>
  <c r="O55" i="109" s="1"/>
  <c r="O56" i="109" s="1"/>
  <c r="O57" i="109" s="1"/>
  <c r="O58" i="109" s="1"/>
  <c r="O59" i="109" s="1"/>
  <c r="O60" i="109" s="1"/>
  <c r="O61" i="109" s="1"/>
  <c r="O62" i="109" s="1"/>
  <c r="O63" i="109" s="1"/>
  <c r="O64" i="109" s="1"/>
  <c r="N173" i="105"/>
  <c r="O173" i="105"/>
  <c r="I171" i="105"/>
  <c r="L171" i="105"/>
  <c r="C171" i="105"/>
  <c r="O7" i="105" s="1"/>
  <c r="O8" i="105" s="1"/>
  <c r="O9" i="105" s="1"/>
  <c r="N7" i="105"/>
  <c r="N8" i="105" s="1"/>
  <c r="N9" i="105" s="1"/>
  <c r="N10" i="105" s="1"/>
  <c r="N11" i="105" s="1"/>
  <c r="N12" i="105" s="1"/>
  <c r="N13" i="105" s="1"/>
  <c r="N41" i="115" l="1"/>
  <c r="N42" i="115" s="1"/>
  <c r="N43" i="115" s="1"/>
  <c r="N44" i="115" s="1"/>
  <c r="N45" i="115" s="1"/>
  <c r="N46" i="115" s="1"/>
  <c r="N47" i="115" s="1"/>
  <c r="N45" i="112"/>
  <c r="N46" i="112" s="1"/>
  <c r="N47" i="112" s="1"/>
  <c r="N48" i="112" s="1"/>
  <c r="N49" i="112" s="1"/>
  <c r="N50" i="112" s="1"/>
  <c r="N51" i="112" s="1"/>
  <c r="N52" i="112" s="1"/>
  <c r="N53" i="112" s="1"/>
  <c r="N54" i="112" s="1"/>
  <c r="N55" i="112" s="1"/>
  <c r="O65" i="109"/>
  <c r="O66" i="109" s="1"/>
  <c r="O67" i="109" s="1"/>
  <c r="O68" i="109" s="1"/>
  <c r="O69" i="109" s="1"/>
  <c r="O70" i="109" s="1"/>
  <c r="O71" i="109" s="1"/>
  <c r="N66" i="109"/>
  <c r="N67" i="109" s="1"/>
  <c r="N68" i="109" s="1"/>
  <c r="N69" i="109" s="1"/>
  <c r="N70" i="109" s="1"/>
  <c r="N71" i="109" s="1"/>
  <c r="N72" i="109" s="1"/>
  <c r="L172" i="105"/>
  <c r="N14" i="105"/>
  <c r="N15" i="105" s="1"/>
  <c r="N16" i="105" s="1"/>
  <c r="N17" i="105" s="1"/>
  <c r="G171" i="105"/>
  <c r="O10" i="105"/>
  <c r="O11" i="105" s="1"/>
  <c r="B200" i="102"/>
  <c r="D200" i="102" s="1"/>
  <c r="E200" i="102" s="1"/>
  <c r="B199" i="102"/>
  <c r="B201" i="102" s="1"/>
  <c r="B197" i="102"/>
  <c r="D197" i="102" s="1"/>
  <c r="E197" i="102" s="1"/>
  <c r="E198" i="102" s="1"/>
  <c r="B184" i="102"/>
  <c r="D184" i="102" s="1"/>
  <c r="E184" i="102" s="1"/>
  <c r="B185" i="102"/>
  <c r="D185" i="102" s="1"/>
  <c r="E185" i="102" s="1"/>
  <c r="B186" i="102"/>
  <c r="D186" i="102" s="1"/>
  <c r="E186" i="102" s="1"/>
  <c r="B187" i="102"/>
  <c r="D187" i="102" s="1"/>
  <c r="E187" i="102" s="1"/>
  <c r="B188" i="102"/>
  <c r="D188" i="102" s="1"/>
  <c r="E188" i="102" s="1"/>
  <c r="B189" i="102"/>
  <c r="B190" i="102"/>
  <c r="D190" i="102" s="1"/>
  <c r="E190" i="102" s="1"/>
  <c r="B191" i="102"/>
  <c r="D191" i="102" s="1"/>
  <c r="E191" i="102" s="1"/>
  <c r="B192" i="102"/>
  <c r="D192" i="102" s="1"/>
  <c r="E192" i="102" s="1"/>
  <c r="B193" i="102"/>
  <c r="D193" i="102" s="1"/>
  <c r="E193" i="102" s="1"/>
  <c r="B194" i="102"/>
  <c r="D194" i="102" s="1"/>
  <c r="E194" i="102" s="1"/>
  <c r="B195" i="102"/>
  <c r="D195" i="102" s="1"/>
  <c r="E195" i="102" s="1"/>
  <c r="B183" i="102"/>
  <c r="D183" i="102" s="1"/>
  <c r="E183" i="102" s="1"/>
  <c r="J164" i="102"/>
  <c r="J161" i="102"/>
  <c r="J159" i="102"/>
  <c r="D189" i="102"/>
  <c r="E189" i="102" s="1"/>
  <c r="N146" i="102"/>
  <c r="N145" i="102"/>
  <c r="O146" i="102"/>
  <c r="N48" i="115" l="1"/>
  <c r="N49" i="115" s="1"/>
  <c r="N50" i="115" s="1"/>
  <c r="N51" i="115" s="1"/>
  <c r="N52" i="115" s="1"/>
  <c r="N53" i="115" s="1"/>
  <c r="N54" i="115" s="1"/>
  <c r="N55" i="115" s="1"/>
  <c r="N56" i="115" s="1"/>
  <c r="N56" i="112"/>
  <c r="N57" i="112" s="1"/>
  <c r="N58" i="112" s="1"/>
  <c r="N59" i="112" s="1"/>
  <c r="N60" i="112" s="1"/>
  <c r="N61" i="112" s="1"/>
  <c r="N62" i="112" s="1"/>
  <c r="N73" i="109"/>
  <c r="N74" i="109" s="1"/>
  <c r="N75" i="109" s="1"/>
  <c r="N76" i="109" s="1"/>
  <c r="N77" i="109" s="1"/>
  <c r="N78" i="109" s="1"/>
  <c r="N79" i="109" s="1"/>
  <c r="O72" i="109"/>
  <c r="O73" i="109" s="1"/>
  <c r="O74" i="109" s="1"/>
  <c r="O75" i="109" s="1"/>
  <c r="O76" i="109" s="1"/>
  <c r="O77" i="109" s="1"/>
  <c r="O78" i="109" s="1"/>
  <c r="O79" i="109" s="1"/>
  <c r="N18" i="105"/>
  <c r="N19" i="105" s="1"/>
  <c r="N20" i="105" s="1"/>
  <c r="N21" i="105" s="1"/>
  <c r="N22" i="105" s="1"/>
  <c r="N23" i="105" s="1"/>
  <c r="N24" i="105" s="1"/>
  <c r="O12" i="105"/>
  <c r="O13" i="105" s="1"/>
  <c r="O14" i="105" s="1"/>
  <c r="O15" i="105" s="1"/>
  <c r="O16" i="105" s="1"/>
  <c r="O171" i="105"/>
  <c r="D199" i="102"/>
  <c r="E199" i="102" s="1"/>
  <c r="F199" i="102" s="1"/>
  <c r="B196" i="102"/>
  <c r="B198" i="102"/>
  <c r="E196" i="102"/>
  <c r="E201" i="102"/>
  <c r="F200" i="102"/>
  <c r="G200" i="102" s="1"/>
  <c r="F197" i="102"/>
  <c r="F195" i="102"/>
  <c r="F194" i="102"/>
  <c r="G194" i="102" s="1"/>
  <c r="F183" i="102"/>
  <c r="F187" i="102"/>
  <c r="G187" i="102" s="1"/>
  <c r="F191" i="102"/>
  <c r="G191" i="102" s="1"/>
  <c r="F190" i="102"/>
  <c r="G190" i="102" s="1"/>
  <c r="F188" i="102"/>
  <c r="G188" i="102" s="1"/>
  <c r="F186" i="102"/>
  <c r="G186" i="102" s="1"/>
  <c r="F184" i="102"/>
  <c r="G184" i="102" s="1"/>
  <c r="F192" i="102"/>
  <c r="G192" i="102" s="1"/>
  <c r="F185" i="102"/>
  <c r="G185" i="102" s="1"/>
  <c r="F189" i="102"/>
  <c r="G189" i="102" s="1"/>
  <c r="F193" i="102"/>
  <c r="G193" i="102" s="1"/>
  <c r="I143" i="102"/>
  <c r="L143" i="102"/>
  <c r="C143" i="102"/>
  <c r="O7" i="102" s="1"/>
  <c r="O8" i="102" s="1"/>
  <c r="O9" i="102" s="1"/>
  <c r="O10" i="102" s="1"/>
  <c r="O11" i="102" s="1"/>
  <c r="O12" i="102" s="1"/>
  <c r="O13" i="102" s="1"/>
  <c r="O14" i="102" s="1"/>
  <c r="O15" i="102" s="1"/>
  <c r="O16" i="102" s="1"/>
  <c r="O17" i="102" s="1"/>
  <c r="O18" i="102" s="1"/>
  <c r="O19" i="102" s="1"/>
  <c r="O20" i="102" s="1"/>
  <c r="O21" i="102" s="1"/>
  <c r="O22" i="102" s="1"/>
  <c r="O23" i="102" s="1"/>
  <c r="O24" i="102" s="1"/>
  <c r="O25" i="102" s="1"/>
  <c r="N7" i="102"/>
  <c r="N8" i="102" s="1"/>
  <c r="N9" i="102" s="1"/>
  <c r="N10" i="102" s="1"/>
  <c r="N11" i="102" s="1"/>
  <c r="N12" i="102" s="1"/>
  <c r="N13" i="102" s="1"/>
  <c r="N14" i="102" s="1"/>
  <c r="N15" i="102" s="1"/>
  <c r="N16" i="102" s="1"/>
  <c r="N17" i="102" s="1"/>
  <c r="N18" i="102" s="1"/>
  <c r="N19" i="102" s="1"/>
  <c r="N20" i="102" s="1"/>
  <c r="N21" i="102" s="1"/>
  <c r="N22" i="102" s="1"/>
  <c r="N23" i="102" s="1"/>
  <c r="N24" i="102" s="1"/>
  <c r="N25" i="102" s="1"/>
  <c r="F201" i="102" l="1"/>
  <c r="N57" i="115"/>
  <c r="N58" i="115" s="1"/>
  <c r="N59" i="115" s="1"/>
  <c r="N60" i="115" s="1"/>
  <c r="N61" i="115" s="1"/>
  <c r="N62" i="115" s="1"/>
  <c r="N63" i="115" s="1"/>
  <c r="N64" i="115" s="1"/>
  <c r="N65" i="115" s="1"/>
  <c r="N66" i="115" s="1"/>
  <c r="N67" i="115" s="1"/>
  <c r="N68" i="115" s="1"/>
  <c r="N69" i="115" s="1"/>
  <c r="N70" i="115" s="1"/>
  <c r="N63" i="112"/>
  <c r="N64" i="112" s="1"/>
  <c r="N65" i="112" s="1"/>
  <c r="N66" i="112" s="1"/>
  <c r="N67" i="112" s="1"/>
  <c r="N68" i="112" s="1"/>
  <c r="N69" i="112" s="1"/>
  <c r="N70" i="112" s="1"/>
  <c r="O80" i="109"/>
  <c r="O81" i="109" s="1"/>
  <c r="O82" i="109" s="1"/>
  <c r="O83" i="109" s="1"/>
  <c r="O84" i="109" s="1"/>
  <c r="O85" i="109" s="1"/>
  <c r="O86" i="109" s="1"/>
  <c r="O87" i="109" s="1"/>
  <c r="O88" i="109" s="1"/>
  <c r="O89" i="109" s="1"/>
  <c r="N80" i="109"/>
  <c r="N25" i="105"/>
  <c r="N26" i="105" s="1"/>
  <c r="N27" i="105" s="1"/>
  <c r="N28" i="105" s="1"/>
  <c r="N29" i="105" s="1"/>
  <c r="N30" i="105" s="1"/>
  <c r="N31" i="105" s="1"/>
  <c r="N32" i="105" s="1"/>
  <c r="N33" i="105" s="1"/>
  <c r="N34" i="105" s="1"/>
  <c r="N35" i="105" s="1"/>
  <c r="N36" i="105" s="1"/>
  <c r="N37" i="105" s="1"/>
  <c r="N38" i="105" s="1"/>
  <c r="N39" i="105" s="1"/>
  <c r="O17" i="105"/>
  <c r="O18" i="105" s="1"/>
  <c r="O19" i="105" s="1"/>
  <c r="O20" i="105" s="1"/>
  <c r="O21" i="105" s="1"/>
  <c r="O22" i="105" s="1"/>
  <c r="O23" i="105" s="1"/>
  <c r="G197" i="102"/>
  <c r="G198" i="102" s="1"/>
  <c r="F198" i="102"/>
  <c r="F196" i="102"/>
  <c r="G199" i="102"/>
  <c r="G201" i="102" s="1"/>
  <c r="G195" i="102"/>
  <c r="G183" i="102"/>
  <c r="L144" i="102"/>
  <c r="N26" i="102"/>
  <c r="N27" i="102" s="1"/>
  <c r="N28" i="102" s="1"/>
  <c r="N29" i="102" s="1"/>
  <c r="O26" i="102"/>
  <c r="O27" i="102" s="1"/>
  <c r="O28" i="102" s="1"/>
  <c r="O29" i="102" s="1"/>
  <c r="G143" i="102"/>
  <c r="N71" i="115" l="1"/>
  <c r="N72" i="115" s="1"/>
  <c r="N73" i="115" s="1"/>
  <c r="N74" i="115" s="1"/>
  <c r="N75" i="115" s="1"/>
  <c r="N76" i="115" s="1"/>
  <c r="N77" i="115" s="1"/>
  <c r="N78" i="115" s="1"/>
  <c r="N79" i="115" s="1"/>
  <c r="N80" i="115" s="1"/>
  <c r="N81" i="115" s="1"/>
  <c r="N82" i="115" s="1"/>
  <c r="N83" i="115" s="1"/>
  <c r="N84" i="115" s="1"/>
  <c r="N85" i="115" s="1"/>
  <c r="N86" i="115" s="1"/>
  <c r="N87" i="115" s="1"/>
  <c r="N88" i="115" s="1"/>
  <c r="N89" i="115" s="1"/>
  <c r="N90" i="115" s="1"/>
  <c r="N91" i="115" s="1"/>
  <c r="N92" i="115" s="1"/>
  <c r="N93" i="115" s="1"/>
  <c r="N94" i="115" s="1"/>
  <c r="N95" i="115" s="1"/>
  <c r="N96" i="115" s="1"/>
  <c r="N97" i="115" s="1"/>
  <c r="N98" i="115" s="1"/>
  <c r="N99" i="115" s="1"/>
  <c r="N100" i="115" s="1"/>
  <c r="N101" i="115" s="1"/>
  <c r="N102" i="115" s="1"/>
  <c r="N103" i="115" s="1"/>
  <c r="N104" i="115" s="1"/>
  <c r="N105" i="115" s="1"/>
  <c r="N106" i="115" s="1"/>
  <c r="N107" i="115" s="1"/>
  <c r="N108" i="115" s="1"/>
  <c r="N109" i="115" s="1"/>
  <c r="N110" i="115" s="1"/>
  <c r="N111" i="115" s="1"/>
  <c r="N112" i="115" s="1"/>
  <c r="N113" i="115" s="1"/>
  <c r="N114" i="115" s="1"/>
  <c r="N115" i="115" s="1"/>
  <c r="N116" i="115" s="1"/>
  <c r="N117" i="115" s="1"/>
  <c r="N118" i="115" s="1"/>
  <c r="N119" i="115" s="1"/>
  <c r="N120" i="115" s="1"/>
  <c r="N121" i="115" s="1"/>
  <c r="N122" i="115" s="1"/>
  <c r="N123" i="115" s="1"/>
  <c r="N124" i="115" s="1"/>
  <c r="N125" i="115" s="1"/>
  <c r="N126" i="115" s="1"/>
  <c r="N127" i="115" s="1"/>
  <c r="N128" i="115" s="1"/>
  <c r="N129" i="115" s="1"/>
  <c r="N130" i="115" s="1"/>
  <c r="N131" i="115" s="1"/>
  <c r="N132" i="115" s="1"/>
  <c r="N133" i="115" s="1"/>
  <c r="N134" i="115" s="1"/>
  <c r="N135" i="115" s="1"/>
  <c r="N136" i="115" s="1"/>
  <c r="N137" i="115" s="1"/>
  <c r="N138" i="115" s="1"/>
  <c r="N139" i="115" s="1"/>
  <c r="N140" i="115" s="1"/>
  <c r="N141" i="115" s="1"/>
  <c r="N142" i="115" s="1"/>
  <c r="N143" i="115" s="1"/>
  <c r="N144" i="115" s="1"/>
  <c r="N145" i="115" s="1"/>
  <c r="N146" i="115" s="1"/>
  <c r="N147" i="115" s="1"/>
  <c r="N148" i="115" s="1"/>
  <c r="N149" i="115" s="1"/>
  <c r="N150" i="115" s="1"/>
  <c r="N151" i="115" s="1"/>
  <c r="N152" i="115" s="1"/>
  <c r="N153" i="115" s="1"/>
  <c r="N154" i="115" s="1"/>
  <c r="N155" i="115" s="1"/>
  <c r="N156" i="115" s="1"/>
  <c r="N157" i="115" s="1"/>
  <c r="N158" i="115" s="1"/>
  <c r="N159" i="115" s="1"/>
  <c r="N160" i="115" s="1"/>
  <c r="N161" i="115" s="1"/>
  <c r="N162" i="115" s="1"/>
  <c r="N163" i="115" s="1"/>
  <c r="N164" i="115" s="1"/>
  <c r="N165" i="115" s="1"/>
  <c r="N166" i="115" s="1"/>
  <c r="N167" i="115" s="1"/>
  <c r="N168" i="115" s="1"/>
  <c r="N169" i="115" s="1"/>
  <c r="N170" i="115" s="1"/>
  <c r="N171" i="115" s="1"/>
  <c r="N172" i="115" s="1"/>
  <c r="N173" i="115" s="1"/>
  <c r="N174" i="115" s="1"/>
  <c r="N175" i="115" s="1"/>
  <c r="N176" i="115" s="1"/>
  <c r="N177" i="115" s="1"/>
  <c r="N178" i="115" s="1"/>
  <c r="N179" i="115" s="1"/>
  <c r="N180" i="115" s="1"/>
  <c r="N181" i="115" s="1"/>
  <c r="N182" i="115" s="1"/>
  <c r="N183" i="115" s="1"/>
  <c r="N184" i="115" s="1"/>
  <c r="N185" i="115" s="1"/>
  <c r="N186" i="115" s="1"/>
  <c r="N187" i="115" s="1"/>
  <c r="N188" i="115" s="1"/>
  <c r="N189" i="115" s="1"/>
  <c r="N190" i="115" s="1"/>
  <c r="N191" i="115" s="1"/>
  <c r="N192" i="115" s="1"/>
  <c r="N193" i="115" s="1"/>
  <c r="N194" i="115" s="1"/>
  <c r="N195" i="115" s="1"/>
  <c r="N196" i="115" s="1"/>
  <c r="N197" i="115" s="1"/>
  <c r="N198" i="115" s="1"/>
  <c r="N199" i="115" s="1"/>
  <c r="N200" i="115" s="1"/>
  <c r="N201" i="115" s="1"/>
  <c r="N202" i="115" s="1"/>
  <c r="N203" i="115" s="1"/>
  <c r="N204" i="115" s="1"/>
  <c r="N205" i="115" s="1"/>
  <c r="N206" i="115" s="1"/>
  <c r="N207" i="115" s="1"/>
  <c r="N208" i="115" s="1"/>
  <c r="N209" i="115" s="1"/>
  <c r="N210" i="115" s="1"/>
  <c r="N211" i="115" s="1"/>
  <c r="N212" i="115" s="1"/>
  <c r="N213" i="115" s="1"/>
  <c r="N214" i="115" s="1"/>
  <c r="N215" i="115" s="1"/>
  <c r="N216" i="115" s="1"/>
  <c r="N217" i="115" s="1"/>
  <c r="N218" i="115" s="1"/>
  <c r="N219" i="115" s="1"/>
  <c r="N220" i="115" s="1"/>
  <c r="N221" i="115" s="1"/>
  <c r="N222" i="115" s="1"/>
  <c r="N223" i="115" s="1"/>
  <c r="N224" i="115" s="1"/>
  <c r="N226" i="115" s="1"/>
  <c r="O233" i="115" s="1"/>
  <c r="O234" i="115" s="1"/>
  <c r="N71" i="112"/>
  <c r="N72" i="112" s="1"/>
  <c r="N73" i="112" s="1"/>
  <c r="N74" i="112" s="1"/>
  <c r="N75" i="112" s="1"/>
  <c r="N76" i="112" s="1"/>
  <c r="N77" i="112" s="1"/>
  <c r="O90" i="109"/>
  <c r="O91" i="109" s="1"/>
  <c r="O92" i="109" s="1"/>
  <c r="O93" i="109" s="1"/>
  <c r="O94" i="109" s="1"/>
  <c r="O95" i="109" s="1"/>
  <c r="O96" i="109" s="1"/>
  <c r="O97" i="109" s="1"/>
  <c r="O98" i="109" s="1"/>
  <c r="O99" i="109" s="1"/>
  <c r="O100" i="109" s="1"/>
  <c r="O101" i="109" s="1"/>
  <c r="O102" i="109" s="1"/>
  <c r="O103" i="109" s="1"/>
  <c r="O104" i="109" s="1"/>
  <c r="O105" i="109" s="1"/>
  <c r="O106" i="109" s="1"/>
  <c r="N81" i="109"/>
  <c r="N82" i="109" s="1"/>
  <c r="N83" i="109" s="1"/>
  <c r="N84" i="109" s="1"/>
  <c r="N85" i="109" s="1"/>
  <c r="N86" i="109" s="1"/>
  <c r="N87" i="109" s="1"/>
  <c r="N88" i="109" s="1"/>
  <c r="N89" i="109" s="1"/>
  <c r="N40" i="105"/>
  <c r="N41" i="105" s="1"/>
  <c r="N42" i="105" s="1"/>
  <c r="N43" i="105" s="1"/>
  <c r="O24" i="105"/>
  <c r="O25" i="105" s="1"/>
  <c r="O26" i="105" s="1"/>
  <c r="O27" i="105" s="1"/>
  <c r="O28" i="105" s="1"/>
  <c r="O29" i="105" s="1"/>
  <c r="O30" i="105" s="1"/>
  <c r="O31" i="105" s="1"/>
  <c r="O32" i="105" s="1"/>
  <c r="O33" i="105" s="1"/>
  <c r="O34" i="105" s="1"/>
  <c r="O35" i="105" s="1"/>
  <c r="O36" i="105" s="1"/>
  <c r="O37" i="105" s="1"/>
  <c r="O38" i="105" s="1"/>
  <c r="G196" i="102"/>
  <c r="N30" i="102"/>
  <c r="N31" i="102" s="1"/>
  <c r="N32" i="102" s="1"/>
  <c r="N33" i="102" s="1"/>
  <c r="N34" i="102" s="1"/>
  <c r="N35" i="102" s="1"/>
  <c r="N36" i="102" s="1"/>
  <c r="N37" i="102" s="1"/>
  <c r="N38" i="102" s="1"/>
  <c r="O30" i="102"/>
  <c r="O31" i="102" s="1"/>
  <c r="O32" i="102" s="1"/>
  <c r="O33" i="102" s="1"/>
  <c r="O34" i="102" s="1"/>
  <c r="O35" i="102" s="1"/>
  <c r="O36" i="102" s="1"/>
  <c r="O37" i="102" s="1"/>
  <c r="O38" i="102" s="1"/>
  <c r="O143" i="102"/>
  <c r="D143" i="96"/>
  <c r="E143" i="96" s="1"/>
  <c r="F143" i="96" s="1"/>
  <c r="D142" i="96"/>
  <c r="E142" i="96" s="1"/>
  <c r="F142" i="96" s="1"/>
  <c r="B144" i="96"/>
  <c r="D127" i="96"/>
  <c r="E127" i="96" s="1"/>
  <c r="F127" i="96" s="1"/>
  <c r="D128" i="96"/>
  <c r="E128" i="96" s="1"/>
  <c r="F128" i="96" s="1"/>
  <c r="D131" i="96"/>
  <c r="E131" i="96" s="1"/>
  <c r="F131" i="96" s="1"/>
  <c r="D132" i="96"/>
  <c r="E132" i="96" s="1"/>
  <c r="F132" i="96" s="1"/>
  <c r="D135" i="96"/>
  <c r="E135" i="96" s="1"/>
  <c r="D136" i="96"/>
  <c r="E136" i="96" s="1"/>
  <c r="F136" i="96" s="1"/>
  <c r="J123" i="96"/>
  <c r="J117" i="96"/>
  <c r="D141" i="96"/>
  <c r="E141" i="96" s="1"/>
  <c r="D140" i="96"/>
  <c r="E140" i="96" s="1"/>
  <c r="D133" i="96"/>
  <c r="E133" i="96" s="1"/>
  <c r="F133" i="96" s="1"/>
  <c r="D134" i="96"/>
  <c r="E134" i="96" s="1"/>
  <c r="D137" i="96"/>
  <c r="E137" i="96" s="1"/>
  <c r="F137" i="96" s="1"/>
  <c r="D139" i="96"/>
  <c r="E139" i="96" s="1"/>
  <c r="D129" i="96"/>
  <c r="E129" i="96" s="1"/>
  <c r="F129" i="96" s="1"/>
  <c r="D130" i="96"/>
  <c r="E130" i="96" s="1"/>
  <c r="F130" i="96" s="1"/>
  <c r="D126" i="96"/>
  <c r="E126" i="96" s="1"/>
  <c r="F126" i="96" s="1"/>
  <c r="N104" i="96"/>
  <c r="G102" i="96"/>
  <c r="I102" i="96"/>
  <c r="L102" i="96"/>
  <c r="N105" i="96"/>
  <c r="B77" i="99"/>
  <c r="D76" i="99"/>
  <c r="E76" i="99" s="1"/>
  <c r="B75" i="99"/>
  <c r="D74" i="99"/>
  <c r="E74" i="99" s="1"/>
  <c r="D73" i="99"/>
  <c r="E73" i="99" s="1"/>
  <c r="D72" i="99"/>
  <c r="E72" i="99" s="1"/>
  <c r="J69" i="99"/>
  <c r="J67" i="99"/>
  <c r="L61" i="99"/>
  <c r="I61" i="99"/>
  <c r="G61" i="99"/>
  <c r="C61" i="99"/>
  <c r="O7" i="99" s="1"/>
  <c r="O8" i="99" s="1"/>
  <c r="O9" i="99" s="1"/>
  <c r="O10" i="99" s="1"/>
  <c r="O11" i="99" s="1"/>
  <c r="O12" i="99" s="1"/>
  <c r="O13" i="99" s="1"/>
  <c r="O14" i="99" s="1"/>
  <c r="O15" i="99" s="1"/>
  <c r="O16" i="99" s="1"/>
  <c r="O17" i="99" s="1"/>
  <c r="O18" i="99" s="1"/>
  <c r="O19" i="99" s="1"/>
  <c r="O20" i="99" s="1"/>
  <c r="O21" i="99" s="1"/>
  <c r="O22" i="99" s="1"/>
  <c r="O23" i="99" s="1"/>
  <c r="O24" i="99" s="1"/>
  <c r="O25" i="99" s="1"/>
  <c r="O26" i="99" s="1"/>
  <c r="O27" i="99" s="1"/>
  <c r="O28" i="99" s="1"/>
  <c r="O29" i="99" s="1"/>
  <c r="O30" i="99" s="1"/>
  <c r="O31" i="99" s="1"/>
  <c r="O32" i="99" s="1"/>
  <c r="O33" i="99" s="1"/>
  <c r="O34" i="99" s="1"/>
  <c r="O35" i="99" s="1"/>
  <c r="O36" i="99" s="1"/>
  <c r="O37" i="99" s="1"/>
  <c r="O38" i="99" s="1"/>
  <c r="O39" i="99" s="1"/>
  <c r="O40" i="99" s="1"/>
  <c r="O41" i="99" s="1"/>
  <c r="O42" i="99" s="1"/>
  <c r="O43" i="99" s="1"/>
  <c r="O44" i="99" s="1"/>
  <c r="O45" i="99" s="1"/>
  <c r="O46" i="99" s="1"/>
  <c r="O47" i="99" s="1"/>
  <c r="O48" i="99" s="1"/>
  <c r="O49" i="99" s="1"/>
  <c r="O50" i="99" s="1"/>
  <c r="O51" i="99" s="1"/>
  <c r="O52" i="99" s="1"/>
  <c r="O53" i="99" s="1"/>
  <c r="O54" i="99" s="1"/>
  <c r="O55" i="99" s="1"/>
  <c r="O56" i="99" s="1"/>
  <c r="O57" i="99" s="1"/>
  <c r="O58" i="99" s="1"/>
  <c r="O59" i="99" s="1"/>
  <c r="O60" i="99" s="1"/>
  <c r="N7" i="99"/>
  <c r="N8" i="99" s="1"/>
  <c r="N9" i="99" s="1"/>
  <c r="N10" i="99" s="1"/>
  <c r="N11" i="99" s="1"/>
  <c r="N12" i="99" s="1"/>
  <c r="N13" i="99" s="1"/>
  <c r="N14" i="99" s="1"/>
  <c r="N15" i="99" s="1"/>
  <c r="N16" i="99" s="1"/>
  <c r="N17" i="99" s="1"/>
  <c r="N18" i="99" s="1"/>
  <c r="N19" i="99" s="1"/>
  <c r="N20" i="99" s="1"/>
  <c r="N21" i="99" s="1"/>
  <c r="N22" i="99" s="1"/>
  <c r="N23" i="99" s="1"/>
  <c r="N24" i="99" s="1"/>
  <c r="N25" i="99" s="1"/>
  <c r="N26" i="99" s="1"/>
  <c r="N27" i="99" s="1"/>
  <c r="N28" i="99" s="1"/>
  <c r="N29" i="99" s="1"/>
  <c r="N30" i="99" s="1"/>
  <c r="N31" i="99" s="1"/>
  <c r="N32" i="99" s="1"/>
  <c r="N33" i="99" s="1"/>
  <c r="N34" i="99" s="1"/>
  <c r="N35" i="99" s="1"/>
  <c r="N36" i="99" s="1"/>
  <c r="N37" i="99" s="1"/>
  <c r="N38" i="99" s="1"/>
  <c r="N39" i="99" s="1"/>
  <c r="N40" i="99" s="1"/>
  <c r="N41" i="99" s="1"/>
  <c r="N42" i="99" s="1"/>
  <c r="N43" i="99" s="1"/>
  <c r="N44" i="99" s="1"/>
  <c r="N45" i="99" s="1"/>
  <c r="N46" i="99" s="1"/>
  <c r="N47" i="99" s="1"/>
  <c r="N48" i="99" s="1"/>
  <c r="N49" i="99" s="1"/>
  <c r="N50" i="99" s="1"/>
  <c r="N51" i="99" s="1"/>
  <c r="N52" i="99" s="1"/>
  <c r="N53" i="99" s="1"/>
  <c r="N54" i="99" s="1"/>
  <c r="N55" i="99" s="1"/>
  <c r="N56" i="99" s="1"/>
  <c r="N57" i="99" s="1"/>
  <c r="N58" i="99" s="1"/>
  <c r="N59" i="99" s="1"/>
  <c r="N60" i="99" s="1"/>
  <c r="N62" i="99" s="1"/>
  <c r="O69" i="99" s="1"/>
  <c r="L62" i="99" l="1"/>
  <c r="N78" i="112"/>
  <c r="N79" i="112" s="1"/>
  <c r="N80" i="112" s="1"/>
  <c r="N81" i="112" s="1"/>
  <c r="O107" i="109"/>
  <c r="O108" i="109" s="1"/>
  <c r="O109" i="109" s="1"/>
  <c r="O110" i="109" s="1"/>
  <c r="O111" i="109" s="1"/>
  <c r="O112" i="109" s="1"/>
  <c r="O113" i="109" s="1"/>
  <c r="N90" i="109"/>
  <c r="N91" i="109" s="1"/>
  <c r="N92" i="109" s="1"/>
  <c r="N93" i="109" s="1"/>
  <c r="N94" i="109" s="1"/>
  <c r="N95" i="109" s="1"/>
  <c r="N96" i="109" s="1"/>
  <c r="N97" i="109" s="1"/>
  <c r="N98" i="109" s="1"/>
  <c r="N99" i="109" s="1"/>
  <c r="N100" i="109" s="1"/>
  <c r="N101" i="109" s="1"/>
  <c r="N102" i="109" s="1"/>
  <c r="N103" i="109" s="1"/>
  <c r="N104" i="109" s="1"/>
  <c r="N105" i="109" s="1"/>
  <c r="N106" i="109" s="1"/>
  <c r="N44" i="105"/>
  <c r="N45" i="105" s="1"/>
  <c r="N46" i="105" s="1"/>
  <c r="N47" i="105" s="1"/>
  <c r="O39" i="105"/>
  <c r="O40" i="105" s="1"/>
  <c r="O41" i="105" s="1"/>
  <c r="O42" i="105" s="1"/>
  <c r="O39" i="102"/>
  <c r="O40" i="102" s="1"/>
  <c r="O41" i="102" s="1"/>
  <c r="O42" i="102" s="1"/>
  <c r="O43" i="102" s="1"/>
  <c r="O44" i="102" s="1"/>
  <c r="O45" i="102" s="1"/>
  <c r="N39" i="102"/>
  <c r="N40" i="102" s="1"/>
  <c r="N41" i="102" s="1"/>
  <c r="N42" i="102" s="1"/>
  <c r="N43" i="102" s="1"/>
  <c r="N44" i="102" s="1"/>
  <c r="N45" i="102" s="1"/>
  <c r="B138" i="96"/>
  <c r="E144" i="96"/>
  <c r="F139" i="96"/>
  <c r="F134" i="96"/>
  <c r="F141" i="96"/>
  <c r="G141" i="96" s="1"/>
  <c r="G130" i="96"/>
  <c r="G136" i="96"/>
  <c r="G132" i="96"/>
  <c r="G142" i="96"/>
  <c r="E138" i="96"/>
  <c r="G131" i="96"/>
  <c r="G137" i="96"/>
  <c r="G133" i="96"/>
  <c r="G143" i="96"/>
  <c r="F135" i="96"/>
  <c r="G135" i="96" s="1"/>
  <c r="F140" i="96"/>
  <c r="G140" i="96" s="1"/>
  <c r="G129" i="96"/>
  <c r="G128" i="96"/>
  <c r="G127" i="96"/>
  <c r="G126" i="96"/>
  <c r="L103" i="96"/>
  <c r="F72" i="99"/>
  <c r="E75" i="99"/>
  <c r="F76" i="99"/>
  <c r="F77" i="99" s="1"/>
  <c r="E77" i="99"/>
  <c r="F73" i="99"/>
  <c r="G73" i="99" s="1"/>
  <c r="F74" i="99"/>
  <c r="G74" i="99" s="1"/>
  <c r="O61" i="99"/>
  <c r="O70" i="99" s="1"/>
  <c r="O64" i="94"/>
  <c r="N64" i="94"/>
  <c r="O63" i="94"/>
  <c r="N63" i="94"/>
  <c r="N82" i="112" l="1"/>
  <c r="N83" i="112" s="1"/>
  <c r="N84" i="112" s="1"/>
  <c r="N85" i="112" s="1"/>
  <c r="N86" i="112" s="1"/>
  <c r="N87" i="112" s="1"/>
  <c r="N88" i="112" s="1"/>
  <c r="N89" i="112" s="1"/>
  <c r="N90" i="112" s="1"/>
  <c r="N91" i="112" s="1"/>
  <c r="N92" i="112" s="1"/>
  <c r="N93" i="112" s="1"/>
  <c r="O114" i="109"/>
  <c r="O115" i="109" s="1"/>
  <c r="O116" i="109" s="1"/>
  <c r="O117" i="109" s="1"/>
  <c r="O118" i="109" s="1"/>
  <c r="O119" i="109" s="1"/>
  <c r="O120" i="109" s="1"/>
  <c r="O121" i="109" s="1"/>
  <c r="O122" i="109" s="1"/>
  <c r="O123" i="109" s="1"/>
  <c r="O124" i="109" s="1"/>
  <c r="N107" i="109"/>
  <c r="N48" i="105"/>
  <c r="N49" i="105" s="1"/>
  <c r="N50" i="105" s="1"/>
  <c r="N51" i="105" s="1"/>
  <c r="N52" i="105" s="1"/>
  <c r="N53" i="105" s="1"/>
  <c r="N54" i="105" s="1"/>
  <c r="N55" i="105" s="1"/>
  <c r="O43" i="105"/>
  <c r="O44" i="105" s="1"/>
  <c r="O45" i="105" s="1"/>
  <c r="O46" i="105" s="1"/>
  <c r="O47" i="105" s="1"/>
  <c r="O46" i="102"/>
  <c r="O47" i="102" s="1"/>
  <c r="O48" i="102" s="1"/>
  <c r="O49" i="102" s="1"/>
  <c r="O50" i="102" s="1"/>
  <c r="O51" i="102" s="1"/>
  <c r="N46" i="102"/>
  <c r="N47" i="102" s="1"/>
  <c r="N48" i="102" s="1"/>
  <c r="N49" i="102" s="1"/>
  <c r="N50" i="102" s="1"/>
  <c r="N51" i="102" s="1"/>
  <c r="N52" i="102" s="1"/>
  <c r="F144" i="96"/>
  <c r="F138" i="96"/>
  <c r="G134" i="96"/>
  <c r="G138" i="96" s="1"/>
  <c r="G139" i="96"/>
  <c r="G144" i="96" s="1"/>
  <c r="F75" i="99"/>
  <c r="G72" i="99"/>
  <c r="G75" i="99" s="1"/>
  <c r="G76" i="99"/>
  <c r="G77" i="99" s="1"/>
  <c r="N94" i="112" l="1"/>
  <c r="N95" i="112" s="1"/>
  <c r="N96" i="112" s="1"/>
  <c r="N97" i="112" s="1"/>
  <c r="N98" i="112" s="1"/>
  <c r="N99" i="112" s="1"/>
  <c r="N100" i="112" s="1"/>
  <c r="N101" i="112" s="1"/>
  <c r="N102" i="112" s="1"/>
  <c r="N103" i="112" s="1"/>
  <c r="N104" i="112" s="1"/>
  <c r="N105" i="112" s="1"/>
  <c r="O125" i="109"/>
  <c r="O126" i="109" s="1"/>
  <c r="O127" i="109" s="1"/>
  <c r="O128" i="109" s="1"/>
  <c r="O129" i="109" s="1"/>
  <c r="O130" i="109" s="1"/>
  <c r="O131" i="109" s="1"/>
  <c r="O132" i="109" s="1"/>
  <c r="N108" i="109"/>
  <c r="N109" i="109" s="1"/>
  <c r="N110" i="109" s="1"/>
  <c r="N111" i="109" s="1"/>
  <c r="N112" i="109" s="1"/>
  <c r="N113" i="109" s="1"/>
  <c r="N56" i="105"/>
  <c r="N57" i="105" s="1"/>
  <c r="N58" i="105" s="1"/>
  <c r="N59" i="105" s="1"/>
  <c r="N60" i="105" s="1"/>
  <c r="N61" i="105" s="1"/>
  <c r="O48" i="105"/>
  <c r="O49" i="105" s="1"/>
  <c r="O50" i="105" s="1"/>
  <c r="O51" i="105" s="1"/>
  <c r="O52" i="105" s="1"/>
  <c r="O53" i="105" s="1"/>
  <c r="O54" i="105" s="1"/>
  <c r="O52" i="102"/>
  <c r="O53" i="102" s="1"/>
  <c r="O54" i="102" s="1"/>
  <c r="O55" i="102" s="1"/>
  <c r="O56" i="102" s="1"/>
  <c r="O57" i="102" s="1"/>
  <c r="O58" i="102" s="1"/>
  <c r="N53" i="102"/>
  <c r="N54" i="102" s="1"/>
  <c r="N55" i="102" s="1"/>
  <c r="N56" i="102" s="1"/>
  <c r="N57" i="102" s="1"/>
  <c r="N58" i="102" s="1"/>
  <c r="N59" i="102" s="1"/>
  <c r="C102" i="96"/>
  <c r="O102" i="96" s="1"/>
  <c r="N7" i="96"/>
  <c r="N8" i="96" s="1"/>
  <c r="N9" i="96" s="1"/>
  <c r="N10" i="96" s="1"/>
  <c r="N11" i="96" s="1"/>
  <c r="N12" i="96" s="1"/>
  <c r="N106" i="112" l="1"/>
  <c r="N107" i="112" s="1"/>
  <c r="N108" i="112" s="1"/>
  <c r="N109" i="112" s="1"/>
  <c r="N110" i="112" s="1"/>
  <c r="N111" i="112" s="1"/>
  <c r="O133" i="109"/>
  <c r="O134" i="109" s="1"/>
  <c r="O135" i="109" s="1"/>
  <c r="O136" i="109" s="1"/>
  <c r="O137" i="109" s="1"/>
  <c r="O138" i="109" s="1"/>
  <c r="O139" i="109" s="1"/>
  <c r="O140" i="109" s="1"/>
  <c r="O141" i="109" s="1"/>
  <c r="O142" i="109" s="1"/>
  <c r="O143" i="109" s="1"/>
  <c r="N114" i="109"/>
  <c r="N115" i="109" s="1"/>
  <c r="N116" i="109" s="1"/>
  <c r="N117" i="109" s="1"/>
  <c r="N118" i="109" s="1"/>
  <c r="N119" i="109" s="1"/>
  <c r="N120" i="109" s="1"/>
  <c r="N121" i="109" s="1"/>
  <c r="N122" i="109" s="1"/>
  <c r="N123" i="109" s="1"/>
  <c r="N124" i="109" s="1"/>
  <c r="N62" i="105"/>
  <c r="N63" i="105" s="1"/>
  <c r="N64" i="105" s="1"/>
  <c r="N65" i="105" s="1"/>
  <c r="N66" i="105" s="1"/>
  <c r="N67" i="105" s="1"/>
  <c r="N68" i="105" s="1"/>
  <c r="N69" i="105" s="1"/>
  <c r="N70" i="105" s="1"/>
  <c r="O55" i="105"/>
  <c r="O56" i="105" s="1"/>
  <c r="O57" i="105" s="1"/>
  <c r="O58" i="105" s="1"/>
  <c r="O59" i="105" s="1"/>
  <c r="O60" i="105" s="1"/>
  <c r="O59" i="102"/>
  <c r="O60" i="102" s="1"/>
  <c r="O61" i="102" s="1"/>
  <c r="O62" i="102" s="1"/>
  <c r="O63" i="102" s="1"/>
  <c r="N60" i="102"/>
  <c r="N61" i="102" s="1"/>
  <c r="N62" i="102" s="1"/>
  <c r="N63" i="102" s="1"/>
  <c r="N13" i="96"/>
  <c r="N14" i="96" s="1"/>
  <c r="N15" i="96" s="1"/>
  <c r="N16" i="96" s="1"/>
  <c r="N17" i="96" s="1"/>
  <c r="O7" i="96"/>
  <c r="O8" i="96" s="1"/>
  <c r="O9" i="96" s="1"/>
  <c r="O10" i="96" s="1"/>
  <c r="O11" i="96" s="1"/>
  <c r="O12" i="96" s="1"/>
  <c r="N112" i="112" l="1"/>
  <c r="N113" i="112" s="1"/>
  <c r="N114" i="112" s="1"/>
  <c r="N115" i="112" s="1"/>
  <c r="N116" i="112" s="1"/>
  <c r="N117" i="112" s="1"/>
  <c r="N118" i="112" s="1"/>
  <c r="N119" i="112" s="1"/>
  <c r="N120" i="112" s="1"/>
  <c r="N121" i="112" s="1"/>
  <c r="N122" i="112" s="1"/>
  <c r="N123" i="112" s="1"/>
  <c r="O144" i="109"/>
  <c r="O145" i="109" s="1"/>
  <c r="O146" i="109" s="1"/>
  <c r="O147" i="109" s="1"/>
  <c r="O148" i="109" s="1"/>
  <c r="O149" i="109" s="1"/>
  <c r="O150" i="109" s="1"/>
  <c r="O151" i="109" s="1"/>
  <c r="O152" i="109" s="1"/>
  <c r="O153" i="109" s="1"/>
  <c r="O154" i="109" s="1"/>
  <c r="N125" i="109"/>
  <c r="N126" i="109" s="1"/>
  <c r="N127" i="109" s="1"/>
  <c r="N128" i="109" s="1"/>
  <c r="N129" i="109" s="1"/>
  <c r="N130" i="109" s="1"/>
  <c r="N131" i="109" s="1"/>
  <c r="N132" i="109" s="1"/>
  <c r="N71" i="105"/>
  <c r="N72" i="105" s="1"/>
  <c r="N73" i="105" s="1"/>
  <c r="N74" i="105" s="1"/>
  <c r="O61" i="105"/>
  <c r="O62" i="105" s="1"/>
  <c r="O63" i="105" s="1"/>
  <c r="O64" i="105" s="1"/>
  <c r="O65" i="105" s="1"/>
  <c r="O66" i="105" s="1"/>
  <c r="O67" i="105" s="1"/>
  <c r="O68" i="105" s="1"/>
  <c r="O69" i="105" s="1"/>
  <c r="O70" i="105" s="1"/>
  <c r="O64" i="102"/>
  <c r="O65" i="102" s="1"/>
  <c r="O66" i="102" s="1"/>
  <c r="O67" i="102" s="1"/>
  <c r="O68" i="102" s="1"/>
  <c r="O69" i="102" s="1"/>
  <c r="O70" i="102" s="1"/>
  <c r="O71" i="102" s="1"/>
  <c r="O72" i="102" s="1"/>
  <c r="O73" i="102" s="1"/>
  <c r="N64" i="102"/>
  <c r="N18" i="96"/>
  <c r="N19" i="96" s="1"/>
  <c r="N20" i="96" s="1"/>
  <c r="N21" i="96" s="1"/>
  <c r="N22" i="96" s="1"/>
  <c r="O13" i="96"/>
  <c r="O14" i="96" s="1"/>
  <c r="O15" i="96" s="1"/>
  <c r="O16" i="96" s="1"/>
  <c r="N124" i="112" l="1"/>
  <c r="N125" i="112" s="1"/>
  <c r="N126" i="112" s="1"/>
  <c r="N127" i="112" s="1"/>
  <c r="N128" i="112" s="1"/>
  <c r="N129" i="112" s="1"/>
  <c r="N130" i="112" s="1"/>
  <c r="N131" i="112" s="1"/>
  <c r="N132" i="112" s="1"/>
  <c r="N133" i="112" s="1"/>
  <c r="N134" i="112" s="1"/>
  <c r="O155" i="109"/>
  <c r="O156" i="109" s="1"/>
  <c r="O157" i="109" s="1"/>
  <c r="O158" i="109" s="1"/>
  <c r="N133" i="109"/>
  <c r="N134" i="109" s="1"/>
  <c r="N135" i="109" s="1"/>
  <c r="N136" i="109" s="1"/>
  <c r="N137" i="109" s="1"/>
  <c r="N138" i="109" s="1"/>
  <c r="N139" i="109" s="1"/>
  <c r="N140" i="109" s="1"/>
  <c r="N141" i="109" s="1"/>
  <c r="N142" i="109" s="1"/>
  <c r="N143" i="109" s="1"/>
  <c r="N75" i="105"/>
  <c r="N76" i="105" s="1"/>
  <c r="N77" i="105" s="1"/>
  <c r="N78" i="105" s="1"/>
  <c r="N79" i="105" s="1"/>
  <c r="N80" i="105" s="1"/>
  <c r="N81" i="105" s="1"/>
  <c r="N82" i="105" s="1"/>
  <c r="N83" i="105" s="1"/>
  <c r="N84" i="105" s="1"/>
  <c r="O71" i="105"/>
  <c r="O72" i="105" s="1"/>
  <c r="O73" i="105" s="1"/>
  <c r="O74" i="105" s="1"/>
  <c r="O74" i="102"/>
  <c r="O75" i="102" s="1"/>
  <c r="O76" i="102" s="1"/>
  <c r="O77" i="102" s="1"/>
  <c r="O78" i="102" s="1"/>
  <c r="O79" i="102" s="1"/>
  <c r="O80" i="102" s="1"/>
  <c r="O81" i="102" s="1"/>
  <c r="N65" i="102"/>
  <c r="N66" i="102" s="1"/>
  <c r="N67" i="102" s="1"/>
  <c r="N68" i="102" s="1"/>
  <c r="N69" i="102" s="1"/>
  <c r="N70" i="102" s="1"/>
  <c r="N71" i="102" s="1"/>
  <c r="N72" i="102" s="1"/>
  <c r="N73" i="102" s="1"/>
  <c r="N23" i="96"/>
  <c r="N24" i="96" s="1"/>
  <c r="N25" i="96" s="1"/>
  <c r="N26" i="96" s="1"/>
  <c r="N27" i="96" s="1"/>
  <c r="N28" i="96" s="1"/>
  <c r="N29" i="96" s="1"/>
  <c r="N30" i="96" s="1"/>
  <c r="N31" i="96" s="1"/>
  <c r="O17" i="96"/>
  <c r="O18" i="96" s="1"/>
  <c r="O19" i="96" s="1"/>
  <c r="O20" i="96" s="1"/>
  <c r="O21" i="96" s="1"/>
  <c r="O22" i="96" s="1"/>
  <c r="B75" i="94"/>
  <c r="B73" i="94"/>
  <c r="J68" i="94"/>
  <c r="J66" i="94"/>
  <c r="D72" i="94"/>
  <c r="E72" i="94" s="1"/>
  <c r="F72" i="94" s="1"/>
  <c r="D74" i="94"/>
  <c r="E74" i="94" s="1"/>
  <c r="D71" i="94"/>
  <c r="E71" i="94" s="1"/>
  <c r="E73" i="94" s="1"/>
  <c r="L61" i="94"/>
  <c r="I61" i="94"/>
  <c r="G61" i="94"/>
  <c r="C61" i="94"/>
  <c r="O7" i="94" s="1"/>
  <c r="O8" i="94" s="1"/>
  <c r="O9" i="94" s="1"/>
  <c r="O10" i="94" s="1"/>
  <c r="O11" i="94" s="1"/>
  <c r="O12" i="94" s="1"/>
  <c r="O13" i="94" s="1"/>
  <c r="O14" i="94" s="1"/>
  <c r="O15" i="94" s="1"/>
  <c r="O16" i="94" s="1"/>
  <c r="O17" i="94" s="1"/>
  <c r="O18" i="94" s="1"/>
  <c r="O19" i="94" s="1"/>
  <c r="O20" i="94" s="1"/>
  <c r="O21" i="94" s="1"/>
  <c r="O22" i="94" s="1"/>
  <c r="O23" i="94" s="1"/>
  <c r="O24" i="94" s="1"/>
  <c r="O25" i="94" s="1"/>
  <c r="O26" i="94" s="1"/>
  <c r="O27" i="94" s="1"/>
  <c r="O28" i="94" s="1"/>
  <c r="O29" i="94" s="1"/>
  <c r="O30" i="94" s="1"/>
  <c r="O31" i="94" s="1"/>
  <c r="O32" i="94" s="1"/>
  <c r="O33" i="94" s="1"/>
  <c r="O34" i="94" s="1"/>
  <c r="O35" i="94" s="1"/>
  <c r="O36" i="94" s="1"/>
  <c r="O37" i="94" s="1"/>
  <c r="O38" i="94" s="1"/>
  <c r="O39" i="94" s="1"/>
  <c r="O40" i="94" s="1"/>
  <c r="O41" i="94" s="1"/>
  <c r="O42" i="94" s="1"/>
  <c r="O43" i="94" s="1"/>
  <c r="O44" i="94" s="1"/>
  <c r="O45" i="94" s="1"/>
  <c r="O46" i="94" s="1"/>
  <c r="O47" i="94" s="1"/>
  <c r="O48" i="94" s="1"/>
  <c r="O49" i="94" s="1"/>
  <c r="O50" i="94" s="1"/>
  <c r="O51" i="94" s="1"/>
  <c r="O52" i="94" s="1"/>
  <c r="O53" i="94" s="1"/>
  <c r="O54" i="94" s="1"/>
  <c r="O55" i="94" s="1"/>
  <c r="O56" i="94" s="1"/>
  <c r="O57" i="94" s="1"/>
  <c r="O58" i="94" s="1"/>
  <c r="O59" i="94" s="1"/>
  <c r="O60" i="94" s="1"/>
  <c r="N7" i="94"/>
  <c r="N8" i="94" s="1"/>
  <c r="N9" i="94" s="1"/>
  <c r="N10" i="94" s="1"/>
  <c r="N11" i="94" s="1"/>
  <c r="N12" i="94" s="1"/>
  <c r="N13" i="94" s="1"/>
  <c r="N14" i="94" s="1"/>
  <c r="N15" i="94" s="1"/>
  <c r="N16" i="94" s="1"/>
  <c r="N135" i="112" l="1"/>
  <c r="N136" i="112" s="1"/>
  <c r="N137" i="112" s="1"/>
  <c r="N138" i="112" s="1"/>
  <c r="N139" i="112" s="1"/>
  <c r="N140" i="112" s="1"/>
  <c r="N141" i="112" s="1"/>
  <c r="N142" i="112" s="1"/>
  <c r="N143" i="112" s="1"/>
  <c r="N144" i="112" s="1"/>
  <c r="N145" i="112" s="1"/>
  <c r="N146" i="112" s="1"/>
  <c r="N147" i="112" s="1"/>
  <c r="N148" i="112" s="1"/>
  <c r="N149" i="112" s="1"/>
  <c r="N150" i="112" s="1"/>
  <c r="N151" i="112" s="1"/>
  <c r="N152" i="112" s="1"/>
  <c r="N153" i="112" s="1"/>
  <c r="N154" i="112" s="1"/>
  <c r="N155" i="112" s="1"/>
  <c r="N156" i="112" s="1"/>
  <c r="N157" i="112" s="1"/>
  <c r="N158" i="112" s="1"/>
  <c r="N159" i="112" s="1"/>
  <c r="N160" i="112" s="1"/>
  <c r="N161" i="112" s="1"/>
  <c r="N162" i="112" s="1"/>
  <c r="N163" i="112" s="1"/>
  <c r="N164" i="112" s="1"/>
  <c r="N165" i="112" s="1"/>
  <c r="N166" i="112" s="1"/>
  <c r="N167" i="112" s="1"/>
  <c r="N168" i="112" s="1"/>
  <c r="N169" i="112" s="1"/>
  <c r="N170" i="112" s="1"/>
  <c r="N171" i="112" s="1"/>
  <c r="N172" i="112" s="1"/>
  <c r="N173" i="112" s="1"/>
  <c r="N174" i="112" s="1"/>
  <c r="N175" i="112" s="1"/>
  <c r="N176" i="112" s="1"/>
  <c r="N177" i="112" s="1"/>
  <c r="N178" i="112" s="1"/>
  <c r="N179" i="112" s="1"/>
  <c r="N180" i="112" s="1"/>
  <c r="N181" i="112" s="1"/>
  <c r="N182" i="112" s="1"/>
  <c r="N183" i="112" s="1"/>
  <c r="N184" i="112" s="1"/>
  <c r="N185" i="112" s="1"/>
  <c r="N186" i="112" s="1"/>
  <c r="N187" i="112" s="1"/>
  <c r="N188" i="112" s="1"/>
  <c r="N189" i="112" s="1"/>
  <c r="N190" i="112" s="1"/>
  <c r="N191" i="112" s="1"/>
  <c r="N192" i="112" s="1"/>
  <c r="N193" i="112" s="1"/>
  <c r="N194" i="112" s="1"/>
  <c r="N195" i="112" s="1"/>
  <c r="N196" i="112" s="1"/>
  <c r="N197" i="112" s="1"/>
  <c r="N198" i="112" s="1"/>
  <c r="N199" i="112" s="1"/>
  <c r="N200" i="112" s="1"/>
  <c r="N201" i="112" s="1"/>
  <c r="N202" i="112" s="1"/>
  <c r="N203" i="112" s="1"/>
  <c r="N204" i="112" s="1"/>
  <c r="N205" i="112" s="1"/>
  <c r="N206" i="112" s="1"/>
  <c r="N207" i="112" s="1"/>
  <c r="N208" i="112" s="1"/>
  <c r="N209" i="112" s="1"/>
  <c r="N210" i="112" s="1"/>
  <c r="N211" i="112" s="1"/>
  <c r="N212" i="112" s="1"/>
  <c r="N213" i="112" s="1"/>
  <c r="N214" i="112" s="1"/>
  <c r="N215" i="112" s="1"/>
  <c r="N216" i="112" s="1"/>
  <c r="N217" i="112" s="1"/>
  <c r="N218" i="112" s="1"/>
  <c r="N220" i="112" s="1"/>
  <c r="O227" i="112" s="1"/>
  <c r="O228" i="112" s="1"/>
  <c r="O159" i="109"/>
  <c r="O160" i="109" s="1"/>
  <c r="O161" i="109" s="1"/>
  <c r="O162" i="109" s="1"/>
  <c r="O163" i="109" s="1"/>
  <c r="O164" i="109" s="1"/>
  <c r="O165" i="109" s="1"/>
  <c r="N144" i="109"/>
  <c r="N85" i="105"/>
  <c r="N86" i="105" s="1"/>
  <c r="N87" i="105" s="1"/>
  <c r="N88" i="105" s="1"/>
  <c r="O75" i="105"/>
  <c r="O76" i="105" s="1"/>
  <c r="O77" i="105" s="1"/>
  <c r="O78" i="105" s="1"/>
  <c r="O79" i="105" s="1"/>
  <c r="O80" i="105" s="1"/>
  <c r="O81" i="105" s="1"/>
  <c r="O82" i="105" s="1"/>
  <c r="O83" i="105" s="1"/>
  <c r="O82" i="102"/>
  <c r="O83" i="102" s="1"/>
  <c r="O84" i="102" s="1"/>
  <c r="O85" i="102" s="1"/>
  <c r="O86" i="102" s="1"/>
  <c r="O87" i="102" s="1"/>
  <c r="O88" i="102" s="1"/>
  <c r="N74" i="102"/>
  <c r="N75" i="102" s="1"/>
  <c r="N76" i="102" s="1"/>
  <c r="N77" i="102" s="1"/>
  <c r="N78" i="102" s="1"/>
  <c r="N79" i="102" s="1"/>
  <c r="N80" i="102" s="1"/>
  <c r="N81" i="102" s="1"/>
  <c r="N82" i="102" s="1"/>
  <c r="N32" i="96"/>
  <c r="N33" i="96" s="1"/>
  <c r="O23" i="96"/>
  <c r="O24" i="96" s="1"/>
  <c r="O25" i="96" s="1"/>
  <c r="O26" i="96" s="1"/>
  <c r="O27" i="96" s="1"/>
  <c r="O28" i="96" s="1"/>
  <c r="O29" i="96" s="1"/>
  <c r="O30" i="96" s="1"/>
  <c r="F74" i="94"/>
  <c r="F75" i="94" s="1"/>
  <c r="E75" i="94"/>
  <c r="G72" i="94"/>
  <c r="F71" i="94"/>
  <c r="F73" i="94" s="1"/>
  <c r="N17" i="94"/>
  <c r="N18" i="94" s="1"/>
  <c r="N19" i="94" s="1"/>
  <c r="N20" i="94" s="1"/>
  <c r="N21" i="94" s="1"/>
  <c r="L62" i="94"/>
  <c r="O61" i="94"/>
  <c r="E73" i="90"/>
  <c r="B73" i="90"/>
  <c r="B75" i="90"/>
  <c r="B77" i="90"/>
  <c r="J69" i="90"/>
  <c r="J67" i="90"/>
  <c r="J65" i="90"/>
  <c r="D76" i="90"/>
  <c r="E76" i="90" s="1"/>
  <c r="E77" i="90" s="1"/>
  <c r="D74" i="90"/>
  <c r="E74" i="90" s="1"/>
  <c r="E75" i="90" s="1"/>
  <c r="D72" i="90"/>
  <c r="E72" i="90" s="1"/>
  <c r="N64" i="90"/>
  <c r="L61" i="90"/>
  <c r="I61" i="90"/>
  <c r="G61" i="90"/>
  <c r="C61" i="90"/>
  <c r="O7" i="90" s="1"/>
  <c r="O8" i="90" s="1"/>
  <c r="O9" i="90" s="1"/>
  <c r="O10" i="90" s="1"/>
  <c r="O11" i="90" s="1"/>
  <c r="O12" i="90" s="1"/>
  <c r="O13" i="90" s="1"/>
  <c r="O14" i="90" s="1"/>
  <c r="O15" i="90" s="1"/>
  <c r="O16" i="90" s="1"/>
  <c r="O17" i="90" s="1"/>
  <c r="O18" i="90" s="1"/>
  <c r="O19" i="90" s="1"/>
  <c r="O20" i="90" s="1"/>
  <c r="O21" i="90" s="1"/>
  <c r="O22" i="90" s="1"/>
  <c r="O23" i="90" s="1"/>
  <c r="O24" i="90" s="1"/>
  <c r="O25" i="90" s="1"/>
  <c r="O26" i="90" s="1"/>
  <c r="O27" i="90" s="1"/>
  <c r="O28" i="90" s="1"/>
  <c r="O29" i="90" s="1"/>
  <c r="O30" i="90" s="1"/>
  <c r="O31" i="90" s="1"/>
  <c r="O32" i="90" s="1"/>
  <c r="O33" i="90" s="1"/>
  <c r="O34" i="90" s="1"/>
  <c r="O35" i="90" s="1"/>
  <c r="O36" i="90" s="1"/>
  <c r="O37" i="90" s="1"/>
  <c r="O38" i="90" s="1"/>
  <c r="O39" i="90" s="1"/>
  <c r="O40" i="90" s="1"/>
  <c r="O41" i="90" s="1"/>
  <c r="O42" i="90" s="1"/>
  <c r="O43" i="90" s="1"/>
  <c r="O44" i="90" s="1"/>
  <c r="O45" i="90" s="1"/>
  <c r="O46" i="90" s="1"/>
  <c r="O47" i="90" s="1"/>
  <c r="O48" i="90" s="1"/>
  <c r="O49" i="90" s="1"/>
  <c r="O50" i="90" s="1"/>
  <c r="O51" i="90" s="1"/>
  <c r="O52" i="90" s="1"/>
  <c r="O53" i="90" s="1"/>
  <c r="O54" i="90" s="1"/>
  <c r="O55" i="90" s="1"/>
  <c r="O56" i="90" s="1"/>
  <c r="O57" i="90" s="1"/>
  <c r="O58" i="90" s="1"/>
  <c r="O59" i="90" s="1"/>
  <c r="O60" i="90" s="1"/>
  <c r="N7" i="90"/>
  <c r="N8" i="90" s="1"/>
  <c r="N9" i="90" s="1"/>
  <c r="N10" i="90" s="1"/>
  <c r="N11" i="90" s="1"/>
  <c r="N12" i="90" s="1"/>
  <c r="N13" i="90" s="1"/>
  <c r="N14" i="90" s="1"/>
  <c r="N15" i="90" s="1"/>
  <c r="N16" i="90" s="1"/>
  <c r="N17" i="90" s="1"/>
  <c r="N18" i="90" s="1"/>
  <c r="N19" i="90" s="1"/>
  <c r="N20" i="90" s="1"/>
  <c r="N21" i="90" s="1"/>
  <c r="N22" i="90" s="1"/>
  <c r="O166" i="109" l="1"/>
  <c r="O167" i="109" s="1"/>
  <c r="O168" i="109" s="1"/>
  <c r="O169" i="109" s="1"/>
  <c r="O170" i="109" s="1"/>
  <c r="O171" i="109" s="1"/>
  <c r="O172" i="109" s="1"/>
  <c r="O173" i="109" s="1"/>
  <c r="O174" i="109" s="1"/>
  <c r="N145" i="109"/>
  <c r="N146" i="109" s="1"/>
  <c r="N147" i="109" s="1"/>
  <c r="N148" i="109" s="1"/>
  <c r="N149" i="109" s="1"/>
  <c r="N150" i="109" s="1"/>
  <c r="N151" i="109" s="1"/>
  <c r="N152" i="109" s="1"/>
  <c r="N153" i="109" s="1"/>
  <c r="N154" i="109" s="1"/>
  <c r="N155" i="109" s="1"/>
  <c r="N89" i="105"/>
  <c r="N90" i="105" s="1"/>
  <c r="N91" i="105" s="1"/>
  <c r="N92" i="105" s="1"/>
  <c r="N93" i="105" s="1"/>
  <c r="N94" i="105" s="1"/>
  <c r="N95" i="105" s="1"/>
  <c r="N96" i="105" s="1"/>
  <c r="N97" i="105" s="1"/>
  <c r="O84" i="105"/>
  <c r="O85" i="105" s="1"/>
  <c r="O86" i="105" s="1"/>
  <c r="O87" i="105" s="1"/>
  <c r="O89" i="102"/>
  <c r="O90" i="102" s="1"/>
  <c r="O91" i="102" s="1"/>
  <c r="O92" i="102" s="1"/>
  <c r="O93" i="102" s="1"/>
  <c r="O94" i="102" s="1"/>
  <c r="O95" i="102" s="1"/>
  <c r="O96" i="102" s="1"/>
  <c r="O97" i="102" s="1"/>
  <c r="O98" i="102" s="1"/>
  <c r="O99" i="102" s="1"/>
  <c r="N83" i="102"/>
  <c r="N84" i="102" s="1"/>
  <c r="N85" i="102" s="1"/>
  <c r="N86" i="102" s="1"/>
  <c r="N87" i="102" s="1"/>
  <c r="N88" i="102" s="1"/>
  <c r="N34" i="96"/>
  <c r="N35" i="96" s="1"/>
  <c r="N36" i="96" s="1"/>
  <c r="N37" i="96" s="1"/>
  <c r="O31" i="96"/>
  <c r="O32" i="96" s="1"/>
  <c r="G74" i="94"/>
  <c r="G75" i="94" s="1"/>
  <c r="G71" i="94"/>
  <c r="G73" i="94" s="1"/>
  <c r="N22" i="94"/>
  <c r="N23" i="94" s="1"/>
  <c r="N24" i="94" s="1"/>
  <c r="N25" i="94" s="1"/>
  <c r="N26" i="94" s="1"/>
  <c r="N27" i="94" s="1"/>
  <c r="N28" i="94" s="1"/>
  <c r="N29" i="94" s="1"/>
  <c r="N30" i="94" s="1"/>
  <c r="N31" i="94" s="1"/>
  <c r="N32" i="94" s="1"/>
  <c r="N33" i="94" s="1"/>
  <c r="N34" i="94" s="1"/>
  <c r="N35" i="94" s="1"/>
  <c r="N36" i="94" s="1"/>
  <c r="N37" i="94" s="1"/>
  <c r="N38" i="94" s="1"/>
  <c r="N39" i="94" s="1"/>
  <c r="N40" i="94" s="1"/>
  <c r="N41" i="94" s="1"/>
  <c r="N42" i="94" s="1"/>
  <c r="N43" i="94" s="1"/>
  <c r="N44" i="94" s="1"/>
  <c r="N45" i="94" s="1"/>
  <c r="N46" i="94" s="1"/>
  <c r="N47" i="94" s="1"/>
  <c r="N48" i="94" s="1"/>
  <c r="N49" i="94" s="1"/>
  <c r="N50" i="94" s="1"/>
  <c r="N51" i="94" s="1"/>
  <c r="N52" i="94" s="1"/>
  <c r="N53" i="94" s="1"/>
  <c r="N54" i="94" s="1"/>
  <c r="N55" i="94" s="1"/>
  <c r="N56" i="94" s="1"/>
  <c r="N57" i="94" s="1"/>
  <c r="N58" i="94" s="1"/>
  <c r="N59" i="94" s="1"/>
  <c r="N60" i="94" s="1"/>
  <c r="N62" i="94" s="1"/>
  <c r="O69" i="94" s="1"/>
  <c r="O70" i="94" s="1"/>
  <c r="F74" i="90"/>
  <c r="F75" i="90" s="1"/>
  <c r="F76" i="90"/>
  <c r="F77" i="90" s="1"/>
  <c r="F72" i="90"/>
  <c r="F73" i="90" s="1"/>
  <c r="N23" i="90"/>
  <c r="N24" i="90" s="1"/>
  <c r="N25" i="90" s="1"/>
  <c r="N26" i="90" s="1"/>
  <c r="L62" i="90"/>
  <c r="O61" i="90"/>
  <c r="B72" i="87"/>
  <c r="B75" i="87"/>
  <c r="O175" i="109" l="1"/>
  <c r="O176" i="109" s="1"/>
  <c r="O177" i="109" s="1"/>
  <c r="O178" i="109" s="1"/>
  <c r="O179" i="109" s="1"/>
  <c r="O180" i="109" s="1"/>
  <c r="N156" i="109"/>
  <c r="N157" i="109" s="1"/>
  <c r="N158" i="109" s="1"/>
  <c r="N98" i="105"/>
  <c r="N99" i="105" s="1"/>
  <c r="N100" i="105" s="1"/>
  <c r="N101" i="105" s="1"/>
  <c r="N102" i="105" s="1"/>
  <c r="N103" i="105" s="1"/>
  <c r="N104" i="105" s="1"/>
  <c r="O88" i="105"/>
  <c r="O89" i="105" s="1"/>
  <c r="O90" i="105" s="1"/>
  <c r="O91" i="105" s="1"/>
  <c r="O92" i="105" s="1"/>
  <c r="O93" i="105" s="1"/>
  <c r="O94" i="105" s="1"/>
  <c r="O95" i="105" s="1"/>
  <c r="O96" i="105" s="1"/>
  <c r="O97" i="105" s="1"/>
  <c r="O100" i="102"/>
  <c r="O101" i="102" s="1"/>
  <c r="O102" i="102" s="1"/>
  <c r="O103" i="102" s="1"/>
  <c r="O104" i="102" s="1"/>
  <c r="O105" i="102" s="1"/>
  <c r="O106" i="102" s="1"/>
  <c r="O107" i="102" s="1"/>
  <c r="O108" i="102" s="1"/>
  <c r="N89" i="102"/>
  <c r="N90" i="102" s="1"/>
  <c r="N91" i="102" s="1"/>
  <c r="N92" i="102" s="1"/>
  <c r="N93" i="102" s="1"/>
  <c r="N94" i="102" s="1"/>
  <c r="N95" i="102" s="1"/>
  <c r="N96" i="102" s="1"/>
  <c r="N97" i="102" s="1"/>
  <c r="N98" i="102" s="1"/>
  <c r="N99" i="102" s="1"/>
  <c r="N38" i="96"/>
  <c r="N39" i="96" s="1"/>
  <c r="N40" i="96" s="1"/>
  <c r="N41" i="96" s="1"/>
  <c r="N42" i="96" s="1"/>
  <c r="N43" i="96" s="1"/>
  <c r="O33" i="96"/>
  <c r="O34" i="96" s="1"/>
  <c r="O35" i="96" s="1"/>
  <c r="O36" i="96" s="1"/>
  <c r="G76" i="90"/>
  <c r="G77" i="90" s="1"/>
  <c r="G74" i="90"/>
  <c r="G75" i="90" s="1"/>
  <c r="G72" i="90"/>
  <c r="G73" i="90" s="1"/>
  <c r="N27" i="90"/>
  <c r="N28" i="90" s="1"/>
  <c r="N29" i="90" s="1"/>
  <c r="N30" i="90" s="1"/>
  <c r="N31" i="90" s="1"/>
  <c r="N32" i="90" s="1"/>
  <c r="N33" i="90" s="1"/>
  <c r="N34" i="90" s="1"/>
  <c r="N35" i="90" s="1"/>
  <c r="N36" i="90" s="1"/>
  <c r="N37" i="90" s="1"/>
  <c r="N38" i="90" s="1"/>
  <c r="N39" i="90" s="1"/>
  <c r="N40" i="90" s="1"/>
  <c r="N41" i="90" s="1"/>
  <c r="N42" i="90" s="1"/>
  <c r="N43" i="90" s="1"/>
  <c r="N44" i="90" s="1"/>
  <c r="N45" i="90" s="1"/>
  <c r="N46" i="90" s="1"/>
  <c r="N47" i="90" s="1"/>
  <c r="N48" i="90" s="1"/>
  <c r="N49" i="90" s="1"/>
  <c r="N50" i="90" s="1"/>
  <c r="N51" i="90" s="1"/>
  <c r="N52" i="90" s="1"/>
  <c r="N53" i="90" s="1"/>
  <c r="N54" i="90" s="1"/>
  <c r="N55" i="90" s="1"/>
  <c r="N56" i="90" s="1"/>
  <c r="N57" i="90" s="1"/>
  <c r="N58" i="90" s="1"/>
  <c r="N59" i="90" s="1"/>
  <c r="N60" i="90" s="1"/>
  <c r="D74" i="87"/>
  <c r="E74" i="87" s="1"/>
  <c r="D73" i="87"/>
  <c r="E73" i="87" s="1"/>
  <c r="J65" i="87"/>
  <c r="J68" i="87"/>
  <c r="D71" i="87"/>
  <c r="E71" i="87" s="1"/>
  <c r="E72" i="87" s="1"/>
  <c r="L61" i="87"/>
  <c r="I61" i="87"/>
  <c r="G61" i="87"/>
  <c r="C61" i="87"/>
  <c r="O7" i="87" s="1"/>
  <c r="O8" i="87" s="1"/>
  <c r="O9" i="87" s="1"/>
  <c r="O10" i="87" s="1"/>
  <c r="O11" i="87" s="1"/>
  <c r="O12" i="87" s="1"/>
  <c r="O13" i="87" s="1"/>
  <c r="O14" i="87" s="1"/>
  <c r="O15" i="87" s="1"/>
  <c r="O16" i="87" s="1"/>
  <c r="O17" i="87" s="1"/>
  <c r="O18" i="87" s="1"/>
  <c r="O19" i="87" s="1"/>
  <c r="O20" i="87" s="1"/>
  <c r="O21" i="87" s="1"/>
  <c r="O22" i="87" s="1"/>
  <c r="O23" i="87" s="1"/>
  <c r="O24" i="87" s="1"/>
  <c r="O25" i="87" s="1"/>
  <c r="O26" i="87" s="1"/>
  <c r="O27" i="87" s="1"/>
  <c r="O28" i="87" s="1"/>
  <c r="O29" i="87" s="1"/>
  <c r="O30" i="87" s="1"/>
  <c r="O31" i="87" s="1"/>
  <c r="O32" i="87" s="1"/>
  <c r="O33" i="87" s="1"/>
  <c r="O34" i="87" s="1"/>
  <c r="O35" i="87" s="1"/>
  <c r="O36" i="87" s="1"/>
  <c r="O37" i="87" s="1"/>
  <c r="O38" i="87" s="1"/>
  <c r="O39" i="87" s="1"/>
  <c r="O40" i="87" s="1"/>
  <c r="O41" i="87" s="1"/>
  <c r="O42" i="87" s="1"/>
  <c r="O43" i="87" s="1"/>
  <c r="O44" i="87" s="1"/>
  <c r="O45" i="87" s="1"/>
  <c r="O46" i="87" s="1"/>
  <c r="O47" i="87" s="1"/>
  <c r="O48" i="87" s="1"/>
  <c r="O49" i="87" s="1"/>
  <c r="O50" i="87" s="1"/>
  <c r="O51" i="87" s="1"/>
  <c r="O52" i="87" s="1"/>
  <c r="O53" i="87" s="1"/>
  <c r="O54" i="87" s="1"/>
  <c r="O55" i="87" s="1"/>
  <c r="O56" i="87" s="1"/>
  <c r="O57" i="87" s="1"/>
  <c r="O58" i="87" s="1"/>
  <c r="O59" i="87" s="1"/>
  <c r="O60" i="87" s="1"/>
  <c r="N7" i="87"/>
  <c r="N8" i="87" s="1"/>
  <c r="N9" i="87" s="1"/>
  <c r="N10" i="87" s="1"/>
  <c r="N11" i="87" s="1"/>
  <c r="N12" i="87" s="1"/>
  <c r="N13" i="87" s="1"/>
  <c r="N14" i="87" s="1"/>
  <c r="N15" i="87" s="1"/>
  <c r="N16" i="87" s="1"/>
  <c r="N17" i="87" s="1"/>
  <c r="N18" i="87" s="1"/>
  <c r="N19" i="87" s="1"/>
  <c r="N20" i="87" s="1"/>
  <c r="D69" i="84"/>
  <c r="E69" i="84" s="1"/>
  <c r="F69" i="84" s="1"/>
  <c r="D68" i="84"/>
  <c r="E68" i="84" s="1"/>
  <c r="F68" i="84" s="1"/>
  <c r="L61" i="84"/>
  <c r="I61" i="84"/>
  <c r="C61" i="84"/>
  <c r="N7" i="84"/>
  <c r="N8" i="84" s="1"/>
  <c r="N9" i="84" s="1"/>
  <c r="N10" i="84" s="1"/>
  <c r="N11" i="84" s="1"/>
  <c r="N12" i="84" s="1"/>
  <c r="N13" i="84" s="1"/>
  <c r="N14" i="84" s="1"/>
  <c r="N15" i="84" s="1"/>
  <c r="N16" i="84" s="1"/>
  <c r="N17" i="84" s="1"/>
  <c r="N18" i="84" s="1"/>
  <c r="B75" i="81"/>
  <c r="D74" i="81"/>
  <c r="E74" i="81" s="1"/>
  <c r="B73" i="81"/>
  <c r="D72" i="81"/>
  <c r="E72" i="81" s="1"/>
  <c r="D71" i="81"/>
  <c r="E71" i="81" s="1"/>
  <c r="J68" i="81"/>
  <c r="J66" i="81"/>
  <c r="N64" i="81"/>
  <c r="N63" i="81"/>
  <c r="L61" i="81"/>
  <c r="I61" i="81"/>
  <c r="G61" i="81"/>
  <c r="C61" i="81"/>
  <c r="N7" i="81"/>
  <c r="N8" i="81" s="1"/>
  <c r="N9" i="81" s="1"/>
  <c r="N10" i="81" s="1"/>
  <c r="B85" i="78"/>
  <c r="B80" i="78"/>
  <c r="J72" i="78"/>
  <c r="J67" i="78"/>
  <c r="D84" i="78"/>
  <c r="E84" i="78" s="1"/>
  <c r="D83" i="78"/>
  <c r="E83" i="78" s="1"/>
  <c r="D82" i="78"/>
  <c r="E82" i="78" s="1"/>
  <c r="D79" i="78"/>
  <c r="E79" i="78" s="1"/>
  <c r="D78" i="78"/>
  <c r="E78" i="78" s="1"/>
  <c r="N63" i="78"/>
  <c r="G61" i="78"/>
  <c r="L61" i="78"/>
  <c r="I61" i="78"/>
  <c r="C61" i="78"/>
  <c r="O7" i="78" s="1"/>
  <c r="O8" i="78" s="1"/>
  <c r="O9" i="78" s="1"/>
  <c r="O10" i="78" s="1"/>
  <c r="O11" i="78" s="1"/>
  <c r="O12" i="78" s="1"/>
  <c r="O13" i="78" s="1"/>
  <c r="O14" i="78" s="1"/>
  <c r="O15" i="78" s="1"/>
  <c r="O16" i="78" s="1"/>
  <c r="N7" i="78"/>
  <c r="N8" i="78" s="1"/>
  <c r="N9" i="78" s="1"/>
  <c r="N10" i="78" s="1"/>
  <c r="N11" i="78" s="1"/>
  <c r="N12" i="78" s="1"/>
  <c r="N13" i="78" s="1"/>
  <c r="N14" i="78" s="1"/>
  <c r="N15" i="78" s="1"/>
  <c r="N16" i="78" s="1"/>
  <c r="N17" i="78" s="1"/>
  <c r="N18" i="78" s="1"/>
  <c r="N19" i="78" s="1"/>
  <c r="B143" i="74"/>
  <c r="D143" i="74" s="1"/>
  <c r="E143" i="74" s="1"/>
  <c r="B142" i="74"/>
  <c r="D142" i="74" s="1"/>
  <c r="E142" i="74" s="1"/>
  <c r="B141" i="74"/>
  <c r="B140" i="74"/>
  <c r="D140" i="74" s="1"/>
  <c r="E140" i="74" s="1"/>
  <c r="B139" i="74"/>
  <c r="D139" i="74" s="1"/>
  <c r="E139" i="74" s="1"/>
  <c r="B137" i="74"/>
  <c r="B138" i="74" s="1"/>
  <c r="B135" i="74"/>
  <c r="B134" i="74"/>
  <c r="D134" i="74" s="1"/>
  <c r="E134" i="74" s="1"/>
  <c r="B133" i="74"/>
  <c r="B132" i="74"/>
  <c r="D132" i="74" s="1"/>
  <c r="E132" i="74" s="1"/>
  <c r="B131" i="74"/>
  <c r="B130" i="74"/>
  <c r="D130" i="74" s="1"/>
  <c r="E130" i="74" s="1"/>
  <c r="B129" i="74"/>
  <c r="B128" i="74"/>
  <c r="D128" i="74" s="1"/>
  <c r="E128" i="74" s="1"/>
  <c r="B127" i="74"/>
  <c r="B126" i="74"/>
  <c r="D126" i="74" s="1"/>
  <c r="E126" i="74" s="1"/>
  <c r="J121" i="74"/>
  <c r="J115" i="74"/>
  <c r="J113" i="74"/>
  <c r="D141" i="74"/>
  <c r="E141" i="74" s="1"/>
  <c r="D135" i="74"/>
  <c r="E135" i="74" s="1"/>
  <c r="D133" i="74"/>
  <c r="E133" i="74" s="1"/>
  <c r="D131" i="74"/>
  <c r="E131" i="74" s="1"/>
  <c r="D129" i="74"/>
  <c r="E129" i="74" s="1"/>
  <c r="D127" i="74"/>
  <c r="E127" i="74" s="1"/>
  <c r="L100" i="74"/>
  <c r="I100" i="74"/>
  <c r="C100" i="74"/>
  <c r="O7" i="74" s="1"/>
  <c r="O8" i="74" s="1"/>
  <c r="O9" i="74" s="1"/>
  <c r="O10" i="74" s="1"/>
  <c r="O11" i="74" s="1"/>
  <c r="O12" i="74" s="1"/>
  <c r="O13" i="74" s="1"/>
  <c r="N7" i="74"/>
  <c r="N8" i="74" s="1"/>
  <c r="N9" i="74" s="1"/>
  <c r="N10" i="74" s="1"/>
  <c r="N11" i="74" s="1"/>
  <c r="N12" i="74" s="1"/>
  <c r="N13" i="74" s="1"/>
  <c r="N14" i="74" s="1"/>
  <c r="B193" i="72"/>
  <c r="D193" i="72" s="1"/>
  <c r="E193" i="72" s="1"/>
  <c r="B192" i="72"/>
  <c r="D192" i="72" s="1"/>
  <c r="E192" i="72" s="1"/>
  <c r="B191" i="72"/>
  <c r="B190" i="72"/>
  <c r="D190" i="72" s="1"/>
  <c r="E190" i="72" s="1"/>
  <c r="B189" i="72"/>
  <c r="D189" i="72" s="1"/>
  <c r="E189" i="72" s="1"/>
  <c r="B188" i="72"/>
  <c r="B187" i="72"/>
  <c r="B177" i="72"/>
  <c r="B178" i="72"/>
  <c r="D178" i="72" s="1"/>
  <c r="E178" i="72" s="1"/>
  <c r="B179" i="72"/>
  <c r="B180" i="72"/>
  <c r="B181" i="72"/>
  <c r="D181" i="72" s="1"/>
  <c r="E181" i="72" s="1"/>
  <c r="B182" i="72"/>
  <c r="D182" i="72" s="1"/>
  <c r="E182" i="72" s="1"/>
  <c r="B183" i="72"/>
  <c r="B184" i="72"/>
  <c r="B185" i="72"/>
  <c r="D185" i="72" s="1"/>
  <c r="E185" i="72" s="1"/>
  <c r="B176" i="72"/>
  <c r="D176" i="72" s="1"/>
  <c r="E176" i="72" s="1"/>
  <c r="D191" i="72"/>
  <c r="E191" i="72" s="1"/>
  <c r="J171" i="72"/>
  <c r="J163" i="72"/>
  <c r="N154" i="72"/>
  <c r="N153" i="72"/>
  <c r="N152" i="72"/>
  <c r="I150" i="72"/>
  <c r="L150" i="72"/>
  <c r="D188" i="72"/>
  <c r="E188" i="72" s="1"/>
  <c r="D187" i="72"/>
  <c r="E187" i="72" s="1"/>
  <c r="D184" i="72"/>
  <c r="E184" i="72" s="1"/>
  <c r="D183" i="72"/>
  <c r="E183" i="72" s="1"/>
  <c r="D180" i="72"/>
  <c r="E180" i="72" s="1"/>
  <c r="D179" i="72"/>
  <c r="E179" i="72" s="1"/>
  <c r="C150" i="72"/>
  <c r="N7" i="72"/>
  <c r="N8" i="72" s="1"/>
  <c r="N9" i="72" s="1"/>
  <c r="N10" i="72" s="1"/>
  <c r="N11" i="72" s="1"/>
  <c r="N12" i="72" s="1"/>
  <c r="N13" i="72" s="1"/>
  <c r="N14" i="72" s="1"/>
  <c r="N15" i="72" s="1"/>
  <c r="N16" i="72" s="1"/>
  <c r="N17" i="72" s="1"/>
  <c r="N18" i="72" s="1"/>
  <c r="J125" i="68"/>
  <c r="J127" i="68"/>
  <c r="B194" i="72" l="1"/>
  <c r="F73" i="87"/>
  <c r="E75" i="87"/>
  <c r="B186" i="72"/>
  <c r="D177" i="72"/>
  <c r="E177" i="72" s="1"/>
  <c r="O181" i="109"/>
  <c r="O182" i="109" s="1"/>
  <c r="O183" i="109" s="1"/>
  <c r="O184" i="109" s="1"/>
  <c r="O185" i="109" s="1"/>
  <c r="O186" i="109" s="1"/>
  <c r="O187" i="109" s="1"/>
  <c r="O188" i="109" s="1"/>
  <c r="O189" i="109" s="1"/>
  <c r="O190" i="109" s="1"/>
  <c r="O191" i="109" s="1"/>
  <c r="O192" i="109" s="1"/>
  <c r="O193" i="109" s="1"/>
  <c r="O194" i="109" s="1"/>
  <c r="O195" i="109" s="1"/>
  <c r="O196" i="109" s="1"/>
  <c r="O197" i="109" s="1"/>
  <c r="O198" i="109" s="1"/>
  <c r="O199" i="109" s="1"/>
  <c r="O200" i="109" s="1"/>
  <c r="O201" i="109" s="1"/>
  <c r="O202" i="109" s="1"/>
  <c r="O203" i="109" s="1"/>
  <c r="O204" i="109" s="1"/>
  <c r="O205" i="109" s="1"/>
  <c r="O206" i="109" s="1"/>
  <c r="O207" i="109" s="1"/>
  <c r="O208" i="109" s="1"/>
  <c r="O209" i="109" s="1"/>
  <c r="O210" i="109" s="1"/>
  <c r="O211" i="109" s="1"/>
  <c r="O212" i="109" s="1"/>
  <c r="O213" i="109" s="1"/>
  <c r="O214" i="109" s="1"/>
  <c r="O215" i="109" s="1"/>
  <c r="O216" i="109" s="1"/>
  <c r="O217" i="109" s="1"/>
  <c r="N159" i="109"/>
  <c r="N105" i="105"/>
  <c r="N106" i="105" s="1"/>
  <c r="N107" i="105" s="1"/>
  <c r="O98" i="105"/>
  <c r="O99" i="105" s="1"/>
  <c r="O100" i="105" s="1"/>
  <c r="O101" i="105" s="1"/>
  <c r="O102" i="105" s="1"/>
  <c r="O103" i="105" s="1"/>
  <c r="O109" i="102"/>
  <c r="O110" i="102" s="1"/>
  <c r="O111" i="102" s="1"/>
  <c r="O112" i="102" s="1"/>
  <c r="O113" i="102" s="1"/>
  <c r="O114" i="102" s="1"/>
  <c r="O115" i="102" s="1"/>
  <c r="O116" i="102" s="1"/>
  <c r="O117" i="102" s="1"/>
  <c r="O118" i="102" s="1"/>
  <c r="N100" i="102"/>
  <c r="N101" i="102" s="1"/>
  <c r="N102" i="102" s="1"/>
  <c r="N103" i="102" s="1"/>
  <c r="N104" i="102" s="1"/>
  <c r="N105" i="102" s="1"/>
  <c r="N106" i="102" s="1"/>
  <c r="N107" i="102" s="1"/>
  <c r="N108" i="102" s="1"/>
  <c r="N44" i="96"/>
  <c r="O37" i="96"/>
  <c r="O38" i="96" s="1"/>
  <c r="O39" i="96" s="1"/>
  <c r="O40" i="96" s="1"/>
  <c r="O41" i="96" s="1"/>
  <c r="O42" i="96" s="1"/>
  <c r="O43" i="96" s="1"/>
  <c r="N62" i="90"/>
  <c r="O69" i="90" s="1"/>
  <c r="O70" i="90" s="1"/>
  <c r="F71" i="87"/>
  <c r="F72" i="87" s="1"/>
  <c r="F74" i="87"/>
  <c r="G73" i="87"/>
  <c r="N21" i="87"/>
  <c r="N22" i="87" s="1"/>
  <c r="N23" i="87" s="1"/>
  <c r="N24" i="87" s="1"/>
  <c r="N25" i="87" s="1"/>
  <c r="N26" i="87" s="1"/>
  <c r="N27" i="87" s="1"/>
  <c r="N28" i="87" s="1"/>
  <c r="N29" i="87" s="1"/>
  <c r="N30" i="87" s="1"/>
  <c r="N31" i="87" s="1"/>
  <c r="N32" i="87" s="1"/>
  <c r="N33" i="87" s="1"/>
  <c r="N34" i="87" s="1"/>
  <c r="N35" i="87" s="1"/>
  <c r="N36" i="87" s="1"/>
  <c r="N37" i="87" s="1"/>
  <c r="N38" i="87" s="1"/>
  <c r="N39" i="87" s="1"/>
  <c r="N40" i="87" s="1"/>
  <c r="N41" i="87" s="1"/>
  <c r="N42" i="87" s="1"/>
  <c r="N43" i="87" s="1"/>
  <c r="N44" i="87" s="1"/>
  <c r="N45" i="87" s="1"/>
  <c r="N46" i="87" s="1"/>
  <c r="N47" i="87" s="1"/>
  <c r="N48" i="87" s="1"/>
  <c r="N49" i="87" s="1"/>
  <c r="N50" i="87" s="1"/>
  <c r="N51" i="87" s="1"/>
  <c r="N52" i="87" s="1"/>
  <c r="N53" i="87" s="1"/>
  <c r="N54" i="87" s="1"/>
  <c r="N55" i="87" s="1"/>
  <c r="N56" i="87" s="1"/>
  <c r="N57" i="87" s="1"/>
  <c r="N58" i="87" s="1"/>
  <c r="N59" i="87" s="1"/>
  <c r="N60" i="87" s="1"/>
  <c r="N62" i="87" s="1"/>
  <c r="O69" i="87" s="1"/>
  <c r="L62" i="87"/>
  <c r="O61" i="87"/>
  <c r="B144" i="74"/>
  <c r="G68" i="84"/>
  <c r="G69" i="84"/>
  <c r="G61" i="84"/>
  <c r="N19" i="84"/>
  <c r="N20" i="84" s="1"/>
  <c r="N21" i="84" s="1"/>
  <c r="N22" i="84" s="1"/>
  <c r="N23" i="84" s="1"/>
  <c r="N24" i="84" s="1"/>
  <c r="N25" i="84" s="1"/>
  <c r="N26" i="84" s="1"/>
  <c r="N27" i="84" s="1"/>
  <c r="N28" i="84" s="1"/>
  <c r="N29" i="84" s="1"/>
  <c r="N30" i="84" s="1"/>
  <c r="N31" i="84" s="1"/>
  <c r="N32" i="84" s="1"/>
  <c r="N33" i="84" s="1"/>
  <c r="N34" i="84" s="1"/>
  <c r="N35" i="84" s="1"/>
  <c r="N36" i="84" s="1"/>
  <c r="N37" i="84" s="1"/>
  <c r="N38" i="84" s="1"/>
  <c r="N39" i="84" s="1"/>
  <c r="N40" i="84" s="1"/>
  <c r="N41" i="84" s="1"/>
  <c r="N42" i="84" s="1"/>
  <c r="N43" i="84" s="1"/>
  <c r="N44" i="84" s="1"/>
  <c r="N45" i="84" s="1"/>
  <c r="N46" i="84" s="1"/>
  <c r="N47" i="84" s="1"/>
  <c r="N48" i="84" s="1"/>
  <c r="N49" i="84" s="1"/>
  <c r="N50" i="84" s="1"/>
  <c r="N51" i="84" s="1"/>
  <c r="N52" i="84" s="1"/>
  <c r="N53" i="84" s="1"/>
  <c r="N54" i="84" s="1"/>
  <c r="N55" i="84" s="1"/>
  <c r="N56" i="84" s="1"/>
  <c r="N57" i="84" s="1"/>
  <c r="N58" i="84" s="1"/>
  <c r="N59" i="84" s="1"/>
  <c r="N60" i="84" s="1"/>
  <c r="N62" i="84" s="1"/>
  <c r="O69" i="84" s="1"/>
  <c r="L62" i="84"/>
  <c r="O7" i="84"/>
  <c r="O8" i="84" s="1"/>
  <c r="O9" i="84" s="1"/>
  <c r="O10" i="84" s="1"/>
  <c r="O11" i="84" s="1"/>
  <c r="O12" i="84" s="1"/>
  <c r="O13" i="84" s="1"/>
  <c r="O14" i="84" s="1"/>
  <c r="O15" i="84" s="1"/>
  <c r="O16" i="84" s="1"/>
  <c r="O17" i="84" s="1"/>
  <c r="O18" i="84" s="1"/>
  <c r="O19" i="84" s="1"/>
  <c r="O20" i="84" s="1"/>
  <c r="O21" i="84" s="1"/>
  <c r="O22" i="84" s="1"/>
  <c r="O23" i="84" s="1"/>
  <c r="O24" i="84" s="1"/>
  <c r="O25" i="84" s="1"/>
  <c r="O26" i="84" s="1"/>
  <c r="O27" i="84" s="1"/>
  <c r="O28" i="84" s="1"/>
  <c r="O29" i="84" s="1"/>
  <c r="O30" i="84" s="1"/>
  <c r="O31" i="84" s="1"/>
  <c r="O32" i="84" s="1"/>
  <c r="O33" i="84" s="1"/>
  <c r="O34" i="84" s="1"/>
  <c r="O35" i="84" s="1"/>
  <c r="O36" i="84" s="1"/>
  <c r="O37" i="84" s="1"/>
  <c r="O38" i="84" s="1"/>
  <c r="O39" i="84" s="1"/>
  <c r="O40" i="84" s="1"/>
  <c r="O41" i="84" s="1"/>
  <c r="O42" i="84" s="1"/>
  <c r="O43" i="84" s="1"/>
  <c r="O44" i="84" s="1"/>
  <c r="O45" i="84" s="1"/>
  <c r="O46" i="84" s="1"/>
  <c r="O47" i="84" s="1"/>
  <c r="O48" i="84" s="1"/>
  <c r="O49" i="84" s="1"/>
  <c r="O50" i="84" s="1"/>
  <c r="O51" i="84" s="1"/>
  <c r="O52" i="84" s="1"/>
  <c r="O53" i="84" s="1"/>
  <c r="O54" i="84" s="1"/>
  <c r="O55" i="84" s="1"/>
  <c r="O56" i="84" s="1"/>
  <c r="O57" i="84" s="1"/>
  <c r="O58" i="84" s="1"/>
  <c r="O59" i="84" s="1"/>
  <c r="O60" i="84" s="1"/>
  <c r="F71" i="81"/>
  <c r="G71" i="81" s="1"/>
  <c r="E73" i="81"/>
  <c r="F72" i="81"/>
  <c r="G72" i="81" s="1"/>
  <c r="F74" i="81"/>
  <c r="F75" i="81" s="1"/>
  <c r="E75" i="81"/>
  <c r="N11" i="81"/>
  <c r="N12" i="81" s="1"/>
  <c r="N13" i="81" s="1"/>
  <c r="O61" i="81"/>
  <c r="L62" i="81"/>
  <c r="O7" i="81"/>
  <c r="O8" i="81" s="1"/>
  <c r="O9" i="81" s="1"/>
  <c r="O10" i="81" s="1"/>
  <c r="O11" i="81" s="1"/>
  <c r="O12" i="81" s="1"/>
  <c r="O13" i="81" s="1"/>
  <c r="O14" i="81" s="1"/>
  <c r="O15" i="81" s="1"/>
  <c r="O16" i="81" s="1"/>
  <c r="O17" i="81" s="1"/>
  <c r="O18" i="81" s="1"/>
  <c r="O19" i="81" s="1"/>
  <c r="O20" i="81" s="1"/>
  <c r="O21" i="81" s="1"/>
  <c r="O22" i="81" s="1"/>
  <c r="O23" i="81" s="1"/>
  <c r="O24" i="81" s="1"/>
  <c r="O25" i="81" s="1"/>
  <c r="O26" i="81" s="1"/>
  <c r="O27" i="81" s="1"/>
  <c r="O28" i="81" s="1"/>
  <c r="O29" i="81" s="1"/>
  <c r="O30" i="81" s="1"/>
  <c r="O31" i="81" s="1"/>
  <c r="O32" i="81" s="1"/>
  <c r="O33" i="81" s="1"/>
  <c r="O34" i="81" s="1"/>
  <c r="O35" i="81" s="1"/>
  <c r="O36" i="81" s="1"/>
  <c r="O37" i="81" s="1"/>
  <c r="O38" i="81" s="1"/>
  <c r="O39" i="81" s="1"/>
  <c r="O40" i="81" s="1"/>
  <c r="O41" i="81" s="1"/>
  <c r="O42" i="81" s="1"/>
  <c r="O43" i="81" s="1"/>
  <c r="O44" i="81" s="1"/>
  <c r="O45" i="81" s="1"/>
  <c r="O46" i="81" s="1"/>
  <c r="O47" i="81" s="1"/>
  <c r="O48" i="81" s="1"/>
  <c r="O49" i="81" s="1"/>
  <c r="O50" i="81" s="1"/>
  <c r="O51" i="81" s="1"/>
  <c r="O52" i="81" s="1"/>
  <c r="O53" i="81" s="1"/>
  <c r="O54" i="81" s="1"/>
  <c r="O55" i="81" s="1"/>
  <c r="O56" i="81" s="1"/>
  <c r="O57" i="81" s="1"/>
  <c r="O58" i="81" s="1"/>
  <c r="O59" i="81" s="1"/>
  <c r="O60" i="81" s="1"/>
  <c r="D81" i="78"/>
  <c r="E81" i="78" s="1"/>
  <c r="E85" i="78" s="1"/>
  <c r="F84" i="78"/>
  <c r="G84" i="78" s="1"/>
  <c r="F82" i="78"/>
  <c r="G82" i="78" s="1"/>
  <c r="F83" i="78"/>
  <c r="G83" i="78" s="1"/>
  <c r="D77" i="78"/>
  <c r="E77" i="78" s="1"/>
  <c r="E80" i="78" s="1"/>
  <c r="F78" i="78"/>
  <c r="G78" i="78" s="1"/>
  <c r="F79" i="78"/>
  <c r="G79" i="78" s="1"/>
  <c r="O17" i="78"/>
  <c r="O18" i="78" s="1"/>
  <c r="O19" i="78" s="1"/>
  <c r="O20" i="78" s="1"/>
  <c r="O21" i="78" s="1"/>
  <c r="O22" i="78" s="1"/>
  <c r="O23" i="78" s="1"/>
  <c r="O24" i="78" s="1"/>
  <c r="O25" i="78" s="1"/>
  <c r="O26" i="78" s="1"/>
  <c r="O27" i="78" s="1"/>
  <c r="O28" i="78" s="1"/>
  <c r="O29" i="78" s="1"/>
  <c r="O30" i="78" s="1"/>
  <c r="O31" i="78" s="1"/>
  <c r="O32" i="78" s="1"/>
  <c r="O33" i="78" s="1"/>
  <c r="O34" i="78" s="1"/>
  <c r="O35" i="78" s="1"/>
  <c r="O36" i="78" s="1"/>
  <c r="O37" i="78" s="1"/>
  <c r="O38" i="78" s="1"/>
  <c r="O39" i="78" s="1"/>
  <c r="O40" i="78" s="1"/>
  <c r="O41" i="78" s="1"/>
  <c r="O42" i="78" s="1"/>
  <c r="O43" i="78" s="1"/>
  <c r="O44" i="78" s="1"/>
  <c r="O45" i="78" s="1"/>
  <c r="O46" i="78" s="1"/>
  <c r="O47" i="78" s="1"/>
  <c r="O48" i="78" s="1"/>
  <c r="O49" i="78" s="1"/>
  <c r="O50" i="78" s="1"/>
  <c r="O51" i="78" s="1"/>
  <c r="O52" i="78" s="1"/>
  <c r="O53" i="78" s="1"/>
  <c r="O54" i="78" s="1"/>
  <c r="O55" i="78" s="1"/>
  <c r="O56" i="78" s="1"/>
  <c r="O57" i="78" s="1"/>
  <c r="O58" i="78" s="1"/>
  <c r="O59" i="78" s="1"/>
  <c r="O60" i="78" s="1"/>
  <c r="N20" i="78"/>
  <c r="N21" i="78" s="1"/>
  <c r="L62" i="78"/>
  <c r="O61" i="78"/>
  <c r="E144" i="74"/>
  <c r="B136" i="74"/>
  <c r="E136" i="74"/>
  <c r="N15" i="74"/>
  <c r="N16" i="74" s="1"/>
  <c r="N17" i="74" s="1"/>
  <c r="N18" i="74" s="1"/>
  <c r="N19" i="74" s="1"/>
  <c r="N20" i="74" s="1"/>
  <c r="N21" i="74" s="1"/>
  <c r="N22" i="74" s="1"/>
  <c r="N23" i="74" s="1"/>
  <c r="D137" i="74"/>
  <c r="E137" i="74" s="1"/>
  <c r="G100" i="74"/>
  <c r="L101" i="74"/>
  <c r="O14" i="74"/>
  <c r="O15" i="74" s="1"/>
  <c r="O16" i="74" s="1"/>
  <c r="O17" i="74" s="1"/>
  <c r="O18" i="74" s="1"/>
  <c r="O19" i="74" s="1"/>
  <c r="O20" i="74" s="1"/>
  <c r="O21" i="74" s="1"/>
  <c r="O22" i="74" s="1"/>
  <c r="O23" i="74" s="1"/>
  <c r="O24" i="74" s="1"/>
  <c r="O25" i="74" s="1"/>
  <c r="O26" i="74" s="1"/>
  <c r="O27" i="74" s="1"/>
  <c r="O28" i="74" s="1"/>
  <c r="O29" i="74" s="1"/>
  <c r="O30" i="74" s="1"/>
  <c r="O31" i="74" s="1"/>
  <c r="O32" i="74" s="1"/>
  <c r="O33" i="74" s="1"/>
  <c r="O34" i="74" s="1"/>
  <c r="O35" i="74" s="1"/>
  <c r="O36" i="74" s="1"/>
  <c r="O37" i="74" s="1"/>
  <c r="O38" i="74" s="1"/>
  <c r="O39" i="74" s="1"/>
  <c r="O40" i="74" s="1"/>
  <c r="O41" i="74" s="1"/>
  <c r="O42" i="74" s="1"/>
  <c r="O43" i="74" s="1"/>
  <c r="O44" i="74" s="1"/>
  <c r="O45" i="74" s="1"/>
  <c r="O46" i="74" s="1"/>
  <c r="O47" i="74" s="1"/>
  <c r="O48" i="74" s="1"/>
  <c r="O49" i="74" s="1"/>
  <c r="O50" i="74" s="1"/>
  <c r="O51" i="74" s="1"/>
  <c r="O52" i="74" s="1"/>
  <c r="O53" i="74" s="1"/>
  <c r="O54" i="74" s="1"/>
  <c r="O55" i="74" s="1"/>
  <c r="O56" i="74" s="1"/>
  <c r="O57" i="74" s="1"/>
  <c r="O58" i="74" s="1"/>
  <c r="O59" i="74" s="1"/>
  <c r="O60" i="74" s="1"/>
  <c r="O61" i="74" s="1"/>
  <c r="O62" i="74" s="1"/>
  <c r="O63" i="74" s="1"/>
  <c r="O64" i="74" s="1"/>
  <c r="O65" i="74" s="1"/>
  <c r="O66" i="74" s="1"/>
  <c r="O67" i="74" s="1"/>
  <c r="O68" i="74" s="1"/>
  <c r="O69" i="74" s="1"/>
  <c r="O70" i="74" s="1"/>
  <c r="O71" i="74" s="1"/>
  <c r="O72" i="74" s="1"/>
  <c r="O73" i="74" s="1"/>
  <c r="O74" i="74" s="1"/>
  <c r="O75" i="74" s="1"/>
  <c r="O76" i="74" s="1"/>
  <c r="O77" i="74" s="1"/>
  <c r="O78" i="74" s="1"/>
  <c r="O79" i="74" s="1"/>
  <c r="O80" i="74" s="1"/>
  <c r="O81" i="74" s="1"/>
  <c r="O82" i="74" s="1"/>
  <c r="O83" i="74" s="1"/>
  <c r="O84" i="74" s="1"/>
  <c r="O85" i="74" s="1"/>
  <c r="O86" i="74" s="1"/>
  <c r="O87" i="74" s="1"/>
  <c r="O88" i="74" s="1"/>
  <c r="O89" i="74" s="1"/>
  <c r="O90" i="74" s="1"/>
  <c r="O91" i="74" s="1"/>
  <c r="O92" i="74" s="1"/>
  <c r="O93" i="74" s="1"/>
  <c r="O94" i="74" s="1"/>
  <c r="O95" i="74" s="1"/>
  <c r="O96" i="74" s="1"/>
  <c r="O97" i="74" s="1"/>
  <c r="O98" i="74" s="1"/>
  <c r="O99" i="74" s="1"/>
  <c r="F126" i="74"/>
  <c r="F129" i="74"/>
  <c r="G129" i="74" s="1"/>
  <c r="F130" i="74"/>
  <c r="G130" i="74" s="1"/>
  <c r="F133" i="74"/>
  <c r="G133" i="74" s="1"/>
  <c r="F134" i="74"/>
  <c r="G134" i="74" s="1"/>
  <c r="F139" i="74"/>
  <c r="F141" i="74"/>
  <c r="G141" i="74" s="1"/>
  <c r="F143" i="74"/>
  <c r="G143" i="74" s="1"/>
  <c r="F127" i="74"/>
  <c r="G127" i="74" s="1"/>
  <c r="F128" i="74"/>
  <c r="G128" i="74" s="1"/>
  <c r="F131" i="74"/>
  <c r="G131" i="74" s="1"/>
  <c r="F132" i="74"/>
  <c r="G132" i="74" s="1"/>
  <c r="F135" i="74"/>
  <c r="G135" i="74" s="1"/>
  <c r="F140" i="74"/>
  <c r="G140" i="74" s="1"/>
  <c r="F142" i="74"/>
  <c r="G142" i="74" s="1"/>
  <c r="E186" i="72"/>
  <c r="E194" i="72"/>
  <c r="F189" i="72"/>
  <c r="G189" i="72" s="1"/>
  <c r="F191" i="72"/>
  <c r="G191" i="72" s="1"/>
  <c r="F193" i="72"/>
  <c r="G193" i="72" s="1"/>
  <c r="F190" i="72"/>
  <c r="G190" i="72" s="1"/>
  <c r="F192" i="72"/>
  <c r="G192" i="72" s="1"/>
  <c r="N19" i="72"/>
  <c r="N20" i="72" s="1"/>
  <c r="L151" i="72"/>
  <c r="G150" i="72"/>
  <c r="O7" i="72"/>
  <c r="O8" i="72" s="1"/>
  <c r="O9" i="72" s="1"/>
  <c r="O10" i="72" s="1"/>
  <c r="O11" i="72" s="1"/>
  <c r="O12" i="72" s="1"/>
  <c r="O13" i="72" s="1"/>
  <c r="O14" i="72" s="1"/>
  <c r="O15" i="72" s="1"/>
  <c r="O16" i="72" s="1"/>
  <c r="O17" i="72" s="1"/>
  <c r="O18" i="72" s="1"/>
  <c r="F177" i="72"/>
  <c r="G177" i="72" s="1"/>
  <c r="F179" i="72"/>
  <c r="G179" i="72" s="1"/>
  <c r="F181" i="72"/>
  <c r="G181" i="72" s="1"/>
  <c r="F183" i="72"/>
  <c r="G183" i="72" s="1"/>
  <c r="F185" i="72"/>
  <c r="G185" i="72" s="1"/>
  <c r="F187" i="72"/>
  <c r="F176" i="72"/>
  <c r="F178" i="72"/>
  <c r="G178" i="72" s="1"/>
  <c r="F180" i="72"/>
  <c r="G180" i="72" s="1"/>
  <c r="F182" i="72"/>
  <c r="G182" i="72" s="1"/>
  <c r="F184" i="72"/>
  <c r="G184" i="72" s="1"/>
  <c r="F188" i="72"/>
  <c r="G188" i="72" s="1"/>
  <c r="B154" i="68"/>
  <c r="B151" i="68"/>
  <c r="B149" i="68"/>
  <c r="D135" i="68"/>
  <c r="E135" i="68" s="1"/>
  <c r="J130" i="68"/>
  <c r="D148" i="68"/>
  <c r="E148" i="68" s="1"/>
  <c r="F148" i="68" s="1"/>
  <c r="D147" i="68"/>
  <c r="E147" i="68" s="1"/>
  <c r="F147" i="68" s="1"/>
  <c r="D146" i="68"/>
  <c r="E146" i="68" s="1"/>
  <c r="F146" i="68" s="1"/>
  <c r="D145" i="68"/>
  <c r="E145" i="68" s="1"/>
  <c r="F145" i="68" s="1"/>
  <c r="D144" i="68"/>
  <c r="E144" i="68" s="1"/>
  <c r="F144" i="68" s="1"/>
  <c r="D143" i="68"/>
  <c r="E143" i="68" s="1"/>
  <c r="F143" i="68" s="1"/>
  <c r="D142" i="68"/>
  <c r="E142" i="68" s="1"/>
  <c r="F142" i="68" s="1"/>
  <c r="D141" i="68"/>
  <c r="E141" i="68" s="1"/>
  <c r="F141" i="68" s="1"/>
  <c r="D150" i="68"/>
  <c r="E150" i="68" s="1"/>
  <c r="E151" i="68" s="1"/>
  <c r="D152" i="68"/>
  <c r="E152" i="68" s="1"/>
  <c r="D153" i="68"/>
  <c r="E153" i="68" s="1"/>
  <c r="F153" i="68" s="1"/>
  <c r="G153" i="68" s="1"/>
  <c r="D136" i="68"/>
  <c r="E136" i="68" s="1"/>
  <c r="F136" i="68" s="1"/>
  <c r="G136" i="68" s="1"/>
  <c r="D137" i="68"/>
  <c r="E137" i="68" s="1"/>
  <c r="F137" i="68" s="1"/>
  <c r="G137" i="68" s="1"/>
  <c r="D138" i="68"/>
  <c r="E138" i="68" s="1"/>
  <c r="F138" i="68" s="1"/>
  <c r="G138" i="68" s="1"/>
  <c r="D139" i="68"/>
  <c r="E139" i="68" s="1"/>
  <c r="F139" i="68" s="1"/>
  <c r="G139" i="68" s="1"/>
  <c r="D140" i="68"/>
  <c r="E140" i="68" s="1"/>
  <c r="F140" i="68" s="1"/>
  <c r="G140" i="68" s="1"/>
  <c r="N111" i="68"/>
  <c r="N110" i="68"/>
  <c r="G74" i="81" l="1"/>
  <c r="G75" i="81" s="1"/>
  <c r="F75" i="87"/>
  <c r="N160" i="109"/>
  <c r="N161" i="109" s="1"/>
  <c r="N162" i="109" s="1"/>
  <c r="N163" i="109" s="1"/>
  <c r="N164" i="109" s="1"/>
  <c r="N165" i="109" s="1"/>
  <c r="N166" i="109" s="1"/>
  <c r="N108" i="105"/>
  <c r="N109" i="105" s="1"/>
  <c r="N110" i="105" s="1"/>
  <c r="N111" i="105" s="1"/>
  <c r="N112" i="105" s="1"/>
  <c r="N113" i="105" s="1"/>
  <c r="O104" i="105"/>
  <c r="O105" i="105" s="1"/>
  <c r="O106" i="105" s="1"/>
  <c r="O119" i="102"/>
  <c r="O120" i="102" s="1"/>
  <c r="O121" i="102" s="1"/>
  <c r="O122" i="102" s="1"/>
  <c r="O123" i="102" s="1"/>
  <c r="O124" i="102" s="1"/>
  <c r="O125" i="102" s="1"/>
  <c r="O126" i="102" s="1"/>
  <c r="O127" i="102" s="1"/>
  <c r="O128" i="102" s="1"/>
  <c r="O129" i="102" s="1"/>
  <c r="O130" i="102" s="1"/>
  <c r="O131" i="102" s="1"/>
  <c r="O132" i="102" s="1"/>
  <c r="O133" i="102" s="1"/>
  <c r="O134" i="102" s="1"/>
  <c r="O135" i="102" s="1"/>
  <c r="O136" i="102" s="1"/>
  <c r="O137" i="102" s="1"/>
  <c r="O138" i="102" s="1"/>
  <c r="O139" i="102" s="1"/>
  <c r="O140" i="102" s="1"/>
  <c r="O141" i="102" s="1"/>
  <c r="O142" i="102" s="1"/>
  <c r="N109" i="102"/>
  <c r="N110" i="102" s="1"/>
  <c r="N111" i="102" s="1"/>
  <c r="N112" i="102" s="1"/>
  <c r="N113" i="102" s="1"/>
  <c r="N114" i="102" s="1"/>
  <c r="N115" i="102" s="1"/>
  <c r="N116" i="102" s="1"/>
  <c r="N117" i="102" s="1"/>
  <c r="N118" i="102" s="1"/>
  <c r="N119" i="102" s="1"/>
  <c r="N45" i="96"/>
  <c r="N46" i="96" s="1"/>
  <c r="N47" i="96" s="1"/>
  <c r="N48" i="96" s="1"/>
  <c r="N49" i="96" s="1"/>
  <c r="N50" i="96" s="1"/>
  <c r="N51" i="96" s="1"/>
  <c r="N52" i="96" s="1"/>
  <c r="N53" i="96" s="1"/>
  <c r="N54" i="96" s="1"/>
  <c r="N55" i="96" s="1"/>
  <c r="N56" i="96" s="1"/>
  <c r="O44" i="96"/>
  <c r="O45" i="96" s="1"/>
  <c r="O46" i="96" s="1"/>
  <c r="O47" i="96" s="1"/>
  <c r="O48" i="96" s="1"/>
  <c r="O49" i="96" s="1"/>
  <c r="O50" i="96" s="1"/>
  <c r="G74" i="87"/>
  <c r="G75" i="87" s="1"/>
  <c r="G71" i="87"/>
  <c r="G72" i="87" s="1"/>
  <c r="O70" i="87"/>
  <c r="O61" i="84"/>
  <c r="O70" i="84"/>
  <c r="F73" i="81"/>
  <c r="G73" i="81"/>
  <c r="N14" i="81"/>
  <c r="N15" i="81" s="1"/>
  <c r="N16" i="81" s="1"/>
  <c r="N17" i="81" s="1"/>
  <c r="N18" i="81" s="1"/>
  <c r="F77" i="78"/>
  <c r="F80" i="78" s="1"/>
  <c r="F81" i="78"/>
  <c r="F85" i="78" s="1"/>
  <c r="N22" i="78"/>
  <c r="N23" i="78" s="1"/>
  <c r="N24" i="78" s="1"/>
  <c r="G139" i="74"/>
  <c r="G144" i="74" s="1"/>
  <c r="F144" i="74"/>
  <c r="G126" i="74"/>
  <c r="G136" i="74" s="1"/>
  <c r="F136" i="74"/>
  <c r="F137" i="74"/>
  <c r="F138" i="74" s="1"/>
  <c r="E138" i="74"/>
  <c r="N24" i="74"/>
  <c r="N25" i="74" s="1"/>
  <c r="N26" i="74" s="1"/>
  <c r="O100" i="74"/>
  <c r="G176" i="72"/>
  <c r="G186" i="72" s="1"/>
  <c r="F186" i="72"/>
  <c r="G187" i="72"/>
  <c r="G194" i="72" s="1"/>
  <c r="F194" i="72"/>
  <c r="N21" i="72"/>
  <c r="N22" i="72" s="1"/>
  <c r="N23" i="72" s="1"/>
  <c r="N24" i="72" s="1"/>
  <c r="N25" i="72" s="1"/>
  <c r="N26" i="72" s="1"/>
  <c r="O150" i="72"/>
  <c r="E149" i="68"/>
  <c r="E154" i="68"/>
  <c r="G141" i="68"/>
  <c r="G142" i="68"/>
  <c r="G143" i="68"/>
  <c r="G144" i="68"/>
  <c r="G145" i="68"/>
  <c r="G146" i="68"/>
  <c r="G147" i="68"/>
  <c r="G148" i="68"/>
  <c r="F150" i="68"/>
  <c r="F151" i="68" s="1"/>
  <c r="F152" i="68"/>
  <c r="F154" i="68" s="1"/>
  <c r="F135" i="68"/>
  <c r="F149" i="68" s="1"/>
  <c r="L108" i="68"/>
  <c r="I108" i="68"/>
  <c r="G108" i="68"/>
  <c r="C108" i="68"/>
  <c r="N7" i="68"/>
  <c r="N8" i="68" s="1"/>
  <c r="N9" i="68" s="1"/>
  <c r="B132" i="65"/>
  <c r="B126" i="65"/>
  <c r="B123" i="65"/>
  <c r="D114" i="65"/>
  <c r="E114" i="65" s="1"/>
  <c r="J111" i="65"/>
  <c r="J105" i="65"/>
  <c r="J102" i="65"/>
  <c r="D124" i="65"/>
  <c r="E124" i="65" s="1"/>
  <c r="D125" i="65"/>
  <c r="E125" i="65" s="1"/>
  <c r="F125" i="65" s="1"/>
  <c r="G125" i="65" s="1"/>
  <c r="D127" i="65"/>
  <c r="E127" i="65" s="1"/>
  <c r="D128" i="65"/>
  <c r="E128" i="65" s="1"/>
  <c r="F128" i="65" s="1"/>
  <c r="G128" i="65" s="1"/>
  <c r="D129" i="65"/>
  <c r="E129" i="65" s="1"/>
  <c r="F129" i="65" s="1"/>
  <c r="G129" i="65" s="1"/>
  <c r="D130" i="65"/>
  <c r="E130" i="65" s="1"/>
  <c r="F130" i="65" s="1"/>
  <c r="G130" i="65" s="1"/>
  <c r="D131" i="65"/>
  <c r="E131" i="65" s="1"/>
  <c r="F131" i="65" s="1"/>
  <c r="G131" i="65" s="1"/>
  <c r="D121" i="65"/>
  <c r="E121" i="65" s="1"/>
  <c r="D122" i="65"/>
  <c r="E122" i="65" s="1"/>
  <c r="D115" i="65"/>
  <c r="E115" i="65" s="1"/>
  <c r="D116" i="65"/>
  <c r="E116" i="65" s="1"/>
  <c r="D117" i="65"/>
  <c r="E117" i="65" s="1"/>
  <c r="D118" i="65"/>
  <c r="E118" i="65" s="1"/>
  <c r="D119" i="65"/>
  <c r="E119" i="65" s="1"/>
  <c r="D120" i="65"/>
  <c r="E120" i="65" s="1"/>
  <c r="L90" i="65"/>
  <c r="I90" i="65"/>
  <c r="C90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G90" i="65"/>
  <c r="N7" i="65"/>
  <c r="N8" i="65" s="1"/>
  <c r="N9" i="65" s="1"/>
  <c r="N10" i="65" s="1"/>
  <c r="N11" i="65" s="1"/>
  <c r="N12" i="65" s="1"/>
  <c r="N13" i="65" s="1"/>
  <c r="N14" i="65" s="1"/>
  <c r="N15" i="65" s="1"/>
  <c r="N16" i="65" s="1"/>
  <c r="N17" i="65" s="1"/>
  <c r="B108" i="62"/>
  <c r="K92" i="62"/>
  <c r="K86" i="62"/>
  <c r="B102" i="62"/>
  <c r="D106" i="62"/>
  <c r="E106" i="62" s="1"/>
  <c r="D95" i="62"/>
  <c r="E95" i="62" s="1"/>
  <c r="D107" i="62"/>
  <c r="E107" i="62" s="1"/>
  <c r="D105" i="62"/>
  <c r="E105" i="62" s="1"/>
  <c r="D104" i="62"/>
  <c r="E104" i="62" s="1"/>
  <c r="D103" i="62"/>
  <c r="E103" i="62" s="1"/>
  <c r="D101" i="62"/>
  <c r="E101" i="62" s="1"/>
  <c r="D100" i="62"/>
  <c r="E100" i="62" s="1"/>
  <c r="D99" i="62"/>
  <c r="E99" i="62" s="1"/>
  <c r="D98" i="62"/>
  <c r="E98" i="62" s="1"/>
  <c r="D97" i="62"/>
  <c r="E97" i="62" s="1"/>
  <c r="D96" i="62"/>
  <c r="E96" i="62" s="1"/>
  <c r="O81" i="62"/>
  <c r="O80" i="62"/>
  <c r="O79" i="62"/>
  <c r="O78" i="62"/>
  <c r="N44" i="62"/>
  <c r="N43" i="62"/>
  <c r="K35" i="62"/>
  <c r="N36" i="62"/>
  <c r="N33" i="62"/>
  <c r="N32" i="62"/>
  <c r="F19" i="62"/>
  <c r="F13" i="62"/>
  <c r="H19" i="62"/>
  <c r="H18" i="62"/>
  <c r="H17" i="62"/>
  <c r="H16" i="62"/>
  <c r="H13" i="62"/>
  <c r="N167" i="109" l="1"/>
  <c r="N168" i="109" s="1"/>
  <c r="N169" i="109" s="1"/>
  <c r="N170" i="109" s="1"/>
  <c r="N171" i="109" s="1"/>
  <c r="N172" i="109" s="1"/>
  <c r="N173" i="109" s="1"/>
  <c r="N174" i="109" s="1"/>
  <c r="N114" i="105"/>
  <c r="N115" i="105" s="1"/>
  <c r="N116" i="105" s="1"/>
  <c r="N117" i="105" s="1"/>
  <c r="N118" i="105" s="1"/>
  <c r="N119" i="105" s="1"/>
  <c r="N120" i="105" s="1"/>
  <c r="N121" i="105" s="1"/>
  <c r="N122" i="105" s="1"/>
  <c r="O107" i="105"/>
  <c r="O108" i="105" s="1"/>
  <c r="O109" i="105" s="1"/>
  <c r="O110" i="105" s="1"/>
  <c r="O111" i="105" s="1"/>
  <c r="O112" i="105" s="1"/>
  <c r="N120" i="102"/>
  <c r="N121" i="102" s="1"/>
  <c r="N122" i="102" s="1"/>
  <c r="N57" i="96"/>
  <c r="N58" i="96" s="1"/>
  <c r="N59" i="96" s="1"/>
  <c r="N60" i="96" s="1"/>
  <c r="N61" i="96" s="1"/>
  <c r="N62" i="96" s="1"/>
  <c r="N63" i="96" s="1"/>
  <c r="N64" i="96" s="1"/>
  <c r="O51" i="96"/>
  <c r="O52" i="96" s="1"/>
  <c r="O53" i="96" s="1"/>
  <c r="O54" i="96" s="1"/>
  <c r="O55" i="96" s="1"/>
  <c r="G137" i="74"/>
  <c r="G138" i="74" s="1"/>
  <c r="G81" i="78"/>
  <c r="G85" i="78" s="1"/>
  <c r="N19" i="81"/>
  <c r="N20" i="81" s="1"/>
  <c r="N21" i="81" s="1"/>
  <c r="N22" i="81" s="1"/>
  <c r="N23" i="81" s="1"/>
  <c r="N24" i="81" s="1"/>
  <c r="N25" i="81" s="1"/>
  <c r="N26" i="81" s="1"/>
  <c r="N27" i="81" s="1"/>
  <c r="N28" i="81" s="1"/>
  <c r="N29" i="81" s="1"/>
  <c r="N30" i="81" s="1"/>
  <c r="N31" i="81" s="1"/>
  <c r="N32" i="81" s="1"/>
  <c r="N33" i="81" s="1"/>
  <c r="N34" i="81" s="1"/>
  <c r="N35" i="81" s="1"/>
  <c r="N36" i="81" s="1"/>
  <c r="N37" i="81" s="1"/>
  <c r="N38" i="81" s="1"/>
  <c r="N39" i="81" s="1"/>
  <c r="N40" i="81" s="1"/>
  <c r="N41" i="81" s="1"/>
  <c r="N42" i="81" s="1"/>
  <c r="N43" i="81" s="1"/>
  <c r="N44" i="81" s="1"/>
  <c r="N45" i="81" s="1"/>
  <c r="N46" i="81" s="1"/>
  <c r="N47" i="81" s="1"/>
  <c r="N48" i="81" s="1"/>
  <c r="N49" i="81" s="1"/>
  <c r="N50" i="81" s="1"/>
  <c r="N51" i="81" s="1"/>
  <c r="N52" i="81" s="1"/>
  <c r="N53" i="81" s="1"/>
  <c r="N54" i="81" s="1"/>
  <c r="N55" i="81" s="1"/>
  <c r="N56" i="81" s="1"/>
  <c r="N57" i="81" s="1"/>
  <c r="N58" i="81" s="1"/>
  <c r="N59" i="81" s="1"/>
  <c r="N60" i="81" s="1"/>
  <c r="N62" i="81" s="1"/>
  <c r="O69" i="81" s="1"/>
  <c r="O70" i="81" s="1"/>
  <c r="G77" i="78"/>
  <c r="G80" i="78" s="1"/>
  <c r="N25" i="78"/>
  <c r="N26" i="78" s="1"/>
  <c r="N27" i="78" s="1"/>
  <c r="N28" i="78" s="1"/>
  <c r="N29" i="78" s="1"/>
  <c r="N27" i="74"/>
  <c r="N28" i="74" s="1"/>
  <c r="N29" i="74" s="1"/>
  <c r="N30" i="74" s="1"/>
  <c r="N31" i="74" s="1"/>
  <c r="N32" i="74" s="1"/>
  <c r="N33" i="74" s="1"/>
  <c r="N34" i="74" s="1"/>
  <c r="N27" i="72"/>
  <c r="N28" i="72" s="1"/>
  <c r="N29" i="72" s="1"/>
  <c r="N30" i="72" s="1"/>
  <c r="N31" i="72" s="1"/>
  <c r="N32" i="72" s="1"/>
  <c r="N33" i="72" s="1"/>
  <c r="N34" i="72" s="1"/>
  <c r="N35" i="72" s="1"/>
  <c r="N36" i="72" s="1"/>
  <c r="N37" i="72" s="1"/>
  <c r="N38" i="72" s="1"/>
  <c r="N39" i="72" s="1"/>
  <c r="N40" i="72" s="1"/>
  <c r="O19" i="72"/>
  <c r="O20" i="72" s="1"/>
  <c r="G150" i="68"/>
  <c r="G151" i="68" s="1"/>
  <c r="G152" i="68"/>
  <c r="G154" i="68" s="1"/>
  <c r="G135" i="68"/>
  <c r="G149" i="68" s="1"/>
  <c r="N10" i="68"/>
  <c r="N11" i="68" s="1"/>
  <c r="N12" i="68" s="1"/>
  <c r="L109" i="68"/>
  <c r="O108" i="68"/>
  <c r="O7" i="68"/>
  <c r="O8" i="68" s="1"/>
  <c r="O9" i="68" s="1"/>
  <c r="O10" i="68" s="1"/>
  <c r="O11" i="68" s="1"/>
  <c r="O12" i="68" s="1"/>
  <c r="E132" i="65"/>
  <c r="E126" i="65"/>
  <c r="E123" i="65"/>
  <c r="F127" i="65"/>
  <c r="F132" i="65" s="1"/>
  <c r="F124" i="65"/>
  <c r="F126" i="65" s="1"/>
  <c r="F121" i="65"/>
  <c r="F122" i="65"/>
  <c r="G122" i="65" s="1"/>
  <c r="F120" i="65"/>
  <c r="G120" i="65" s="1"/>
  <c r="F118" i="65"/>
  <c r="G118" i="65" s="1"/>
  <c r="F116" i="65"/>
  <c r="G116" i="65" s="1"/>
  <c r="F114" i="65"/>
  <c r="F119" i="65"/>
  <c r="G119" i="65" s="1"/>
  <c r="F117" i="65"/>
  <c r="G117" i="65" s="1"/>
  <c r="F115" i="65"/>
  <c r="G115" i="65" s="1"/>
  <c r="N18" i="65"/>
  <c r="N19" i="65" s="1"/>
  <c r="N20" i="65" s="1"/>
  <c r="O18" i="65"/>
  <c r="O19" i="65" s="1"/>
  <c r="L91" i="65"/>
  <c r="O90" i="65"/>
  <c r="F98" i="62"/>
  <c r="G98" i="62" s="1"/>
  <c r="F104" i="62"/>
  <c r="G104" i="62" s="1"/>
  <c r="F95" i="62"/>
  <c r="E102" i="62"/>
  <c r="G95" i="62"/>
  <c r="F97" i="62"/>
  <c r="G97" i="62" s="1"/>
  <c r="F99" i="62"/>
  <c r="G99" i="62" s="1"/>
  <c r="F101" i="62"/>
  <c r="G101" i="62" s="1"/>
  <c r="F103" i="62"/>
  <c r="G103" i="62" s="1"/>
  <c r="E108" i="62"/>
  <c r="F105" i="62"/>
  <c r="G105" i="62" s="1"/>
  <c r="F106" i="62"/>
  <c r="G106" i="62" s="1"/>
  <c r="F96" i="62"/>
  <c r="G96" i="62" s="1"/>
  <c r="F100" i="62"/>
  <c r="G100" i="62" s="1"/>
  <c r="F107" i="62"/>
  <c r="G107" i="62" s="1"/>
  <c r="G127" i="65" l="1"/>
  <c r="G132" i="65" s="1"/>
  <c r="N175" i="109"/>
  <c r="N176" i="109" s="1"/>
  <c r="N177" i="109" s="1"/>
  <c r="N178" i="109" s="1"/>
  <c r="N179" i="109" s="1"/>
  <c r="N180" i="109" s="1"/>
  <c r="N181" i="109" s="1"/>
  <c r="N123" i="105"/>
  <c r="N124" i="105" s="1"/>
  <c r="N125" i="105" s="1"/>
  <c r="O113" i="105"/>
  <c r="O114" i="105" s="1"/>
  <c r="O115" i="105" s="1"/>
  <c r="O116" i="105" s="1"/>
  <c r="O117" i="105" s="1"/>
  <c r="O118" i="105" s="1"/>
  <c r="O119" i="105" s="1"/>
  <c r="O120" i="105" s="1"/>
  <c r="O121" i="105" s="1"/>
  <c r="N123" i="102"/>
  <c r="N124" i="102" s="1"/>
  <c r="N125" i="102" s="1"/>
  <c r="N126" i="102" s="1"/>
  <c r="N127" i="102" s="1"/>
  <c r="N128" i="102" s="1"/>
  <c r="N129" i="102" s="1"/>
  <c r="N130" i="102" s="1"/>
  <c r="N131" i="102" s="1"/>
  <c r="N132" i="102" s="1"/>
  <c r="N133" i="102" s="1"/>
  <c r="N134" i="102" s="1"/>
  <c r="N135" i="102" s="1"/>
  <c r="N136" i="102" s="1"/>
  <c r="N137" i="102" s="1"/>
  <c r="N138" i="102" s="1"/>
  <c r="N139" i="102" s="1"/>
  <c r="N140" i="102" s="1"/>
  <c r="N141" i="102" s="1"/>
  <c r="N142" i="102" s="1"/>
  <c r="N144" i="102" s="1"/>
  <c r="O151" i="102" s="1"/>
  <c r="O152" i="102" s="1"/>
  <c r="N65" i="96"/>
  <c r="N66" i="96" s="1"/>
  <c r="N67" i="96" s="1"/>
  <c r="N68" i="96" s="1"/>
  <c r="N69" i="96" s="1"/>
  <c r="O56" i="96"/>
  <c r="O57" i="96" s="1"/>
  <c r="O58" i="96" s="1"/>
  <c r="O59" i="96" s="1"/>
  <c r="O60" i="96" s="1"/>
  <c r="O61" i="96" s="1"/>
  <c r="O62" i="96" s="1"/>
  <c r="O63" i="96" s="1"/>
  <c r="O64" i="96" s="1"/>
  <c r="O65" i="96" s="1"/>
  <c r="O66" i="96" s="1"/>
  <c r="O67" i="96" s="1"/>
  <c r="O68" i="96" s="1"/>
  <c r="O69" i="96" s="1"/>
  <c r="N30" i="78"/>
  <c r="N31" i="78" s="1"/>
  <c r="N32" i="78" s="1"/>
  <c r="N33" i="78" s="1"/>
  <c r="N34" i="78" s="1"/>
  <c r="N35" i="78" s="1"/>
  <c r="N36" i="78" s="1"/>
  <c r="N37" i="78" s="1"/>
  <c r="N38" i="78" s="1"/>
  <c r="N39" i="78" s="1"/>
  <c r="N40" i="78" s="1"/>
  <c r="N41" i="78" s="1"/>
  <c r="N42" i="78" s="1"/>
  <c r="N43" i="78" s="1"/>
  <c r="N44" i="78" s="1"/>
  <c r="N35" i="74"/>
  <c r="N36" i="74" s="1"/>
  <c r="N41" i="72"/>
  <c r="N42" i="72" s="1"/>
  <c r="N43" i="72" s="1"/>
  <c r="N44" i="72" s="1"/>
  <c r="N45" i="72" s="1"/>
  <c r="N46" i="72" s="1"/>
  <c r="N47" i="72" s="1"/>
  <c r="N48" i="72" s="1"/>
  <c r="O21" i="72"/>
  <c r="O22" i="72" s="1"/>
  <c r="O23" i="72" s="1"/>
  <c r="O24" i="72" s="1"/>
  <c r="O25" i="72" s="1"/>
  <c r="N13" i="68"/>
  <c r="N14" i="68" s="1"/>
  <c r="N15" i="68" s="1"/>
  <c r="N16" i="68" s="1"/>
  <c r="N17" i="68" s="1"/>
  <c r="O13" i="68"/>
  <c r="O14" i="68" s="1"/>
  <c r="O15" i="68" s="1"/>
  <c r="O16" i="68" s="1"/>
  <c r="G114" i="65"/>
  <c r="F123" i="65"/>
  <c r="G124" i="65"/>
  <c r="G126" i="65" s="1"/>
  <c r="G121" i="65"/>
  <c r="N21" i="65"/>
  <c r="N22" i="65" s="1"/>
  <c r="N23" i="65" s="1"/>
  <c r="O20" i="65"/>
  <c r="O21" i="65" s="1"/>
  <c r="O22" i="65" s="1"/>
  <c r="O23" i="65" s="1"/>
  <c r="G102" i="62"/>
  <c r="F102" i="62"/>
  <c r="G108" i="62"/>
  <c r="F108" i="62"/>
  <c r="N182" i="109" l="1"/>
  <c r="N183" i="109" s="1"/>
  <c r="N184" i="109" s="1"/>
  <c r="N185" i="109" s="1"/>
  <c r="N186" i="109" s="1"/>
  <c r="N187" i="109" s="1"/>
  <c r="N188" i="109" s="1"/>
  <c r="N189" i="109" s="1"/>
  <c r="N190" i="109" s="1"/>
  <c r="N191" i="109" s="1"/>
  <c r="N192" i="109" s="1"/>
  <c r="N193" i="109" s="1"/>
  <c r="N194" i="109" s="1"/>
  <c r="N195" i="109" s="1"/>
  <c r="N196" i="109" s="1"/>
  <c r="N197" i="109" s="1"/>
  <c r="N198" i="109" s="1"/>
  <c r="N199" i="109" s="1"/>
  <c r="N200" i="109" s="1"/>
  <c r="N201" i="109" s="1"/>
  <c r="N202" i="109" s="1"/>
  <c r="N203" i="109" s="1"/>
  <c r="N204" i="109" s="1"/>
  <c r="N205" i="109" s="1"/>
  <c r="N206" i="109" s="1"/>
  <c r="N207" i="109" s="1"/>
  <c r="N208" i="109" s="1"/>
  <c r="N209" i="109" s="1"/>
  <c r="N210" i="109" s="1"/>
  <c r="N211" i="109" s="1"/>
  <c r="N212" i="109" s="1"/>
  <c r="N213" i="109" s="1"/>
  <c r="N214" i="109" s="1"/>
  <c r="N215" i="109" s="1"/>
  <c r="N216" i="109" s="1"/>
  <c r="N217" i="109" s="1"/>
  <c r="N219" i="109" s="1"/>
  <c r="O226" i="109" s="1"/>
  <c r="O227" i="109" s="1"/>
  <c r="N126" i="105"/>
  <c r="N127" i="105" s="1"/>
  <c r="N128" i="105" s="1"/>
  <c r="N129" i="105" s="1"/>
  <c r="N130" i="105" s="1"/>
  <c r="N131" i="105" s="1"/>
  <c r="N132" i="105" s="1"/>
  <c r="N133" i="105" s="1"/>
  <c r="N134" i="105" s="1"/>
  <c r="N135" i="105" s="1"/>
  <c r="N136" i="105" s="1"/>
  <c r="N137" i="105" s="1"/>
  <c r="N138" i="105" s="1"/>
  <c r="N139" i="105" s="1"/>
  <c r="N140" i="105" s="1"/>
  <c r="N141" i="105" s="1"/>
  <c r="O122" i="105"/>
  <c r="O123" i="105" s="1"/>
  <c r="O124" i="105" s="1"/>
  <c r="O70" i="96"/>
  <c r="O71" i="96" s="1"/>
  <c r="O72" i="96" s="1"/>
  <c r="O73" i="96" s="1"/>
  <c r="O74" i="96" s="1"/>
  <c r="O75" i="96" s="1"/>
  <c r="O76" i="96" s="1"/>
  <c r="O77" i="96" s="1"/>
  <c r="O78" i="96" s="1"/>
  <c r="O79" i="96" s="1"/>
  <c r="O80" i="96" s="1"/>
  <c r="O81" i="96" s="1"/>
  <c r="O82" i="96" s="1"/>
  <c r="O83" i="96" s="1"/>
  <c r="O84" i="96" s="1"/>
  <c r="O85" i="96" s="1"/>
  <c r="O86" i="96" s="1"/>
  <c r="O87" i="96" s="1"/>
  <c r="O88" i="96" s="1"/>
  <c r="O89" i="96" s="1"/>
  <c r="O90" i="96" s="1"/>
  <c r="O91" i="96" s="1"/>
  <c r="O92" i="96" s="1"/>
  <c r="O93" i="96" s="1"/>
  <c r="O94" i="96" s="1"/>
  <c r="O95" i="96" s="1"/>
  <c r="O96" i="96" s="1"/>
  <c r="O97" i="96" s="1"/>
  <c r="O98" i="96" s="1"/>
  <c r="O99" i="96" s="1"/>
  <c r="O100" i="96" s="1"/>
  <c r="O101" i="96" s="1"/>
  <c r="N70" i="96"/>
  <c r="N71" i="96" s="1"/>
  <c r="N72" i="96" s="1"/>
  <c r="N45" i="78"/>
  <c r="N46" i="78" s="1"/>
  <c r="N47" i="78" s="1"/>
  <c r="N48" i="78" s="1"/>
  <c r="N37" i="74"/>
  <c r="N38" i="74" s="1"/>
  <c r="N49" i="72"/>
  <c r="N50" i="72" s="1"/>
  <c r="N51" i="72" s="1"/>
  <c r="N52" i="72" s="1"/>
  <c r="N53" i="72" s="1"/>
  <c r="N54" i="72" s="1"/>
  <c r="O26" i="72"/>
  <c r="O27" i="72" s="1"/>
  <c r="O28" i="72" s="1"/>
  <c r="O29" i="72" s="1"/>
  <c r="O30" i="72" s="1"/>
  <c r="O31" i="72" s="1"/>
  <c r="O32" i="72" s="1"/>
  <c r="O33" i="72" s="1"/>
  <c r="O34" i="72" s="1"/>
  <c r="O35" i="72" s="1"/>
  <c r="O36" i="72" s="1"/>
  <c r="O37" i="72" s="1"/>
  <c r="O38" i="72" s="1"/>
  <c r="O39" i="72" s="1"/>
  <c r="N18" i="68"/>
  <c r="N19" i="68" s="1"/>
  <c r="O17" i="68"/>
  <c r="O18" i="68" s="1"/>
  <c r="G123" i="65"/>
  <c r="N24" i="65"/>
  <c r="N25" i="65" s="1"/>
  <c r="N26" i="65" s="1"/>
  <c r="N27" i="65" s="1"/>
  <c r="O24" i="65"/>
  <c r="O25" i="65" s="1"/>
  <c r="O26" i="65" s="1"/>
  <c r="O27" i="65" s="1"/>
  <c r="M76" i="62"/>
  <c r="J76" i="62"/>
  <c r="H76" i="62"/>
  <c r="C76" i="62"/>
  <c r="P7" i="62" s="1"/>
  <c r="P8" i="62" s="1"/>
  <c r="P9" i="62" s="1"/>
  <c r="P10" i="62" s="1"/>
  <c r="P11" i="62" s="1"/>
  <c r="P12" i="62" s="1"/>
  <c r="P13" i="62" s="1"/>
  <c r="P14" i="62" s="1"/>
  <c r="P15" i="62" s="1"/>
  <c r="P16" i="62" s="1"/>
  <c r="P17" i="62" s="1"/>
  <c r="P18" i="62" s="1"/>
  <c r="O7" i="62"/>
  <c r="O8" i="62" s="1"/>
  <c r="O9" i="62" s="1"/>
  <c r="O10" i="62" s="1"/>
  <c r="O11" i="62" s="1"/>
  <c r="O12" i="62" s="1"/>
  <c r="O13" i="62" s="1"/>
  <c r="O14" i="62" s="1"/>
  <c r="O15" i="62" s="1"/>
  <c r="O16" i="62" s="1"/>
  <c r="O17" i="62" s="1"/>
  <c r="O18" i="62" s="1"/>
  <c r="B55" i="59"/>
  <c r="B53" i="59"/>
  <c r="K47" i="59"/>
  <c r="K45" i="59"/>
  <c r="D54" i="59"/>
  <c r="E54" i="59" s="1"/>
  <c r="E55" i="59" s="1"/>
  <c r="D52" i="59"/>
  <c r="E52" i="59" s="1"/>
  <c r="D50" i="59"/>
  <c r="E50" i="59" s="1"/>
  <c r="F50" i="59" s="1"/>
  <c r="G50" i="59" s="1"/>
  <c r="D51" i="59"/>
  <c r="E51" i="59" s="1"/>
  <c r="F51" i="59" s="1"/>
  <c r="G51" i="59" s="1"/>
  <c r="O44" i="59"/>
  <c r="O43" i="59"/>
  <c r="O42" i="59"/>
  <c r="O41" i="59"/>
  <c r="O14" i="57"/>
  <c r="O15" i="57" s="1"/>
  <c r="O16" i="57" s="1"/>
  <c r="O17" i="57" s="1"/>
  <c r="O18" i="57" s="1"/>
  <c r="O19" i="57" s="1"/>
  <c r="O20" i="57" s="1"/>
  <c r="O21" i="57" s="1"/>
  <c r="O22" i="57" s="1"/>
  <c r="O23" i="57" s="1"/>
  <c r="O24" i="57" s="1"/>
  <c r="O25" i="57" s="1"/>
  <c r="O26" i="57" s="1"/>
  <c r="O27" i="57" s="1"/>
  <c r="O28" i="57" s="1"/>
  <c r="O29" i="57" s="1"/>
  <c r="O30" i="57" s="1"/>
  <c r="O31" i="57" s="1"/>
  <c r="O32" i="57" s="1"/>
  <c r="O33" i="57" s="1"/>
  <c r="O34" i="57" s="1"/>
  <c r="O35" i="57" s="1"/>
  <c r="O36" i="57" s="1"/>
  <c r="O37" i="57" s="1"/>
  <c r="O38" i="57" s="1"/>
  <c r="M39" i="59"/>
  <c r="J39" i="59"/>
  <c r="H39" i="59"/>
  <c r="C39" i="59"/>
  <c r="P7" i="59" s="1"/>
  <c r="P8" i="59" s="1"/>
  <c r="P9" i="59" s="1"/>
  <c r="P10" i="59" s="1"/>
  <c r="P11" i="59" s="1"/>
  <c r="P12" i="59" s="1"/>
  <c r="P13" i="59" s="1"/>
  <c r="P14" i="59" s="1"/>
  <c r="P15" i="59" s="1"/>
  <c r="P16" i="59" s="1"/>
  <c r="P17" i="59" s="1"/>
  <c r="P18" i="59" s="1"/>
  <c r="P19" i="59" s="1"/>
  <c r="P20" i="59" s="1"/>
  <c r="P21" i="59" s="1"/>
  <c r="P22" i="59" s="1"/>
  <c r="P23" i="59" s="1"/>
  <c r="P24" i="59" s="1"/>
  <c r="P25" i="59" s="1"/>
  <c r="P26" i="59" s="1"/>
  <c r="P27" i="59" s="1"/>
  <c r="P28" i="59" s="1"/>
  <c r="P29" i="59" s="1"/>
  <c r="P30" i="59" s="1"/>
  <c r="P31" i="59" s="1"/>
  <c r="P32" i="59" s="1"/>
  <c r="P33" i="59" s="1"/>
  <c r="P34" i="59" s="1"/>
  <c r="P35" i="59" s="1"/>
  <c r="P36" i="59" s="1"/>
  <c r="P37" i="59" s="1"/>
  <c r="O7" i="59"/>
  <c r="O8" i="59" s="1"/>
  <c r="O9" i="59" s="1"/>
  <c r="O10" i="59" s="1"/>
  <c r="O11" i="59" s="1"/>
  <c r="O12" i="59" s="1"/>
  <c r="O13" i="59" s="1"/>
  <c r="O14" i="59" s="1"/>
  <c r="O15" i="59" s="1"/>
  <c r="O16" i="59" s="1"/>
  <c r="O17" i="59" s="1"/>
  <c r="O18" i="59" s="1"/>
  <c r="O19" i="59" s="1"/>
  <c r="O20" i="59" s="1"/>
  <c r="O21" i="59" s="1"/>
  <c r="O22" i="59" s="1"/>
  <c r="O23" i="59" s="1"/>
  <c r="O24" i="59" s="1"/>
  <c r="O25" i="59" s="1"/>
  <c r="O26" i="59" s="1"/>
  <c r="O27" i="59" s="1"/>
  <c r="O28" i="59" s="1"/>
  <c r="O29" i="59" s="1"/>
  <c r="O30" i="59" s="1"/>
  <c r="O31" i="59" s="1"/>
  <c r="O32" i="59" s="1"/>
  <c r="O33" i="59" s="1"/>
  <c r="O34" i="59" s="1"/>
  <c r="O35" i="59" s="1"/>
  <c r="O36" i="59" s="1"/>
  <c r="O37" i="59" s="1"/>
  <c r="O44" i="57"/>
  <c r="O43" i="57"/>
  <c r="H39" i="57"/>
  <c r="D45" i="57"/>
  <c r="E45" i="57" s="1"/>
  <c r="F45" i="57" s="1"/>
  <c r="M39" i="57"/>
  <c r="K42" i="57" s="1"/>
  <c r="J39" i="57"/>
  <c r="C39" i="57"/>
  <c r="O7" i="57"/>
  <c r="O8" i="57" s="1"/>
  <c r="O9" i="57" s="1"/>
  <c r="O10" i="57" s="1"/>
  <c r="O11" i="57" s="1"/>
  <c r="O12" i="57" s="1"/>
  <c r="O13" i="57" s="1"/>
  <c r="D43" i="55"/>
  <c r="E43" i="55" s="1"/>
  <c r="M37" i="55"/>
  <c r="K40" i="55" s="1"/>
  <c r="J37" i="55"/>
  <c r="H37" i="55"/>
  <c r="C37" i="55"/>
  <c r="O7" i="55"/>
  <c r="O8" i="55" s="1"/>
  <c r="O9" i="55" s="1"/>
  <c r="O10" i="55" s="1"/>
  <c r="O11" i="55" s="1"/>
  <c r="O12" i="55" s="1"/>
  <c r="O13" i="55" s="1"/>
  <c r="O14" i="55" s="1"/>
  <c r="O15" i="55" s="1"/>
  <c r="O16" i="55" s="1"/>
  <c r="O17" i="55" s="1"/>
  <c r="O18" i="55" s="1"/>
  <c r="O19" i="55" s="1"/>
  <c r="O20" i="55" s="1"/>
  <c r="O21" i="55" s="1"/>
  <c r="O22" i="55" s="1"/>
  <c r="O23" i="55" s="1"/>
  <c r="O24" i="55" s="1"/>
  <c r="O25" i="55" s="1"/>
  <c r="O26" i="55" s="1"/>
  <c r="O27" i="55" s="1"/>
  <c r="O28" i="55" s="1"/>
  <c r="O29" i="55" s="1"/>
  <c r="O30" i="55" s="1"/>
  <c r="O31" i="55" s="1"/>
  <c r="O32" i="55" s="1"/>
  <c r="O33" i="55" s="1"/>
  <c r="O34" i="55" s="1"/>
  <c r="O35" i="55" s="1"/>
  <c r="O36" i="55" s="1"/>
  <c r="D43" i="53"/>
  <c r="E43" i="53" s="1"/>
  <c r="M37" i="53"/>
  <c r="K40" i="53" s="1"/>
  <c r="J37" i="53"/>
  <c r="H37" i="53"/>
  <c r="C37" i="53"/>
  <c r="O7" i="53"/>
  <c r="O8" i="53" s="1"/>
  <c r="O9" i="53" s="1"/>
  <c r="O10" i="53" s="1"/>
  <c r="O11" i="53" s="1"/>
  <c r="O12" i="53" s="1"/>
  <c r="O13" i="53" s="1"/>
  <c r="O14" i="53" s="1"/>
  <c r="O15" i="53" s="1"/>
  <c r="O16" i="53" s="1"/>
  <c r="O17" i="53" s="1"/>
  <c r="O18" i="53" s="1"/>
  <c r="O19" i="53" s="1"/>
  <c r="O20" i="53" s="1"/>
  <c r="O21" i="53" s="1"/>
  <c r="O22" i="53" s="1"/>
  <c r="O23" i="53" s="1"/>
  <c r="O24" i="53" s="1"/>
  <c r="O25" i="53" s="1"/>
  <c r="O26" i="53" s="1"/>
  <c r="O27" i="53" s="1"/>
  <c r="O28" i="53" s="1"/>
  <c r="O29" i="53" s="1"/>
  <c r="O30" i="53" s="1"/>
  <c r="O31" i="53" s="1"/>
  <c r="O32" i="53" s="1"/>
  <c r="O33" i="53" s="1"/>
  <c r="O34" i="53" s="1"/>
  <c r="O35" i="53" s="1"/>
  <c r="O36" i="53" s="1"/>
  <c r="D43" i="51"/>
  <c r="E43" i="51" s="1"/>
  <c r="M37" i="51"/>
  <c r="K40" i="51" s="1"/>
  <c r="J37" i="51"/>
  <c r="H37" i="51"/>
  <c r="C37" i="51"/>
  <c r="O7" i="5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O31" i="51" s="1"/>
  <c r="O32" i="51" s="1"/>
  <c r="O33" i="51" s="1"/>
  <c r="O34" i="51" s="1"/>
  <c r="O35" i="51" s="1"/>
  <c r="O36" i="51" s="1"/>
  <c r="O40" i="49"/>
  <c r="P37" i="55" l="1"/>
  <c r="N73" i="96"/>
  <c r="N74" i="96" s="1"/>
  <c r="N75" i="96" s="1"/>
  <c r="N76" i="96" s="1"/>
  <c r="N77" i="96" s="1"/>
  <c r="O125" i="105"/>
  <c r="O126" i="105" s="1"/>
  <c r="O127" i="105" s="1"/>
  <c r="O128" i="105" s="1"/>
  <c r="O129" i="105" s="1"/>
  <c r="O130" i="105" s="1"/>
  <c r="O131" i="105" s="1"/>
  <c r="O132" i="105" s="1"/>
  <c r="O133" i="105" s="1"/>
  <c r="O134" i="105" s="1"/>
  <c r="O135" i="105" s="1"/>
  <c r="O136" i="105" s="1"/>
  <c r="O137" i="105" s="1"/>
  <c r="O138" i="105" s="1"/>
  <c r="O139" i="105" s="1"/>
  <c r="O140" i="105" s="1"/>
  <c r="N142" i="105"/>
  <c r="N143" i="105" s="1"/>
  <c r="N144" i="105" s="1"/>
  <c r="N145" i="105" s="1"/>
  <c r="N146" i="105" s="1"/>
  <c r="N147" i="105" s="1"/>
  <c r="N148" i="105" s="1"/>
  <c r="N149" i="105" s="1"/>
  <c r="N150" i="105" s="1"/>
  <c r="N151" i="105" s="1"/>
  <c r="N152" i="105" s="1"/>
  <c r="N153" i="105" s="1"/>
  <c r="O38" i="53"/>
  <c r="P45" i="53" s="1"/>
  <c r="O40" i="57"/>
  <c r="P47" i="57" s="1"/>
  <c r="N49" i="78"/>
  <c r="N50" i="78" s="1"/>
  <c r="N51" i="78" s="1"/>
  <c r="N52" i="78" s="1"/>
  <c r="N53" i="78" s="1"/>
  <c r="N54" i="78" s="1"/>
  <c r="N55" i="78" s="1"/>
  <c r="N56" i="78" s="1"/>
  <c r="N57" i="78" s="1"/>
  <c r="N58" i="78" s="1"/>
  <c r="N59" i="78" s="1"/>
  <c r="N60" i="78" s="1"/>
  <c r="N62" i="78" s="1"/>
  <c r="O69" i="78" s="1"/>
  <c r="O70" i="78" s="1"/>
  <c r="N39" i="74"/>
  <c r="N40" i="74" s="1"/>
  <c r="N41" i="74" s="1"/>
  <c r="N42" i="74" s="1"/>
  <c r="N43" i="74" s="1"/>
  <c r="N44" i="74" s="1"/>
  <c r="N55" i="72"/>
  <c r="N56" i="72" s="1"/>
  <c r="N57" i="72" s="1"/>
  <c r="N58" i="72" s="1"/>
  <c r="N59" i="72" s="1"/>
  <c r="N60" i="72" s="1"/>
  <c r="N61" i="72" s="1"/>
  <c r="N62" i="72" s="1"/>
  <c r="N63" i="72" s="1"/>
  <c r="N64" i="72" s="1"/>
  <c r="N65" i="72" s="1"/>
  <c r="O40" i="72"/>
  <c r="O41" i="72" s="1"/>
  <c r="O42" i="72" s="1"/>
  <c r="O43" i="72" s="1"/>
  <c r="O44" i="72" s="1"/>
  <c r="O45" i="72" s="1"/>
  <c r="O46" i="72" s="1"/>
  <c r="O47" i="72" s="1"/>
  <c r="O48" i="72" s="1"/>
  <c r="N20" i="68"/>
  <c r="N21" i="68" s="1"/>
  <c r="N22" i="68" s="1"/>
  <c r="N23" i="68" s="1"/>
  <c r="N24" i="68" s="1"/>
  <c r="N25" i="68" s="1"/>
  <c r="N26" i="68" s="1"/>
  <c r="N27" i="68" s="1"/>
  <c r="N28" i="68" s="1"/>
  <c r="N29" i="68" s="1"/>
  <c r="N30" i="68" s="1"/>
  <c r="N31" i="68" s="1"/>
  <c r="N32" i="68" s="1"/>
  <c r="N33" i="68" s="1"/>
  <c r="O19" i="68"/>
  <c r="O20" i="68" s="1"/>
  <c r="O21" i="68" s="1"/>
  <c r="O22" i="68" s="1"/>
  <c r="O23" i="68" s="1"/>
  <c r="O24" i="68" s="1"/>
  <c r="O25" i="68" s="1"/>
  <c r="O26" i="68" s="1"/>
  <c r="O27" i="68" s="1"/>
  <c r="O28" i="68" s="1"/>
  <c r="O29" i="68" s="1"/>
  <c r="O30" i="68" s="1"/>
  <c r="O31" i="68" s="1"/>
  <c r="O32" i="68" s="1"/>
  <c r="N28" i="65"/>
  <c r="N29" i="65" s="1"/>
  <c r="N30" i="65" s="1"/>
  <c r="N31" i="65" s="1"/>
  <c r="N32" i="65" s="1"/>
  <c r="N33" i="65" s="1"/>
  <c r="N34" i="65" s="1"/>
  <c r="O28" i="65"/>
  <c r="O29" i="65" s="1"/>
  <c r="O30" i="65" s="1"/>
  <c r="O31" i="65" s="1"/>
  <c r="O32" i="65" s="1"/>
  <c r="O33" i="65" s="1"/>
  <c r="O34" i="65" s="1"/>
  <c r="O19" i="62"/>
  <c r="O20" i="62" s="1"/>
  <c r="O21" i="62" s="1"/>
  <c r="O22" i="62" s="1"/>
  <c r="P19" i="62"/>
  <c r="P20" i="62" s="1"/>
  <c r="P21" i="62" s="1"/>
  <c r="M77" i="62"/>
  <c r="P76" i="62"/>
  <c r="E53" i="59"/>
  <c r="F54" i="59"/>
  <c r="F55" i="59" s="1"/>
  <c r="F52" i="59"/>
  <c r="F53" i="59" s="1"/>
  <c r="O38" i="59"/>
  <c r="O40" i="59" s="1"/>
  <c r="P47" i="59" s="1"/>
  <c r="P38" i="59"/>
  <c r="P39" i="59"/>
  <c r="M40" i="59"/>
  <c r="P39" i="57"/>
  <c r="P48" i="57" s="1"/>
  <c r="P7" i="57"/>
  <c r="P8" i="57" s="1"/>
  <c r="P9" i="57" s="1"/>
  <c r="P10" i="57" s="1"/>
  <c r="P11" i="57" s="1"/>
  <c r="P12" i="57" s="1"/>
  <c r="P13" i="57" s="1"/>
  <c r="P14" i="57" s="1"/>
  <c r="P15" i="57" s="1"/>
  <c r="P16" i="57" s="1"/>
  <c r="P17" i="57" s="1"/>
  <c r="P18" i="57" s="1"/>
  <c r="P19" i="57" s="1"/>
  <c r="P20" i="57" s="1"/>
  <c r="P21" i="57" s="1"/>
  <c r="P22" i="57" s="1"/>
  <c r="P23" i="57" s="1"/>
  <c r="P24" i="57" s="1"/>
  <c r="P25" i="57" s="1"/>
  <c r="P26" i="57" s="1"/>
  <c r="P27" i="57" s="1"/>
  <c r="P28" i="57" s="1"/>
  <c r="P29" i="57" s="1"/>
  <c r="P30" i="57" s="1"/>
  <c r="P31" i="57" s="1"/>
  <c r="P32" i="57" s="1"/>
  <c r="P33" i="57" s="1"/>
  <c r="P34" i="57" s="1"/>
  <c r="P35" i="57" s="1"/>
  <c r="P36" i="57" s="1"/>
  <c r="P37" i="57" s="1"/>
  <c r="P38" i="57" s="1"/>
  <c r="M40" i="57"/>
  <c r="G45" i="57"/>
  <c r="O38" i="55"/>
  <c r="P45" i="55" s="1"/>
  <c r="P46" i="55" s="1"/>
  <c r="P7" i="55"/>
  <c r="P8" i="55" s="1"/>
  <c r="P9" i="55" s="1"/>
  <c r="P10" i="55" s="1"/>
  <c r="P11" i="55" s="1"/>
  <c r="P12" i="55" s="1"/>
  <c r="P13" i="55" s="1"/>
  <c r="P14" i="55" s="1"/>
  <c r="P15" i="55" s="1"/>
  <c r="P16" i="55" s="1"/>
  <c r="P17" i="55" s="1"/>
  <c r="P18" i="55" s="1"/>
  <c r="P19" i="55" s="1"/>
  <c r="P20" i="55" s="1"/>
  <c r="P21" i="55" s="1"/>
  <c r="P22" i="55" s="1"/>
  <c r="P23" i="55" s="1"/>
  <c r="P24" i="55" s="1"/>
  <c r="P25" i="55" s="1"/>
  <c r="P26" i="55" s="1"/>
  <c r="P27" i="55" s="1"/>
  <c r="P28" i="55" s="1"/>
  <c r="P29" i="55" s="1"/>
  <c r="P30" i="55" s="1"/>
  <c r="P31" i="55" s="1"/>
  <c r="P32" i="55" s="1"/>
  <c r="P33" i="55" s="1"/>
  <c r="P34" i="55" s="1"/>
  <c r="P35" i="55" s="1"/>
  <c r="P36" i="55" s="1"/>
  <c r="F43" i="55"/>
  <c r="G43" i="55" s="1"/>
  <c r="M38" i="55"/>
  <c r="P37" i="53"/>
  <c r="P46" i="53" s="1"/>
  <c r="P7" i="53"/>
  <c r="P8" i="53" s="1"/>
  <c r="P9" i="53" s="1"/>
  <c r="P10" i="53" s="1"/>
  <c r="P11" i="53" s="1"/>
  <c r="P12" i="53" s="1"/>
  <c r="P13" i="53" s="1"/>
  <c r="P14" i="53" s="1"/>
  <c r="P15" i="53" s="1"/>
  <c r="P16" i="53" s="1"/>
  <c r="P17" i="53" s="1"/>
  <c r="P18" i="53" s="1"/>
  <c r="P19" i="53" s="1"/>
  <c r="P20" i="53" s="1"/>
  <c r="P21" i="53" s="1"/>
  <c r="P22" i="53" s="1"/>
  <c r="P23" i="53" s="1"/>
  <c r="P24" i="53" s="1"/>
  <c r="P25" i="53" s="1"/>
  <c r="P26" i="53" s="1"/>
  <c r="P27" i="53" s="1"/>
  <c r="P28" i="53" s="1"/>
  <c r="P29" i="53" s="1"/>
  <c r="P30" i="53" s="1"/>
  <c r="P31" i="53" s="1"/>
  <c r="P32" i="53" s="1"/>
  <c r="P33" i="53" s="1"/>
  <c r="P34" i="53" s="1"/>
  <c r="P35" i="53" s="1"/>
  <c r="P36" i="53" s="1"/>
  <c r="F43" i="53"/>
  <c r="G43" i="53" s="1"/>
  <c r="M38" i="53"/>
  <c r="F43" i="51"/>
  <c r="G43" i="51" s="1"/>
  <c r="O38" i="51"/>
  <c r="P45" i="51" s="1"/>
  <c r="P37" i="51"/>
  <c r="P46" i="51" s="1"/>
  <c r="M38" i="51"/>
  <c r="P7" i="51"/>
  <c r="P8" i="51" s="1"/>
  <c r="P9" i="51" s="1"/>
  <c r="P10" i="51" s="1"/>
  <c r="P11" i="51" s="1"/>
  <c r="P12" i="51" s="1"/>
  <c r="P13" i="51" s="1"/>
  <c r="P14" i="51" s="1"/>
  <c r="P15" i="51" s="1"/>
  <c r="P16" i="51" s="1"/>
  <c r="P17" i="51" s="1"/>
  <c r="P18" i="51" s="1"/>
  <c r="P19" i="51" s="1"/>
  <c r="P20" i="51" s="1"/>
  <c r="P21" i="51" s="1"/>
  <c r="P22" i="51" s="1"/>
  <c r="P23" i="51" s="1"/>
  <c r="P24" i="51" s="1"/>
  <c r="P25" i="51" s="1"/>
  <c r="P26" i="51" s="1"/>
  <c r="P27" i="51" s="1"/>
  <c r="P28" i="51" s="1"/>
  <c r="P29" i="51" s="1"/>
  <c r="P30" i="51" s="1"/>
  <c r="P31" i="51" s="1"/>
  <c r="P32" i="51" s="1"/>
  <c r="P33" i="51" s="1"/>
  <c r="P34" i="51" s="1"/>
  <c r="P35" i="51" s="1"/>
  <c r="P36" i="51" s="1"/>
  <c r="M37" i="49"/>
  <c r="J37" i="49"/>
  <c r="C37" i="49"/>
  <c r="P7" i="49" s="1"/>
  <c r="P8" i="49" s="1"/>
  <c r="P9" i="49" s="1"/>
  <c r="P10" i="49" s="1"/>
  <c r="P11" i="49" s="1"/>
  <c r="P12" i="49" s="1"/>
  <c r="P13" i="49" s="1"/>
  <c r="P14" i="49" s="1"/>
  <c r="P15" i="49" s="1"/>
  <c r="P16" i="49" s="1"/>
  <c r="P17" i="49" s="1"/>
  <c r="P18" i="49" s="1"/>
  <c r="P19" i="49" s="1"/>
  <c r="P20" i="49" s="1"/>
  <c r="P21" i="49" s="1"/>
  <c r="P22" i="49" s="1"/>
  <c r="P23" i="49" s="1"/>
  <c r="P24" i="49" s="1"/>
  <c r="P25" i="49" s="1"/>
  <c r="P26" i="49" s="1"/>
  <c r="P27" i="49" s="1"/>
  <c r="P28" i="49" s="1"/>
  <c r="P29" i="49" s="1"/>
  <c r="P30" i="49" s="1"/>
  <c r="P31" i="49" s="1"/>
  <c r="P32" i="49" s="1"/>
  <c r="P33" i="49" s="1"/>
  <c r="P34" i="49" s="1"/>
  <c r="P35" i="49" s="1"/>
  <c r="P36" i="49" s="1"/>
  <c r="O7" i="49"/>
  <c r="O8" i="49" s="1"/>
  <c r="O9" i="49" s="1"/>
  <c r="K46" i="46"/>
  <c r="B55" i="46"/>
  <c r="H23" i="46"/>
  <c r="O39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M37" i="46"/>
  <c r="J37" i="46"/>
  <c r="C37" i="46"/>
  <c r="P7" i="46" s="1"/>
  <c r="P8" i="46" s="1"/>
  <c r="P9" i="46" s="1"/>
  <c r="P10" i="46" s="1"/>
  <c r="P11" i="46" s="1"/>
  <c r="P12" i="46" s="1"/>
  <c r="P13" i="46" s="1"/>
  <c r="P14" i="46" s="1"/>
  <c r="P15" i="46" s="1"/>
  <c r="P16" i="46" s="1"/>
  <c r="P17" i="46" s="1"/>
  <c r="P18" i="46" s="1"/>
  <c r="P19" i="46" s="1"/>
  <c r="P20" i="46" s="1"/>
  <c r="P21" i="46" s="1"/>
  <c r="P22" i="46" s="1"/>
  <c r="O7" i="46"/>
  <c r="O8" i="46" s="1"/>
  <c r="O9" i="46" s="1"/>
  <c r="O10" i="46" s="1"/>
  <c r="O11" i="46" s="1"/>
  <c r="O12" i="46" s="1"/>
  <c r="O13" i="46" s="1"/>
  <c r="O14" i="46" s="1"/>
  <c r="O15" i="46" s="1"/>
  <c r="O16" i="46" s="1"/>
  <c r="B125" i="44"/>
  <c r="B118" i="44"/>
  <c r="K104" i="44"/>
  <c r="K97" i="44"/>
  <c r="D109" i="44"/>
  <c r="E109" i="44" s="1"/>
  <c r="D110" i="44"/>
  <c r="E110" i="44" s="1"/>
  <c r="D111" i="44"/>
  <c r="E111" i="44" s="1"/>
  <c r="D112" i="44"/>
  <c r="E112" i="44" s="1"/>
  <c r="D113" i="44"/>
  <c r="E113" i="44" s="1"/>
  <c r="D114" i="44"/>
  <c r="E114" i="44" s="1"/>
  <c r="D115" i="44"/>
  <c r="E115" i="44" s="1"/>
  <c r="D116" i="44"/>
  <c r="E116" i="44" s="1"/>
  <c r="D117" i="44"/>
  <c r="E117" i="44" s="1"/>
  <c r="D119" i="44"/>
  <c r="E119" i="44" s="1"/>
  <c r="D120" i="44"/>
  <c r="E120" i="44" s="1"/>
  <c r="D121" i="44"/>
  <c r="E121" i="44" s="1"/>
  <c r="D122" i="44"/>
  <c r="E122" i="44" s="1"/>
  <c r="D123" i="44"/>
  <c r="E123" i="44" s="1"/>
  <c r="D124" i="44"/>
  <c r="E124" i="44" s="1"/>
  <c r="D107" i="44"/>
  <c r="E107" i="44" s="1"/>
  <c r="D108" i="44"/>
  <c r="E108" i="44" s="1"/>
  <c r="O85" i="44"/>
  <c r="N78" i="96" l="1"/>
  <c r="N79" i="96" s="1"/>
  <c r="N80" i="96" s="1"/>
  <c r="N81" i="96" s="1"/>
  <c r="N82" i="96" s="1"/>
  <c r="N83" i="96" s="1"/>
  <c r="N154" i="105"/>
  <c r="N155" i="105" s="1"/>
  <c r="N156" i="105" s="1"/>
  <c r="N157" i="105" s="1"/>
  <c r="N158" i="105" s="1"/>
  <c r="N159" i="105" s="1"/>
  <c r="N160" i="105" s="1"/>
  <c r="N161" i="105" s="1"/>
  <c r="N162" i="105" s="1"/>
  <c r="N163" i="105" s="1"/>
  <c r="N164" i="105" s="1"/>
  <c r="N165" i="105" s="1"/>
  <c r="N166" i="105" s="1"/>
  <c r="N167" i="105" s="1"/>
  <c r="N168" i="105" s="1"/>
  <c r="N169" i="105" s="1"/>
  <c r="N170" i="105" s="1"/>
  <c r="N172" i="105" s="1"/>
  <c r="O179" i="105" s="1"/>
  <c r="O180" i="105" s="1"/>
  <c r="O141" i="105"/>
  <c r="O142" i="105" s="1"/>
  <c r="O143" i="105" s="1"/>
  <c r="O144" i="105" s="1"/>
  <c r="O145" i="105" s="1"/>
  <c r="O146" i="105" s="1"/>
  <c r="O147" i="105" s="1"/>
  <c r="O148" i="105" s="1"/>
  <c r="O149" i="105" s="1"/>
  <c r="O150" i="105" s="1"/>
  <c r="O151" i="105" s="1"/>
  <c r="O152" i="105" s="1"/>
  <c r="O153" i="105" s="1"/>
  <c r="P23" i="46"/>
  <c r="P24" i="46" s="1"/>
  <c r="P25" i="46" s="1"/>
  <c r="P26" i="46" s="1"/>
  <c r="P27" i="46" s="1"/>
  <c r="P28" i="46" s="1"/>
  <c r="P29" i="46" s="1"/>
  <c r="P30" i="46" s="1"/>
  <c r="P31" i="46" s="1"/>
  <c r="P32" i="46" s="1"/>
  <c r="P33" i="46" s="1"/>
  <c r="P34" i="46" s="1"/>
  <c r="P35" i="46" s="1"/>
  <c r="P36" i="46" s="1"/>
  <c r="H37" i="46"/>
  <c r="N45" i="74"/>
  <c r="N46" i="74" s="1"/>
  <c r="N47" i="74" s="1"/>
  <c r="N48" i="74" s="1"/>
  <c r="N49" i="74" s="1"/>
  <c r="N66" i="72"/>
  <c r="N67" i="72" s="1"/>
  <c r="N68" i="72" s="1"/>
  <c r="N69" i="72" s="1"/>
  <c r="O49" i="72"/>
  <c r="O50" i="72" s="1"/>
  <c r="O51" i="72" s="1"/>
  <c r="O52" i="72" s="1"/>
  <c r="O53" i="72" s="1"/>
  <c r="N34" i="68"/>
  <c r="N35" i="68" s="1"/>
  <c r="O33" i="68"/>
  <c r="O34" i="68" s="1"/>
  <c r="N35" i="65"/>
  <c r="O35" i="65"/>
  <c r="O36" i="65" s="1"/>
  <c r="O37" i="65" s="1"/>
  <c r="O38" i="65" s="1"/>
  <c r="O39" i="65" s="1"/>
  <c r="O40" i="65" s="1"/>
  <c r="O23" i="62"/>
  <c r="O24" i="62" s="1"/>
  <c r="P22" i="62"/>
  <c r="P23" i="62" s="1"/>
  <c r="P24" i="62" s="1"/>
  <c r="G52" i="59"/>
  <c r="G53" i="59" s="1"/>
  <c r="G54" i="59"/>
  <c r="G55" i="59" s="1"/>
  <c r="P48" i="59"/>
  <c r="O10" i="49"/>
  <c r="O11" i="49" s="1"/>
  <c r="O12" i="49" s="1"/>
  <c r="O13" i="49" s="1"/>
  <c r="O14" i="49" s="1"/>
  <c r="O15" i="49" s="1"/>
  <c r="O16" i="49" s="1"/>
  <c r="O17" i="49" s="1"/>
  <c r="O18" i="49" s="1"/>
  <c r="O19" i="49" s="1"/>
  <c r="O20" i="49" s="1"/>
  <c r="O21" i="49" s="1"/>
  <c r="O22" i="49" s="1"/>
  <c r="O23" i="49" s="1"/>
  <c r="O24" i="49" s="1"/>
  <c r="O25" i="49" s="1"/>
  <c r="O26" i="49" s="1"/>
  <c r="O27" i="49" s="1"/>
  <c r="O28" i="49" s="1"/>
  <c r="O29" i="49" s="1"/>
  <c r="O30" i="49" s="1"/>
  <c r="O31" i="49" s="1"/>
  <c r="O32" i="49" s="1"/>
  <c r="O33" i="49" s="1"/>
  <c r="O34" i="49" s="1"/>
  <c r="O35" i="49" s="1"/>
  <c r="O36" i="49" s="1"/>
  <c r="O38" i="49" s="1"/>
  <c r="P45" i="49" s="1"/>
  <c r="M38" i="49"/>
  <c r="H37" i="49"/>
  <c r="P37" i="49" s="1"/>
  <c r="E55" i="46"/>
  <c r="O17" i="46"/>
  <c r="O18" i="46" s="1"/>
  <c r="O19" i="46" s="1"/>
  <c r="O20" i="46" s="1"/>
  <c r="O21" i="46" s="1"/>
  <c r="O22" i="46" s="1"/>
  <c r="O23" i="46" s="1"/>
  <c r="O24" i="46" s="1"/>
  <c r="M38" i="46"/>
  <c r="P37" i="46"/>
  <c r="F49" i="46"/>
  <c r="F53" i="46"/>
  <c r="G53" i="46" s="1"/>
  <c r="F51" i="46"/>
  <c r="G51" i="46" s="1"/>
  <c r="F50" i="46"/>
  <c r="G50" i="46" s="1"/>
  <c r="F52" i="46"/>
  <c r="G52" i="46" s="1"/>
  <c r="F54" i="46"/>
  <c r="G54" i="46" s="1"/>
  <c r="E125" i="44"/>
  <c r="E118" i="44"/>
  <c r="F123" i="44"/>
  <c r="G123" i="44" s="1"/>
  <c r="F121" i="44"/>
  <c r="G121" i="44" s="1"/>
  <c r="F119" i="44"/>
  <c r="F117" i="44"/>
  <c r="G117" i="44" s="1"/>
  <c r="F115" i="44"/>
  <c r="G115" i="44" s="1"/>
  <c r="F113" i="44"/>
  <c r="G113" i="44" s="1"/>
  <c r="F111" i="44"/>
  <c r="G111" i="44" s="1"/>
  <c r="F109" i="44"/>
  <c r="G109" i="44" s="1"/>
  <c r="F124" i="44"/>
  <c r="G124" i="44" s="1"/>
  <c r="F122" i="44"/>
  <c r="G122" i="44" s="1"/>
  <c r="F120" i="44"/>
  <c r="G120" i="44" s="1"/>
  <c r="F116" i="44"/>
  <c r="G116" i="44" s="1"/>
  <c r="F114" i="44"/>
  <c r="G114" i="44" s="1"/>
  <c r="F112" i="44"/>
  <c r="G112" i="44" s="1"/>
  <c r="F110" i="44"/>
  <c r="G110" i="44" s="1"/>
  <c r="F107" i="44"/>
  <c r="F108" i="44"/>
  <c r="G108" i="44" s="1"/>
  <c r="M83" i="44"/>
  <c r="J83" i="44"/>
  <c r="H83" i="44"/>
  <c r="C83" i="44"/>
  <c r="O7" i="44"/>
  <c r="O8" i="44" s="1"/>
  <c r="O9" i="44" s="1"/>
  <c r="D129" i="41"/>
  <c r="E129" i="41" s="1"/>
  <c r="F129" i="41" s="1"/>
  <c r="K120" i="41"/>
  <c r="K125" i="41"/>
  <c r="C127" i="41"/>
  <c r="D127" i="41" s="1"/>
  <c r="E127" i="41" s="1"/>
  <c r="C128" i="41"/>
  <c r="D128" i="41" s="1"/>
  <c r="E128" i="41" s="1"/>
  <c r="F128" i="41" s="1"/>
  <c r="C130" i="41"/>
  <c r="D130" i="41" s="1"/>
  <c r="E130" i="41" s="1"/>
  <c r="F130" i="41" s="1"/>
  <c r="C131" i="41"/>
  <c r="D131" i="41" s="1"/>
  <c r="E131" i="41" s="1"/>
  <c r="F131" i="41" s="1"/>
  <c r="C132" i="41"/>
  <c r="D132" i="41" s="1"/>
  <c r="E132" i="41" s="1"/>
  <c r="F132" i="41" s="1"/>
  <c r="C133" i="41"/>
  <c r="D133" i="41" s="1"/>
  <c r="E133" i="41" s="1"/>
  <c r="F133" i="41" s="1"/>
  <c r="C134" i="41"/>
  <c r="D134" i="41" s="1"/>
  <c r="E134" i="41" s="1"/>
  <c r="F134" i="41" s="1"/>
  <c r="C135" i="41"/>
  <c r="D135" i="41" s="1"/>
  <c r="E135" i="41" s="1"/>
  <c r="F135" i="41" s="1"/>
  <c r="C136" i="41"/>
  <c r="D136" i="41" s="1"/>
  <c r="E136" i="41" s="1"/>
  <c r="F136" i="41" s="1"/>
  <c r="C137" i="41"/>
  <c r="D137" i="41" s="1"/>
  <c r="E137" i="41" s="1"/>
  <c r="F137" i="41" s="1"/>
  <c r="C138" i="41"/>
  <c r="D138" i="41" s="1"/>
  <c r="E138" i="41" s="1"/>
  <c r="F138" i="41" s="1"/>
  <c r="B139" i="41"/>
  <c r="C140" i="41"/>
  <c r="D140" i="41" s="1"/>
  <c r="E140" i="41" s="1"/>
  <c r="D141" i="41"/>
  <c r="E141" i="41" s="1"/>
  <c r="F141" i="41" s="1"/>
  <c r="C142" i="41"/>
  <c r="D142" i="41" s="1"/>
  <c r="C143" i="41"/>
  <c r="D143" i="41" s="1"/>
  <c r="B144" i="41"/>
  <c r="B24" i="42"/>
  <c r="N84" i="96" l="1"/>
  <c r="N85" i="96" s="1"/>
  <c r="N36" i="65"/>
  <c r="N37" i="65" s="1"/>
  <c r="N38" i="65" s="1"/>
  <c r="N39" i="65" s="1"/>
  <c r="N40" i="65" s="1"/>
  <c r="N41" i="65" s="1"/>
  <c r="N42" i="65" s="1"/>
  <c r="N43" i="65" s="1"/>
  <c r="N44" i="65" s="1"/>
  <c r="N45" i="65" s="1"/>
  <c r="N46" i="65" s="1"/>
  <c r="N47" i="65" s="1"/>
  <c r="O154" i="105"/>
  <c r="O155" i="105" s="1"/>
  <c r="O156" i="105" s="1"/>
  <c r="O157" i="105" s="1"/>
  <c r="O158" i="105" s="1"/>
  <c r="O159" i="105" s="1"/>
  <c r="O160" i="105" s="1"/>
  <c r="O161" i="105" s="1"/>
  <c r="O162" i="105" s="1"/>
  <c r="O163" i="105" s="1"/>
  <c r="O164" i="105" s="1"/>
  <c r="O165" i="105" s="1"/>
  <c r="O166" i="105" s="1"/>
  <c r="O167" i="105" s="1"/>
  <c r="O168" i="105" s="1"/>
  <c r="O169" i="105" s="1"/>
  <c r="O170" i="105" s="1"/>
  <c r="E139" i="41"/>
  <c r="D144" i="41"/>
  <c r="D139" i="41"/>
  <c r="N50" i="74"/>
  <c r="N51" i="74" s="1"/>
  <c r="N52" i="74" s="1"/>
  <c r="N53" i="74" s="1"/>
  <c r="N70" i="72"/>
  <c r="N71" i="72" s="1"/>
  <c r="N72" i="72" s="1"/>
  <c r="N73" i="72" s="1"/>
  <c r="N74" i="72" s="1"/>
  <c r="N75" i="72" s="1"/>
  <c r="N76" i="72" s="1"/>
  <c r="N77" i="72" s="1"/>
  <c r="N78" i="72" s="1"/>
  <c r="N79" i="72" s="1"/>
  <c r="N80" i="72" s="1"/>
  <c r="N81" i="72" s="1"/>
  <c r="N82" i="72" s="1"/>
  <c r="N83" i="72" s="1"/>
  <c r="N84" i="72" s="1"/>
  <c r="N85" i="72" s="1"/>
  <c r="N86" i="72" s="1"/>
  <c r="O54" i="72"/>
  <c r="O55" i="72" s="1"/>
  <c r="O56" i="72" s="1"/>
  <c r="O57" i="72" s="1"/>
  <c r="O58" i="72" s="1"/>
  <c r="O59" i="72" s="1"/>
  <c r="O60" i="72" s="1"/>
  <c r="O61" i="72" s="1"/>
  <c r="O62" i="72" s="1"/>
  <c r="O63" i="72" s="1"/>
  <c r="O64" i="72" s="1"/>
  <c r="N36" i="68"/>
  <c r="N37" i="68" s="1"/>
  <c r="O35" i="68"/>
  <c r="O36" i="68" s="1"/>
  <c r="O41" i="65"/>
  <c r="O42" i="65" s="1"/>
  <c r="O43" i="65" s="1"/>
  <c r="O44" i="65" s="1"/>
  <c r="O45" i="65" s="1"/>
  <c r="O46" i="65" s="1"/>
  <c r="O25" i="62"/>
  <c r="O26" i="62" s="1"/>
  <c r="O27" i="62" s="1"/>
  <c r="O28" i="62" s="1"/>
  <c r="O29" i="62" s="1"/>
  <c r="O30" i="62" s="1"/>
  <c r="P25" i="62"/>
  <c r="P26" i="62" s="1"/>
  <c r="P27" i="62" s="1"/>
  <c r="P28" i="62" s="1"/>
  <c r="P29" i="62" s="1"/>
  <c r="P46" i="49"/>
  <c r="F55" i="46"/>
  <c r="G49" i="46"/>
  <c r="G55" i="46" s="1"/>
  <c r="O25" i="46"/>
  <c r="O26" i="46" s="1"/>
  <c r="O27" i="46" s="1"/>
  <c r="O28" i="46" s="1"/>
  <c r="F118" i="44"/>
  <c r="G119" i="44"/>
  <c r="G125" i="44" s="1"/>
  <c r="F125" i="44"/>
  <c r="G107" i="44"/>
  <c r="G118" i="44" s="1"/>
  <c r="O10" i="44"/>
  <c r="O11" i="44" s="1"/>
  <c r="M84" i="44"/>
  <c r="P83" i="44"/>
  <c r="P7" i="44"/>
  <c r="P8" i="44" s="1"/>
  <c r="P9" i="44" s="1"/>
  <c r="P10" i="44" s="1"/>
  <c r="P11" i="44" s="1"/>
  <c r="E143" i="41"/>
  <c r="F143" i="41" s="1"/>
  <c r="F140" i="41"/>
  <c r="E142" i="41"/>
  <c r="F127" i="41"/>
  <c r="F139" i="41" s="1"/>
  <c r="E144" i="41" l="1"/>
  <c r="N86" i="96"/>
  <c r="N87" i="96" s="1"/>
  <c r="N88" i="96" s="1"/>
  <c r="N89" i="96" s="1"/>
  <c r="N90" i="96" s="1"/>
  <c r="N91" i="96" s="1"/>
  <c r="N92" i="96" s="1"/>
  <c r="N54" i="74"/>
  <c r="N55" i="74" s="1"/>
  <c r="N56" i="74" s="1"/>
  <c r="N57" i="74" s="1"/>
  <c r="N58" i="74" s="1"/>
  <c r="N59" i="74" s="1"/>
  <c r="N60" i="74" s="1"/>
  <c r="N61" i="74" s="1"/>
  <c r="N87" i="72"/>
  <c r="N88" i="72" s="1"/>
  <c r="N89" i="72" s="1"/>
  <c r="N90" i="72" s="1"/>
  <c r="N91" i="72" s="1"/>
  <c r="N92" i="72" s="1"/>
  <c r="N93" i="72" s="1"/>
  <c r="N94" i="72" s="1"/>
  <c r="N95" i="72" s="1"/>
  <c r="N96" i="72" s="1"/>
  <c r="N97" i="72" s="1"/>
  <c r="N98" i="72" s="1"/>
  <c r="N99" i="72" s="1"/>
  <c r="N100" i="72" s="1"/>
  <c r="N101" i="72" s="1"/>
  <c r="N102" i="72" s="1"/>
  <c r="N103" i="72" s="1"/>
  <c r="N104" i="72" s="1"/>
  <c r="N105" i="72" s="1"/>
  <c r="N106" i="72" s="1"/>
  <c r="N107" i="72" s="1"/>
  <c r="O65" i="72"/>
  <c r="O66" i="72" s="1"/>
  <c r="O67" i="72" s="1"/>
  <c r="O68" i="72" s="1"/>
  <c r="O69" i="72" s="1"/>
  <c r="N38" i="68"/>
  <c r="N39" i="68" s="1"/>
  <c r="N40" i="68" s="1"/>
  <c r="N41" i="68" s="1"/>
  <c r="N42" i="68" s="1"/>
  <c r="N43" i="68" s="1"/>
  <c r="N44" i="68" s="1"/>
  <c r="N45" i="68" s="1"/>
  <c r="N46" i="68" s="1"/>
  <c r="N47" i="68" s="1"/>
  <c r="N48" i="68" s="1"/>
  <c r="N49" i="68" s="1"/>
  <c r="O37" i="68"/>
  <c r="O38" i="68" s="1"/>
  <c r="O39" i="68" s="1"/>
  <c r="O40" i="68" s="1"/>
  <c r="O41" i="68" s="1"/>
  <c r="O42" i="68" s="1"/>
  <c r="O43" i="68" s="1"/>
  <c r="O44" i="68" s="1"/>
  <c r="O45" i="68" s="1"/>
  <c r="O46" i="68" s="1"/>
  <c r="O47" i="68" s="1"/>
  <c r="O48" i="68" s="1"/>
  <c r="O49" i="68" s="1"/>
  <c r="N48" i="65"/>
  <c r="N49" i="65" s="1"/>
  <c r="O47" i="65"/>
  <c r="O48" i="65" s="1"/>
  <c r="O31" i="62"/>
  <c r="O32" i="62" s="1"/>
  <c r="P30" i="62"/>
  <c r="P31" i="62" s="1"/>
  <c r="O29" i="46"/>
  <c r="O30" i="46" s="1"/>
  <c r="O31" i="46" s="1"/>
  <c r="O32" i="46" s="1"/>
  <c r="O33" i="46" s="1"/>
  <c r="O34" i="46" s="1"/>
  <c r="O35" i="46" s="1"/>
  <c r="O36" i="46" s="1"/>
  <c r="O38" i="46" s="1"/>
  <c r="P45" i="46" s="1"/>
  <c r="P46" i="46" s="1"/>
  <c r="P12" i="44"/>
  <c r="P13" i="44" s="1"/>
  <c r="P14" i="44" s="1"/>
  <c r="P15" i="44" s="1"/>
  <c r="P16" i="44" s="1"/>
  <c r="P17" i="44" s="1"/>
  <c r="P18" i="44" s="1"/>
  <c r="P19" i="44" s="1"/>
  <c r="P20" i="44" s="1"/>
  <c r="P21" i="44" s="1"/>
  <c r="O12" i="44"/>
  <c r="O13" i="44" s="1"/>
  <c r="O14" i="44" s="1"/>
  <c r="O15" i="44" s="1"/>
  <c r="O16" i="44" s="1"/>
  <c r="O17" i="44" s="1"/>
  <c r="O18" i="44" s="1"/>
  <c r="O19" i="44" s="1"/>
  <c r="O20" i="44" s="1"/>
  <c r="O21" i="44" s="1"/>
  <c r="O22" i="44" s="1"/>
  <c r="F142" i="41"/>
  <c r="F144" i="41" s="1"/>
  <c r="N93" i="96" l="1"/>
  <c r="N94" i="96" s="1"/>
  <c r="N95" i="96" s="1"/>
  <c r="N96" i="96" s="1"/>
  <c r="N97" i="96" s="1"/>
  <c r="N98" i="96" s="1"/>
  <c r="N99" i="96" s="1"/>
  <c r="N100" i="96" s="1"/>
  <c r="N101" i="96" s="1"/>
  <c r="N103" i="96" s="1"/>
  <c r="O110" i="96" s="1"/>
  <c r="O111" i="96" s="1"/>
  <c r="N62" i="74"/>
  <c r="N63" i="74" s="1"/>
  <c r="N64" i="74" s="1"/>
  <c r="N65" i="74" s="1"/>
  <c r="N66" i="74" s="1"/>
  <c r="N67" i="74" s="1"/>
  <c r="N68" i="74" s="1"/>
  <c r="N69" i="74" s="1"/>
  <c r="N70" i="74" s="1"/>
  <c r="N71" i="74" s="1"/>
  <c r="N108" i="72"/>
  <c r="N109" i="72" s="1"/>
  <c r="N110" i="72" s="1"/>
  <c r="N111" i="72" s="1"/>
  <c r="N112" i="72" s="1"/>
  <c r="N113" i="72" s="1"/>
  <c r="N114" i="72" s="1"/>
  <c r="N115" i="72" s="1"/>
  <c r="N116" i="72" s="1"/>
  <c r="N117" i="72" s="1"/>
  <c r="N118" i="72" s="1"/>
  <c r="O70" i="72"/>
  <c r="O71" i="72" s="1"/>
  <c r="O72" i="72" s="1"/>
  <c r="O73" i="72" s="1"/>
  <c r="O74" i="72" s="1"/>
  <c r="O75" i="72" s="1"/>
  <c r="O76" i="72" s="1"/>
  <c r="O77" i="72" s="1"/>
  <c r="O78" i="72" s="1"/>
  <c r="O79" i="72" s="1"/>
  <c r="O80" i="72" s="1"/>
  <c r="O81" i="72" s="1"/>
  <c r="O82" i="72" s="1"/>
  <c r="O83" i="72" s="1"/>
  <c r="O84" i="72" s="1"/>
  <c r="O85" i="72" s="1"/>
  <c r="O86" i="72" s="1"/>
  <c r="N50" i="68"/>
  <c r="N51" i="68" s="1"/>
  <c r="N52" i="68" s="1"/>
  <c r="N53" i="68" s="1"/>
  <c r="O50" i="68"/>
  <c r="O51" i="68" s="1"/>
  <c r="O52" i="68" s="1"/>
  <c r="N50" i="65"/>
  <c r="N51" i="65" s="1"/>
  <c r="N52" i="65" s="1"/>
  <c r="N53" i="65" s="1"/>
  <c r="N54" i="65" s="1"/>
  <c r="N55" i="65" s="1"/>
  <c r="N56" i="65" s="1"/>
  <c r="N57" i="65" s="1"/>
  <c r="N58" i="65" s="1"/>
  <c r="O49" i="65"/>
  <c r="O50" i="65" s="1"/>
  <c r="O51" i="65" s="1"/>
  <c r="O52" i="65" s="1"/>
  <c r="O53" i="65" s="1"/>
  <c r="O54" i="65" s="1"/>
  <c r="O55" i="65" s="1"/>
  <c r="O56" i="65" s="1"/>
  <c r="O57" i="65" s="1"/>
  <c r="O33" i="62"/>
  <c r="O34" i="62" s="1"/>
  <c r="O35" i="62" s="1"/>
  <c r="O36" i="62" s="1"/>
  <c r="O37" i="62" s="1"/>
  <c r="P32" i="62"/>
  <c r="P33" i="62" s="1"/>
  <c r="P34" i="62" s="1"/>
  <c r="P35" i="62" s="1"/>
  <c r="P36" i="62" s="1"/>
  <c r="P22" i="44"/>
  <c r="P23" i="44" s="1"/>
  <c r="O23" i="44"/>
  <c r="O24" i="44" s="1"/>
  <c r="O111" i="41"/>
  <c r="O110" i="41"/>
  <c r="O109" i="41"/>
  <c r="O108" i="41"/>
  <c r="M106" i="41"/>
  <c r="J106" i="41"/>
  <c r="H106" i="41"/>
  <c r="C106" i="41"/>
  <c r="P7" i="41" s="1"/>
  <c r="P8" i="41" s="1"/>
  <c r="P9" i="41" s="1"/>
  <c r="P10" i="41" s="1"/>
  <c r="O7" i="41"/>
  <c r="O8" i="41" s="1"/>
  <c r="O9" i="41" s="1"/>
  <c r="O10" i="41" s="1"/>
  <c r="N72" i="74" l="1"/>
  <c r="N73" i="74" s="1"/>
  <c r="N119" i="72"/>
  <c r="N120" i="72" s="1"/>
  <c r="N121" i="72" s="1"/>
  <c r="N122" i="72" s="1"/>
  <c r="N123" i="72" s="1"/>
  <c r="O87" i="72"/>
  <c r="O88" i="72" s="1"/>
  <c r="O89" i="72" s="1"/>
  <c r="O90" i="72" s="1"/>
  <c r="O91" i="72" s="1"/>
  <c r="O92" i="72" s="1"/>
  <c r="O93" i="72" s="1"/>
  <c r="O94" i="72" s="1"/>
  <c r="O95" i="72" s="1"/>
  <c r="O96" i="72" s="1"/>
  <c r="O97" i="72" s="1"/>
  <c r="O98" i="72" s="1"/>
  <c r="O99" i="72" s="1"/>
  <c r="O100" i="72" s="1"/>
  <c r="O101" i="72" s="1"/>
  <c r="O102" i="72" s="1"/>
  <c r="O103" i="72" s="1"/>
  <c r="O104" i="72" s="1"/>
  <c r="O105" i="72" s="1"/>
  <c r="O106" i="72" s="1"/>
  <c r="O107" i="72" s="1"/>
  <c r="N54" i="68"/>
  <c r="N55" i="68" s="1"/>
  <c r="N56" i="68" s="1"/>
  <c r="N57" i="68" s="1"/>
  <c r="N58" i="68" s="1"/>
  <c r="N59" i="68" s="1"/>
  <c r="N60" i="68" s="1"/>
  <c r="N61" i="68" s="1"/>
  <c r="N62" i="68" s="1"/>
  <c r="N63" i="68" s="1"/>
  <c r="N64" i="68" s="1"/>
  <c r="N65" i="68" s="1"/>
  <c r="N66" i="68" s="1"/>
  <c r="O53" i="68"/>
  <c r="O54" i="68" s="1"/>
  <c r="O55" i="68" s="1"/>
  <c r="O56" i="68" s="1"/>
  <c r="O57" i="68" s="1"/>
  <c r="O58" i="68" s="1"/>
  <c r="O59" i="68" s="1"/>
  <c r="O60" i="68" s="1"/>
  <c r="O61" i="68" s="1"/>
  <c r="O62" i="68" s="1"/>
  <c r="O63" i="68" s="1"/>
  <c r="O64" i="68" s="1"/>
  <c r="O65" i="68" s="1"/>
  <c r="N59" i="65"/>
  <c r="N60" i="65" s="1"/>
  <c r="N61" i="65" s="1"/>
  <c r="N62" i="65" s="1"/>
  <c r="O58" i="65"/>
  <c r="O59" i="65" s="1"/>
  <c r="O60" i="65" s="1"/>
  <c r="O61" i="65" s="1"/>
  <c r="O38" i="62"/>
  <c r="O39" i="62" s="1"/>
  <c r="O40" i="62" s="1"/>
  <c r="O41" i="62" s="1"/>
  <c r="P37" i="62"/>
  <c r="P38" i="62" s="1"/>
  <c r="P39" i="62" s="1"/>
  <c r="P40" i="62" s="1"/>
  <c r="P41" i="62" s="1"/>
  <c r="P24" i="44"/>
  <c r="P25" i="44" s="1"/>
  <c r="P26" i="44" s="1"/>
  <c r="P27" i="44" s="1"/>
  <c r="P28" i="44" s="1"/>
  <c r="P29" i="44" s="1"/>
  <c r="O25" i="44"/>
  <c r="O26" i="44" s="1"/>
  <c r="O27" i="44" s="1"/>
  <c r="O28" i="44" s="1"/>
  <c r="O29" i="44" s="1"/>
  <c r="O30" i="44" s="1"/>
  <c r="O11" i="41"/>
  <c r="O12" i="41" s="1"/>
  <c r="O13" i="41" s="1"/>
  <c r="O14" i="41" s="1"/>
  <c r="O15" i="41" s="1"/>
  <c r="O16" i="41" s="1"/>
  <c r="O17" i="41" s="1"/>
  <c r="O18" i="41" s="1"/>
  <c r="O19" i="41" s="1"/>
  <c r="O20" i="41" s="1"/>
  <c r="O21" i="41" s="1"/>
  <c r="O22" i="41" s="1"/>
  <c r="O23" i="41" s="1"/>
  <c r="O24" i="41" s="1"/>
  <c r="O25" i="41" s="1"/>
  <c r="O26" i="41" s="1"/>
  <c r="O27" i="41" s="1"/>
  <c r="P11" i="41"/>
  <c r="P12" i="41" s="1"/>
  <c r="P13" i="41" s="1"/>
  <c r="P14" i="41" s="1"/>
  <c r="P15" i="41" s="1"/>
  <c r="P16" i="41" s="1"/>
  <c r="P17" i="41" s="1"/>
  <c r="P18" i="41" s="1"/>
  <c r="P19" i="41" s="1"/>
  <c r="P20" i="41" s="1"/>
  <c r="P21" i="41" s="1"/>
  <c r="P22" i="41" s="1"/>
  <c r="P23" i="41" s="1"/>
  <c r="P24" i="41" s="1"/>
  <c r="P25" i="41" s="1"/>
  <c r="P26" i="41" s="1"/>
  <c r="P27" i="41" s="1"/>
  <c r="P28" i="41" s="1"/>
  <c r="P29" i="41" s="1"/>
  <c r="P30" i="41" s="1"/>
  <c r="P31" i="41" s="1"/>
  <c r="P32" i="41" s="1"/>
  <c r="P33" i="41" s="1"/>
  <c r="P34" i="41" s="1"/>
  <c r="P35" i="41" s="1"/>
  <c r="P36" i="41" s="1"/>
  <c r="P37" i="41" s="1"/>
  <c r="P38" i="41" s="1"/>
  <c r="P39" i="41" s="1"/>
  <c r="P40" i="41" s="1"/>
  <c r="P41" i="41" s="1"/>
  <c r="P42" i="41" s="1"/>
  <c r="P43" i="41" s="1"/>
  <c r="P44" i="41" s="1"/>
  <c r="P45" i="41" s="1"/>
  <c r="P46" i="41" s="1"/>
  <c r="P47" i="41" s="1"/>
  <c r="P48" i="41" s="1"/>
  <c r="P49" i="41" s="1"/>
  <c r="P50" i="41" s="1"/>
  <c r="P51" i="41" s="1"/>
  <c r="P52" i="41" s="1"/>
  <c r="P53" i="41" s="1"/>
  <c r="P54" i="41" s="1"/>
  <c r="P55" i="41" s="1"/>
  <c r="P56" i="41" s="1"/>
  <c r="P57" i="41" s="1"/>
  <c r="P58" i="41" s="1"/>
  <c r="P59" i="41" s="1"/>
  <c r="P60" i="41" s="1"/>
  <c r="P61" i="41" s="1"/>
  <c r="P62" i="41" s="1"/>
  <c r="P63" i="41" s="1"/>
  <c r="P64" i="41" s="1"/>
  <c r="P65" i="41" s="1"/>
  <c r="P66" i="41" s="1"/>
  <c r="P67" i="41" s="1"/>
  <c r="P68" i="41" s="1"/>
  <c r="P69" i="41" s="1"/>
  <c r="P70" i="41" s="1"/>
  <c r="P71" i="41" s="1"/>
  <c r="P72" i="41" s="1"/>
  <c r="P73" i="41" s="1"/>
  <c r="P74" i="41" s="1"/>
  <c r="P75" i="41" s="1"/>
  <c r="P76" i="41" s="1"/>
  <c r="P77" i="41" s="1"/>
  <c r="P78" i="41" s="1"/>
  <c r="P79" i="41" s="1"/>
  <c r="P80" i="41" s="1"/>
  <c r="P81" i="41" s="1"/>
  <c r="P82" i="41" s="1"/>
  <c r="P83" i="41" s="1"/>
  <c r="P84" i="41" s="1"/>
  <c r="P85" i="41" s="1"/>
  <c r="P86" i="41" s="1"/>
  <c r="P87" i="41" s="1"/>
  <c r="P88" i="41" s="1"/>
  <c r="P89" i="41" s="1"/>
  <c r="P90" i="41" s="1"/>
  <c r="P91" i="41" s="1"/>
  <c r="P92" i="41" s="1"/>
  <c r="P93" i="41" s="1"/>
  <c r="P94" i="41" s="1"/>
  <c r="P95" i="41" s="1"/>
  <c r="P96" i="41" s="1"/>
  <c r="P97" i="41" s="1"/>
  <c r="P98" i="41" s="1"/>
  <c r="P99" i="41" s="1"/>
  <c r="P100" i="41" s="1"/>
  <c r="P101" i="41" s="1"/>
  <c r="P102" i="41" s="1"/>
  <c r="P103" i="41" s="1"/>
  <c r="P104" i="41" s="1"/>
  <c r="P105" i="41" s="1"/>
  <c r="M107" i="41"/>
  <c r="P106" i="41"/>
  <c r="N74" i="74" l="1"/>
  <c r="N75" i="74" s="1"/>
  <c r="N124" i="72"/>
  <c r="N125" i="72" s="1"/>
  <c r="N126" i="72" s="1"/>
  <c r="N127" i="72" s="1"/>
  <c r="O108" i="72"/>
  <c r="O109" i="72" s="1"/>
  <c r="O110" i="72" s="1"/>
  <c r="O111" i="72" s="1"/>
  <c r="O112" i="72" s="1"/>
  <c r="O113" i="72" s="1"/>
  <c r="O114" i="72" s="1"/>
  <c r="O115" i="72" s="1"/>
  <c r="O116" i="72" s="1"/>
  <c r="O117" i="72" s="1"/>
  <c r="N67" i="68"/>
  <c r="N68" i="68" s="1"/>
  <c r="N69" i="68" s="1"/>
  <c r="N70" i="68" s="1"/>
  <c r="O66" i="68"/>
  <c r="O67" i="68" s="1"/>
  <c r="O68" i="68" s="1"/>
  <c r="O69" i="68" s="1"/>
  <c r="O70" i="68" s="1"/>
  <c r="N63" i="65"/>
  <c r="N64" i="65" s="1"/>
  <c r="O62" i="65"/>
  <c r="O63" i="65" s="1"/>
  <c r="O42" i="62"/>
  <c r="O43" i="62" s="1"/>
  <c r="O44" i="62" s="1"/>
  <c r="O45" i="62" s="1"/>
  <c r="P42" i="62"/>
  <c r="P43" i="62" s="1"/>
  <c r="P44" i="62" s="1"/>
  <c r="P30" i="44"/>
  <c r="P31" i="44" s="1"/>
  <c r="P32" i="44" s="1"/>
  <c r="O31" i="44"/>
  <c r="O32" i="44" s="1"/>
  <c r="O33" i="44" s="1"/>
  <c r="O28" i="41"/>
  <c r="O29" i="41" s="1"/>
  <c r="O30" i="41" s="1"/>
  <c r="O31" i="41" s="1"/>
  <c r="O32" i="41" s="1"/>
  <c r="O33" i="41" s="1"/>
  <c r="O34" i="41" s="1"/>
  <c r="O35" i="41" s="1"/>
  <c r="O36" i="41" s="1"/>
  <c r="O37" i="41" s="1"/>
  <c r="O38" i="41" s="1"/>
  <c r="O39" i="41" s="1"/>
  <c r="O40" i="41" s="1"/>
  <c r="O41" i="41" s="1"/>
  <c r="O42" i="41" s="1"/>
  <c r="O43" i="41" s="1"/>
  <c r="O44" i="41" s="1"/>
  <c r="O45" i="41" s="1"/>
  <c r="O46" i="41" s="1"/>
  <c r="O47" i="41" s="1"/>
  <c r="O48" i="41" s="1"/>
  <c r="O49" i="41" s="1"/>
  <c r="O50" i="41" s="1"/>
  <c r="O51" i="41" s="1"/>
  <c r="O52" i="41" s="1"/>
  <c r="O53" i="41" s="1"/>
  <c r="O54" i="41" s="1"/>
  <c r="O55" i="41" s="1"/>
  <c r="O56" i="41" s="1"/>
  <c r="O57" i="41" s="1"/>
  <c r="O58" i="41" s="1"/>
  <c r="O59" i="41" s="1"/>
  <c r="O60" i="41" s="1"/>
  <c r="O61" i="41" s="1"/>
  <c r="O62" i="41" s="1"/>
  <c r="O63" i="41" s="1"/>
  <c r="O64" i="41" s="1"/>
  <c r="O65" i="41" s="1"/>
  <c r="O66" i="41" s="1"/>
  <c r="O67" i="41" s="1"/>
  <c r="O68" i="41" s="1"/>
  <c r="O69" i="41" s="1"/>
  <c r="O70" i="41" s="1"/>
  <c r="O71" i="41" s="1"/>
  <c r="O72" i="41" s="1"/>
  <c r="O73" i="41" s="1"/>
  <c r="O74" i="41" s="1"/>
  <c r="O75" i="41" s="1"/>
  <c r="O76" i="41" s="1"/>
  <c r="O77" i="41" s="1"/>
  <c r="O78" i="41" s="1"/>
  <c r="O79" i="41" s="1"/>
  <c r="O80" i="41" s="1"/>
  <c r="O81" i="41" s="1"/>
  <c r="O82" i="41" s="1"/>
  <c r="O83" i="41" s="1"/>
  <c r="O84" i="41" s="1"/>
  <c r="O85" i="41" s="1"/>
  <c r="O86" i="41" s="1"/>
  <c r="O87" i="41" s="1"/>
  <c r="O88" i="41" s="1"/>
  <c r="O89" i="41" s="1"/>
  <c r="O90" i="41" s="1"/>
  <c r="O91" i="41" s="1"/>
  <c r="O92" i="41" s="1"/>
  <c r="O93" i="41" s="1"/>
  <c r="O94" i="41" s="1"/>
  <c r="O95" i="41" s="1"/>
  <c r="O96" i="41" s="1"/>
  <c r="O97" i="41" s="1"/>
  <c r="O98" i="41" s="1"/>
  <c r="O99" i="41" s="1"/>
  <c r="O100" i="41" s="1"/>
  <c r="O101" i="41" s="1"/>
  <c r="O102" i="41" s="1"/>
  <c r="O103" i="41" s="1"/>
  <c r="O104" i="41" s="1"/>
  <c r="O105" i="41" s="1"/>
  <c r="O107" i="41" s="1"/>
  <c r="P118" i="41" s="1"/>
  <c r="P119" i="41" s="1"/>
  <c r="N76" i="74" l="1"/>
  <c r="N77" i="74" s="1"/>
  <c r="N128" i="72"/>
  <c r="N129" i="72" s="1"/>
  <c r="N130" i="72" s="1"/>
  <c r="N131" i="72" s="1"/>
  <c r="N132" i="72" s="1"/>
  <c r="N133" i="72" s="1"/>
  <c r="O118" i="72"/>
  <c r="O119" i="72" s="1"/>
  <c r="O120" i="72" s="1"/>
  <c r="O121" i="72" s="1"/>
  <c r="O122" i="72" s="1"/>
  <c r="O123" i="72" s="1"/>
  <c r="N71" i="68"/>
  <c r="N72" i="68" s="1"/>
  <c r="N73" i="68" s="1"/>
  <c r="N74" i="68" s="1"/>
  <c r="N75" i="68" s="1"/>
  <c r="O71" i="68"/>
  <c r="O72" i="68" s="1"/>
  <c r="O73" i="68" s="1"/>
  <c r="O74" i="68" s="1"/>
  <c r="N65" i="65"/>
  <c r="N66" i="65" s="1"/>
  <c r="N67" i="65" s="1"/>
  <c r="N68" i="65" s="1"/>
  <c r="N69" i="65" s="1"/>
  <c r="N70" i="65" s="1"/>
  <c r="O64" i="65"/>
  <c r="O65" i="65" s="1"/>
  <c r="O66" i="65" s="1"/>
  <c r="O67" i="65" s="1"/>
  <c r="O68" i="65" s="1"/>
  <c r="O69" i="65" s="1"/>
  <c r="O46" i="62"/>
  <c r="O47" i="62" s="1"/>
  <c r="O48" i="62" s="1"/>
  <c r="O49" i="62" s="1"/>
  <c r="P45" i="62"/>
  <c r="P46" i="62" s="1"/>
  <c r="P47" i="62" s="1"/>
  <c r="P48" i="62" s="1"/>
  <c r="P49" i="62" s="1"/>
  <c r="P50" i="62" s="1"/>
  <c r="P51" i="62" s="1"/>
  <c r="P52" i="62" s="1"/>
  <c r="P53" i="62" s="1"/>
  <c r="P54" i="62" s="1"/>
  <c r="P55" i="62" s="1"/>
  <c r="P33" i="44"/>
  <c r="P34" i="44" s="1"/>
  <c r="P35" i="44" s="1"/>
  <c r="P36" i="44" s="1"/>
  <c r="P37" i="44" s="1"/>
  <c r="P38" i="44" s="1"/>
  <c r="O34" i="44"/>
  <c r="O35" i="44" s="1"/>
  <c r="O36" i="44" s="1"/>
  <c r="O37" i="44" s="1"/>
  <c r="O38" i="44" s="1"/>
  <c r="O39" i="44" s="1"/>
  <c r="B133" i="39"/>
  <c r="B128" i="39"/>
  <c r="B124" i="39"/>
  <c r="D118" i="39"/>
  <c r="E118" i="39" s="1"/>
  <c r="D119" i="39"/>
  <c r="E119" i="39" s="1"/>
  <c r="D120" i="39"/>
  <c r="E120" i="39" s="1"/>
  <c r="D121" i="39"/>
  <c r="E121" i="39" s="1"/>
  <c r="D122" i="39"/>
  <c r="E122" i="39" s="1"/>
  <c r="D123" i="39"/>
  <c r="E123" i="39" s="1"/>
  <c r="D125" i="39"/>
  <c r="E125" i="39" s="1"/>
  <c r="D126" i="39"/>
  <c r="E126" i="39" s="1"/>
  <c r="D127" i="39"/>
  <c r="E127" i="39" s="1"/>
  <c r="D129" i="39"/>
  <c r="E129" i="39" s="1"/>
  <c r="D130" i="39"/>
  <c r="E130" i="39" s="1"/>
  <c r="D131" i="39"/>
  <c r="E131" i="39" s="1"/>
  <c r="D132" i="39"/>
  <c r="E132" i="39" s="1"/>
  <c r="K113" i="39"/>
  <c r="K108" i="39"/>
  <c r="K104" i="39"/>
  <c r="O96" i="39"/>
  <c r="O95" i="39"/>
  <c r="D117" i="39"/>
  <c r="E117" i="39" s="1"/>
  <c r="D116" i="39"/>
  <c r="E116" i="39" s="1"/>
  <c r="M93" i="39"/>
  <c r="J93" i="39"/>
  <c r="H93" i="39"/>
  <c r="C93" i="39"/>
  <c r="O7" i="39"/>
  <c r="O8" i="39" s="1"/>
  <c r="O9" i="39" s="1"/>
  <c r="O10" i="39" s="1"/>
  <c r="O11" i="39" s="1"/>
  <c r="O12" i="39" s="1"/>
  <c r="B165" i="34"/>
  <c r="B155" i="34"/>
  <c r="B153" i="34"/>
  <c r="D147" i="34"/>
  <c r="E147" i="34" s="1"/>
  <c r="D148" i="34"/>
  <c r="E148" i="34" s="1"/>
  <c r="D149" i="34"/>
  <c r="E149" i="34" s="1"/>
  <c r="D150" i="34"/>
  <c r="E150" i="34" s="1"/>
  <c r="D152" i="34"/>
  <c r="E152" i="34" s="1"/>
  <c r="D156" i="34"/>
  <c r="E156" i="34" s="1"/>
  <c r="D157" i="34"/>
  <c r="E157" i="34" s="1"/>
  <c r="D158" i="34"/>
  <c r="E158" i="34" s="1"/>
  <c r="D159" i="34"/>
  <c r="E159" i="34" s="1"/>
  <c r="D160" i="34"/>
  <c r="E160" i="34" s="1"/>
  <c r="D161" i="34"/>
  <c r="E161" i="34" s="1"/>
  <c r="D162" i="34"/>
  <c r="E162" i="34" s="1"/>
  <c r="D163" i="34"/>
  <c r="E163" i="34" s="1"/>
  <c r="D164" i="34"/>
  <c r="E164" i="34" s="1"/>
  <c r="K142" i="34"/>
  <c r="K132" i="34"/>
  <c r="K130" i="34"/>
  <c r="D154" i="34"/>
  <c r="E154" i="34" s="1"/>
  <c r="E155" i="34" s="1"/>
  <c r="D151" i="34"/>
  <c r="E151" i="34" s="1"/>
  <c r="D146" i="34"/>
  <c r="E146" i="34" s="1"/>
  <c r="D145" i="34"/>
  <c r="E145" i="34" s="1"/>
  <c r="M119" i="34"/>
  <c r="J119" i="34"/>
  <c r="C119" i="34"/>
  <c r="P7" i="34" s="1"/>
  <c r="P8" i="34" s="1"/>
  <c r="P9" i="34" s="1"/>
  <c r="P10" i="34" s="1"/>
  <c r="P11" i="34" s="1"/>
  <c r="P12" i="34" s="1"/>
  <c r="O7" i="34"/>
  <c r="O8" i="34" s="1"/>
  <c r="O9" i="34" s="1"/>
  <c r="O10" i="34" s="1"/>
  <c r="O11" i="34" s="1"/>
  <c r="O12" i="34" s="1"/>
  <c r="O13" i="34" s="1"/>
  <c r="B146" i="32"/>
  <c r="B134" i="32"/>
  <c r="B131" i="32"/>
  <c r="D145" i="32"/>
  <c r="E145" i="32" s="1"/>
  <c r="F145" i="32" s="1"/>
  <c r="D144" i="32"/>
  <c r="E144" i="32" s="1"/>
  <c r="F144" i="32" s="1"/>
  <c r="D143" i="32"/>
  <c r="E143" i="32" s="1"/>
  <c r="F143" i="32" s="1"/>
  <c r="D142" i="32"/>
  <c r="E142" i="32" s="1"/>
  <c r="F142" i="32" s="1"/>
  <c r="D141" i="32"/>
  <c r="E141" i="32" s="1"/>
  <c r="F141" i="32" s="1"/>
  <c r="D140" i="32"/>
  <c r="E140" i="32" s="1"/>
  <c r="F140" i="32" s="1"/>
  <c r="D139" i="32"/>
  <c r="E139" i="32" s="1"/>
  <c r="F139" i="32" s="1"/>
  <c r="D138" i="32"/>
  <c r="E138" i="32" s="1"/>
  <c r="F138" i="32" s="1"/>
  <c r="D137" i="32"/>
  <c r="E137" i="32" s="1"/>
  <c r="F137" i="32" s="1"/>
  <c r="D136" i="32"/>
  <c r="E136" i="32" s="1"/>
  <c r="F136" i="32" s="1"/>
  <c r="D135" i="32"/>
  <c r="E135" i="32" s="1"/>
  <c r="D132" i="32"/>
  <c r="E132" i="32" s="1"/>
  <c r="D130" i="32"/>
  <c r="E130" i="32" s="1"/>
  <c r="F130" i="32" s="1"/>
  <c r="D129" i="32"/>
  <c r="E129" i="32" s="1"/>
  <c r="F129" i="32" s="1"/>
  <c r="D128" i="32"/>
  <c r="E128" i="32" s="1"/>
  <c r="F128" i="32" s="1"/>
  <c r="D127" i="32"/>
  <c r="E127" i="32" s="1"/>
  <c r="F127" i="32" s="1"/>
  <c r="D126" i="32"/>
  <c r="E126" i="32" s="1"/>
  <c r="F126" i="32" s="1"/>
  <c r="D125" i="32"/>
  <c r="E125" i="32" s="1"/>
  <c r="K122" i="32"/>
  <c r="K110" i="32"/>
  <c r="K107" i="32"/>
  <c r="D133" i="32"/>
  <c r="E133" i="32" s="1"/>
  <c r="O101" i="32"/>
  <c r="O100" i="32"/>
  <c r="H62" i="32"/>
  <c r="N78" i="74" l="1"/>
  <c r="N79" i="74" s="1"/>
  <c r="N80" i="74" s="1"/>
  <c r="N81" i="74" s="1"/>
  <c r="N82" i="74" s="1"/>
  <c r="N83" i="74" s="1"/>
  <c r="N134" i="72"/>
  <c r="N135" i="72" s="1"/>
  <c r="N136" i="72" s="1"/>
  <c r="O124" i="72"/>
  <c r="O125" i="72" s="1"/>
  <c r="O126" i="72" s="1"/>
  <c r="N76" i="68"/>
  <c r="N77" i="68" s="1"/>
  <c r="N78" i="68" s="1"/>
  <c r="N79" i="68" s="1"/>
  <c r="N80" i="68" s="1"/>
  <c r="N81" i="68" s="1"/>
  <c r="N82" i="68" s="1"/>
  <c r="O75" i="68"/>
  <c r="O76" i="68" s="1"/>
  <c r="O77" i="68" s="1"/>
  <c r="O78" i="68" s="1"/>
  <c r="O79" i="68" s="1"/>
  <c r="O80" i="68" s="1"/>
  <c r="O81" i="68" s="1"/>
  <c r="O82" i="68" s="1"/>
  <c r="O70" i="65"/>
  <c r="O71" i="65" s="1"/>
  <c r="N71" i="65"/>
  <c r="N72" i="65" s="1"/>
  <c r="P56" i="62"/>
  <c r="P57" i="62" s="1"/>
  <c r="P58" i="62" s="1"/>
  <c r="P59" i="62" s="1"/>
  <c r="P60" i="62" s="1"/>
  <c r="P61" i="62" s="1"/>
  <c r="P62" i="62" s="1"/>
  <c r="P63" i="62" s="1"/>
  <c r="P64" i="62" s="1"/>
  <c r="P65" i="62" s="1"/>
  <c r="P66" i="62" s="1"/>
  <c r="P67" i="62" s="1"/>
  <c r="P68" i="62" s="1"/>
  <c r="P69" i="62" s="1"/>
  <c r="P70" i="62" s="1"/>
  <c r="P71" i="62" s="1"/>
  <c r="P72" i="62" s="1"/>
  <c r="P73" i="62" s="1"/>
  <c r="P74" i="62" s="1"/>
  <c r="P75" i="62" s="1"/>
  <c r="O50" i="62"/>
  <c r="O51" i="62" s="1"/>
  <c r="O52" i="62" s="1"/>
  <c r="O53" i="62" s="1"/>
  <c r="P39" i="44"/>
  <c r="P40" i="44" s="1"/>
  <c r="O40" i="44"/>
  <c r="O41" i="44" s="1"/>
  <c r="E133" i="39"/>
  <c r="E128" i="39"/>
  <c r="E124" i="39"/>
  <c r="F132" i="39"/>
  <c r="G132" i="39" s="1"/>
  <c r="F130" i="39"/>
  <c r="G130" i="39" s="1"/>
  <c r="F126" i="39"/>
  <c r="G126" i="39" s="1"/>
  <c r="F122" i="39"/>
  <c r="G122" i="39" s="1"/>
  <c r="F120" i="39"/>
  <c r="G120" i="39" s="1"/>
  <c r="F118" i="39"/>
  <c r="G118" i="39" s="1"/>
  <c r="F131" i="39"/>
  <c r="G131" i="39" s="1"/>
  <c r="F129" i="39"/>
  <c r="F127" i="39"/>
  <c r="G127" i="39" s="1"/>
  <c r="F125" i="39"/>
  <c r="F123" i="39"/>
  <c r="G123" i="39" s="1"/>
  <c r="F121" i="39"/>
  <c r="G121" i="39" s="1"/>
  <c r="F119" i="39"/>
  <c r="G119" i="39" s="1"/>
  <c r="O13" i="39"/>
  <c r="O14" i="39" s="1"/>
  <c r="O15" i="39" s="1"/>
  <c r="O16" i="39" s="1"/>
  <c r="O17" i="39" s="1"/>
  <c r="O18" i="39" s="1"/>
  <c r="O19" i="39" s="1"/>
  <c r="M94" i="39"/>
  <c r="P93" i="39"/>
  <c r="P7" i="39"/>
  <c r="P8" i="39" s="1"/>
  <c r="P9" i="39" s="1"/>
  <c r="P10" i="39" s="1"/>
  <c r="P11" i="39" s="1"/>
  <c r="P12" i="39" s="1"/>
  <c r="F116" i="39"/>
  <c r="G116" i="39" s="1"/>
  <c r="F117" i="39"/>
  <c r="G117" i="39" s="1"/>
  <c r="E165" i="34"/>
  <c r="E153" i="34"/>
  <c r="F164" i="34"/>
  <c r="G164" i="34" s="1"/>
  <c r="F162" i="34"/>
  <c r="G162" i="34" s="1"/>
  <c r="F160" i="34"/>
  <c r="G160" i="34" s="1"/>
  <c r="F158" i="34"/>
  <c r="G158" i="34" s="1"/>
  <c r="F156" i="34"/>
  <c r="F154" i="34"/>
  <c r="F152" i="34"/>
  <c r="G152" i="34" s="1"/>
  <c r="F150" i="34"/>
  <c r="G150" i="34" s="1"/>
  <c r="F148" i="34"/>
  <c r="G148" i="34" s="1"/>
  <c r="F163" i="34"/>
  <c r="G163" i="34" s="1"/>
  <c r="F161" i="34"/>
  <c r="G161" i="34" s="1"/>
  <c r="F159" i="34"/>
  <c r="G159" i="34" s="1"/>
  <c r="F157" i="34"/>
  <c r="G157" i="34" s="1"/>
  <c r="F151" i="34"/>
  <c r="G151" i="34" s="1"/>
  <c r="F149" i="34"/>
  <c r="G149" i="34" s="1"/>
  <c r="F147" i="34"/>
  <c r="G147" i="34" s="1"/>
  <c r="O14" i="34"/>
  <c r="O15" i="34" s="1"/>
  <c r="O16" i="34" s="1"/>
  <c r="O17" i="34" s="1"/>
  <c r="O18" i="34" s="1"/>
  <c r="O19" i="34" s="1"/>
  <c r="P13" i="34"/>
  <c r="P14" i="34" s="1"/>
  <c r="P15" i="34" s="1"/>
  <c r="P16" i="34" s="1"/>
  <c r="P17" i="34" s="1"/>
  <c r="P18" i="34" s="1"/>
  <c r="M120" i="34"/>
  <c r="F146" i="34"/>
  <c r="G146" i="34" s="1"/>
  <c r="F145" i="34"/>
  <c r="H119" i="34"/>
  <c r="F135" i="32"/>
  <c r="F146" i="32" s="1"/>
  <c r="E146" i="32"/>
  <c r="F132" i="32"/>
  <c r="G132" i="32" s="1"/>
  <c r="E134" i="32"/>
  <c r="F125" i="32"/>
  <c r="F131" i="32" s="1"/>
  <c r="E131" i="32"/>
  <c r="G125" i="32"/>
  <c r="G126" i="32"/>
  <c r="G127" i="32"/>
  <c r="G128" i="32"/>
  <c r="G129" i="32"/>
  <c r="G130" i="32"/>
  <c r="G136" i="32"/>
  <c r="G137" i="32"/>
  <c r="G138" i="32"/>
  <c r="G139" i="32"/>
  <c r="G140" i="32"/>
  <c r="G141" i="32"/>
  <c r="G142" i="32"/>
  <c r="G143" i="32"/>
  <c r="G144" i="32"/>
  <c r="G145" i="32"/>
  <c r="F133" i="32"/>
  <c r="G133" i="32" s="1"/>
  <c r="N84" i="74" l="1"/>
  <c r="N85" i="74" s="1"/>
  <c r="N86" i="74" s="1"/>
  <c r="N87" i="74" s="1"/>
  <c r="N88" i="74" s="1"/>
  <c r="N89" i="74" s="1"/>
  <c r="N90" i="74" s="1"/>
  <c r="N91" i="74" s="1"/>
  <c r="N92" i="74" s="1"/>
  <c r="N93" i="74" s="1"/>
  <c r="N94" i="74" s="1"/>
  <c r="N95" i="74" s="1"/>
  <c r="N96" i="74" s="1"/>
  <c r="N97" i="74" s="1"/>
  <c r="N98" i="74" s="1"/>
  <c r="N99" i="74" s="1"/>
  <c r="N101" i="74" s="1"/>
  <c r="O108" i="74" s="1"/>
  <c r="O109" i="74" s="1"/>
  <c r="N137" i="72"/>
  <c r="N138" i="72" s="1"/>
  <c r="N139" i="72" s="1"/>
  <c r="O127" i="72"/>
  <c r="O128" i="72" s="1"/>
  <c r="O129" i="72" s="1"/>
  <c r="O130" i="72" s="1"/>
  <c r="O131" i="72" s="1"/>
  <c r="O132" i="72" s="1"/>
  <c r="N83" i="68"/>
  <c r="N84" i="68" s="1"/>
  <c r="N85" i="68" s="1"/>
  <c r="N86" i="68" s="1"/>
  <c r="N87" i="68" s="1"/>
  <c r="N88" i="68" s="1"/>
  <c r="N89" i="68" s="1"/>
  <c r="O83" i="68"/>
  <c r="O84" i="68" s="1"/>
  <c r="O85" i="68" s="1"/>
  <c r="O86" i="68" s="1"/>
  <c r="O87" i="68" s="1"/>
  <c r="O88" i="68" s="1"/>
  <c r="O89" i="68" s="1"/>
  <c r="O72" i="65"/>
  <c r="O73" i="65" s="1"/>
  <c r="O74" i="65" s="1"/>
  <c r="O75" i="65" s="1"/>
  <c r="O76" i="65" s="1"/>
  <c r="O77" i="65" s="1"/>
  <c r="O78" i="65" s="1"/>
  <c r="O79" i="65" s="1"/>
  <c r="O80" i="65" s="1"/>
  <c r="O81" i="65" s="1"/>
  <c r="O82" i="65" s="1"/>
  <c r="O83" i="65" s="1"/>
  <c r="O84" i="65" s="1"/>
  <c r="O85" i="65" s="1"/>
  <c r="O86" i="65" s="1"/>
  <c r="O87" i="65" s="1"/>
  <c r="O88" i="65" s="1"/>
  <c r="O89" i="65" s="1"/>
  <c r="N73" i="65"/>
  <c r="N74" i="65" s="1"/>
  <c r="N75" i="65" s="1"/>
  <c r="N76" i="65" s="1"/>
  <c r="N77" i="65" s="1"/>
  <c r="N78" i="65" s="1"/>
  <c r="N79" i="65" s="1"/>
  <c r="N80" i="65" s="1"/>
  <c r="N81" i="65" s="1"/>
  <c r="N82" i="65" s="1"/>
  <c r="N83" i="65" s="1"/>
  <c r="N84" i="65" s="1"/>
  <c r="N85" i="65" s="1"/>
  <c r="N86" i="65" s="1"/>
  <c r="N87" i="65" s="1"/>
  <c r="O54" i="62"/>
  <c r="O55" i="62" s="1"/>
  <c r="O56" i="62" s="1"/>
  <c r="P41" i="44"/>
  <c r="P42" i="44" s="1"/>
  <c r="P43" i="44" s="1"/>
  <c r="P44" i="44" s="1"/>
  <c r="P45" i="44" s="1"/>
  <c r="P46" i="44" s="1"/>
  <c r="O42" i="44"/>
  <c r="O43" i="44" s="1"/>
  <c r="O44" i="44" s="1"/>
  <c r="O45" i="44" s="1"/>
  <c r="O46" i="44" s="1"/>
  <c r="O47" i="44" s="1"/>
  <c r="G124" i="39"/>
  <c r="G125" i="39"/>
  <c r="G128" i="39" s="1"/>
  <c r="F128" i="39"/>
  <c r="G129" i="39"/>
  <c r="G133" i="39" s="1"/>
  <c r="F133" i="39"/>
  <c r="F124" i="39"/>
  <c r="O20" i="39"/>
  <c r="O21" i="39" s="1"/>
  <c r="O22" i="39" s="1"/>
  <c r="O23" i="39" s="1"/>
  <c r="O24" i="39" s="1"/>
  <c r="P13" i="39"/>
  <c r="P14" i="39" s="1"/>
  <c r="P15" i="39" s="1"/>
  <c r="P16" i="39" s="1"/>
  <c r="P17" i="39" s="1"/>
  <c r="P18" i="39" s="1"/>
  <c r="F153" i="34"/>
  <c r="G156" i="34"/>
  <c r="G165" i="34" s="1"/>
  <c r="F165" i="34"/>
  <c r="G154" i="34"/>
  <c r="G155" i="34" s="1"/>
  <c r="F155" i="34"/>
  <c r="G145" i="34"/>
  <c r="G153" i="34" s="1"/>
  <c r="O20" i="34"/>
  <c r="O21" i="34" s="1"/>
  <c r="P19" i="34"/>
  <c r="P20" i="34" s="1"/>
  <c r="P119" i="34"/>
  <c r="G135" i="32"/>
  <c r="G146" i="32" s="1"/>
  <c r="G134" i="32"/>
  <c r="F134" i="32"/>
  <c r="G131" i="32"/>
  <c r="N140" i="72" l="1"/>
  <c r="N141" i="72" s="1"/>
  <c r="N142" i="72" s="1"/>
  <c r="N143" i="72" s="1"/>
  <c r="N144" i="72" s="1"/>
  <c r="N145" i="72" s="1"/>
  <c r="N146" i="72" s="1"/>
  <c r="N147" i="72" s="1"/>
  <c r="N148" i="72" s="1"/>
  <c r="N149" i="72" s="1"/>
  <c r="N151" i="72" s="1"/>
  <c r="O158" i="72" s="1"/>
  <c r="O159" i="72" s="1"/>
  <c r="O133" i="72"/>
  <c r="O134" i="72" s="1"/>
  <c r="O135" i="72" s="1"/>
  <c r="N90" i="68"/>
  <c r="N91" i="68" s="1"/>
  <c r="N92" i="68" s="1"/>
  <c r="N93" i="68" s="1"/>
  <c r="N94" i="68" s="1"/>
  <c r="N95" i="68" s="1"/>
  <c r="N96" i="68" s="1"/>
  <c r="N97" i="68" s="1"/>
  <c r="N98" i="68" s="1"/>
  <c r="N99" i="68" s="1"/>
  <c r="N100" i="68" s="1"/>
  <c r="O90" i="68"/>
  <c r="O91" i="68" s="1"/>
  <c r="O92" i="68" s="1"/>
  <c r="O93" i="68" s="1"/>
  <c r="O94" i="68" s="1"/>
  <c r="O95" i="68" s="1"/>
  <c r="N88" i="65"/>
  <c r="N89" i="65" s="1"/>
  <c r="N91" i="65" s="1"/>
  <c r="O98" i="65" s="1"/>
  <c r="O99" i="65" s="1"/>
  <c r="O57" i="62"/>
  <c r="O58" i="62" s="1"/>
  <c r="O59" i="62" s="1"/>
  <c r="O60" i="62" s="1"/>
  <c r="O61" i="62" s="1"/>
  <c r="O62" i="62" s="1"/>
  <c r="O63" i="62" s="1"/>
  <c r="O64" i="62" s="1"/>
  <c r="O65" i="62" s="1"/>
  <c r="O66" i="62" s="1"/>
  <c r="O67" i="62" s="1"/>
  <c r="O68" i="62" s="1"/>
  <c r="O69" i="62" s="1"/>
  <c r="O70" i="62" s="1"/>
  <c r="O71" i="62" s="1"/>
  <c r="O72" i="62" s="1"/>
  <c r="O73" i="62" s="1"/>
  <c r="O74" i="62" s="1"/>
  <c r="O75" i="62" s="1"/>
  <c r="O77" i="62" s="1"/>
  <c r="P84" i="62" s="1"/>
  <c r="P85" i="62" s="1"/>
  <c r="P47" i="44"/>
  <c r="P48" i="44" s="1"/>
  <c r="P49" i="44" s="1"/>
  <c r="O48" i="44"/>
  <c r="O49" i="44" s="1"/>
  <c r="O50" i="44" s="1"/>
  <c r="O25" i="39"/>
  <c r="O26" i="39" s="1"/>
  <c r="O27" i="39" s="1"/>
  <c r="P19" i="39"/>
  <c r="P20" i="39" s="1"/>
  <c r="P21" i="39" s="1"/>
  <c r="P22" i="39" s="1"/>
  <c r="P23" i="39" s="1"/>
  <c r="O22" i="34"/>
  <c r="O23" i="34" s="1"/>
  <c r="O24" i="34" s="1"/>
  <c r="P21" i="34"/>
  <c r="P22" i="34" s="1"/>
  <c r="J98" i="32"/>
  <c r="M98" i="32"/>
  <c r="H98" i="32"/>
  <c r="C98" i="32"/>
  <c r="O7" i="32"/>
  <c r="O8" i="32" s="1"/>
  <c r="O9" i="32" s="1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B84" i="30"/>
  <c r="B88" i="30"/>
  <c r="D85" i="30"/>
  <c r="E85" i="30" s="1"/>
  <c r="E88" i="30" s="1"/>
  <c r="K71" i="30"/>
  <c r="K67" i="30"/>
  <c r="K80" i="30"/>
  <c r="B97" i="30"/>
  <c r="D96" i="30"/>
  <c r="E96" i="30" s="1"/>
  <c r="D95" i="30"/>
  <c r="E95" i="30" s="1"/>
  <c r="D94" i="30"/>
  <c r="E94" i="30" s="1"/>
  <c r="D93" i="30"/>
  <c r="E93" i="30" s="1"/>
  <c r="D92" i="30"/>
  <c r="E92" i="30" s="1"/>
  <c r="D91" i="30"/>
  <c r="E91" i="30" s="1"/>
  <c r="D90" i="30"/>
  <c r="E90" i="30" s="1"/>
  <c r="D89" i="30"/>
  <c r="E89" i="30" s="1"/>
  <c r="D87" i="30"/>
  <c r="E87" i="30" s="1"/>
  <c r="D86" i="30"/>
  <c r="E86" i="30" s="1"/>
  <c r="D83" i="30"/>
  <c r="E83" i="30" s="1"/>
  <c r="E84" i="30" s="1"/>
  <c r="M63" i="30"/>
  <c r="J63" i="30"/>
  <c r="H63" i="30"/>
  <c r="C63" i="30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O7" i="30"/>
  <c r="O8" i="30" s="1"/>
  <c r="K118" i="18"/>
  <c r="K123" i="18"/>
  <c r="D138" i="18"/>
  <c r="E138" i="18" s="1"/>
  <c r="F138" i="18" s="1"/>
  <c r="O136" i="72" l="1"/>
  <c r="O137" i="72" s="1"/>
  <c r="O138" i="72" s="1"/>
  <c r="O139" i="72" s="1"/>
  <c r="N101" i="68"/>
  <c r="N102" i="68" s="1"/>
  <c r="N103" i="68" s="1"/>
  <c r="O96" i="68"/>
  <c r="P50" i="44"/>
  <c r="P51" i="44" s="1"/>
  <c r="P52" i="44" s="1"/>
  <c r="P53" i="44" s="1"/>
  <c r="P54" i="44" s="1"/>
  <c r="O51" i="44"/>
  <c r="O52" i="44" s="1"/>
  <c r="O53" i="44" s="1"/>
  <c r="O54" i="44" s="1"/>
  <c r="O55" i="44" s="1"/>
  <c r="O28" i="39"/>
  <c r="O29" i="39" s="1"/>
  <c r="P24" i="39"/>
  <c r="P25" i="39" s="1"/>
  <c r="P26" i="39" s="1"/>
  <c r="O25" i="34"/>
  <c r="O26" i="34" s="1"/>
  <c r="O27" i="34" s="1"/>
  <c r="O28" i="34" s="1"/>
  <c r="P23" i="34"/>
  <c r="P24" i="34" s="1"/>
  <c r="P25" i="34" s="1"/>
  <c r="P26" i="34" s="1"/>
  <c r="P27" i="34" s="1"/>
  <c r="O22" i="32"/>
  <c r="O23" i="32" s="1"/>
  <c r="M99" i="32"/>
  <c r="P98" i="32"/>
  <c r="P7" i="32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F85" i="30"/>
  <c r="E97" i="30"/>
  <c r="F90" i="30"/>
  <c r="G90" i="30" s="1"/>
  <c r="F92" i="30"/>
  <c r="G92" i="30" s="1"/>
  <c r="F94" i="30"/>
  <c r="G94" i="30" s="1"/>
  <c r="F96" i="30"/>
  <c r="G96" i="30" s="1"/>
  <c r="F91" i="30"/>
  <c r="G91" i="30" s="1"/>
  <c r="F93" i="30"/>
  <c r="G93" i="30" s="1"/>
  <c r="F95" i="30"/>
  <c r="G95" i="30" s="1"/>
  <c r="F89" i="30"/>
  <c r="F86" i="30"/>
  <c r="G86" i="30" s="1"/>
  <c r="F87" i="30"/>
  <c r="G87" i="30" s="1"/>
  <c r="F83" i="30"/>
  <c r="F84" i="30" s="1"/>
  <c r="O9" i="30"/>
  <c r="O10" i="30" s="1"/>
  <c r="O11" i="30" s="1"/>
  <c r="O12" i="30" s="1"/>
  <c r="O13" i="30" s="1"/>
  <c r="O14" i="30" s="1"/>
  <c r="M64" i="30"/>
  <c r="P63" i="30"/>
  <c r="G85" i="30" l="1"/>
  <c r="G88" i="30" s="1"/>
  <c r="F88" i="30"/>
  <c r="O140" i="72"/>
  <c r="O141" i="72" s="1"/>
  <c r="O142" i="72" s="1"/>
  <c r="O143" i="72" s="1"/>
  <c r="O144" i="72" s="1"/>
  <c r="O145" i="72" s="1"/>
  <c r="O146" i="72" s="1"/>
  <c r="O147" i="72" s="1"/>
  <c r="O148" i="72" s="1"/>
  <c r="O149" i="72" s="1"/>
  <c r="N104" i="68"/>
  <c r="N105" i="68" s="1"/>
  <c r="N106" i="68" s="1"/>
  <c r="N107" i="68" s="1"/>
  <c r="N109" i="68" s="1"/>
  <c r="O116" i="68" s="1"/>
  <c r="O117" i="68" s="1"/>
  <c r="O97" i="68"/>
  <c r="O98" i="68" s="1"/>
  <c r="O99" i="68" s="1"/>
  <c r="O100" i="68" s="1"/>
  <c r="O101" i="68" s="1"/>
  <c r="O102" i="68" s="1"/>
  <c r="P55" i="44"/>
  <c r="P56" i="44" s="1"/>
  <c r="O56" i="44"/>
  <c r="O57" i="44" s="1"/>
  <c r="O30" i="39"/>
  <c r="O31" i="39" s="1"/>
  <c r="O32" i="39" s="1"/>
  <c r="P27" i="39"/>
  <c r="P28" i="39" s="1"/>
  <c r="O29" i="34"/>
  <c r="O30" i="34" s="1"/>
  <c r="O31" i="34" s="1"/>
  <c r="P28" i="34"/>
  <c r="P29" i="34" s="1"/>
  <c r="P30" i="34" s="1"/>
  <c r="P23" i="32"/>
  <c r="P24" i="32" s="1"/>
  <c r="P25" i="32" s="1"/>
  <c r="O24" i="32"/>
  <c r="O25" i="32" s="1"/>
  <c r="O26" i="32" s="1"/>
  <c r="G83" i="30"/>
  <c r="G84" i="30" s="1"/>
  <c r="G89" i="30"/>
  <c r="G97" i="30" s="1"/>
  <c r="F97" i="30"/>
  <c r="O15" i="30"/>
  <c r="O16" i="30" s="1"/>
  <c r="P42" i="30"/>
  <c r="B65" i="29"/>
  <c r="D64" i="29"/>
  <c r="E64" i="29" s="1"/>
  <c r="D63" i="29"/>
  <c r="E63" i="29" s="1"/>
  <c r="D62" i="29"/>
  <c r="E62" i="29" s="1"/>
  <c r="K59" i="29"/>
  <c r="O55" i="29"/>
  <c r="O57" i="29"/>
  <c r="O56" i="29"/>
  <c r="M53" i="29"/>
  <c r="J53" i="29"/>
  <c r="H53" i="29"/>
  <c r="C53" i="29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O7" i="29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03" i="68" l="1"/>
  <c r="O104" i="68" s="1"/>
  <c r="O105" i="68" s="1"/>
  <c r="O106" i="68" s="1"/>
  <c r="O107" i="68" s="1"/>
  <c r="P57" i="44"/>
  <c r="P58" i="44" s="1"/>
  <c r="P59" i="44" s="1"/>
  <c r="P60" i="44" s="1"/>
  <c r="P61" i="44" s="1"/>
  <c r="O58" i="44"/>
  <c r="O59" i="44" s="1"/>
  <c r="O60" i="44" s="1"/>
  <c r="O61" i="44" s="1"/>
  <c r="O62" i="44" s="1"/>
  <c r="O33" i="39"/>
  <c r="O34" i="39" s="1"/>
  <c r="O35" i="39" s="1"/>
  <c r="P29" i="39"/>
  <c r="P30" i="39" s="1"/>
  <c r="P31" i="39" s="1"/>
  <c r="O32" i="34"/>
  <c r="O33" i="34" s="1"/>
  <c r="O34" i="34" s="1"/>
  <c r="O35" i="34" s="1"/>
  <c r="P31" i="34"/>
  <c r="P32" i="34" s="1"/>
  <c r="P33" i="34" s="1"/>
  <c r="P34" i="34" s="1"/>
  <c r="P26" i="32"/>
  <c r="P27" i="32" s="1"/>
  <c r="O27" i="32"/>
  <c r="O28" i="32" s="1"/>
  <c r="P43" i="30"/>
  <c r="P44" i="30" s="1"/>
  <c r="P45" i="30" s="1"/>
  <c r="P46" i="30" s="1"/>
  <c r="O17" i="30"/>
  <c r="O18" i="30" s="1"/>
  <c r="O19" i="30" s="1"/>
  <c r="O20" i="30" s="1"/>
  <c r="O21" i="30" s="1"/>
  <c r="O22" i="30" s="1"/>
  <c r="O23" i="30" s="1"/>
  <c r="O24" i="30" s="1"/>
  <c r="O25" i="30" s="1"/>
  <c r="E65" i="29"/>
  <c r="F63" i="29"/>
  <c r="G63" i="29"/>
  <c r="F64" i="29"/>
  <c r="G64" i="29"/>
  <c r="F62" i="29"/>
  <c r="O18" i="29"/>
  <c r="O19" i="29" s="1"/>
  <c r="O20" i="29" s="1"/>
  <c r="O21" i="29" s="1"/>
  <c r="O22" i="29" s="1"/>
  <c r="O23" i="29" s="1"/>
  <c r="O24" i="29" s="1"/>
  <c r="O25" i="29" s="1"/>
  <c r="P18" i="29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M54" i="29"/>
  <c r="P53" i="29"/>
  <c r="O63" i="44" l="1"/>
  <c r="O64" i="44" s="1"/>
  <c r="O65" i="44" s="1"/>
  <c r="O66" i="44" s="1"/>
  <c r="O67" i="44" s="1"/>
  <c r="O68" i="44" s="1"/>
  <c r="O69" i="44" s="1"/>
  <c r="P62" i="44"/>
  <c r="P63" i="44" s="1"/>
  <c r="P64" i="44" s="1"/>
  <c r="P65" i="44" s="1"/>
  <c r="P66" i="44" s="1"/>
  <c r="P67" i="44" s="1"/>
  <c r="P68" i="44" s="1"/>
  <c r="O36" i="39"/>
  <c r="O37" i="39" s="1"/>
  <c r="O38" i="39" s="1"/>
  <c r="O39" i="39" s="1"/>
  <c r="O40" i="39" s="1"/>
  <c r="O41" i="39" s="1"/>
  <c r="O42" i="39" s="1"/>
  <c r="P32" i="39"/>
  <c r="P33" i="39" s="1"/>
  <c r="P34" i="39" s="1"/>
  <c r="O36" i="34"/>
  <c r="O37" i="34" s="1"/>
  <c r="O38" i="34" s="1"/>
  <c r="O39" i="34" s="1"/>
  <c r="O40" i="34" s="1"/>
  <c r="O41" i="34" s="1"/>
  <c r="O42" i="34" s="1"/>
  <c r="O43" i="34" s="1"/>
  <c r="P35" i="34"/>
  <c r="P36" i="34" s="1"/>
  <c r="P37" i="34" s="1"/>
  <c r="P38" i="34" s="1"/>
  <c r="P39" i="34" s="1"/>
  <c r="P40" i="34" s="1"/>
  <c r="P41" i="34" s="1"/>
  <c r="P42" i="34" s="1"/>
  <c r="P28" i="32"/>
  <c r="P29" i="32" s="1"/>
  <c r="P30" i="32" s="1"/>
  <c r="P31" i="32" s="1"/>
  <c r="P32" i="32" s="1"/>
  <c r="P33" i="32" s="1"/>
  <c r="P34" i="32" s="1"/>
  <c r="P35" i="32" s="1"/>
  <c r="O29" i="32"/>
  <c r="O30" i="32" s="1"/>
  <c r="O31" i="32" s="1"/>
  <c r="O32" i="32" s="1"/>
  <c r="O33" i="32" s="1"/>
  <c r="O34" i="32" s="1"/>
  <c r="O35" i="32" s="1"/>
  <c r="O36" i="32" s="1"/>
  <c r="P47" i="30"/>
  <c r="O26" i="30"/>
  <c r="O27" i="30" s="1"/>
  <c r="O28" i="30" s="1"/>
  <c r="G62" i="29"/>
  <c r="G65" i="29" s="1"/>
  <c r="F65" i="29"/>
  <c r="O26" i="29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4" i="29" s="1"/>
  <c r="P61" i="29" s="1"/>
  <c r="P62" i="29" s="1"/>
  <c r="K79" i="27"/>
  <c r="B84" i="27"/>
  <c r="D83" i="27"/>
  <c r="E83" i="27" s="1"/>
  <c r="M76" i="27"/>
  <c r="J76" i="27"/>
  <c r="H76" i="27"/>
  <c r="C76" i="27"/>
  <c r="O7" i="27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O24" i="27" s="1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B84" i="26"/>
  <c r="D83" i="26"/>
  <c r="E83" i="26" s="1"/>
  <c r="O78" i="26"/>
  <c r="M76" i="26"/>
  <c r="J76" i="26"/>
  <c r="H76" i="26"/>
  <c r="C76" i="26"/>
  <c r="O7" i="26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7" i="26" s="1"/>
  <c r="D83" i="25"/>
  <c r="E83" i="25" s="1"/>
  <c r="B84" i="25"/>
  <c r="O78" i="25"/>
  <c r="M76" i="25"/>
  <c r="K79" i="25" s="1"/>
  <c r="J76" i="25"/>
  <c r="H76" i="25"/>
  <c r="C76" i="25"/>
  <c r="O7" i="25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7" i="25" s="1"/>
  <c r="O78" i="24"/>
  <c r="M76" i="24"/>
  <c r="J76" i="24"/>
  <c r="H76" i="24"/>
  <c r="C76" i="24"/>
  <c r="O7" i="24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K78" i="22"/>
  <c r="B83" i="22"/>
  <c r="D82" i="22"/>
  <c r="E82" i="22" s="1"/>
  <c r="E83" i="22" s="1"/>
  <c r="O78" i="22"/>
  <c r="M76" i="22"/>
  <c r="J76" i="22"/>
  <c r="H76" i="22"/>
  <c r="C76" i="22"/>
  <c r="O7" i="22"/>
  <c r="O8" i="22" s="1"/>
  <c r="P84" i="25" l="1"/>
  <c r="P84" i="26"/>
  <c r="M77" i="26"/>
  <c r="P76" i="25"/>
  <c r="O70" i="44"/>
  <c r="O71" i="44" s="1"/>
  <c r="O72" i="44" s="1"/>
  <c r="O73" i="44" s="1"/>
  <c r="O74" i="44" s="1"/>
  <c r="P69" i="44"/>
  <c r="P70" i="44" s="1"/>
  <c r="P71" i="44" s="1"/>
  <c r="P72" i="44" s="1"/>
  <c r="P73" i="44" s="1"/>
  <c r="O43" i="39"/>
  <c r="O44" i="39" s="1"/>
  <c r="O45" i="39" s="1"/>
  <c r="O46" i="39" s="1"/>
  <c r="O47" i="39" s="1"/>
  <c r="P35" i="39"/>
  <c r="P36" i="39" s="1"/>
  <c r="P37" i="39" s="1"/>
  <c r="P38" i="39" s="1"/>
  <c r="P39" i="39" s="1"/>
  <c r="P40" i="39" s="1"/>
  <c r="P41" i="39" s="1"/>
  <c r="P43" i="34"/>
  <c r="P44" i="34" s="1"/>
  <c r="P45" i="34" s="1"/>
  <c r="P46" i="34" s="1"/>
  <c r="P47" i="34" s="1"/>
  <c r="O44" i="34"/>
  <c r="O45" i="34" s="1"/>
  <c r="O46" i="34" s="1"/>
  <c r="O47" i="34" s="1"/>
  <c r="O48" i="34" s="1"/>
  <c r="P36" i="32"/>
  <c r="P37" i="32" s="1"/>
  <c r="P38" i="32" s="1"/>
  <c r="P39" i="32" s="1"/>
  <c r="P40" i="32" s="1"/>
  <c r="P41" i="32" s="1"/>
  <c r="P42" i="32" s="1"/>
  <c r="O37" i="32"/>
  <c r="O38" i="32" s="1"/>
  <c r="O39" i="32" s="1"/>
  <c r="O40" i="32" s="1"/>
  <c r="O41" i="32" s="1"/>
  <c r="O42" i="32" s="1"/>
  <c r="O43" i="32" s="1"/>
  <c r="P48" i="30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O29" i="30"/>
  <c r="O30" i="30" s="1"/>
  <c r="O31" i="30" s="1"/>
  <c r="O32" i="30" s="1"/>
  <c r="O77" i="27"/>
  <c r="P84" i="27" s="1"/>
  <c r="P76" i="27"/>
  <c r="M77" i="27"/>
  <c r="P7" i="27"/>
  <c r="P8" i="27" s="1"/>
  <c r="P9" i="27" s="1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F83" i="27"/>
  <c r="F84" i="27" s="1"/>
  <c r="E84" i="27"/>
  <c r="P76" i="26"/>
  <c r="P7" i="26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F83" i="26"/>
  <c r="F84" i="26" s="1"/>
  <c r="E84" i="26"/>
  <c r="F83" i="25"/>
  <c r="F84" i="25" s="1"/>
  <c r="E84" i="25"/>
  <c r="M77" i="25"/>
  <c r="P7" i="25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85" i="25"/>
  <c r="O62" i="24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7" i="24" s="1"/>
  <c r="P84" i="24" s="1"/>
  <c r="M77" i="24"/>
  <c r="P76" i="24"/>
  <c r="P85" i="24" s="1"/>
  <c r="P7" i="24"/>
  <c r="P8" i="24" s="1"/>
  <c r="O9" i="22"/>
  <c r="O10" i="22" s="1"/>
  <c r="O11" i="22" s="1"/>
  <c r="O12" i="22" s="1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7" i="22" s="1"/>
  <c r="P84" i="22" s="1"/>
  <c r="F82" i="22"/>
  <c r="F83" i="22" s="1"/>
  <c r="D83" i="22"/>
  <c r="P76" i="22"/>
  <c r="M77" i="22"/>
  <c r="P7" i="22"/>
  <c r="P8" i="22" s="1"/>
  <c r="G83" i="25" l="1"/>
  <c r="G84" i="25" s="1"/>
  <c r="P85" i="27"/>
  <c r="G83" i="26"/>
  <c r="G84" i="26" s="1"/>
  <c r="P85" i="26"/>
  <c r="G83" i="27"/>
  <c r="G84" i="27" s="1"/>
  <c r="O75" i="44"/>
  <c r="O76" i="44" s="1"/>
  <c r="P74" i="44"/>
  <c r="P75" i="44" s="1"/>
  <c r="O48" i="39"/>
  <c r="O49" i="39" s="1"/>
  <c r="O50" i="39" s="1"/>
  <c r="O51" i="39" s="1"/>
  <c r="O52" i="39" s="1"/>
  <c r="O53" i="39" s="1"/>
  <c r="P42" i="39"/>
  <c r="P43" i="39" s="1"/>
  <c r="P44" i="39" s="1"/>
  <c r="P45" i="39" s="1"/>
  <c r="P46" i="39" s="1"/>
  <c r="P48" i="34"/>
  <c r="P49" i="34" s="1"/>
  <c r="O49" i="34"/>
  <c r="O50" i="34" s="1"/>
  <c r="P43" i="32"/>
  <c r="P44" i="32" s="1"/>
  <c r="P45" i="32" s="1"/>
  <c r="O44" i="32"/>
  <c r="O45" i="32" s="1"/>
  <c r="O33" i="30"/>
  <c r="O34" i="30" s="1"/>
  <c r="O35" i="30" s="1"/>
  <c r="P9" i="24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9" i="22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85" i="22"/>
  <c r="O77" i="44" l="1"/>
  <c r="O78" i="44" s="1"/>
  <c r="O79" i="44" s="1"/>
  <c r="P76" i="44"/>
  <c r="P77" i="44" s="1"/>
  <c r="P78" i="44" s="1"/>
  <c r="P79" i="44" s="1"/>
  <c r="P80" i="44" s="1"/>
  <c r="P81" i="44" s="1"/>
  <c r="P82" i="44" s="1"/>
  <c r="O54" i="39"/>
  <c r="O55" i="39" s="1"/>
  <c r="O56" i="39" s="1"/>
  <c r="O57" i="39" s="1"/>
  <c r="O58" i="39" s="1"/>
  <c r="O59" i="39" s="1"/>
  <c r="O60" i="39" s="1"/>
  <c r="P47" i="39"/>
  <c r="P48" i="39" s="1"/>
  <c r="P49" i="39" s="1"/>
  <c r="P50" i="39" s="1"/>
  <c r="P51" i="39" s="1"/>
  <c r="P52" i="39" s="1"/>
  <c r="P53" i="39" s="1"/>
  <c r="P50" i="34"/>
  <c r="P51" i="34" s="1"/>
  <c r="P52" i="34" s="1"/>
  <c r="P53" i="34" s="1"/>
  <c r="P54" i="34" s="1"/>
  <c r="P55" i="34" s="1"/>
  <c r="P56" i="34" s="1"/>
  <c r="P57" i="34" s="1"/>
  <c r="O51" i="34"/>
  <c r="O52" i="34" s="1"/>
  <c r="O53" i="34" s="1"/>
  <c r="O54" i="34" s="1"/>
  <c r="O55" i="34" s="1"/>
  <c r="O56" i="34" s="1"/>
  <c r="O57" i="34" s="1"/>
  <c r="P46" i="32"/>
  <c r="P47" i="32" s="1"/>
  <c r="P48" i="32" s="1"/>
  <c r="O46" i="32"/>
  <c r="O47" i="32" s="1"/>
  <c r="O48" i="32" s="1"/>
  <c r="O49" i="32" s="1"/>
  <c r="O36" i="30"/>
  <c r="O37" i="30" s="1"/>
  <c r="B93" i="21"/>
  <c r="B91" i="21"/>
  <c r="B89" i="21"/>
  <c r="O80" i="44" l="1"/>
  <c r="O81" i="44" s="1"/>
  <c r="O82" i="44" s="1"/>
  <c r="O84" i="44" s="1"/>
  <c r="P91" i="44" s="1"/>
  <c r="P92" i="44" s="1"/>
  <c r="O61" i="39"/>
  <c r="O62" i="39" s="1"/>
  <c r="O63" i="39" s="1"/>
  <c r="O64" i="39" s="1"/>
  <c r="O65" i="39" s="1"/>
  <c r="O66" i="39" s="1"/>
  <c r="P54" i="39"/>
  <c r="P55" i="39" s="1"/>
  <c r="P56" i="39" s="1"/>
  <c r="P57" i="39" s="1"/>
  <c r="P58" i="39" s="1"/>
  <c r="P59" i="39" s="1"/>
  <c r="P60" i="39" s="1"/>
  <c r="P58" i="34"/>
  <c r="P59" i="34" s="1"/>
  <c r="P60" i="34" s="1"/>
  <c r="O58" i="34"/>
  <c r="O59" i="34" s="1"/>
  <c r="O60" i="34" s="1"/>
  <c r="O61" i="34" s="1"/>
  <c r="P49" i="32"/>
  <c r="P50" i="32" s="1"/>
  <c r="P51" i="32" s="1"/>
  <c r="P52" i="32" s="1"/>
  <c r="P53" i="32" s="1"/>
  <c r="O50" i="32"/>
  <c r="O51" i="32" s="1"/>
  <c r="O52" i="32" s="1"/>
  <c r="O53" i="32" s="1"/>
  <c r="O54" i="32" s="1"/>
  <c r="O38" i="30"/>
  <c r="D92" i="21"/>
  <c r="E92" i="21" s="1"/>
  <c r="D90" i="21"/>
  <c r="E90" i="21" s="1"/>
  <c r="D88" i="21"/>
  <c r="E88" i="21" s="1"/>
  <c r="D87" i="21"/>
  <c r="E87" i="21" s="1"/>
  <c r="O67" i="39" l="1"/>
  <c r="O68" i="39" s="1"/>
  <c r="O69" i="39" s="1"/>
  <c r="O70" i="39" s="1"/>
  <c r="O71" i="39" s="1"/>
  <c r="O72" i="39" s="1"/>
  <c r="O73" i="39" s="1"/>
  <c r="O74" i="39" s="1"/>
  <c r="P61" i="39"/>
  <c r="P62" i="39" s="1"/>
  <c r="P63" i="39" s="1"/>
  <c r="P64" i="39" s="1"/>
  <c r="P65" i="39" s="1"/>
  <c r="P66" i="39" s="1"/>
  <c r="P61" i="34"/>
  <c r="P62" i="34" s="1"/>
  <c r="P63" i="34" s="1"/>
  <c r="P64" i="34" s="1"/>
  <c r="P65" i="34" s="1"/>
  <c r="O62" i="34"/>
  <c r="O63" i="34" s="1"/>
  <c r="O64" i="34" s="1"/>
  <c r="O65" i="34" s="1"/>
  <c r="O66" i="34" s="1"/>
  <c r="P54" i="32"/>
  <c r="P55" i="32" s="1"/>
  <c r="P56" i="32" s="1"/>
  <c r="P57" i="32" s="1"/>
  <c r="O55" i="32"/>
  <c r="O56" i="32" s="1"/>
  <c r="O57" i="32" s="1"/>
  <c r="O58" i="32" s="1"/>
  <c r="O39" i="30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F92" i="21"/>
  <c r="F90" i="21"/>
  <c r="F88" i="21"/>
  <c r="F87" i="21"/>
  <c r="O75" i="39" l="1"/>
  <c r="O76" i="39" s="1"/>
  <c r="O77" i="39" s="1"/>
  <c r="O78" i="39" s="1"/>
  <c r="O79" i="39" s="1"/>
  <c r="O80" i="39" s="1"/>
  <c r="O81" i="39" s="1"/>
  <c r="P67" i="39"/>
  <c r="P68" i="39" s="1"/>
  <c r="P69" i="39" s="1"/>
  <c r="P70" i="39" s="1"/>
  <c r="P71" i="39" s="1"/>
  <c r="P72" i="39" s="1"/>
  <c r="P73" i="39" s="1"/>
  <c r="P66" i="34"/>
  <c r="P67" i="34" s="1"/>
  <c r="O67" i="34"/>
  <c r="O68" i="34" s="1"/>
  <c r="P58" i="32"/>
  <c r="P59" i="32" s="1"/>
  <c r="P60" i="32" s="1"/>
  <c r="P61" i="32" s="1"/>
  <c r="O59" i="32"/>
  <c r="O60" i="32" s="1"/>
  <c r="O61" i="32" s="1"/>
  <c r="O50" i="30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4" i="30" s="1"/>
  <c r="P71" i="30" s="1"/>
  <c r="P72" i="30" s="1"/>
  <c r="K84" i="21"/>
  <c r="E93" i="21"/>
  <c r="K82" i="21"/>
  <c r="D91" i="21"/>
  <c r="K80" i="21"/>
  <c r="O78" i="21"/>
  <c r="M76" i="21"/>
  <c r="J76" i="21"/>
  <c r="H76" i="21"/>
  <c r="C76" i="21"/>
  <c r="O7" i="21"/>
  <c r="O8" i="21" s="1"/>
  <c r="O9" i="21" s="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K95" i="20"/>
  <c r="K88" i="20"/>
  <c r="K81" i="20"/>
  <c r="B114" i="20"/>
  <c r="B107" i="20"/>
  <c r="B100" i="20"/>
  <c r="D113" i="20"/>
  <c r="D112" i="20"/>
  <c r="D111" i="20"/>
  <c r="D110" i="20"/>
  <c r="D109" i="20"/>
  <c r="D108" i="20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O82" i="39" l="1"/>
  <c r="O83" i="39" s="1"/>
  <c r="P74" i="39"/>
  <c r="P75" i="39" s="1"/>
  <c r="P76" i="39" s="1"/>
  <c r="P77" i="39" s="1"/>
  <c r="P78" i="39" s="1"/>
  <c r="P79" i="39" s="1"/>
  <c r="P80" i="39" s="1"/>
  <c r="P81" i="39" s="1"/>
  <c r="P82" i="39" s="1"/>
  <c r="P83" i="39" s="1"/>
  <c r="P84" i="39" s="1"/>
  <c r="P85" i="39" s="1"/>
  <c r="P86" i="39" s="1"/>
  <c r="P87" i="39" s="1"/>
  <c r="P88" i="39" s="1"/>
  <c r="P89" i="39" s="1"/>
  <c r="P90" i="39" s="1"/>
  <c r="P91" i="39" s="1"/>
  <c r="P92" i="39" s="1"/>
  <c r="P68" i="34"/>
  <c r="P69" i="34" s="1"/>
  <c r="P70" i="34" s="1"/>
  <c r="P71" i="34" s="1"/>
  <c r="P72" i="34" s="1"/>
  <c r="P73" i="34" s="1"/>
  <c r="P74" i="34" s="1"/>
  <c r="P75" i="34" s="1"/>
  <c r="O69" i="34"/>
  <c r="O70" i="34" s="1"/>
  <c r="O71" i="34" s="1"/>
  <c r="O72" i="34" s="1"/>
  <c r="O73" i="34" s="1"/>
  <c r="O74" i="34" s="1"/>
  <c r="O75" i="34" s="1"/>
  <c r="O76" i="34" s="1"/>
  <c r="P62" i="32"/>
  <c r="P63" i="32" s="1"/>
  <c r="P64" i="32" s="1"/>
  <c r="P65" i="32" s="1"/>
  <c r="P66" i="32" s="1"/>
  <c r="P67" i="32" s="1"/>
  <c r="P68" i="32" s="1"/>
  <c r="P69" i="32" s="1"/>
  <c r="P70" i="32" s="1"/>
  <c r="P71" i="32" s="1"/>
  <c r="O62" i="32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E89" i="21"/>
  <c r="F89" i="21"/>
  <c r="D89" i="21"/>
  <c r="E91" i="21"/>
  <c r="F93" i="21"/>
  <c r="D93" i="21"/>
  <c r="O26" i="2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7" i="21" s="1"/>
  <c r="P88" i="21" s="1"/>
  <c r="M77" i="21"/>
  <c r="P76" i="21"/>
  <c r="P7" i="2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D114" i="20"/>
  <c r="E107" i="20"/>
  <c r="D107" i="20"/>
  <c r="E109" i="20"/>
  <c r="F109" i="20" s="1"/>
  <c r="E111" i="20"/>
  <c r="F111" i="20" s="1"/>
  <c r="E113" i="20"/>
  <c r="F113" i="20" s="1"/>
  <c r="E108" i="20"/>
  <c r="E110" i="20"/>
  <c r="F110" i="20" s="1"/>
  <c r="E112" i="20"/>
  <c r="F112" i="20" s="1"/>
  <c r="F101" i="20"/>
  <c r="F102" i="20"/>
  <c r="F103" i="20"/>
  <c r="F104" i="20"/>
  <c r="F105" i="20"/>
  <c r="F106" i="20"/>
  <c r="O84" i="39" l="1"/>
  <c r="O85" i="39" s="1"/>
  <c r="O86" i="39" s="1"/>
  <c r="O87" i="39" s="1"/>
  <c r="O88" i="39" s="1"/>
  <c r="O89" i="39" s="1"/>
  <c r="O90" i="39" s="1"/>
  <c r="O91" i="39" s="1"/>
  <c r="O92" i="39" s="1"/>
  <c r="O94" i="39" s="1"/>
  <c r="P101" i="39" s="1"/>
  <c r="P102" i="39" s="1"/>
  <c r="P76" i="34"/>
  <c r="P77" i="34" s="1"/>
  <c r="P78" i="34" s="1"/>
  <c r="P79" i="34" s="1"/>
  <c r="P80" i="34" s="1"/>
  <c r="P81" i="34" s="1"/>
  <c r="P82" i="34" s="1"/>
  <c r="P83" i="34" s="1"/>
  <c r="O77" i="34"/>
  <c r="O78" i="34" s="1"/>
  <c r="O79" i="34" s="1"/>
  <c r="O80" i="34" s="1"/>
  <c r="O81" i="34" s="1"/>
  <c r="O82" i="34" s="1"/>
  <c r="O83" i="34" s="1"/>
  <c r="O84" i="34" s="1"/>
  <c r="P72" i="32"/>
  <c r="P73" i="32" s="1"/>
  <c r="P74" i="32" s="1"/>
  <c r="P75" i="32" s="1"/>
  <c r="O73" i="32"/>
  <c r="O74" i="32" s="1"/>
  <c r="O75" i="32" s="1"/>
  <c r="O76" i="32" s="1"/>
  <c r="F91" i="21"/>
  <c r="P89" i="21"/>
  <c r="F108" i="20"/>
  <c r="F114" i="20" s="1"/>
  <c r="E114" i="20"/>
  <c r="F107" i="20"/>
  <c r="P84" i="34" l="1"/>
  <c r="P85" i="34" s="1"/>
  <c r="P86" i="34" s="1"/>
  <c r="P87" i="34" s="1"/>
  <c r="P88" i="34" s="1"/>
  <c r="P89" i="34" s="1"/>
  <c r="P90" i="34" s="1"/>
  <c r="O85" i="34"/>
  <c r="O86" i="34" s="1"/>
  <c r="O87" i="34" s="1"/>
  <c r="O88" i="34" s="1"/>
  <c r="O89" i="34" s="1"/>
  <c r="O90" i="34" s="1"/>
  <c r="O91" i="34" s="1"/>
  <c r="P76" i="32"/>
  <c r="P77" i="32" s="1"/>
  <c r="P78" i="32" s="1"/>
  <c r="P79" i="32" s="1"/>
  <c r="O77" i="32"/>
  <c r="O78" i="32" s="1"/>
  <c r="O79" i="32" s="1"/>
  <c r="O80" i="32" s="1"/>
  <c r="D99" i="20"/>
  <c r="E99" i="20" s="1"/>
  <c r="D98" i="20"/>
  <c r="E98" i="20" s="1"/>
  <c r="D97" i="20"/>
  <c r="M76" i="20"/>
  <c r="J76" i="20"/>
  <c r="H76" i="20"/>
  <c r="C76" i="20"/>
  <c r="O7" i="20"/>
  <c r="O8" i="20" s="1"/>
  <c r="C159" i="19"/>
  <c r="C158" i="19"/>
  <c r="C157" i="19"/>
  <c r="C156" i="19"/>
  <c r="C155" i="19"/>
  <c r="C153" i="19"/>
  <c r="C152" i="19"/>
  <c r="C151" i="19"/>
  <c r="C150" i="19"/>
  <c r="C149" i="19"/>
  <c r="C148" i="19"/>
  <c r="C147" i="19"/>
  <c r="C146" i="19"/>
  <c r="C145" i="19"/>
  <c r="C163" i="19"/>
  <c r="C162" i="19"/>
  <c r="C161" i="19"/>
  <c r="P91" i="34" l="1"/>
  <c r="P92" i="34" s="1"/>
  <c r="P93" i="34" s="1"/>
  <c r="P94" i="34" s="1"/>
  <c r="P95" i="34" s="1"/>
  <c r="P96" i="34" s="1"/>
  <c r="P97" i="34" s="1"/>
  <c r="P98" i="34" s="1"/>
  <c r="P99" i="34" s="1"/>
  <c r="P100" i="34" s="1"/>
  <c r="P101" i="34" s="1"/>
  <c r="P102" i="34" s="1"/>
  <c r="P103" i="34" s="1"/>
  <c r="P104" i="34" s="1"/>
  <c r="P105" i="34" s="1"/>
  <c r="P106" i="34" s="1"/>
  <c r="P107" i="34" s="1"/>
  <c r="P108" i="34" s="1"/>
  <c r="P109" i="34" s="1"/>
  <c r="P110" i="34" s="1"/>
  <c r="P111" i="34" s="1"/>
  <c r="P112" i="34" s="1"/>
  <c r="P113" i="34" s="1"/>
  <c r="P114" i="34" s="1"/>
  <c r="P115" i="34" s="1"/>
  <c r="P116" i="34" s="1"/>
  <c r="P117" i="34" s="1"/>
  <c r="P118" i="34" s="1"/>
  <c r="O92" i="34"/>
  <c r="O93" i="34" s="1"/>
  <c r="O94" i="34" s="1"/>
  <c r="O95" i="34" s="1"/>
  <c r="O96" i="34" s="1"/>
  <c r="O97" i="34" s="1"/>
  <c r="O98" i="34" s="1"/>
  <c r="O99" i="34" s="1"/>
  <c r="O100" i="34" s="1"/>
  <c r="O101" i="34" s="1"/>
  <c r="O102" i="34" s="1"/>
  <c r="O103" i="34" s="1"/>
  <c r="O104" i="34" s="1"/>
  <c r="O105" i="34" s="1"/>
  <c r="O106" i="34" s="1"/>
  <c r="O107" i="34" s="1"/>
  <c r="O108" i="34" s="1"/>
  <c r="O109" i="34" s="1"/>
  <c r="O110" i="34" s="1"/>
  <c r="O111" i="34" s="1"/>
  <c r="O112" i="34" s="1"/>
  <c r="O113" i="34" s="1"/>
  <c r="O114" i="34" s="1"/>
  <c r="O115" i="34" s="1"/>
  <c r="O116" i="34" s="1"/>
  <c r="O117" i="34" s="1"/>
  <c r="O118" i="34" s="1"/>
  <c r="O120" i="34" s="1"/>
  <c r="P127" i="34" s="1"/>
  <c r="P128" i="34" s="1"/>
  <c r="P80" i="32"/>
  <c r="P81" i="32" s="1"/>
  <c r="P82" i="32" s="1"/>
  <c r="P83" i="32" s="1"/>
  <c r="P84" i="32" s="1"/>
  <c r="O81" i="32"/>
  <c r="O82" i="32" s="1"/>
  <c r="O83" i="32" s="1"/>
  <c r="O84" i="32" s="1"/>
  <c r="E97" i="20"/>
  <c r="E100" i="20" s="1"/>
  <c r="D100" i="20"/>
  <c r="M77" i="20"/>
  <c r="O9" i="20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P76" i="20"/>
  <c r="P7" i="20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F98" i="20"/>
  <c r="F99" i="20"/>
  <c r="B164" i="19"/>
  <c r="B160" i="19"/>
  <c r="B154" i="19"/>
  <c r="D156" i="19"/>
  <c r="E156" i="19" s="1"/>
  <c r="D155" i="19"/>
  <c r="E155" i="19" s="1"/>
  <c r="D159" i="19"/>
  <c r="D158" i="19"/>
  <c r="D157" i="19"/>
  <c r="C144" i="19"/>
  <c r="K142" i="19"/>
  <c r="K138" i="19"/>
  <c r="K132" i="19"/>
  <c r="O123" i="19"/>
  <c r="O122" i="19"/>
  <c r="D163" i="19"/>
  <c r="D162" i="19"/>
  <c r="D161" i="19"/>
  <c r="D153" i="19"/>
  <c r="D152" i="19"/>
  <c r="D151" i="19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M120" i="19"/>
  <c r="J120" i="19"/>
  <c r="H120" i="19"/>
  <c r="C120" i="19"/>
  <c r="O7" i="19"/>
  <c r="O8" i="19" s="1"/>
  <c r="O9" i="19" s="1"/>
  <c r="O10" i="19" s="1"/>
  <c r="O11" i="19" s="1"/>
  <c r="O12" i="19" s="1"/>
  <c r="O13" i="19" s="1"/>
  <c r="O14" i="19" s="1"/>
  <c r="O15" i="19" s="1"/>
  <c r="F97" i="20" l="1"/>
  <c r="O85" i="32"/>
  <c r="O86" i="32" s="1"/>
  <c r="O87" i="32" s="1"/>
  <c r="O88" i="32" s="1"/>
  <c r="O89" i="32" s="1"/>
  <c r="O90" i="32" s="1"/>
  <c r="O91" i="32" s="1"/>
  <c r="O92" i="32" s="1"/>
  <c r="O93" i="32" s="1"/>
  <c r="O94" i="32" s="1"/>
  <c r="O95" i="32" s="1"/>
  <c r="O96" i="32" s="1"/>
  <c r="O97" i="32" s="1"/>
  <c r="O99" i="32" s="1"/>
  <c r="P106" i="32" s="1"/>
  <c r="P107" i="32" s="1"/>
  <c r="P85" i="32"/>
  <c r="P86" i="32" s="1"/>
  <c r="P87" i="32" s="1"/>
  <c r="P88" i="32" s="1"/>
  <c r="P89" i="32" s="1"/>
  <c r="P90" i="32" s="1"/>
  <c r="P91" i="32" s="1"/>
  <c r="P92" i="32" s="1"/>
  <c r="P93" i="32" s="1"/>
  <c r="P94" i="32" s="1"/>
  <c r="P95" i="32" s="1"/>
  <c r="P96" i="32" s="1"/>
  <c r="P97" i="32" s="1"/>
  <c r="F100" i="20"/>
  <c r="P53" i="20"/>
  <c r="P54" i="20" s="1"/>
  <c r="O45" i="20"/>
  <c r="O46" i="20" s="1"/>
  <c r="O47" i="20" s="1"/>
  <c r="O48" i="20" s="1"/>
  <c r="O49" i="20" s="1"/>
  <c r="O50" i="20" s="1"/>
  <c r="D164" i="19"/>
  <c r="D154" i="19"/>
  <c r="F155" i="19"/>
  <c r="D160" i="19"/>
  <c r="F156" i="19"/>
  <c r="E157" i="19"/>
  <c r="E160" i="19" s="1"/>
  <c r="E158" i="19"/>
  <c r="F158" i="19" s="1"/>
  <c r="E159" i="19"/>
  <c r="F159" i="19" s="1"/>
  <c r="O16" i="19"/>
  <c r="O17" i="19" s="1"/>
  <c r="O18" i="19" s="1"/>
  <c r="O19" i="19" s="1"/>
  <c r="M121" i="19"/>
  <c r="P120" i="19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E152" i="19"/>
  <c r="F152" i="19" s="1"/>
  <c r="E162" i="19"/>
  <c r="F162" i="19" s="1"/>
  <c r="E151" i="19"/>
  <c r="E153" i="19"/>
  <c r="F153" i="19" s="1"/>
  <c r="E161" i="19"/>
  <c r="F161" i="19" s="1"/>
  <c r="E163" i="19"/>
  <c r="F163" i="19" s="1"/>
  <c r="F144" i="19"/>
  <c r="F145" i="19"/>
  <c r="F146" i="19"/>
  <c r="F147" i="19"/>
  <c r="F148" i="19"/>
  <c r="F149" i="19"/>
  <c r="F150" i="19"/>
  <c r="E154" i="19" l="1"/>
  <c r="P55" i="20"/>
  <c r="P56" i="20" s="1"/>
  <c r="P57" i="20" s="1"/>
  <c r="P58" i="20" s="1"/>
  <c r="P59" i="20" s="1"/>
  <c r="P60" i="20" s="1"/>
  <c r="P61" i="20" s="1"/>
  <c r="P62" i="20" s="1"/>
  <c r="P63" i="20" s="1"/>
  <c r="P64" i="20" s="1"/>
  <c r="O51" i="20"/>
  <c r="O52" i="20" s="1"/>
  <c r="O53" i="20" s="1"/>
  <c r="F157" i="19"/>
  <c r="F160" i="19" s="1"/>
  <c r="F164" i="19"/>
  <c r="E164" i="19"/>
  <c r="O20" i="19"/>
  <c r="O21" i="19" s="1"/>
  <c r="O22" i="19" s="1"/>
  <c r="O23" i="19" s="1"/>
  <c r="O24" i="19" s="1"/>
  <c r="P18" i="19"/>
  <c r="F151" i="19"/>
  <c r="F154" i="19" s="1"/>
  <c r="P65" i="20" l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O54" i="20"/>
  <c r="O55" i="20" s="1"/>
  <c r="O25" i="19"/>
  <c r="O26" i="19" s="1"/>
  <c r="O27" i="19" s="1"/>
  <c r="O28" i="19" s="1"/>
  <c r="O29" i="19" s="1"/>
  <c r="P19" i="19"/>
  <c r="P20" i="19" s="1"/>
  <c r="P21" i="19" s="1"/>
  <c r="P22" i="19" s="1"/>
  <c r="P23" i="19" s="1"/>
  <c r="O56" i="20" l="1"/>
  <c r="O57" i="20" s="1"/>
  <c r="O58" i="20" s="1"/>
  <c r="O59" i="20" s="1"/>
  <c r="O60" i="20" s="1"/>
  <c r="O61" i="20" s="1"/>
  <c r="O62" i="20" s="1"/>
  <c r="O63" i="20" s="1"/>
  <c r="O64" i="20" s="1"/>
  <c r="O30" i="19"/>
  <c r="O31" i="19" s="1"/>
  <c r="O32" i="19" s="1"/>
  <c r="P24" i="19"/>
  <c r="P25" i="19" s="1"/>
  <c r="P26" i="19" s="1"/>
  <c r="P27" i="19" s="1"/>
  <c r="P28" i="19" s="1"/>
  <c r="O65" i="20" l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7" i="20" s="1"/>
  <c r="P88" i="20" s="1"/>
  <c r="P89" i="20" s="1"/>
  <c r="O33" i="19"/>
  <c r="O34" i="19" s="1"/>
  <c r="P29" i="19"/>
  <c r="P30" i="19" s="1"/>
  <c r="P31" i="19" s="1"/>
  <c r="O35" i="19" l="1"/>
  <c r="O36" i="19" s="1"/>
  <c r="O37" i="19" s="1"/>
  <c r="P32" i="19"/>
  <c r="P33" i="19" s="1"/>
  <c r="O38" i="19" l="1"/>
  <c r="O39" i="19" s="1"/>
  <c r="O40" i="19" s="1"/>
  <c r="O41" i="19" s="1"/>
  <c r="P34" i="19"/>
  <c r="P35" i="19" s="1"/>
  <c r="P36" i="19" s="1"/>
  <c r="O42" i="19" l="1"/>
  <c r="O43" i="19" s="1"/>
  <c r="O44" i="19" s="1"/>
  <c r="P37" i="19"/>
  <c r="P38" i="19" s="1"/>
  <c r="P39" i="19" s="1"/>
  <c r="P40" i="19" s="1"/>
  <c r="O45" i="19" l="1"/>
  <c r="O46" i="19" s="1"/>
  <c r="O47" i="19" s="1"/>
  <c r="O48" i="19" s="1"/>
  <c r="P41" i="19"/>
  <c r="P42" i="19" s="1"/>
  <c r="P43" i="19" s="1"/>
  <c r="P44" i="19" s="1"/>
  <c r="P45" i="19" s="1"/>
  <c r="P46" i="19" s="1"/>
  <c r="P47" i="19" s="1"/>
  <c r="O49" i="19" l="1"/>
  <c r="O50" i="19" s="1"/>
  <c r="P48" i="19"/>
  <c r="P49" i="19" s="1"/>
  <c r="O51" i="19" l="1"/>
  <c r="O52" i="19" s="1"/>
  <c r="P50" i="19"/>
  <c r="P51" i="19" s="1"/>
  <c r="O53" i="19" l="1"/>
  <c r="O54" i="19" s="1"/>
  <c r="O55" i="19" s="1"/>
  <c r="O56" i="19" s="1"/>
  <c r="P52" i="19"/>
  <c r="P53" i="19" s="1"/>
  <c r="P54" i="19" s="1"/>
  <c r="P55" i="19" s="1"/>
  <c r="O57" i="19" l="1"/>
  <c r="O58" i="19" s="1"/>
  <c r="O59" i="19" s="1"/>
  <c r="O60" i="19" s="1"/>
  <c r="P56" i="19"/>
  <c r="P57" i="19" s="1"/>
  <c r="P58" i="19" s="1"/>
  <c r="P59" i="19" s="1"/>
  <c r="O61" i="19" l="1"/>
  <c r="O62" i="19" s="1"/>
  <c r="O63" i="19" s="1"/>
  <c r="O64" i="19" s="1"/>
  <c r="O65" i="19" s="1"/>
  <c r="O66" i="19" s="1"/>
  <c r="P60" i="19"/>
  <c r="P61" i="19" s="1"/>
  <c r="P62" i="19" s="1"/>
  <c r="P63" i="19" s="1"/>
  <c r="P64" i="19" s="1"/>
  <c r="P65" i="19" s="1"/>
  <c r="P66" i="19" s="1"/>
  <c r="P67" i="19" l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 s="1"/>
  <c r="P85" i="19" s="1"/>
  <c r="P86" i="19" s="1"/>
  <c r="P87" i="19" s="1"/>
  <c r="P88" i="19" s="1"/>
  <c r="P89" i="19" s="1"/>
  <c r="P90" i="19" s="1"/>
  <c r="P91" i="19" s="1"/>
  <c r="P92" i="19" s="1"/>
  <c r="P93" i="19" s="1"/>
  <c r="P94" i="19" s="1"/>
  <c r="P95" i="19" s="1"/>
  <c r="P96" i="19" s="1"/>
  <c r="P97" i="19" s="1"/>
  <c r="P98" i="19" s="1"/>
  <c r="P99" i="19" s="1"/>
  <c r="P100" i="19" s="1"/>
  <c r="P101" i="19" s="1"/>
  <c r="P102" i="19" s="1"/>
  <c r="P103" i="19" s="1"/>
  <c r="P104" i="19" s="1"/>
  <c r="P105" i="19" s="1"/>
  <c r="P106" i="19" s="1"/>
  <c r="P107" i="19" s="1"/>
  <c r="P108" i="19" s="1"/>
  <c r="P109" i="19" s="1"/>
  <c r="P110" i="19" s="1"/>
  <c r="P111" i="19" s="1"/>
  <c r="P112" i="19" s="1"/>
  <c r="P113" i="19" s="1"/>
  <c r="P114" i="19" s="1"/>
  <c r="P115" i="19" s="1"/>
  <c r="P116" i="19" s="1"/>
  <c r="P117" i="19" s="1"/>
  <c r="P118" i="19" s="1"/>
  <c r="P119" i="19" s="1"/>
  <c r="O67" i="19" l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 s="1"/>
  <c r="O85" i="19" s="1"/>
  <c r="O86" i="19" s="1"/>
  <c r="O87" i="19" s="1"/>
  <c r="O88" i="19" s="1"/>
  <c r="O89" i="19" s="1"/>
  <c r="O90" i="19" s="1"/>
  <c r="O91" i="19" s="1"/>
  <c r="O92" i="19" s="1"/>
  <c r="O93" i="19" s="1"/>
  <c r="O94" i="19" s="1"/>
  <c r="O95" i="19" s="1"/>
  <c r="O96" i="19" s="1"/>
  <c r="O97" i="19" s="1"/>
  <c r="O98" i="19" s="1"/>
  <c r="O99" i="19" s="1"/>
  <c r="O100" i="19" s="1"/>
  <c r="O101" i="19" s="1"/>
  <c r="O102" i="19" s="1"/>
  <c r="O103" i="19" s="1"/>
  <c r="O104" i="19" s="1"/>
  <c r="O105" i="19" s="1"/>
  <c r="O106" i="19" s="1"/>
  <c r="O107" i="19" s="1"/>
  <c r="O108" i="19" s="1"/>
  <c r="O109" i="19" s="1"/>
  <c r="O110" i="19" s="1"/>
  <c r="O111" i="19" s="1"/>
  <c r="O112" i="19" s="1"/>
  <c r="O113" i="19" s="1"/>
  <c r="O114" i="19" s="1"/>
  <c r="O115" i="19" s="1"/>
  <c r="O116" i="19" s="1"/>
  <c r="O117" i="19" s="1"/>
  <c r="O118" i="19" s="1"/>
  <c r="O119" i="19" s="1"/>
  <c r="O121" i="19" s="1"/>
  <c r="P132" i="19" s="1"/>
  <c r="P133" i="19" s="1"/>
  <c r="C137" i="18" l="1"/>
  <c r="B141" i="18"/>
  <c r="C140" i="18"/>
  <c r="D140" i="18" s="1"/>
  <c r="C139" i="18"/>
  <c r="D139" i="18" s="1"/>
  <c r="E139" i="18" s="1"/>
  <c r="F139" i="18" s="1"/>
  <c r="D137" i="18"/>
  <c r="B136" i="18"/>
  <c r="C135" i="18"/>
  <c r="D135" i="18" s="1"/>
  <c r="C134" i="18"/>
  <c r="D134" i="18" s="1"/>
  <c r="C133" i="18"/>
  <c r="D133" i="18" s="1"/>
  <c r="C132" i="18"/>
  <c r="D132" i="18" s="1"/>
  <c r="C131" i="18"/>
  <c r="D131" i="18" s="1"/>
  <c r="C130" i="18"/>
  <c r="D130" i="18" s="1"/>
  <c r="C129" i="18"/>
  <c r="D129" i="18" s="1"/>
  <c r="E129" i="18" s="1"/>
  <c r="C128" i="18"/>
  <c r="D128" i="18" s="1"/>
  <c r="E128" i="18" s="1"/>
  <c r="C127" i="18"/>
  <c r="D127" i="18" s="1"/>
  <c r="E127" i="18" s="1"/>
  <c r="C126" i="18"/>
  <c r="D126" i="18" s="1"/>
  <c r="E126" i="18" s="1"/>
  <c r="C125" i="18"/>
  <c r="D125" i="18" s="1"/>
  <c r="O110" i="18"/>
  <c r="O109" i="18"/>
  <c r="O108" i="18"/>
  <c r="O107" i="18"/>
  <c r="M105" i="18"/>
  <c r="J105" i="18"/>
  <c r="H105" i="18"/>
  <c r="C105" i="18"/>
  <c r="O7" i="18"/>
  <c r="O8" i="18" s="1"/>
  <c r="O9" i="18" s="1"/>
  <c r="O10" i="18" s="1"/>
  <c r="O11" i="18" s="1"/>
  <c r="O12" i="18" s="1"/>
  <c r="O13" i="18" s="1"/>
  <c r="O14" i="18" s="1"/>
  <c r="D141" i="18" l="1"/>
  <c r="E125" i="18"/>
  <c r="D136" i="18"/>
  <c r="E130" i="18"/>
  <c r="F130" i="18" s="1"/>
  <c r="E132" i="18"/>
  <c r="F132" i="18" s="1"/>
  <c r="E134" i="18"/>
  <c r="F134" i="18" s="1"/>
  <c r="E131" i="18"/>
  <c r="F131" i="18" s="1"/>
  <c r="E133" i="18"/>
  <c r="F133" i="18" s="1"/>
  <c r="E135" i="18"/>
  <c r="F135" i="18" s="1"/>
  <c r="E137" i="18"/>
  <c r="F137" i="18" s="1"/>
  <c r="E140" i="18"/>
  <c r="F140" i="18" s="1"/>
  <c r="F125" i="18"/>
  <c r="F126" i="18"/>
  <c r="F127" i="18"/>
  <c r="F128" i="18"/>
  <c r="F129" i="18"/>
  <c r="O15" i="18"/>
  <c r="O16" i="18" s="1"/>
  <c r="O17" i="18" s="1"/>
  <c r="M106" i="18"/>
  <c r="P105" i="18"/>
  <c r="P7" i="18"/>
  <c r="P8" i="18" s="1"/>
  <c r="P9" i="18" s="1"/>
  <c r="P10" i="18" s="1"/>
  <c r="K107" i="17"/>
  <c r="K100" i="17"/>
  <c r="O92" i="17"/>
  <c r="O91" i="17"/>
  <c r="O90" i="17"/>
  <c r="F141" i="18" l="1"/>
  <c r="F136" i="18"/>
  <c r="E141" i="18"/>
  <c r="E136" i="18"/>
  <c r="O18" i="18"/>
  <c r="O19" i="18" s="1"/>
  <c r="P11" i="18"/>
  <c r="P12" i="18" s="1"/>
  <c r="P13" i="18" s="1"/>
  <c r="P14" i="18" s="1"/>
  <c r="P15" i="18" s="1"/>
  <c r="P16" i="18" s="1"/>
  <c r="M88" i="17"/>
  <c r="J88" i="17"/>
  <c r="H88" i="17"/>
  <c r="C88" i="17"/>
  <c r="O7" i="17"/>
  <c r="O8" i="17" s="1"/>
  <c r="O9" i="17" s="1"/>
  <c r="O20" i="18" l="1"/>
  <c r="O21" i="18" s="1"/>
  <c r="O22" i="18" s="1"/>
  <c r="O23" i="18" s="1"/>
  <c r="O24" i="18" s="1"/>
  <c r="P17" i="18"/>
  <c r="P18" i="18" s="1"/>
  <c r="M89" i="17"/>
  <c r="O10" i="17"/>
  <c r="O11" i="17" s="1"/>
  <c r="P88" i="17"/>
  <c r="P7" i="17"/>
  <c r="P8" i="17" s="1"/>
  <c r="P9" i="17" s="1"/>
  <c r="O25" i="18" l="1"/>
  <c r="O26" i="18" s="1"/>
  <c r="O27" i="18" s="1"/>
  <c r="O28" i="18" s="1"/>
  <c r="O29" i="18" s="1"/>
  <c r="P19" i="18"/>
  <c r="P20" i="18" s="1"/>
  <c r="P21" i="18" s="1"/>
  <c r="P22" i="18" s="1"/>
  <c r="P23" i="18" s="1"/>
  <c r="O12" i="17"/>
  <c r="O13" i="17" s="1"/>
  <c r="O14" i="17" s="1"/>
  <c r="O15" i="17" s="1"/>
  <c r="O16" i="17" s="1"/>
  <c r="P10" i="17"/>
  <c r="P11" i="17" s="1"/>
  <c r="O30" i="18" l="1"/>
  <c r="O31" i="18" s="1"/>
  <c r="O32" i="18" s="1"/>
  <c r="O33" i="18" s="1"/>
  <c r="P24" i="18"/>
  <c r="P25" i="18" s="1"/>
  <c r="P26" i="18" s="1"/>
  <c r="P27" i="18" s="1"/>
  <c r="P28" i="18" s="1"/>
  <c r="P29" i="18" s="1"/>
  <c r="O17" i="17"/>
  <c r="O18" i="17" s="1"/>
  <c r="O19" i="17" s="1"/>
  <c r="O20" i="17" s="1"/>
  <c r="O21" i="17" s="1"/>
  <c r="P12" i="17"/>
  <c r="P13" i="17" s="1"/>
  <c r="P14" i="17" s="1"/>
  <c r="P15" i="17" s="1"/>
  <c r="O34" i="18" l="1"/>
  <c r="O35" i="18" s="1"/>
  <c r="P30" i="18"/>
  <c r="P31" i="18" s="1"/>
  <c r="P32" i="18" s="1"/>
  <c r="O22" i="17"/>
  <c r="O23" i="17" s="1"/>
  <c r="O24" i="17" s="1"/>
  <c r="P16" i="17"/>
  <c r="P17" i="17" s="1"/>
  <c r="P18" i="17" s="1"/>
  <c r="P19" i="17" s="1"/>
  <c r="P20" i="17" s="1"/>
  <c r="O36" i="18" l="1"/>
  <c r="O37" i="18" s="1"/>
  <c r="O38" i="18" s="1"/>
  <c r="O39" i="18" s="1"/>
  <c r="O40" i="18" s="1"/>
  <c r="O41" i="18" s="1"/>
  <c r="O42" i="18" s="1"/>
  <c r="O43" i="18" s="1"/>
  <c r="P33" i="18"/>
  <c r="P34" i="18" s="1"/>
  <c r="O25" i="17"/>
  <c r="O26" i="17" s="1"/>
  <c r="O27" i="17" s="1"/>
  <c r="O28" i="17" s="1"/>
  <c r="O29" i="17" s="1"/>
  <c r="O30" i="17" s="1"/>
  <c r="O31" i="17" s="1"/>
  <c r="P21" i="17"/>
  <c r="P22" i="17" s="1"/>
  <c r="P23" i="17" s="1"/>
  <c r="O44" i="18" l="1"/>
  <c r="O45" i="18" s="1"/>
  <c r="O46" i="18" s="1"/>
  <c r="P35" i="18"/>
  <c r="P36" i="18" s="1"/>
  <c r="P37" i="18" s="1"/>
  <c r="P38" i="18" s="1"/>
  <c r="P39" i="18" s="1"/>
  <c r="P40" i="18" s="1"/>
  <c r="P41" i="18" s="1"/>
  <c r="P42" i="18" s="1"/>
  <c r="O32" i="17"/>
  <c r="O33" i="17" s="1"/>
  <c r="O34" i="17" s="1"/>
  <c r="P24" i="17"/>
  <c r="P25" i="17" s="1"/>
  <c r="P26" i="17" s="1"/>
  <c r="P27" i="17" s="1"/>
  <c r="P28" i="17" s="1"/>
  <c r="P29" i="17" s="1"/>
  <c r="P30" i="17" s="1"/>
  <c r="O47" i="18" l="1"/>
  <c r="O48" i="18" s="1"/>
  <c r="O49" i="18" s="1"/>
  <c r="O50" i="18" s="1"/>
  <c r="O51" i="18" s="1"/>
  <c r="P43" i="18"/>
  <c r="P44" i="18" s="1"/>
  <c r="P45" i="18" s="1"/>
  <c r="O35" i="17"/>
  <c r="O36" i="17" s="1"/>
  <c r="O37" i="17" s="1"/>
  <c r="P31" i="17"/>
  <c r="P32" i="17" s="1"/>
  <c r="P33" i="17" s="1"/>
  <c r="O52" i="18" l="1"/>
  <c r="O53" i="18" s="1"/>
  <c r="O54" i="18" s="1"/>
  <c r="O55" i="18" s="1"/>
  <c r="O56" i="18" s="1"/>
  <c r="O57" i="18" s="1"/>
  <c r="O58" i="18" s="1"/>
  <c r="P46" i="18"/>
  <c r="P47" i="18" s="1"/>
  <c r="P48" i="18" s="1"/>
  <c r="P49" i="18" s="1"/>
  <c r="P50" i="18" s="1"/>
  <c r="O38" i="17"/>
  <c r="O39" i="17" s="1"/>
  <c r="O40" i="17" s="1"/>
  <c r="P34" i="17"/>
  <c r="P35" i="17" s="1"/>
  <c r="P36" i="17" s="1"/>
  <c r="O59" i="18" l="1"/>
  <c r="O60" i="18" s="1"/>
  <c r="P51" i="18"/>
  <c r="P52" i="18" s="1"/>
  <c r="P53" i="18" s="1"/>
  <c r="P54" i="18" s="1"/>
  <c r="P55" i="18" s="1"/>
  <c r="O41" i="17"/>
  <c r="O42" i="17" s="1"/>
  <c r="O43" i="17" s="1"/>
  <c r="O44" i="17" s="1"/>
  <c r="O45" i="17" s="1"/>
  <c r="O46" i="17" s="1"/>
  <c r="P37" i="17"/>
  <c r="P38" i="17" s="1"/>
  <c r="P39" i="17" s="1"/>
  <c r="O61" i="18" l="1"/>
  <c r="O62" i="18" s="1"/>
  <c r="O63" i="18" s="1"/>
  <c r="O64" i="18" s="1"/>
  <c r="P56" i="18"/>
  <c r="O47" i="17"/>
  <c r="O48" i="17" s="1"/>
  <c r="O49" i="17" s="1"/>
  <c r="P40" i="17"/>
  <c r="P41" i="17" s="1"/>
  <c r="P42" i="17" s="1"/>
  <c r="P43" i="17" s="1"/>
  <c r="P44" i="17" s="1"/>
  <c r="P45" i="17" s="1"/>
  <c r="O65" i="18" l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O84" i="18" s="1"/>
  <c r="O85" i="18" s="1"/>
  <c r="O86" i="18" s="1"/>
  <c r="O87" i="18" s="1"/>
  <c r="O88" i="18" s="1"/>
  <c r="O89" i="18" s="1"/>
  <c r="O90" i="18" s="1"/>
  <c r="O91" i="18" s="1"/>
  <c r="O92" i="18" s="1"/>
  <c r="O93" i="18" s="1"/>
  <c r="O94" i="18" s="1"/>
  <c r="O95" i="18" s="1"/>
  <c r="O96" i="18" s="1"/>
  <c r="O97" i="18" s="1"/>
  <c r="O98" i="18" s="1"/>
  <c r="O99" i="18" s="1"/>
  <c r="O100" i="18" s="1"/>
  <c r="O101" i="18" s="1"/>
  <c r="O102" i="18" s="1"/>
  <c r="O103" i="18" s="1"/>
  <c r="O104" i="18" s="1"/>
  <c r="O106" i="18" s="1"/>
  <c r="P117" i="18" s="1"/>
  <c r="P118" i="18" s="1"/>
  <c r="P57" i="18"/>
  <c r="P58" i="18" s="1"/>
  <c r="P59" i="18" s="1"/>
  <c r="O50" i="17"/>
  <c r="O51" i="17" s="1"/>
  <c r="O52" i="17" s="1"/>
  <c r="O53" i="17" s="1"/>
  <c r="P46" i="17"/>
  <c r="P47" i="17" s="1"/>
  <c r="P48" i="17" s="1"/>
  <c r="P60" i="18" l="1"/>
  <c r="P61" i="18" s="1"/>
  <c r="P62" i="18" s="1"/>
  <c r="P63" i="18" s="1"/>
  <c r="O54" i="17"/>
  <c r="O55" i="17" s="1"/>
  <c r="O56" i="17" s="1"/>
  <c r="O57" i="17" s="1"/>
  <c r="O58" i="17" s="1"/>
  <c r="O59" i="17" s="1"/>
  <c r="O60" i="17" s="1"/>
  <c r="P49" i="17"/>
  <c r="P50" i="17" s="1"/>
  <c r="P51" i="17" s="1"/>
  <c r="P52" i="17" s="1"/>
  <c r="P53" i="17" s="1"/>
  <c r="K115" i="16"/>
  <c r="K113" i="16"/>
  <c r="O108" i="16"/>
  <c r="O107" i="16"/>
  <c r="O106" i="16"/>
  <c r="M104" i="16"/>
  <c r="J104" i="16"/>
  <c r="H104" i="16"/>
  <c r="C104" i="16"/>
  <c r="O7" i="16"/>
  <c r="O8" i="16" s="1"/>
  <c r="O9" i="16" s="1"/>
  <c r="O10" i="16" s="1"/>
  <c r="K97" i="15"/>
  <c r="O98" i="15"/>
  <c r="O97" i="15"/>
  <c r="O96" i="15"/>
  <c r="P64" i="18" l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P84" i="18" s="1"/>
  <c r="P85" i="18" s="1"/>
  <c r="P86" i="18" s="1"/>
  <c r="P87" i="18" s="1"/>
  <c r="P88" i="18" s="1"/>
  <c r="P89" i="18" s="1"/>
  <c r="P90" i="18" s="1"/>
  <c r="P91" i="18" s="1"/>
  <c r="P92" i="18" s="1"/>
  <c r="P93" i="18" s="1"/>
  <c r="P94" i="18" s="1"/>
  <c r="P95" i="18" s="1"/>
  <c r="P96" i="18" s="1"/>
  <c r="P97" i="18" s="1"/>
  <c r="P98" i="18" s="1"/>
  <c r="P99" i="18" s="1"/>
  <c r="P100" i="18" s="1"/>
  <c r="P101" i="18" s="1"/>
  <c r="P102" i="18" s="1"/>
  <c r="P103" i="18" s="1"/>
  <c r="P104" i="18" s="1"/>
  <c r="O61" i="17"/>
  <c r="O62" i="17" s="1"/>
  <c r="O63" i="17" s="1"/>
  <c r="P54" i="17"/>
  <c r="P55" i="17" s="1"/>
  <c r="P56" i="17" s="1"/>
  <c r="P57" i="17" s="1"/>
  <c r="P58" i="17" s="1"/>
  <c r="P59" i="17" s="1"/>
  <c r="O11" i="16"/>
  <c r="O12" i="16" s="1"/>
  <c r="O13" i="16" s="1"/>
  <c r="O14" i="16" s="1"/>
  <c r="O15" i="16" s="1"/>
  <c r="O16" i="16" s="1"/>
  <c r="O17" i="16" s="1"/>
  <c r="M105" i="16"/>
  <c r="P104" i="16"/>
  <c r="P7" i="16"/>
  <c r="P8" i="16" s="1"/>
  <c r="P9" i="16" s="1"/>
  <c r="P10" i="16" s="1"/>
  <c r="M93" i="15"/>
  <c r="J93" i="15"/>
  <c r="H93" i="15"/>
  <c r="C93" i="15"/>
  <c r="O7" i="15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96" i="13"/>
  <c r="O95" i="14"/>
  <c r="M93" i="14"/>
  <c r="H93" i="14"/>
  <c r="C93" i="14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P84" i="14" s="1"/>
  <c r="P85" i="14" s="1"/>
  <c r="P86" i="14" s="1"/>
  <c r="P87" i="14" s="1"/>
  <c r="P88" i="14" s="1"/>
  <c r="P89" i="14" s="1"/>
  <c r="P90" i="14" s="1"/>
  <c r="P91" i="14" s="1"/>
  <c r="P92" i="14" s="1"/>
  <c r="J93" i="14"/>
  <c r="O7" i="14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O84" i="14" s="1"/>
  <c r="O85" i="14" s="1"/>
  <c r="O86" i="14" s="1"/>
  <c r="O87" i="14" s="1"/>
  <c r="O88" i="14" s="1"/>
  <c r="O89" i="14" s="1"/>
  <c r="O90" i="14" s="1"/>
  <c r="O91" i="14" s="1"/>
  <c r="O92" i="14" s="1"/>
  <c r="O94" i="14" s="1"/>
  <c r="P106" i="14" s="1"/>
  <c r="J23" i="13"/>
  <c r="J93" i="13" s="1"/>
  <c r="O95" i="13"/>
  <c r="M93" i="13"/>
  <c r="H93" i="13"/>
  <c r="C93" i="13"/>
  <c r="O7" i="13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95" i="12"/>
  <c r="M93" i="12"/>
  <c r="J93" i="12"/>
  <c r="H93" i="12"/>
  <c r="C93" i="12"/>
  <c r="O7" i="12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O84" i="12" s="1"/>
  <c r="O85" i="12" s="1"/>
  <c r="O86" i="12" s="1"/>
  <c r="O87" i="12" s="1"/>
  <c r="O88" i="12" s="1"/>
  <c r="O89" i="12" s="1"/>
  <c r="O90" i="12" s="1"/>
  <c r="O91" i="12" s="1"/>
  <c r="O92" i="12" s="1"/>
  <c r="O94" i="12" s="1"/>
  <c r="P106" i="12" s="1"/>
  <c r="O95" i="10"/>
  <c r="O240" i="9"/>
  <c r="M93" i="10"/>
  <c r="J93" i="10"/>
  <c r="H93" i="10"/>
  <c r="C93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P93" i="12" l="1"/>
  <c r="O64" i="17"/>
  <c r="O65" i="17" s="1"/>
  <c r="O66" i="17" s="1"/>
  <c r="P60" i="17"/>
  <c r="P61" i="17" s="1"/>
  <c r="P62" i="17" s="1"/>
  <c r="O18" i="16"/>
  <c r="O19" i="16" s="1"/>
  <c r="O20" i="16" s="1"/>
  <c r="O21" i="16" s="1"/>
  <c r="O22" i="16" s="1"/>
  <c r="O23" i="16" s="1"/>
  <c r="O24" i="16" s="1"/>
  <c r="O25" i="16" s="1"/>
  <c r="O26" i="16" s="1"/>
  <c r="O27" i="16" s="1"/>
  <c r="P11" i="16"/>
  <c r="P12" i="16" s="1"/>
  <c r="P13" i="16" s="1"/>
  <c r="O20" i="15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O84" i="15" s="1"/>
  <c r="O85" i="15" s="1"/>
  <c r="O86" i="15" s="1"/>
  <c r="O87" i="15" s="1"/>
  <c r="O88" i="15" s="1"/>
  <c r="O89" i="15" s="1"/>
  <c r="O90" i="15" s="1"/>
  <c r="O91" i="15" s="1"/>
  <c r="O92" i="15" s="1"/>
  <c r="O94" i="15" s="1"/>
  <c r="P106" i="15" s="1"/>
  <c r="P93" i="15"/>
  <c r="P7" i="15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P84" i="15" s="1"/>
  <c r="P85" i="15" s="1"/>
  <c r="P86" i="15" s="1"/>
  <c r="P87" i="15" s="1"/>
  <c r="P88" i="15" s="1"/>
  <c r="P89" i="15" s="1"/>
  <c r="P90" i="15" s="1"/>
  <c r="P91" i="15" s="1"/>
  <c r="P92" i="15" s="1"/>
  <c r="M94" i="15"/>
  <c r="P93" i="14"/>
  <c r="P107" i="14" s="1"/>
  <c r="M94" i="14"/>
  <c r="P93" i="13"/>
  <c r="P107" i="13" s="1"/>
  <c r="O22" i="13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 s="1"/>
  <c r="O85" i="13" s="1"/>
  <c r="O86" i="13" s="1"/>
  <c r="O87" i="13" s="1"/>
  <c r="O88" i="13" s="1"/>
  <c r="O89" i="13" s="1"/>
  <c r="O90" i="13" s="1"/>
  <c r="O91" i="13" s="1"/>
  <c r="O92" i="13" s="1"/>
  <c r="O94" i="13" s="1"/>
  <c r="P106" i="13" s="1"/>
  <c r="M94" i="13"/>
  <c r="P7" i="13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7" i="12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P84" i="12" s="1"/>
  <c r="P85" i="12" s="1"/>
  <c r="P86" i="12" s="1"/>
  <c r="P87" i="12" s="1"/>
  <c r="P88" i="12" s="1"/>
  <c r="P89" i="12" s="1"/>
  <c r="P90" i="12" s="1"/>
  <c r="P91" i="12" s="1"/>
  <c r="P92" i="12" s="1"/>
  <c r="M94" i="12"/>
  <c r="P107" i="12"/>
  <c r="O94" i="10"/>
  <c r="P106" i="10" s="1"/>
  <c r="P93" i="10"/>
  <c r="M94" i="10"/>
  <c r="P7" i="10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M234" i="9"/>
  <c r="J234" i="9"/>
  <c r="H234" i="9"/>
  <c r="C234" i="9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P107" i="15" l="1"/>
  <c r="O67" i="17"/>
  <c r="P63" i="17"/>
  <c r="P64" i="17" s="1"/>
  <c r="P65" i="17" s="1"/>
  <c r="O28" i="16"/>
  <c r="O29" i="16" s="1"/>
  <c r="O30" i="16" s="1"/>
  <c r="P14" i="16"/>
  <c r="P107" i="10"/>
  <c r="M235" i="9"/>
  <c r="O235" i="9"/>
  <c r="P247" i="9" s="1"/>
  <c r="P234" i="9"/>
  <c r="P7" i="9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O68" i="17" l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O84" i="17" s="1"/>
  <c r="O85" i="17" s="1"/>
  <c r="O86" i="17" s="1"/>
  <c r="O87" i="17" s="1"/>
  <c r="O89" i="17" s="1"/>
  <c r="P100" i="17" s="1"/>
  <c r="P101" i="17" s="1"/>
  <c r="P66" i="17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O31" i="16"/>
  <c r="O32" i="16" s="1"/>
  <c r="O33" i="16" s="1"/>
  <c r="O34" i="16" s="1"/>
  <c r="O35" i="16" s="1"/>
  <c r="O36" i="16" s="1"/>
  <c r="O37" i="16" s="1"/>
  <c r="P15" i="16"/>
  <c r="P16" i="16" s="1"/>
  <c r="P17" i="16" s="1"/>
  <c r="P248" i="9"/>
  <c r="O38" i="16" l="1"/>
  <c r="O39" i="16" s="1"/>
  <c r="O40" i="16" s="1"/>
  <c r="P18" i="16"/>
  <c r="P19" i="16" s="1"/>
  <c r="P20" i="16" s="1"/>
  <c r="P21" i="16" s="1"/>
  <c r="P22" i="16" s="1"/>
  <c r="P23" i="16" s="1"/>
  <c r="P24" i="16" s="1"/>
  <c r="P25" i="16" s="1"/>
  <c r="P26" i="16" s="1"/>
  <c r="M234" i="8"/>
  <c r="J234" i="8"/>
  <c r="H234" i="8"/>
  <c r="C234" i="8"/>
  <c r="O7" i="8"/>
  <c r="O8" i="8" s="1"/>
  <c r="O9" i="8" s="1"/>
  <c r="O10" i="8" s="1"/>
  <c r="O11" i="8" s="1"/>
  <c r="O12" i="8" s="1"/>
  <c r="O13" i="8" s="1"/>
  <c r="O14" i="8" s="1"/>
  <c r="O15" i="8" s="1"/>
  <c r="O41" i="16" l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5" i="16" s="1"/>
  <c r="P116" i="16" s="1"/>
  <c r="P117" i="16" s="1"/>
  <c r="P27" i="16"/>
  <c r="P28" i="16" s="1"/>
  <c r="P29" i="16" s="1"/>
  <c r="O16" i="8"/>
  <c r="O17" i="8" s="1"/>
  <c r="O18" i="8" s="1"/>
  <c r="M235" i="8"/>
  <c r="P234" i="8"/>
  <c r="K252" i="8"/>
  <c r="P7" i="8"/>
  <c r="P8" i="8" s="1"/>
  <c r="P9" i="8" s="1"/>
  <c r="P10" i="8" s="1"/>
  <c r="P11" i="8" s="1"/>
  <c r="P12" i="8" s="1"/>
  <c r="P13" i="8" s="1"/>
  <c r="K248" i="8"/>
  <c r="K250" i="7"/>
  <c r="K249" i="7"/>
  <c r="K248" i="7"/>
  <c r="K247" i="7"/>
  <c r="K246" i="7"/>
  <c r="K245" i="7"/>
  <c r="K244" i="7"/>
  <c r="K243" i="7"/>
  <c r="K242" i="7"/>
  <c r="K241" i="7"/>
  <c r="K240" i="7"/>
  <c r="K239" i="7"/>
  <c r="O242" i="7"/>
  <c r="O241" i="7"/>
  <c r="O240" i="7"/>
  <c r="O239" i="7"/>
  <c r="K253" i="7" l="1"/>
  <c r="K254" i="7"/>
  <c r="P30" i="16"/>
  <c r="P31" i="16" s="1"/>
  <c r="P32" i="16" s="1"/>
  <c r="P33" i="16" s="1"/>
  <c r="P34" i="16" s="1"/>
  <c r="P35" i="16" s="1"/>
  <c r="P36" i="16" s="1"/>
  <c r="O19" i="8"/>
  <c r="O20" i="8" s="1"/>
  <c r="O21" i="8" s="1"/>
  <c r="O22" i="8" s="1"/>
  <c r="O23" i="8" s="1"/>
  <c r="P14" i="8"/>
  <c r="P15" i="8" s="1"/>
  <c r="P16" i="8" s="1"/>
  <c r="P17" i="8" s="1"/>
  <c r="P18" i="8" s="1"/>
  <c r="M237" i="7"/>
  <c r="J237" i="7"/>
  <c r="H237" i="7"/>
  <c r="C237" i="7"/>
  <c r="O7" i="7"/>
  <c r="O8" i="7" s="1"/>
  <c r="O9" i="7" s="1"/>
  <c r="O10" i="7" s="1"/>
  <c r="K232" i="6"/>
  <c r="K231" i="6"/>
  <c r="K230" i="6"/>
  <c r="K229" i="6"/>
  <c r="K228" i="6"/>
  <c r="K227" i="6"/>
  <c r="K226" i="6"/>
  <c r="K225" i="6"/>
  <c r="K224" i="6"/>
  <c r="K223" i="6"/>
  <c r="K222" i="6"/>
  <c r="O223" i="6"/>
  <c r="O222" i="6"/>
  <c r="K255" i="7" l="1"/>
  <c r="P37" i="16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P87" i="16" s="1"/>
  <c r="P88" i="16" s="1"/>
  <c r="P89" i="16" s="1"/>
  <c r="P90" i="16" s="1"/>
  <c r="P91" i="16" s="1"/>
  <c r="P92" i="16" s="1"/>
  <c r="P93" i="16" s="1"/>
  <c r="P94" i="16" s="1"/>
  <c r="P95" i="16" s="1"/>
  <c r="P96" i="16" s="1"/>
  <c r="P97" i="16" s="1"/>
  <c r="P98" i="16" s="1"/>
  <c r="P99" i="16" s="1"/>
  <c r="P100" i="16" s="1"/>
  <c r="P101" i="16" s="1"/>
  <c r="P102" i="16" s="1"/>
  <c r="P103" i="16" s="1"/>
  <c r="O24" i="8"/>
  <c r="O25" i="8" s="1"/>
  <c r="O26" i="8" s="1"/>
  <c r="O27" i="8" s="1"/>
  <c r="P19" i="8"/>
  <c r="P20" i="8" s="1"/>
  <c r="P21" i="8" s="1"/>
  <c r="P22" i="8" s="1"/>
  <c r="O11" i="7"/>
  <c r="O12" i="7" s="1"/>
  <c r="O13" i="7" s="1"/>
  <c r="O14" i="7" s="1"/>
  <c r="O15" i="7" s="1"/>
  <c r="O16" i="7" s="1"/>
  <c r="K251" i="7"/>
  <c r="M238" i="7"/>
  <c r="P237" i="7"/>
  <c r="P7" i="7"/>
  <c r="P8" i="7" s="1"/>
  <c r="P9" i="7" s="1"/>
  <c r="P10" i="7" s="1"/>
  <c r="K237" i="6"/>
  <c r="M220" i="6"/>
  <c r="J220" i="6"/>
  <c r="H220" i="6"/>
  <c r="C220" i="6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K214" i="5"/>
  <c r="K213" i="5"/>
  <c r="K212" i="5"/>
  <c r="K211" i="5"/>
  <c r="K210" i="5"/>
  <c r="K209" i="5"/>
  <c r="K208" i="5"/>
  <c r="K207" i="5"/>
  <c r="K206" i="5"/>
  <c r="K205" i="5"/>
  <c r="O206" i="5"/>
  <c r="O205" i="5"/>
  <c r="O28" i="8" l="1"/>
  <c r="O29" i="8" s="1"/>
  <c r="O30" i="8" s="1"/>
  <c r="P23" i="8"/>
  <c r="P24" i="8" s="1"/>
  <c r="P25" i="8" s="1"/>
  <c r="P26" i="8" s="1"/>
  <c r="P27" i="8" s="1"/>
  <c r="O17" i="7"/>
  <c r="O18" i="7" s="1"/>
  <c r="O19" i="7" s="1"/>
  <c r="O20" i="7" s="1"/>
  <c r="P11" i="7"/>
  <c r="P12" i="7" s="1"/>
  <c r="P13" i="7" s="1"/>
  <c r="P14" i="7" s="1"/>
  <c r="P15" i="7" s="1"/>
  <c r="P16" i="7" s="1"/>
  <c r="P33" i="6"/>
  <c r="P34" i="6" s="1"/>
  <c r="P35" i="6" s="1"/>
  <c r="P36" i="6" s="1"/>
  <c r="O28" i="6"/>
  <c r="O29" i="6" s="1"/>
  <c r="O30" i="6" s="1"/>
  <c r="O31" i="6" s="1"/>
  <c r="O32" i="6" s="1"/>
  <c r="M221" i="6"/>
  <c r="K233" i="6"/>
  <c r="P220" i="6"/>
  <c r="K215" i="5"/>
  <c r="O31" i="8" l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5" i="8" s="1"/>
  <c r="P247" i="8" s="1"/>
  <c r="P248" i="8" s="1"/>
  <c r="P28" i="8"/>
  <c r="P29" i="8" s="1"/>
  <c r="P30" i="8" s="1"/>
  <c r="O21" i="7"/>
  <c r="O22" i="7" s="1"/>
  <c r="O23" i="7" s="1"/>
  <c r="O24" i="7" s="1"/>
  <c r="O25" i="7" s="1"/>
  <c r="P17" i="7"/>
  <c r="P18" i="7" s="1"/>
  <c r="P19" i="7" s="1"/>
  <c r="P20" i="7" s="1"/>
  <c r="P37" i="6"/>
  <c r="O33" i="6"/>
  <c r="O34" i="6" s="1"/>
  <c r="O35" i="6" s="1"/>
  <c r="O36" i="6" s="1"/>
  <c r="O37" i="6" s="1"/>
  <c r="O38" i="6" s="1"/>
  <c r="O39" i="6" s="1"/>
  <c r="O40" i="6" s="1"/>
  <c r="O41" i="6" s="1"/>
  <c r="O42" i="6" s="1"/>
  <c r="K219" i="5"/>
  <c r="M203" i="5"/>
  <c r="J203" i="5"/>
  <c r="C203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H51" i="4"/>
  <c r="M184" i="4"/>
  <c r="J184" i="4"/>
  <c r="H184" i="4"/>
  <c r="C184" i="4"/>
  <c r="O7" i="4"/>
  <c r="O8" i="4" s="1"/>
  <c r="O9" i="4" s="1"/>
  <c r="O10" i="4" s="1"/>
  <c r="O11" i="4" s="1"/>
  <c r="O12" i="4" s="1"/>
  <c r="O13" i="4" s="1"/>
  <c r="O14" i="4" s="1"/>
  <c r="O15" i="4" s="1"/>
  <c r="O16" i="4" s="1"/>
  <c r="P31" i="8" l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O26" i="7"/>
  <c r="O27" i="7" s="1"/>
  <c r="O28" i="7" s="1"/>
  <c r="P21" i="7"/>
  <c r="P22" i="7" s="1"/>
  <c r="P23" i="7" s="1"/>
  <c r="P24" i="7" s="1"/>
  <c r="O43" i="6"/>
  <c r="O44" i="6" s="1"/>
  <c r="O45" i="6" s="1"/>
  <c r="O46" i="6" s="1"/>
  <c r="O47" i="6" s="1"/>
  <c r="O48" i="6" s="1"/>
  <c r="O49" i="6" s="1"/>
  <c r="P38" i="6"/>
  <c r="P39" i="6" s="1"/>
  <c r="P40" i="6" s="1"/>
  <c r="P41" i="6" s="1"/>
  <c r="P42" i="6" s="1"/>
  <c r="P43" i="5"/>
  <c r="P44" i="5" s="1"/>
  <c r="P45" i="5" s="1"/>
  <c r="P46" i="5" s="1"/>
  <c r="P47" i="5" s="1"/>
  <c r="P48" i="5" s="1"/>
  <c r="O29" i="5"/>
  <c r="O30" i="5" s="1"/>
  <c r="O31" i="5" s="1"/>
  <c r="O32" i="5" s="1"/>
  <c r="O33" i="5" s="1"/>
  <c r="O34" i="5" s="1"/>
  <c r="M204" i="5"/>
  <c r="H203" i="5"/>
  <c r="O17" i="4"/>
  <c r="O18" i="4" s="1"/>
  <c r="O19" i="4" s="1"/>
  <c r="O20" i="4" s="1"/>
  <c r="P184" i="4"/>
  <c r="M185" i="4"/>
  <c r="P7" i="4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K204" i="4"/>
  <c r="K201" i="4"/>
  <c r="O29" i="7" l="1"/>
  <c r="O30" i="7" s="1"/>
  <c r="O31" i="7" s="1"/>
  <c r="O32" i="7" s="1"/>
  <c r="O33" i="7" s="1"/>
  <c r="P25" i="7"/>
  <c r="P26" i="7" s="1"/>
  <c r="P27" i="7" s="1"/>
  <c r="P28" i="7" s="1"/>
  <c r="O50" i="6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1" i="6" s="1"/>
  <c r="P43" i="6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49" i="5"/>
  <c r="P50" i="5" s="1"/>
  <c r="P51" i="5" s="1"/>
  <c r="P52" i="5" s="1"/>
  <c r="P53" i="5" s="1"/>
  <c r="O35" i="5"/>
  <c r="O36" i="5" s="1"/>
  <c r="O37" i="5" s="1"/>
  <c r="O38" i="5" s="1"/>
  <c r="P203" i="5"/>
  <c r="O21" i="4"/>
  <c r="O22" i="4" s="1"/>
  <c r="P20" i="4"/>
  <c r="P21" i="4" s="1"/>
  <c r="K180" i="3"/>
  <c r="K179" i="3"/>
  <c r="K178" i="3"/>
  <c r="K177" i="3"/>
  <c r="K176" i="3"/>
  <c r="K170" i="3"/>
  <c r="K169" i="3"/>
  <c r="K168" i="3"/>
  <c r="K167" i="3"/>
  <c r="O170" i="3"/>
  <c r="O169" i="3"/>
  <c r="O168" i="3"/>
  <c r="O167" i="3"/>
  <c r="M165" i="3"/>
  <c r="J165" i="3"/>
  <c r="H165" i="3"/>
  <c r="C165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K158" i="2"/>
  <c r="O161" i="2"/>
  <c r="O160" i="2"/>
  <c r="O159" i="2"/>
  <c r="C11" i="2"/>
  <c r="M154" i="2"/>
  <c r="M155" i="2" s="1"/>
  <c r="J154" i="2"/>
  <c r="H154" i="2"/>
  <c r="C154" i="2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K181" i="3" l="1"/>
  <c r="O34" i="7"/>
  <c r="P29" i="7"/>
  <c r="P30" i="7" s="1"/>
  <c r="P31" i="7" s="1"/>
  <c r="P32" i="7" s="1"/>
  <c r="P33" i="7" s="1"/>
  <c r="P232" i="6"/>
  <c r="P233" i="6" s="1"/>
  <c r="P54" i="5"/>
  <c r="O39" i="5"/>
  <c r="O40" i="5" s="1"/>
  <c r="O41" i="5" s="1"/>
  <c r="O42" i="5" s="1"/>
  <c r="O23" i="4"/>
  <c r="O24" i="4" s="1"/>
  <c r="O25" i="4" s="1"/>
  <c r="P22" i="4"/>
  <c r="P23" i="4" s="1"/>
  <c r="P24" i="4" s="1"/>
  <c r="P25" i="4" s="1"/>
  <c r="K183" i="3"/>
  <c r="K182" i="3"/>
  <c r="K184" i="3" s="1"/>
  <c r="O19" i="3"/>
  <c r="O20" i="3" s="1"/>
  <c r="O21" i="3" s="1"/>
  <c r="O22" i="3" s="1"/>
  <c r="O23" i="3" s="1"/>
  <c r="O24" i="3" s="1"/>
  <c r="M166" i="3"/>
  <c r="P165" i="3"/>
  <c r="P7" i="3"/>
  <c r="P8" i="3" s="1"/>
  <c r="P9" i="3" s="1"/>
  <c r="P10" i="3" s="1"/>
  <c r="P11" i="3" s="1"/>
  <c r="P12" i="3" s="1"/>
  <c r="P13" i="3" s="1"/>
  <c r="P14" i="3" s="1"/>
  <c r="O30" i="2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5" i="2" s="1"/>
  <c r="P165" i="2" s="1"/>
  <c r="P154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O35" i="7" l="1"/>
  <c r="O36" i="7" s="1"/>
  <c r="O37" i="7" s="1"/>
  <c r="P34" i="7"/>
  <c r="P35" i="7" s="1"/>
  <c r="P36" i="7" s="1"/>
  <c r="P37" i="7" s="1"/>
  <c r="P55" i="5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O43" i="5"/>
  <c r="O44" i="5" s="1"/>
  <c r="O45" i="5" s="1"/>
  <c r="O46" i="5" s="1"/>
  <c r="O47" i="5" s="1"/>
  <c r="O48" i="5" s="1"/>
  <c r="O26" i="4"/>
  <c r="P26" i="4"/>
  <c r="P27" i="4" s="1"/>
  <c r="P28" i="4" s="1"/>
  <c r="P29" i="4" s="1"/>
  <c r="O25" i="3"/>
  <c r="O26" i="3" s="1"/>
  <c r="O27" i="3" s="1"/>
  <c r="O28" i="3" s="1"/>
  <c r="O29" i="3" s="1"/>
  <c r="O30" i="3" s="1"/>
  <c r="O31" i="3" s="1"/>
  <c r="P15" i="3"/>
  <c r="P26" i="2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66" i="2"/>
  <c r="C75" i="1"/>
  <c r="O77" i="1"/>
  <c r="M75" i="1"/>
  <c r="J75" i="1"/>
  <c r="H75" i="1"/>
  <c r="R69" i="1"/>
  <c r="Q69" i="1"/>
  <c r="R39" i="1"/>
  <c r="Q39" i="1"/>
  <c r="R33" i="1"/>
  <c r="Q33" i="1"/>
  <c r="R25" i="1"/>
  <c r="Q25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O7" i="1"/>
  <c r="O8" i="1" s="1"/>
  <c r="O38" i="7" l="1"/>
  <c r="O39" i="7" s="1"/>
  <c r="O40" i="7" s="1"/>
  <c r="O41" i="7" s="1"/>
  <c r="P38" i="7"/>
  <c r="P39" i="7" s="1"/>
  <c r="P40" i="7" s="1"/>
  <c r="P41" i="7" s="1"/>
  <c r="O49" i="5"/>
  <c r="O50" i="5" s="1"/>
  <c r="O51" i="5" s="1"/>
  <c r="O52" i="5" s="1"/>
  <c r="O53" i="5" s="1"/>
  <c r="O27" i="4"/>
  <c r="O28" i="4" s="1"/>
  <c r="O29" i="4" s="1"/>
  <c r="O30" i="4" s="1"/>
  <c r="O31" i="4" s="1"/>
  <c r="O32" i="4" s="1"/>
  <c r="O33" i="4" s="1"/>
  <c r="P30" i="4"/>
  <c r="P31" i="4" s="1"/>
  <c r="P32" i="4" s="1"/>
  <c r="P33" i="4" s="1"/>
  <c r="O32" i="3"/>
  <c r="P16" i="3"/>
  <c r="P17" i="3" s="1"/>
  <c r="P18" i="3" s="1"/>
  <c r="P19" i="3" s="1"/>
  <c r="P20" i="3" s="1"/>
  <c r="P21" i="3" s="1"/>
  <c r="P22" i="3" s="1"/>
  <c r="P23" i="3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6" i="1" s="1"/>
  <c r="O78" i="1" s="1"/>
  <c r="P78" i="1" s="1"/>
  <c r="P75" i="1"/>
  <c r="P80" i="1" s="1"/>
  <c r="O42" i="7" l="1"/>
  <c r="O43" i="7" s="1"/>
  <c r="O44" i="7" s="1"/>
  <c r="O45" i="7" s="1"/>
  <c r="O46" i="7" s="1"/>
  <c r="O47" i="7" s="1"/>
  <c r="P42" i="7"/>
  <c r="P43" i="7" s="1"/>
  <c r="P44" i="7" s="1"/>
  <c r="P45" i="7" s="1"/>
  <c r="P46" i="7" s="1"/>
  <c r="O54" i="5"/>
  <c r="O55" i="5" s="1"/>
  <c r="O34" i="4"/>
  <c r="O35" i="4" s="1"/>
  <c r="O36" i="4" s="1"/>
  <c r="O37" i="4" s="1"/>
  <c r="O38" i="4" s="1"/>
  <c r="O39" i="4" s="1"/>
  <c r="O40" i="4" s="1"/>
  <c r="P34" i="4"/>
  <c r="P35" i="4" s="1"/>
  <c r="P36" i="4" s="1"/>
  <c r="P37" i="4" s="1"/>
  <c r="P38" i="4" s="1"/>
  <c r="P39" i="4" s="1"/>
  <c r="P40" i="4" s="1"/>
  <c r="O33" i="3"/>
  <c r="O34" i="3" s="1"/>
  <c r="O35" i="3" s="1"/>
  <c r="O36" i="3" s="1"/>
  <c r="P24" i="3"/>
  <c r="O48" i="7" l="1"/>
  <c r="O49" i="7" s="1"/>
  <c r="O50" i="7" s="1"/>
  <c r="P47" i="7"/>
  <c r="P48" i="7" s="1"/>
  <c r="P49" i="7" s="1"/>
  <c r="P50" i="7" s="1"/>
  <c r="O56" i="5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4" i="5" s="1"/>
  <c r="P214" i="5" s="1"/>
  <c r="P215" i="5" s="1"/>
  <c r="O41" i="4"/>
  <c r="O42" i="4" s="1"/>
  <c r="O43" i="4" s="1"/>
  <c r="O44" i="4" s="1"/>
  <c r="O45" i="4" s="1"/>
  <c r="O46" i="4" s="1"/>
  <c r="P41" i="4"/>
  <c r="P42" i="4" s="1"/>
  <c r="P43" i="4" s="1"/>
  <c r="P44" i="4" s="1"/>
  <c r="P45" i="4" s="1"/>
  <c r="P46" i="4" s="1"/>
  <c r="O37" i="3"/>
  <c r="O38" i="3" s="1"/>
  <c r="O39" i="3" s="1"/>
  <c r="O40" i="3" s="1"/>
  <c r="O41" i="3" s="1"/>
  <c r="O42" i="3" s="1"/>
  <c r="O43" i="3" s="1"/>
  <c r="P25" i="3"/>
  <c r="P26" i="3" s="1"/>
  <c r="P27" i="3" s="1"/>
  <c r="P28" i="3" s="1"/>
  <c r="P29" i="3" s="1"/>
  <c r="P30" i="3" s="1"/>
  <c r="P31" i="3" s="1"/>
  <c r="O51" i="7" l="1"/>
  <c r="O52" i="7" s="1"/>
  <c r="O53" i="7" s="1"/>
  <c r="O54" i="7" s="1"/>
  <c r="O55" i="7" s="1"/>
  <c r="O56" i="7" s="1"/>
  <c r="O57" i="7" s="1"/>
  <c r="P51" i="7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O47" i="4"/>
  <c r="O48" i="4" s="1"/>
  <c r="O49" i="4" s="1"/>
  <c r="O50" i="4" s="1"/>
  <c r="O51" i="4" s="1"/>
  <c r="O52" i="4" s="1"/>
  <c r="O53" i="4" s="1"/>
  <c r="P47" i="4"/>
  <c r="P48" i="4" s="1"/>
  <c r="P49" i="4" s="1"/>
  <c r="P50" i="4" s="1"/>
  <c r="P51" i="4" s="1"/>
  <c r="P52" i="4" s="1"/>
  <c r="P53" i="4" s="1"/>
  <c r="O44" i="3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6" i="3" s="1"/>
  <c r="P176" i="3" s="1"/>
  <c r="P177" i="3" s="1"/>
  <c r="P32" i="3"/>
  <c r="P33" i="3" s="1"/>
  <c r="P34" i="3" s="1"/>
  <c r="P35" i="3" s="1"/>
  <c r="P36" i="3" s="1"/>
  <c r="P37" i="3" s="1"/>
  <c r="P38" i="3" s="1"/>
  <c r="P39" i="3" s="1"/>
  <c r="P40" i="3" s="1"/>
  <c r="O58" i="7" l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8" i="7" s="1"/>
  <c r="P250" i="7" s="1"/>
  <c r="P251" i="7" s="1"/>
  <c r="O54" i="4"/>
  <c r="O55" i="4" s="1"/>
  <c r="O56" i="4" s="1"/>
  <c r="O57" i="4" s="1"/>
  <c r="O58" i="4" s="1"/>
  <c r="O59" i="4" s="1"/>
  <c r="O60" i="4" s="1"/>
  <c r="O61" i="4" s="1"/>
  <c r="O62" i="4" s="1"/>
  <c r="P54" i="4"/>
  <c r="P55" i="4" s="1"/>
  <c r="P56" i="4" s="1"/>
  <c r="P57" i="4" s="1"/>
  <c r="P58" i="4" s="1"/>
  <c r="P59" i="4" s="1"/>
  <c r="P60" i="4" s="1"/>
  <c r="P41" i="3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O63" i="4" l="1"/>
  <c r="O64" i="4" s="1"/>
  <c r="O65" i="4" s="1"/>
  <c r="P61" i="4"/>
  <c r="P62" i="4" s="1"/>
  <c r="P63" i="4" s="1"/>
  <c r="P64" i="4" s="1"/>
  <c r="O66" i="4" l="1"/>
  <c r="P65" i="4"/>
  <c r="P66" i="4" s="1"/>
  <c r="O67" i="4" l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5" i="4" s="1"/>
  <c r="P195" i="4" s="1"/>
  <c r="P196" i="4" s="1"/>
  <c r="P67" i="4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M453" i="177" l="1"/>
</calcChain>
</file>

<file path=xl/sharedStrings.xml><?xml version="1.0" encoding="utf-8"?>
<sst xmlns="http://schemas.openxmlformats.org/spreadsheetml/2006/main" count="40982" uniqueCount="4175">
  <si>
    <t>บัญชี รับ-จ่าย น้ำมัน JET A-1 ประจำเดือน  มิถุนายน  2552…………………………</t>
  </si>
  <si>
    <t>ผู้ประกอบการอุตสาหกรรม : บริษัท ปตท.จำกัด( มหาชน) (  หน่วยเติมน้ำมันอากาศยานสนามบินกระบี่  )</t>
  </si>
  <si>
    <t>ปริมาณ : ลิตร 86</t>
  </si>
  <si>
    <t>ยอดคงเหลือยกมา</t>
  </si>
  <si>
    <t>การรับ</t>
  </si>
  <si>
    <t>การจ่าย</t>
  </si>
  <si>
    <t>คงเหลือ</t>
  </si>
  <si>
    <t>เลขที่ LOT</t>
  </si>
  <si>
    <t>วันที่</t>
  </si>
  <si>
    <t>ปริมาณ</t>
  </si>
  <si>
    <t>วันที่รับ</t>
  </si>
  <si>
    <t>โรงกลั่น /</t>
  </si>
  <si>
    <t>เอกสาร</t>
  </si>
  <si>
    <t>จ่ายขายในประเทศ/โอนในประเทศ</t>
  </si>
  <si>
    <t>จ่ายขายต่างประเทศ</t>
  </si>
  <si>
    <t>ตาม LOT</t>
  </si>
  <si>
    <t>รวม</t>
  </si>
  <si>
    <t>คลังต้นทาง</t>
  </si>
  <si>
    <t>ภษ.01-36</t>
  </si>
  <si>
    <t>AR-09030048</t>
  </si>
  <si>
    <t>PTT09/1610</t>
  </si>
  <si>
    <t>PTT09/1746</t>
  </si>
  <si>
    <t>.</t>
  </si>
  <si>
    <t>01.06.2009</t>
  </si>
  <si>
    <t>07.06.2009</t>
  </si>
  <si>
    <t>09.06.2009</t>
  </si>
  <si>
    <t>11.06.2009</t>
  </si>
  <si>
    <t>12.06.2009</t>
  </si>
  <si>
    <t>18.06.2009</t>
  </si>
  <si>
    <t>19.06.2009</t>
  </si>
  <si>
    <t>26.06.2009</t>
  </si>
  <si>
    <t>28.06.2009</t>
  </si>
  <si>
    <t>gain (loss)</t>
  </si>
  <si>
    <t>ยอดยกไป</t>
  </si>
  <si>
    <t>01.04.2009</t>
  </si>
  <si>
    <t>12.04.2009</t>
  </si>
  <si>
    <t>ใบเสร็จรับเงินเลขที่ 02071052/003084 จำนวนเงิน 141,180,429.60 บาท ลว. 20 เมษายน 2552</t>
  </si>
  <si>
    <t>52-J-00184-1</t>
  </si>
  <si>
    <t>บัญชี รับ-จ่าย น้ำมัน JET A-1  ประจำเดือน......ตุลาคม..2552………………………………..</t>
  </si>
  <si>
    <t>ปริมาณ : ลิตรที่ 86</t>
  </si>
  <si>
    <t>โรงกลั่น/</t>
  </si>
  <si>
    <t>วันที่จ่าย</t>
  </si>
  <si>
    <t>จ่ายขายในประเทศ</t>
  </si>
  <si>
    <t>โอนคลัง / จ่ายขายต่างประเทศ</t>
  </si>
  <si>
    <t>คลังปลายทาง</t>
  </si>
  <si>
    <t>AR 040909</t>
  </si>
  <si>
    <t>01.10.2009</t>
  </si>
  <si>
    <t>TOP 140909</t>
  </si>
  <si>
    <t>02.10.2009</t>
  </si>
  <si>
    <t>06.10.2009</t>
  </si>
  <si>
    <t>07.10.2009</t>
  </si>
  <si>
    <t>15.10.2009</t>
  </si>
  <si>
    <t>19.10.2009</t>
  </si>
  <si>
    <t>29.10.2009</t>
  </si>
  <si>
    <t>31.10.2009</t>
  </si>
  <si>
    <t>จำนวนเงิน</t>
  </si>
  <si>
    <t xml:space="preserve">บาท ลงวันที่ </t>
  </si>
  <si>
    <t>ผู้ประกอบการอุตสาหกรรม : บริษัท ปตท. จำกัด ( มหาชน ) ( สถานีอากาศยานสนามบินกระบี่ )</t>
  </si>
  <si>
    <t>16.10.2009</t>
  </si>
  <si>
    <t>TOP 011009</t>
  </si>
  <si>
    <t>17.10.2009</t>
  </si>
  <si>
    <t>20.10.2009</t>
  </si>
  <si>
    <t>21.10.2009</t>
  </si>
  <si>
    <t>AR 061009</t>
  </si>
  <si>
    <t>AR 071009</t>
  </si>
  <si>
    <t>30.10.2009</t>
  </si>
  <si>
    <t>TOP 300709</t>
  </si>
  <si>
    <t>TOP 090409</t>
  </si>
  <si>
    <t>TOP 010409</t>
  </si>
  <si>
    <t>ใบเสร็จรับเงินเลขที่ 02102052/003084</t>
  </si>
  <si>
    <t>ใบเสร็จรับเงินเลขที่ 02102052/003108</t>
  </si>
  <si>
    <t>ปริมาณขอคืน</t>
  </si>
  <si>
    <t>คป.สร.</t>
  </si>
  <si>
    <t>52-J-00185-1</t>
  </si>
  <si>
    <t>บัญชี รับ-จ่าย น้ำมัน JET A-1  ประจำเดือน......พฤศจิกายน..2552………………………………..</t>
  </si>
  <si>
    <t>02.11.2009</t>
  </si>
  <si>
    <t>05.11.2009</t>
  </si>
  <si>
    <t>07.11.2009</t>
  </si>
  <si>
    <t>09.11.2009</t>
  </si>
  <si>
    <t>10.11.2009</t>
  </si>
  <si>
    <t>12.11.2009</t>
  </si>
  <si>
    <t>13.11.2009</t>
  </si>
  <si>
    <t>14.11.2009</t>
  </si>
  <si>
    <t>15.11.2009</t>
  </si>
  <si>
    <t>16.11.2009</t>
  </si>
  <si>
    <t>17.11.2009</t>
  </si>
  <si>
    <t>18.11.2009</t>
  </si>
  <si>
    <t>19.11.2009</t>
  </si>
  <si>
    <t>21.11.2009</t>
  </si>
  <si>
    <t>22.11.2009</t>
  </si>
  <si>
    <t>23.11.2009</t>
  </si>
  <si>
    <t>24.11.2009</t>
  </si>
  <si>
    <t>26.11.2009</t>
  </si>
  <si>
    <t>28.11.2009</t>
  </si>
  <si>
    <t>30.11.2009</t>
  </si>
  <si>
    <t>TOP 151009</t>
  </si>
  <si>
    <t>11.11.2009</t>
  </si>
  <si>
    <t>TOP 031109</t>
  </si>
  <si>
    <t>AR 081109</t>
  </si>
  <si>
    <t>TOP 141109</t>
  </si>
  <si>
    <t>TOP 171109</t>
  </si>
  <si>
    <t>27.11.2009</t>
  </si>
  <si>
    <t>TOP 211109</t>
  </si>
  <si>
    <t>ใบเสร็จรับเงินเลขที่ 02102052/</t>
  </si>
  <si>
    <t>เลขที่ ภษ.</t>
  </si>
  <si>
    <t>PTTAR</t>
  </si>
  <si>
    <t>TOP</t>
  </si>
  <si>
    <t>52-J-00546-1</t>
  </si>
  <si>
    <t>52-J-00186-1</t>
  </si>
  <si>
    <t>ใบเสร็จรับเงินเลขที่ 02071052/007651</t>
  </si>
  <si>
    <t>ใบเสร็จรับเงินเลขที่ 02071053/000321</t>
  </si>
  <si>
    <t>ใบเสร็จรับเงินเลขที่ 02071053/000343</t>
  </si>
  <si>
    <t>ใบเสร็จรับเงินเลขที่ 02102052/005044</t>
  </si>
  <si>
    <t>ใบเสร็จรับเงินเลขที่ 02102052/005826</t>
  </si>
  <si>
    <t>ใบเสร็จรับเงินเลขที่ 02102053/000116</t>
  </si>
  <si>
    <t>ใบเสร็จรับเงินเลขที่ 02102053/000337</t>
  </si>
  <si>
    <t>บัญชี รับ-จ่าย น้ำมัน JET A-1  ประจำเดือน......ธันวาคม..2552………………………………..</t>
  </si>
  <si>
    <t>03.12.2009</t>
  </si>
  <si>
    <t>05.12.2009</t>
  </si>
  <si>
    <t>07.12.2009</t>
  </si>
  <si>
    <t>08.12.2009</t>
  </si>
  <si>
    <t>09.12.2009</t>
  </si>
  <si>
    <t>10.12.2009</t>
  </si>
  <si>
    <t>12.12.2009</t>
  </si>
  <si>
    <t>14.12.2009</t>
  </si>
  <si>
    <t>15.12.2009</t>
  </si>
  <si>
    <t>16.12.2009</t>
  </si>
  <si>
    <t>17.12.2009</t>
  </si>
  <si>
    <t>19.12.2009</t>
  </si>
  <si>
    <t>21.12.2009</t>
  </si>
  <si>
    <t>22.12.2009</t>
  </si>
  <si>
    <t>23.12.2009</t>
  </si>
  <si>
    <t>24.12.2009</t>
  </si>
  <si>
    <t>26.12.2009</t>
  </si>
  <si>
    <t>27.12.2009</t>
  </si>
  <si>
    <t>28.12.2009</t>
  </si>
  <si>
    <t>29.12.2009</t>
  </si>
  <si>
    <t>30.12.2009</t>
  </si>
  <si>
    <t>31.12.2009</t>
  </si>
  <si>
    <t>รวมจ่าย</t>
  </si>
  <si>
    <t>01.12.2009</t>
  </si>
  <si>
    <t>04.12.2009</t>
  </si>
  <si>
    <t>TOP 291109</t>
  </si>
  <si>
    <t>11.12.2009</t>
  </si>
  <si>
    <t>AR 021209</t>
  </si>
  <si>
    <t>TOP 051209</t>
  </si>
  <si>
    <t>13.12.2009</t>
  </si>
  <si>
    <t>TOP 081209</t>
  </si>
  <si>
    <t>18.12.2009</t>
  </si>
  <si>
    <t>AR 121209</t>
  </si>
  <si>
    <t>AR 091109</t>
  </si>
  <si>
    <t>AR 161209</t>
  </si>
  <si>
    <t>25.12.2009</t>
  </si>
  <si>
    <t>AR 181209</t>
  </si>
  <si>
    <t>TOP 221209</t>
  </si>
  <si>
    <t>AR 231209</t>
  </si>
  <si>
    <t>52-J-00582-1</t>
  </si>
  <si>
    <t>52-J-00598-1</t>
  </si>
  <si>
    <t>ใบเสร็จรับเงินเลขที่ 02102053/000607</t>
  </si>
  <si>
    <t>ใบเสร็จรับเงินเลขที่ 02102053/000853</t>
  </si>
  <si>
    <t>ใบเสร็จรับเงินเลขที่ 02102053/000897</t>
  </si>
  <si>
    <t>ใบเสร็จรับเงินเลขที่ 02102053/000956</t>
  </si>
  <si>
    <t>ใบเสร็จรับเงินเลขที่ 02102053/001037</t>
  </si>
  <si>
    <t>ใบเสร็จรับเงินเลขที่ 02102053/001064</t>
  </si>
  <si>
    <t>ใบเสร็จรับเงินเลขที่ 02102053/001165</t>
  </si>
  <si>
    <t>ใบเสร็จรับเงินเลขที่ 02102053/001277</t>
  </si>
  <si>
    <t>ใบเสร็จรับเงินเลขที่ 02071053/000961</t>
  </si>
  <si>
    <t>ใบเสร็จรับเงินเลขที่ 02071053/001499</t>
  </si>
  <si>
    <t>ใบเสร็จรับเงินเลขที่ 02071053/001772</t>
  </si>
  <si>
    <t>ใบเสร็จรับเงินเลขที่ 02071053/001865</t>
  </si>
  <si>
    <t>ใบเสร็จรับเงินเลขที่ 02071053/000996</t>
  </si>
  <si>
    <t>ใบเสร็จรับเงินเลขที่ 02071053/001867</t>
  </si>
  <si>
    <t>คป.สงขลา</t>
  </si>
  <si>
    <t>AR 261109</t>
  </si>
  <si>
    <t>ใบเสร็จรับเงินเลขที่ 02102053/001520</t>
  </si>
  <si>
    <t>บัญชี รับ-จ่าย น้ำมัน JET A-1  ประจำเดือน.....มกราคม…2553…..</t>
  </si>
  <si>
    <t>02.01.2010</t>
  </si>
  <si>
    <t>04.01.2010</t>
  </si>
  <si>
    <t>01.01.2010</t>
  </si>
  <si>
    <t>05.01.2010</t>
  </si>
  <si>
    <t>06.01.2010</t>
  </si>
  <si>
    <t>07.01.2010</t>
  </si>
  <si>
    <t>09.01.2010</t>
  </si>
  <si>
    <t>11.01.2010</t>
  </si>
  <si>
    <t>12.01.2010</t>
  </si>
  <si>
    <t>13.01.2010</t>
  </si>
  <si>
    <t>14.01.2010</t>
  </si>
  <si>
    <t>16.01.2010</t>
  </si>
  <si>
    <t>18.01.2010</t>
  </si>
  <si>
    <t>19.01.2010</t>
  </si>
  <si>
    <t>20.01.2010</t>
  </si>
  <si>
    <t>21.01.2010</t>
  </si>
  <si>
    <t>23.01.2010</t>
  </si>
  <si>
    <t>25.01.2010</t>
  </si>
  <si>
    <t>26.01.2010</t>
  </si>
  <si>
    <t>27.01.2010</t>
  </si>
  <si>
    <t>28.01.2010</t>
  </si>
  <si>
    <t>30.01.2010</t>
  </si>
  <si>
    <t>22.01.2010</t>
  </si>
  <si>
    <t>24.01.2010</t>
  </si>
  <si>
    <t>TOP 291209</t>
  </si>
  <si>
    <t>TOP 010110</t>
  </si>
  <si>
    <t>08.01.2010</t>
  </si>
  <si>
    <t>TOP 030110</t>
  </si>
  <si>
    <t>10.01.2010</t>
  </si>
  <si>
    <t>AR 080110</t>
  </si>
  <si>
    <t>15.01.2010</t>
  </si>
  <si>
    <t>TOP 090110</t>
  </si>
  <si>
    <t>17.01.2010</t>
  </si>
  <si>
    <t>TOP 110110</t>
  </si>
  <si>
    <t>AR 160110</t>
  </si>
  <si>
    <t>AR 180110</t>
  </si>
  <si>
    <t>29.01.2010</t>
  </si>
  <si>
    <t>TOP 210110</t>
  </si>
  <si>
    <t>31.01.2010</t>
  </si>
  <si>
    <t>AR 250110</t>
  </si>
  <si>
    <t>ใบเสร็จรับเงินเลขที่ 02071053/001983</t>
  </si>
  <si>
    <t>ใบเสร็จรับเงินเลขที่ 02102053/001595</t>
  </si>
  <si>
    <t>ใบเสร็จรับเงินเลขที่ 02102053/001614</t>
  </si>
  <si>
    <t>ใบเสร็จรับเงินเลขที่ 02102053/001640</t>
  </si>
  <si>
    <t>ใบเสร็จรับเงินเลขที่ 02071053/002271</t>
  </si>
  <si>
    <t>ใบเสร็จรับเงินเลขที่ 02102053/001783</t>
  </si>
  <si>
    <t>ใบเสร็จรับเงินเลขที่ 02102053/001860</t>
  </si>
  <si>
    <t>ใบเสร็จรับเงินเลขที่ 02071053/002499</t>
  </si>
  <si>
    <t>ใบเสร็จรับเงินเลขที่ 02071053/002537</t>
  </si>
  <si>
    <t>53-J-00073-1</t>
  </si>
  <si>
    <t>53-J-00079-1</t>
  </si>
  <si>
    <t>บัญชี รับ-จ่าย น้ำมัน JET A-1  ประจำเดือน.....กุมภาพันธ์...2553…..</t>
  </si>
  <si>
    <t>01.02.2010</t>
  </si>
  <si>
    <t>02.02.2010</t>
  </si>
  <si>
    <t>03.02.2010</t>
  </si>
  <si>
    <t>04.02.2010</t>
  </si>
  <si>
    <t>06.02.2010</t>
  </si>
  <si>
    <t>08.02.2010</t>
  </si>
  <si>
    <t>09.02.2010</t>
  </si>
  <si>
    <t>10.02.2010</t>
  </si>
  <si>
    <t>11.02.2010</t>
  </si>
  <si>
    <t>13.02.2010</t>
  </si>
  <si>
    <t>15.02.2010</t>
  </si>
  <si>
    <t>16.02.2010</t>
  </si>
  <si>
    <t>17.02.2010</t>
  </si>
  <si>
    <t>18.02.2010</t>
  </si>
  <si>
    <t>20.02.2010</t>
  </si>
  <si>
    <t>22.02.2010</t>
  </si>
  <si>
    <t>23.02.2010</t>
  </si>
  <si>
    <t>24.02.2010</t>
  </si>
  <si>
    <t>25.02.2010</t>
  </si>
  <si>
    <t>27.02.2010</t>
  </si>
  <si>
    <t>05.02.2010</t>
  </si>
  <si>
    <t>AR 270110</t>
  </si>
  <si>
    <t>TOP 010210</t>
  </si>
  <si>
    <t>AR 040210</t>
  </si>
  <si>
    <t>12.02.2010</t>
  </si>
  <si>
    <t>AR 080210</t>
  </si>
  <si>
    <t>TOP 130210</t>
  </si>
  <si>
    <t>AR 130210</t>
  </si>
  <si>
    <t>26.02.2010</t>
  </si>
  <si>
    <t>AR 190210</t>
  </si>
  <si>
    <t>AR 170210</t>
  </si>
  <si>
    <t>ใบเสร็จรับเงินเลขที่ 02102053/002013</t>
  </si>
  <si>
    <t>ใบเสร็จรับเงินเลขที่ 02102053/002155</t>
  </si>
  <si>
    <t>ใบเสร็จรับเงินเลขที่ 02102053/002452</t>
  </si>
  <si>
    <t>ใบเสร็จรับเงินเลขที่ 02071053/002661</t>
  </si>
  <si>
    <t>ใบเสร็จรับเงินเลขที่ 02071053/002716</t>
  </si>
  <si>
    <t>ใบเสร็จรับเงินเลขที่ 02071053/002872</t>
  </si>
  <si>
    <t>ใบเสร็จรับเงินเลขที่ 02071053/002935</t>
  </si>
  <si>
    <t>ใบเสร็จรับเงินเลขที่ 02071053/003105</t>
  </si>
  <si>
    <t>ใบเสร็จรับเงินเลขที่ 02071053/003192</t>
  </si>
  <si>
    <t>53-J-00080-1</t>
  </si>
  <si>
    <t>53-J-00074-1</t>
  </si>
  <si>
    <t>บัญชี รับ-จ่าย น้ำมัน JET A-1  ประจำเดือน.....มีนาคม...2553…..</t>
  </si>
  <si>
    <t>02.03.2010</t>
  </si>
  <si>
    <t>01.03.2010</t>
  </si>
  <si>
    <t>04.03.2010</t>
  </si>
  <si>
    <t>06.03.2010</t>
  </si>
  <si>
    <t>08.03.2010</t>
  </si>
  <si>
    <t>09.03.2010</t>
  </si>
  <si>
    <t>11.03.2010</t>
  </si>
  <si>
    <t>12.03.2010</t>
  </si>
  <si>
    <t>13.03.2010</t>
  </si>
  <si>
    <t>15.03.2010</t>
  </si>
  <si>
    <t>16.03.2010</t>
  </si>
  <si>
    <t>17.03.2010</t>
  </si>
  <si>
    <t>18.03.2010</t>
  </si>
  <si>
    <t>19.03.2010</t>
  </si>
  <si>
    <t>20.03.2010</t>
  </si>
  <si>
    <t>22.03.2010</t>
  </si>
  <si>
    <t>23.03.2010</t>
  </si>
  <si>
    <t>25.03.2010</t>
  </si>
  <si>
    <t>29.03.2010</t>
  </si>
  <si>
    <t>30.03.2010</t>
  </si>
  <si>
    <t>31.03.2010</t>
  </si>
  <si>
    <t>27.03.2010</t>
  </si>
  <si>
    <t>14.03.2010</t>
  </si>
  <si>
    <t>24.03.2010</t>
  </si>
  <si>
    <t>28.03.2010</t>
  </si>
  <si>
    <t>03.03.2010</t>
  </si>
  <si>
    <t>05.03.2010</t>
  </si>
  <si>
    <t>AR 230210</t>
  </si>
  <si>
    <t>AR 250210</t>
  </si>
  <si>
    <t>AR 030310</t>
  </si>
  <si>
    <t>AR 100310</t>
  </si>
  <si>
    <t>AR 120310</t>
  </si>
  <si>
    <t>AR 140310</t>
  </si>
  <si>
    <t>TOP 160310</t>
  </si>
  <si>
    <t>26.03.2010</t>
  </si>
  <si>
    <t>TOP 070310</t>
  </si>
  <si>
    <t>AR 220310</t>
  </si>
  <si>
    <t>TOP 260310</t>
  </si>
  <si>
    <t>53-J-00143-1</t>
  </si>
  <si>
    <t>53-J-00131-1</t>
  </si>
  <si>
    <t>ใบเสร็จรับเงินเลขที่ 02102053/002788</t>
  </si>
  <si>
    <t>ใบเสร็จรับเงินเลขที่ 02102053/002936</t>
  </si>
  <si>
    <t>TOP 220210</t>
  </si>
  <si>
    <t>ใบเสร็จรับเงินเลขที่ 02102053/002554</t>
  </si>
  <si>
    <t>AR 010310</t>
  </si>
  <si>
    <t>ใบเสร็จรับเงินเลขที่ 02071053/003194</t>
  </si>
  <si>
    <t>ใบเสร็จรับเงินเลขที่ 02071053/003287</t>
  </si>
  <si>
    <t>ใบเสร็จรับเงินเลขที่ 02071053/003313</t>
  </si>
  <si>
    <t>ใบเสร็จรับเงินเลขที่ 02071053/003394</t>
  </si>
  <si>
    <t>ใบเสร็จรับเงินเลขที่ 02071053/003472</t>
  </si>
  <si>
    <t>ใบเสร็จรับเงินเลขที่ 02071053/003658</t>
  </si>
  <si>
    <t>ใบเสร็จรับเงินเลขที่ 02071053/003660</t>
  </si>
  <si>
    <t>ใบเสร็จรับเงินเลขที่ 02071053/003741</t>
  </si>
  <si>
    <t>01.04.2010</t>
  </si>
  <si>
    <t>03.04.2010</t>
  </si>
  <si>
    <t>04.04.2010</t>
  </si>
  <si>
    <t>05.04.2010</t>
  </si>
  <si>
    <t>06.04.2010</t>
  </si>
  <si>
    <t>08.04.2010</t>
  </si>
  <si>
    <t>12.04.2010</t>
  </si>
  <si>
    <t>13.04.2010</t>
  </si>
  <si>
    <t>15.04.2010</t>
  </si>
  <si>
    <t>17.04.2010</t>
  </si>
  <si>
    <t>25.04.2010</t>
  </si>
  <si>
    <t>26.04.2010</t>
  </si>
  <si>
    <t>27.04.2010</t>
  </si>
  <si>
    <t>30.04.2010</t>
  </si>
  <si>
    <t>02.04.2010</t>
  </si>
  <si>
    <t>07.04.2010</t>
  </si>
  <si>
    <t>AR 010410</t>
  </si>
  <si>
    <t>AR 020410</t>
  </si>
  <si>
    <t>ใบเสร็จรับเงินเลขที่ 02071053/00</t>
  </si>
  <si>
    <t>ใบเสร็จรับเงินเลขที่ 02102053/003043</t>
  </si>
  <si>
    <t>53-J-00155-1</t>
  </si>
  <si>
    <t>53-J-00169-1</t>
  </si>
  <si>
    <t>ใบเสร็จรับเงินเลขที่ 02071053/003908</t>
  </si>
  <si>
    <t>ใบเสร็จรับเงินเลขที่ 02071053/004070</t>
  </si>
  <si>
    <t>ใบเสร็จรับเงินเลขที่ 02071053/004071</t>
  </si>
  <si>
    <t>บัญชี รับ-จ่าย น้ำมัน JET A-1  ประจำเดือน.....เมษายน...2553…..</t>
  </si>
  <si>
    <t>บัญชี รับ-จ่าย น้ำมัน JET A-1  ประจำเดือน.....พฤษภาคม...2553…..</t>
  </si>
  <si>
    <t>09.05.2010</t>
  </si>
  <si>
    <t>11.05.2010</t>
  </si>
  <si>
    <t>18.05.2010</t>
  </si>
  <si>
    <t>21.05.2010</t>
  </si>
  <si>
    <t>24.05.2010</t>
  </si>
  <si>
    <t>28.05.2010</t>
  </si>
  <si>
    <t>29.05.2010</t>
  </si>
  <si>
    <t>บัญชี รับ-จ่าย น้ำมัน JET A-1  ประจำเดือน.....มิถุนายน...2553…..</t>
  </si>
  <si>
    <t>07.05.2010</t>
  </si>
  <si>
    <t>AR 280410</t>
  </si>
  <si>
    <t>05.06.2010</t>
  </si>
  <si>
    <t>07.06.2010</t>
  </si>
  <si>
    <t>09.06.2010</t>
  </si>
  <si>
    <t>11.06.2010</t>
  </si>
  <si>
    <t>14.06.2010</t>
  </si>
  <si>
    <t>21.06.2010</t>
  </si>
  <si>
    <t>22.06.2010</t>
  </si>
  <si>
    <t>26.06.2010</t>
  </si>
  <si>
    <t>29.06.2010</t>
  </si>
  <si>
    <t>30.06.2010</t>
  </si>
  <si>
    <t>07.07.2010</t>
  </si>
  <si>
    <t>09.07.2010</t>
  </si>
  <si>
    <t>13.07.2010</t>
  </si>
  <si>
    <t>15.07.2010</t>
  </si>
  <si>
    <t>21.07.2010</t>
  </si>
  <si>
    <t>30.07.2010</t>
  </si>
  <si>
    <t>บัญชี รับ-จ่าย น้ำมัน JET A-1  ประจำเดือน.....กรกฎาคม...2553…..</t>
  </si>
  <si>
    <t>บัญชี รับ-จ่าย น้ำมัน JET A-1  ประจำเดือน.....สิงหาคม...2553…..</t>
  </si>
  <si>
    <t>02.08.2010</t>
  </si>
  <si>
    <t>06.08.2010</t>
  </si>
  <si>
    <t>07.08.2010</t>
  </si>
  <si>
    <t>10.08.2010</t>
  </si>
  <si>
    <t>11.08.2010</t>
  </si>
  <si>
    <t>14.08.2010</t>
  </si>
  <si>
    <t>15.08.2010</t>
  </si>
  <si>
    <t>16.08.2010</t>
  </si>
  <si>
    <t>20.08.2010</t>
  </si>
  <si>
    <t>21.08.2010</t>
  </si>
  <si>
    <t>23.08.2010</t>
  </si>
  <si>
    <t>28.08.2010</t>
  </si>
  <si>
    <t>27.08.2010</t>
  </si>
  <si>
    <t>AR 220810</t>
  </si>
  <si>
    <t>07.09.2010</t>
  </si>
  <si>
    <t>14.09.2010</t>
  </si>
  <si>
    <t>15.09.2010</t>
  </si>
  <si>
    <t>17.09.2010</t>
  </si>
  <si>
    <t>20.09.2010</t>
  </si>
  <si>
    <t>22.09.2010</t>
  </si>
  <si>
    <t>24.09.2010</t>
  </si>
  <si>
    <t>25.09.2010</t>
  </si>
  <si>
    <t>27.09.2010</t>
  </si>
  <si>
    <t>29.09.2010</t>
  </si>
  <si>
    <t>บัญชี รับ-จ่าย น้ำมัน JET A-1  ประจำเดือน.....กันยายน...2553…..</t>
  </si>
  <si>
    <t>05.10.2010</t>
  </si>
  <si>
    <t>15.10.2010</t>
  </si>
  <si>
    <t>17.10.2010</t>
  </si>
  <si>
    <t>19.10.2010</t>
  </si>
  <si>
    <t>25.10.2010</t>
  </si>
  <si>
    <t>28.10.2010</t>
  </si>
  <si>
    <t>บัญชี รับ-จ่าย น้ำมัน JET A-1  ประจำเดือน.....ตุลาคม...2553…..</t>
  </si>
  <si>
    <t>16.10.2010</t>
  </si>
  <si>
    <t>27.10.2010</t>
  </si>
  <si>
    <t>18.10.2010</t>
  </si>
  <si>
    <t>AR 091010</t>
  </si>
  <si>
    <t>AR 061010</t>
  </si>
  <si>
    <t>AR 221010</t>
  </si>
  <si>
    <t>ใบเสร็จรับเงินเลขที่ 02071053/004622</t>
  </si>
  <si>
    <t>20-01-53-00074</t>
  </si>
  <si>
    <t>บัญชี รับ-จ่าย น้ำมัน JET A-1  ประจำเดือน.....พฤศจิกายน...2553…..</t>
  </si>
  <si>
    <t>01.11.2010</t>
  </si>
  <si>
    <t>02.11.2010</t>
  </si>
  <si>
    <t>03.11.2010</t>
  </si>
  <si>
    <t>04.11.2010</t>
  </si>
  <si>
    <t>10.11.2010</t>
  </si>
  <si>
    <t>11.11.2010</t>
  </si>
  <si>
    <t>12.11.2010</t>
  </si>
  <si>
    <t>13.11.2010</t>
  </si>
  <si>
    <t>14.11.2010</t>
  </si>
  <si>
    <t>16.11.2010</t>
  </si>
  <si>
    <t>17.11.2010</t>
  </si>
  <si>
    <t>18.11.2010</t>
  </si>
  <si>
    <t>19.11.2010</t>
  </si>
  <si>
    <t>24.11.2010</t>
  </si>
  <si>
    <t>25.11.2010</t>
  </si>
  <si>
    <t>30.11.2010</t>
  </si>
  <si>
    <t>05.11.2010</t>
  </si>
  <si>
    <t>AR 011110</t>
  </si>
  <si>
    <t>06.11.2010</t>
  </si>
  <si>
    <t>TOP 081110</t>
  </si>
  <si>
    <t>22.11.2010</t>
  </si>
  <si>
    <t>26.11.2010</t>
  </si>
  <si>
    <t>27.11.2010</t>
  </si>
  <si>
    <t>AR 131110</t>
  </si>
  <si>
    <t>TOP 161110</t>
  </si>
  <si>
    <t>TOP 181110</t>
  </si>
  <si>
    <t>TOP 231110</t>
  </si>
  <si>
    <t>20-01-53-00077</t>
  </si>
  <si>
    <t>20-01-53-00054</t>
  </si>
  <si>
    <t>ใบเสร็จรับเงินเลขที่C021000540000896</t>
  </si>
  <si>
    <t>ใบเสร็จรับเงินเลขที่ 02071053/007003</t>
  </si>
  <si>
    <t>ใบเสร็จรับเงินเลขที่C02070054/0000302</t>
  </si>
  <si>
    <t>ใบเสร็จรับเงินเลขที่C02070054/0000348</t>
  </si>
  <si>
    <t>ใบเสร็จรับเงินเลขที่C02070054/0000587</t>
  </si>
  <si>
    <t>ใบเสร็จรับเงินเลขที่C02070054/0000784</t>
  </si>
  <si>
    <t>ใบเสร็จรับเงินเลขที่C02070054/0001006</t>
  </si>
  <si>
    <t>01.12.2010</t>
  </si>
  <si>
    <t>02.12.2010</t>
  </si>
  <si>
    <t>07.12.2010</t>
  </si>
  <si>
    <t>08.12.2010</t>
  </si>
  <si>
    <t>09.12.2010</t>
  </si>
  <si>
    <t>10.12.2010</t>
  </si>
  <si>
    <t>11.12.2010</t>
  </si>
  <si>
    <t>13.12.2010</t>
  </si>
  <si>
    <t>14.12.2010</t>
  </si>
  <si>
    <t>15.12.2010</t>
  </si>
  <si>
    <t>16.12.2010</t>
  </si>
  <si>
    <t>17.12.2010</t>
  </si>
  <si>
    <t>18.12.2010</t>
  </si>
  <si>
    <t>19.12.2010</t>
  </si>
  <si>
    <t>20.12.2010</t>
  </si>
  <si>
    <t>21.12.2010</t>
  </si>
  <si>
    <t>22.12.2010</t>
  </si>
  <si>
    <t>23.12.2010</t>
  </si>
  <si>
    <t>25.12.2010</t>
  </si>
  <si>
    <t>26.12.2010</t>
  </si>
  <si>
    <t>27.12.2010</t>
  </si>
  <si>
    <t>28.12.2010</t>
  </si>
  <si>
    <t>29.12.2010</t>
  </si>
  <si>
    <t>30.12.2010</t>
  </si>
  <si>
    <t>31.12.2010</t>
  </si>
  <si>
    <t>03.12.2010</t>
  </si>
  <si>
    <t>04.12.2010</t>
  </si>
  <si>
    <t>24.12.2010</t>
  </si>
  <si>
    <t>AR 281110</t>
  </si>
  <si>
    <t>AR 301110</t>
  </si>
  <si>
    <t>TOP 011210</t>
  </si>
  <si>
    <t>TOP 061210</t>
  </si>
  <si>
    <t>AR 091210</t>
  </si>
  <si>
    <t>AR 141210</t>
  </si>
  <si>
    <t>AR 171210</t>
  </si>
  <si>
    <t>AR 191210</t>
  </si>
  <si>
    <t>AR 221210</t>
  </si>
  <si>
    <t>TOP 221210</t>
  </si>
  <si>
    <t>AR 231210</t>
  </si>
  <si>
    <t>AR 251210</t>
  </si>
  <si>
    <t>TOP 281210</t>
  </si>
  <si>
    <t>20-01-53-00081</t>
  </si>
  <si>
    <t>20-01-53-00058</t>
  </si>
  <si>
    <t xml:space="preserve">ใบเสร็จรับเงินเลขที่ C021000540001084 </t>
  </si>
  <si>
    <t>ใบเสร็จรับเงินเลขที่ C02100054/0001073</t>
  </si>
  <si>
    <t>ใบเสร็จรับเงินเลขที่ C02100054/0001138</t>
  </si>
  <si>
    <t>ใบเสร็จรับเงินเลขที่ C02100054/0001238</t>
  </si>
  <si>
    <t>ใบเสร็จรับเงินเลขที่ C02100054/0001337</t>
  </si>
  <si>
    <t>ใบเสร็จรับเงินเลขที่ C02070054/001626</t>
  </si>
  <si>
    <t>ใบเสร็จรับเงินเลขที่ C02070054/001643</t>
  </si>
  <si>
    <t>ใบเสร็จรับเงินเลขที่ C02070054/001707</t>
  </si>
  <si>
    <t>ใบเสร็จรับเงินเลขที่ C02070054/001775</t>
  </si>
  <si>
    <t>AR 051210</t>
  </si>
  <si>
    <t>AR 101210</t>
  </si>
  <si>
    <t>ใบเสร็จรับเงินเลขที่ C02070054/0001432</t>
  </si>
  <si>
    <t>ใบเสร็จรับเงินเลขที่ C02070054/0001006</t>
  </si>
  <si>
    <t>ใบเสร็จรับเงินเลขที่ C02070054/0001286</t>
  </si>
  <si>
    <t>ใบเสร็จรับเงินเลขที่ C02070054/0001351</t>
  </si>
  <si>
    <t>ใบเสร็จรับเงินเลขที่ C02070054/0001515</t>
  </si>
  <si>
    <t>ใบเสร็จรับเงินเลขที่ C02070054/0001516</t>
  </si>
  <si>
    <t>บัญชี รับ-จ่าย น้ำมัน JET A-1  ประจำเดือน.....ธันวาคม...2553…..</t>
  </si>
  <si>
    <t>บัญชี รับ-จ่าย น้ำมัน JET A-1  ประจำเดือน.....มกราคม...2554…..</t>
  </si>
  <si>
    <t>01.01.2011</t>
  </si>
  <si>
    <t>02.01.2011</t>
  </si>
  <si>
    <t>03.01.2011</t>
  </si>
  <si>
    <t>04.01.2011</t>
  </si>
  <si>
    <t>05.01.2011</t>
  </si>
  <si>
    <t>06.01.2011</t>
  </si>
  <si>
    <t>08.01.2011</t>
  </si>
  <si>
    <t>10.01.2011</t>
  </si>
  <si>
    <t>11.01.2011</t>
  </si>
  <si>
    <t>12.01.2011</t>
  </si>
  <si>
    <t>13.01.2011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</si>
  <si>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</si>
  <si>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</si>
  <si>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</si>
  <si>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</si>
  <si>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</si>
  <si>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</si>
  <si>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</si>
  <si>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</si>
  <si>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22.01.2011</t>
  </si>
  <si>
    <t>24.01.2011</t>
  </si>
  <si>
    <t>25.01.2011</t>
  </si>
  <si>
    <t>26.01.2011</t>
  </si>
  <si>
    <t>27.01.2011</t>
  </si>
  <si>
    <t>29.01.2011</t>
  </si>
  <si>
    <t>31.01.2011</t>
  </si>
  <si>
    <t>07.01.2011</t>
  </si>
  <si>
    <t>09.01.2011</t>
  </si>
  <si>
    <t>28.01.2011</t>
  </si>
  <si>
    <t>30.01.2011</t>
  </si>
  <si>
    <t>AR 281210</t>
  </si>
  <si>
    <t>AR 301210</t>
  </si>
  <si>
    <t>AR 311210</t>
  </si>
  <si>
    <t>AR 030111</t>
  </si>
  <si>
    <t>AR 060111</t>
  </si>
  <si>
    <t>AR 090111</t>
  </si>
  <si>
    <t>AR 100111</t>
  </si>
  <si>
    <t>TOP 120111</t>
  </si>
  <si>
    <t>TOP 130111</t>
  </si>
  <si>
    <t>AR 150111</t>
  </si>
  <si>
    <t>AR 170111</t>
  </si>
  <si>
    <t>AR 210111</t>
  </si>
  <si>
    <t>TOP 220111</t>
  </si>
  <si>
    <t>AR 240111</t>
  </si>
  <si>
    <t>AR 250111</t>
  </si>
  <si>
    <t>AR 270111</t>
  </si>
  <si>
    <t>20-01-53-00065</t>
  </si>
  <si>
    <t>20-01-53-00086</t>
  </si>
  <si>
    <t>ใบเสร็จรับเงินเลขที่ C02100054/0002124</t>
  </si>
  <si>
    <t>ใบเสร็จรับเงินเลขที่ C02100054/0002127</t>
  </si>
  <si>
    <t>LOT</t>
  </si>
  <si>
    <t>อัตรา</t>
  </si>
  <si>
    <t>สรรพสามิต</t>
  </si>
  <si>
    <t>มหาดไทย</t>
  </si>
  <si>
    <t>ใบเสร็จรับเงินเลขที่ C02070054/0001776</t>
  </si>
  <si>
    <t>ใบเสร็จรับเงินเลขที่ C02070054/0001778</t>
  </si>
  <si>
    <t>ใบเสร็จรับเงินเลขที่ C02070054/0001869</t>
  </si>
  <si>
    <t>ใบเสร็จรับเงินเลขที่ C02070054/0001870</t>
  </si>
  <si>
    <t>ใบเสร็จรับเงินเลขที่ C02070054/0001944</t>
  </si>
  <si>
    <t>ใบเสร็จรับเงินเลขที่ C02070054/0002005</t>
  </si>
  <si>
    <t>ใบเสร็จรับเงินเลขที่ C02070054/0002055</t>
  </si>
  <si>
    <t>ใบเสร็จรับเงินเลขที่ C02070054/0002067</t>
  </si>
  <si>
    <t>ใบเสร็จรับเงินเลขที่ C02070054/0002151</t>
  </si>
  <si>
    <t>ใบเสร็จรับเงินเลขที่ C02070054/0002188</t>
  </si>
  <si>
    <t>ใบเสร็จรับเงินเลขที่ C02070054/0002218</t>
  </si>
  <si>
    <t>บัญชี รับ-จ่าย น้ำมัน JET A-1  ประจำเดือน.....กุมภาพันธ์...2554…..</t>
  </si>
  <si>
    <t>01.02.2011</t>
  </si>
  <si>
    <t>02.02.2011</t>
  </si>
  <si>
    <t>03.02.2011</t>
  </si>
  <si>
    <t>05.02.2011</t>
  </si>
  <si>
    <t>07.02.2011</t>
  </si>
  <si>
    <t>08.02.2011</t>
  </si>
  <si>
    <t>09.02.2011</t>
  </si>
  <si>
    <t>10.02.2011</t>
  </si>
  <si>
    <t>12.02.2011</t>
  </si>
  <si>
    <t>14.02.2011</t>
  </si>
  <si>
    <t>15.02.2011</t>
  </si>
  <si>
    <t>16.02.2011</t>
  </si>
  <si>
    <t>17.02.2011</t>
  </si>
  <si>
    <t>19.02.2011</t>
  </si>
  <si>
    <t>21.02.2011</t>
  </si>
  <si>
    <t>22.02.2011</t>
  </si>
  <si>
    <t>23.02.2011</t>
  </si>
  <si>
    <t>24.02.2011</t>
  </si>
  <si>
    <t>25.02.2011</t>
  </si>
  <si>
    <t>26.02.2011</t>
  </si>
  <si>
    <t>28.02.2011</t>
  </si>
  <si>
    <t>04.02.2011</t>
  </si>
  <si>
    <t>11.02.2011</t>
  </si>
  <si>
    <t>18.02.2011</t>
  </si>
  <si>
    <t>27.02.2011</t>
  </si>
  <si>
    <t>AR 280111</t>
  </si>
  <si>
    <t>AR 310111</t>
  </si>
  <si>
    <t>AR 010211</t>
  </si>
  <si>
    <t>AR 020211</t>
  </si>
  <si>
    <t>SPRC 050211</t>
  </si>
  <si>
    <t>AR 070211</t>
  </si>
  <si>
    <t>AR 080211</t>
  </si>
  <si>
    <t>SPRC 090211</t>
  </si>
  <si>
    <t>TOP 110211</t>
  </si>
  <si>
    <t>TOP 140211</t>
  </si>
  <si>
    <t>SPRC 140211</t>
  </si>
  <si>
    <t>SPRC 150211</t>
  </si>
  <si>
    <t>SPRC 180211</t>
  </si>
  <si>
    <t>AR 200211</t>
  </si>
  <si>
    <t>TOP 210211</t>
  </si>
  <si>
    <t>ใบเสร็จรับเงินเลขที่ C02070054/002834</t>
  </si>
  <si>
    <t>ใบเสร็จรับเงินเลขที่ C02070054/002281</t>
  </si>
  <si>
    <t>ใบเสร็จรับเงินเลขที่ C02070054/002667</t>
  </si>
  <si>
    <t>ใบเสร็จรับเงินเลขที่ C02070054/0002300</t>
  </si>
  <si>
    <t>ใบเสร็จรับเงินเลขที่ C02070054/0002322</t>
  </si>
  <si>
    <t>ใบเสร็จรับเงินเลขที่ C02070054/0002338</t>
  </si>
  <si>
    <t>ใบเสร็จรับเงินเลขที่ C02070054/0002339</t>
  </si>
  <si>
    <t>ใบเสร็จรับเงินเลขที่ C02070054/0002424</t>
  </si>
  <si>
    <t>ใบเสร็จรับเงินเลขที่ C02070054/0002437</t>
  </si>
  <si>
    <t>ใบเสร็จรับเงินเลขที่ C02070054/0002471</t>
  </si>
  <si>
    <t>ใบเสร็จรับเงินเลขที่ C02070054/0002556</t>
  </si>
  <si>
    <t>ใบเสร็จรับเงินเลขที่ C02070054/0002579</t>
  </si>
  <si>
    <t>ใบเสร็จรับเงินเลขที่ C02070054/0002510</t>
  </si>
  <si>
    <t>ใบเสร็จรับเงินเลขที่ C02070054/0002569</t>
  </si>
  <si>
    <t>ใบเสร็จรับเงินเลขที่ C02070054/0002658</t>
  </si>
  <si>
    <t>ใบเสร็จรับเงินเลขที่ C02070054/0002669</t>
  </si>
  <si>
    <t>ใบเสร็จรับเงินเลขที่ C02070054/0002704</t>
  </si>
  <si>
    <t>20-01-54-00022</t>
  </si>
  <si>
    <t>20-01-54-00041</t>
  </si>
  <si>
    <t>20-01-54-00004</t>
  </si>
  <si>
    <t>ใบเสร็จรับเงินเลขที่ C02100054/0001665</t>
  </si>
  <si>
    <t>บัญชี รับ-จ่าย น้ำมัน JET A-1  ประจำเดือน.....มีนาคม...2554…..</t>
  </si>
  <si>
    <t>01.03.2011</t>
  </si>
  <si>
    <t>02.03.2011</t>
  </si>
  <si>
    <t>03.03.2011</t>
  </si>
  <si>
    <t>05.03.2011</t>
  </si>
  <si>
    <t>06.03.2011</t>
  </si>
  <si>
    <t>07.03.2011</t>
  </si>
  <si>
    <t>08.03.2011</t>
  </si>
  <si>
    <t>09.03.2011</t>
  </si>
  <si>
    <t>10.03.2011</t>
  </si>
  <si>
    <t>12.03.2011</t>
  </si>
  <si>
    <t>14.03.2011</t>
  </si>
  <si>
    <t>15.03.2011</t>
  </si>
  <si>
    <t>16.03.2011</t>
  </si>
  <si>
    <t>17.03.2011</t>
  </si>
  <si>
    <t>19.03.2011</t>
  </si>
  <si>
    <t>20.03.2011</t>
  </si>
  <si>
    <t>21.03.2011</t>
  </si>
  <si>
    <t>22.03.2011</t>
  </si>
  <si>
    <t>23.03.2011</t>
  </si>
  <si>
    <t>24.03.2011</t>
  </si>
  <si>
    <t>26.03.2011</t>
  </si>
  <si>
    <t>28.03.2011</t>
  </si>
  <si>
    <t>29.03.2011</t>
  </si>
  <si>
    <t>30.03.2011</t>
  </si>
  <si>
    <t>31.03.2011</t>
  </si>
  <si>
    <t>SPRC 250211</t>
  </si>
  <si>
    <t>04.03.2011</t>
  </si>
  <si>
    <t>TOP 280211</t>
  </si>
  <si>
    <t>SPRC 020311</t>
  </si>
  <si>
    <t>11.03.2011</t>
  </si>
  <si>
    <t>18.03.2011</t>
  </si>
  <si>
    <t>25.03.2011</t>
  </si>
  <si>
    <t>TOP 040311</t>
  </si>
  <si>
    <t>SPRC 060311</t>
  </si>
  <si>
    <t>SPRC 080311</t>
  </si>
  <si>
    <t>TOP 120311</t>
  </si>
  <si>
    <t>TOP 150311</t>
  </si>
  <si>
    <t>TOP 170311</t>
  </si>
  <si>
    <t>AR 190311</t>
  </si>
  <si>
    <t>SPRC 210311</t>
  </si>
  <si>
    <t>AR 220311</t>
  </si>
  <si>
    <t>TOP 240311</t>
  </si>
  <si>
    <t>SPRC 250311</t>
  </si>
  <si>
    <t>SPRC</t>
  </si>
  <si>
    <t>20-01-54-00026</t>
  </si>
  <si>
    <t>20-01-54-00044</t>
  </si>
  <si>
    <t>20-01-54-00011</t>
  </si>
  <si>
    <t>SPRC 030311</t>
  </si>
  <si>
    <t>SPRC 220311</t>
  </si>
  <si>
    <t>ใบเสร็จรับเงินเลขที่ C02070054/0002718</t>
  </si>
  <si>
    <t>ใบเสร็จรับเงินเลขที่ C02070054/0003231</t>
  </si>
  <si>
    <t>ใบเสร็จรับเงินเลขที่ C02070054/0003300</t>
  </si>
  <si>
    <t>ใบเสร็จรับเงินเลขที่ C02070054/0002828</t>
  </si>
  <si>
    <t>ใบเสร็จรับเงินเลขที่ C02070054/0002924</t>
  </si>
  <si>
    <t>ใบเสร็จรับเงินเลขที่ C02070054/0002973</t>
  </si>
  <si>
    <t>ใบเสร็จรับเงินเลขที่ C02070054/0003042</t>
  </si>
  <si>
    <t>ใบเสร็จรับเงินเลขที่ C02070054/0003310</t>
  </si>
  <si>
    <t>ใบเสร็จรับเงินเลขที่ C02100054/003109</t>
  </si>
  <si>
    <t>ใบเสร็จรับเงินเลขที่ C02100054/003198</t>
  </si>
  <si>
    <t>ใบเสร็จรับเงินเลขที่ C02100054/003072</t>
  </si>
  <si>
    <t>ใบเสร็จรับเงินเลขที่ C02100054/003297</t>
  </si>
  <si>
    <t>ใบเสร็จรับเงินเลขที่ C02100054/003343</t>
  </si>
  <si>
    <t>ใบเสร็จรับเงินเลขที่ C02100054/003366</t>
  </si>
  <si>
    <t>บัญชี รับ-จ่าย น้ำมัน JET A-1  ประจำเดือน.....เมษายน...2554…..</t>
  </si>
  <si>
    <t>01.04.2011</t>
  </si>
  <si>
    <t>02.04.2011</t>
  </si>
  <si>
    <t>03.04.2011</t>
  </si>
  <si>
    <t>05.04.2011</t>
  </si>
  <si>
    <t>06.04.2011</t>
  </si>
  <si>
    <t>07.04.2011</t>
  </si>
  <si>
    <t>09.04.2011</t>
  </si>
  <si>
    <t>13.04.2011</t>
  </si>
  <si>
    <t>14.04.2011</t>
  </si>
  <si>
    <t>18.04.2011</t>
  </si>
  <si>
    <t>20.04.2011</t>
  </si>
  <si>
    <t>26.04.2011</t>
  </si>
  <si>
    <t>27.04.2011</t>
  </si>
  <si>
    <t>04.04.2011</t>
  </si>
  <si>
    <t>AR 300311</t>
  </si>
  <si>
    <t>AR 020411</t>
  </si>
  <si>
    <t>20-01-54-00031</t>
  </si>
  <si>
    <t>20-01-54-00063</t>
  </si>
  <si>
    <t>20-01-54-00048</t>
  </si>
  <si>
    <t>ราคา</t>
  </si>
  <si>
    <t>ใบเสร็จรับเงินเลขที่ C02070054/0003486</t>
  </si>
  <si>
    <t>ใบเสร็จรับเงินเลขที่ C02070054/0003376</t>
  </si>
  <si>
    <t>ใบเสร็จรับเงินเลขที่ C02100054/003432</t>
  </si>
  <si>
    <t>บัญชี รับ-จ่าย น้ำมัน JET A-1  ประจำเดือน.....พฤษภาคม...2554…..</t>
  </si>
  <si>
    <t>01.05.2011</t>
  </si>
  <si>
    <t>07.05.2011</t>
  </si>
  <si>
    <t>11.05.2011</t>
  </si>
  <si>
    <t>12.05.2011</t>
  </si>
  <si>
    <t>14.05.2011</t>
  </si>
  <si>
    <t>20-01-54-00035</t>
  </si>
  <si>
    <t>บัญชี รับ-จ่าย น้ำมัน JET A-1  ประจำเดือน.....มิถุนายน...2554…..</t>
  </si>
  <si>
    <t>02.06.2011</t>
  </si>
  <si>
    <t>05.06.2011</t>
  </si>
  <si>
    <t>14.06.2011</t>
  </si>
  <si>
    <t>16.06.2011</t>
  </si>
  <si>
    <t>17.06.2011</t>
  </si>
  <si>
    <t>22.06.2011</t>
  </si>
  <si>
    <t>บัญชี รับ-จ่าย น้ำมัน JET A-1  ประจำเดือน.....กรกฎาคม...2554…..</t>
  </si>
  <si>
    <t>01.07.2011</t>
  </si>
  <si>
    <t>04.07.2011</t>
  </si>
  <si>
    <t>05.07.2011</t>
  </si>
  <si>
    <t>06.07.2011</t>
  </si>
  <si>
    <t>10.07.2011</t>
  </si>
  <si>
    <t>13.07.2011</t>
  </si>
  <si>
    <t>14.07.2011</t>
  </si>
  <si>
    <t>15.07.2011</t>
  </si>
  <si>
    <t>22.07.2011</t>
  </si>
  <si>
    <t>23.07.2011</t>
  </si>
  <si>
    <t>27.07.2011</t>
  </si>
  <si>
    <t>29.07.2011</t>
  </si>
  <si>
    <t>31.07.2011</t>
  </si>
  <si>
    <t>20-01-54-00084</t>
  </si>
  <si>
    <t>บัญชี รับ-จ่าย น้ำมัน JET A-1  ประจำเดือน.....สิงหาคม...2554…..</t>
  </si>
  <si>
    <t>02.08.2011</t>
  </si>
  <si>
    <t>05.08.2011</t>
  </si>
  <si>
    <t>08.08.2011</t>
  </si>
  <si>
    <t>10.08.2011</t>
  </si>
  <si>
    <t>11.08.2011</t>
  </si>
  <si>
    <t>12.08.2011</t>
  </si>
  <si>
    <t>13.08.2011</t>
  </si>
  <si>
    <t>15.08.2011</t>
  </si>
  <si>
    <t>16.08.2011</t>
  </si>
  <si>
    <t>17.08.2011</t>
  </si>
  <si>
    <t>19.08.2011</t>
  </si>
  <si>
    <t>20.08.2011</t>
  </si>
  <si>
    <t>21.08.2011</t>
  </si>
  <si>
    <t>22.08.2011</t>
  </si>
  <si>
    <t>23.08.2011</t>
  </si>
  <si>
    <t>24.08.2011</t>
  </si>
  <si>
    <t>26.08.2011</t>
  </si>
  <si>
    <t>29.08.2011</t>
  </si>
  <si>
    <t>20-01-54-00089</t>
  </si>
  <si>
    <t>บัญชี รับ-จ่าย น้ำมัน JET A-1  ประจำเดือน.....กันยายน...2554…..</t>
  </si>
  <si>
    <t>04.09.2011</t>
  </si>
  <si>
    <t>11.09.2011</t>
  </si>
  <si>
    <t>13.09.2011</t>
  </si>
  <si>
    <t>16.09.2011</t>
  </si>
  <si>
    <t>17.09.2011</t>
  </si>
  <si>
    <t>18.09.2011</t>
  </si>
  <si>
    <t>02.09.2011</t>
  </si>
  <si>
    <t>20.09.2011</t>
  </si>
  <si>
    <t>AR 260811</t>
  </si>
  <si>
    <t>TOP 110911</t>
  </si>
  <si>
    <t>20-01-54-00094</t>
  </si>
  <si>
    <t>บัญชี รับ-จ่าย น้ำมัน JET A-1  ประจำเดือน.....ตุลาคม...2554…..</t>
  </si>
  <si>
    <t>02.10.2011</t>
  </si>
  <si>
    <t>03.10.2011</t>
  </si>
  <si>
    <t>07.10.2011</t>
  </si>
  <si>
    <t>11.10.2011</t>
  </si>
  <si>
    <t>14.10.2011</t>
  </si>
  <si>
    <t>17.10.2011</t>
  </si>
  <si>
    <t>18.10.2011</t>
  </si>
  <si>
    <t>22.10.2011</t>
  </si>
  <si>
    <t>25.10.2011</t>
  </si>
  <si>
    <t>29.10.2011</t>
  </si>
  <si>
    <t>04.10.2011</t>
  </si>
  <si>
    <t>05.10.2011</t>
  </si>
  <si>
    <t>06.10.2011</t>
  </si>
  <si>
    <t>31.10.2011</t>
  </si>
  <si>
    <t>TOP 270911</t>
  </si>
  <si>
    <t>TOP 261011</t>
  </si>
  <si>
    <t>ใบเสร็จรับเงินเลขที่ C02070054/0003526</t>
  </si>
  <si>
    <t>ใบเสร็จรับเงินเลขที่ C02070054/0006104</t>
  </si>
  <si>
    <t>20-01-54-00098</t>
  </si>
  <si>
    <t>ใบเสร็จรับเงินเลขที่ C02100054/0001713</t>
  </si>
  <si>
    <t>บัญชี รับ-จ่าย น้ำมัน JET A-1  ประจำเดือน.....พฤศจิกายน...2554…..</t>
  </si>
  <si>
    <t>01.11.2011</t>
  </si>
  <si>
    <t>04.11.2011</t>
  </si>
  <si>
    <t>05.11.2011</t>
  </si>
  <si>
    <t>06.11.2011</t>
  </si>
  <si>
    <t>07.11.2011</t>
  </si>
  <si>
    <t>08.11.2011</t>
  </si>
  <si>
    <t>12.11.2011</t>
  </si>
  <si>
    <t>15.11.2011</t>
  </si>
  <si>
    <t>16.11.2011</t>
  </si>
  <si>
    <t>18.11.2011</t>
  </si>
  <si>
    <t>19.11.2011</t>
  </si>
  <si>
    <t>20.11.2011</t>
  </si>
  <si>
    <t>21.11.2011</t>
  </si>
  <si>
    <t>22.11.2011</t>
  </si>
  <si>
    <t>23.11.2011</t>
  </si>
  <si>
    <t>26.11.2011</t>
  </si>
  <si>
    <t>27.11.2011</t>
  </si>
  <si>
    <t>28.11.2011</t>
  </si>
  <si>
    <t>29.11.2011</t>
  </si>
  <si>
    <t>30.11.2011</t>
  </si>
  <si>
    <t>11.11.2011</t>
  </si>
  <si>
    <t>14.11.2011</t>
  </si>
  <si>
    <t>25.11.2011</t>
  </si>
  <si>
    <t>TOP 021111</t>
  </si>
  <si>
    <t>TOP 041111</t>
  </si>
  <si>
    <t>TOP 051111</t>
  </si>
  <si>
    <t>CG 101111</t>
  </si>
  <si>
    <t>CG 121111</t>
  </si>
  <si>
    <t>TOP 161111</t>
  </si>
  <si>
    <t>TOP 171111</t>
  </si>
  <si>
    <t>TOP 191111</t>
  </si>
  <si>
    <t>SPRC 221111</t>
  </si>
  <si>
    <t>TOP 231111</t>
  </si>
  <si>
    <t>SPRC 261111</t>
  </si>
  <si>
    <t>มูลค่า</t>
  </si>
  <si>
    <t>20-01-54-00145</t>
  </si>
  <si>
    <t>20-54-01-00171</t>
  </si>
  <si>
    <t>ใบเสร็จรับเงินเลขที่ C02070055/0000919</t>
  </si>
  <si>
    <t>ใบเสร็จรับเงินเลขที่ C02070055/0001244</t>
  </si>
  <si>
    <t>ใบเสร็จรับเงินเลขที่ C02070055/0001346</t>
  </si>
  <si>
    <t>PTTGC</t>
  </si>
  <si>
    <t>20-01-54-00147</t>
  </si>
  <si>
    <t>GC 311011</t>
  </si>
  <si>
    <t>GC 101111</t>
  </si>
  <si>
    <t>GC 121111</t>
  </si>
  <si>
    <t>ใบเสร็จรับเงินเลขที่ C02100054/0006477</t>
  </si>
  <si>
    <t>ใบเสร็จรับเงินเลขที่ C02100055/0000071</t>
  </si>
  <si>
    <t>ใบเสร็จรับเงินเลขที่ C02100055/0000540</t>
  </si>
  <si>
    <t>ใบเสร็จรับเงินเลขที่ C02100055/0000620</t>
  </si>
  <si>
    <t>ใบเสร็จรับเงินเลขที่ C02100055/0000622</t>
  </si>
  <si>
    <t>ใบเสร็จรับเงินเลขที่ C02100055/0000649</t>
  </si>
  <si>
    <t>ใบเสร็จรับเงินเลขที่ C02100055/0000901</t>
  </si>
  <si>
    <t>ใบเสร็จรับเงินเลขที่ C02100055/0000902</t>
  </si>
  <si>
    <t>03.12.2011</t>
  </si>
  <si>
    <t>05.12.2011</t>
  </si>
  <si>
    <t>06.12.2011</t>
  </si>
  <si>
    <t>07.12.2011</t>
  </si>
  <si>
    <t>08.12.2011</t>
  </si>
  <si>
    <t>10.12.2011</t>
  </si>
  <si>
    <t>11.12.2011</t>
  </si>
  <si>
    <t>12.12.2011</t>
  </si>
  <si>
    <t>13.12.2011</t>
  </si>
  <si>
    <t>14.12.2011</t>
  </si>
  <si>
    <t>15.12.2011</t>
  </si>
  <si>
    <t>16.12.2011</t>
  </si>
  <si>
    <t>17.12.2011</t>
  </si>
  <si>
    <t>18.12.2011</t>
  </si>
  <si>
    <t>19.12.2011</t>
  </si>
  <si>
    <t>20.12.2011</t>
  </si>
  <si>
    <t>21.12.2011</t>
  </si>
  <si>
    <t>22.12.2011</t>
  </si>
  <si>
    <t>23.12.2011</t>
  </si>
  <si>
    <t>24.12.2011</t>
  </si>
  <si>
    <t>25.12.2011</t>
  </si>
  <si>
    <t>26.12.2011</t>
  </si>
  <si>
    <t>28.12.2011</t>
  </si>
  <si>
    <t>29.12.2011</t>
  </si>
  <si>
    <t>30.12.2011</t>
  </si>
  <si>
    <t>31.12.2011</t>
  </si>
  <si>
    <t>บัญชี รับ-จ่าย น้ำมัน JET A-1  ประจำเดือน.....ธันวาคม...2554…..</t>
  </si>
  <si>
    <t>02.12.2011</t>
  </si>
  <si>
    <t>09.12.2011</t>
  </si>
  <si>
    <t>27.12.2011</t>
  </si>
  <si>
    <t>GC 281111</t>
  </si>
  <si>
    <t>GC 301111</t>
  </si>
  <si>
    <t>GC 021211</t>
  </si>
  <si>
    <t>TOP 031211</t>
  </si>
  <si>
    <t>TOP 051211</t>
  </si>
  <si>
    <t>TOP 061211</t>
  </si>
  <si>
    <t>GC 131211</t>
  </si>
  <si>
    <t>TOP 131211</t>
  </si>
  <si>
    <t>TOP 161211</t>
  </si>
  <si>
    <t>TOP 171211</t>
  </si>
  <si>
    <t>TOP 211211</t>
  </si>
  <si>
    <t>GC 211211</t>
  </si>
  <si>
    <t>TOP 251211</t>
  </si>
  <si>
    <t>TOP 261211</t>
  </si>
  <si>
    <t>GC 281211</t>
  </si>
  <si>
    <t>20-01-54-00180</t>
  </si>
  <si>
    <t>20-01-54-00150</t>
  </si>
  <si>
    <t>20-01-54-00057</t>
  </si>
  <si>
    <t>บัญชี รับ-จ่าย น้ำมัน JET A-1  ประจำเดือน.....มกราคม...2555…..</t>
  </si>
  <si>
    <t>01.01.2012</t>
  </si>
  <si>
    <t>02.01.2012</t>
  </si>
  <si>
    <t>04.01.2012</t>
  </si>
  <si>
    <t>05.01.2012</t>
  </si>
  <si>
    <t>06.01.2012</t>
  </si>
  <si>
    <t>07.01.2012</t>
  </si>
  <si>
    <t>08.01.2012</t>
  </si>
  <si>
    <t>09.01.2012</t>
  </si>
  <si>
    <t>11.01.2012</t>
  </si>
  <si>
    <t>12.01.2012</t>
  </si>
  <si>
    <t>14.01.2012</t>
  </si>
  <si>
    <t>15.01.2012</t>
  </si>
  <si>
    <t>16.01.2012</t>
  </si>
  <si>
    <t>17.01.2012</t>
  </si>
  <si>
    <t>18.01.2012</t>
  </si>
  <si>
    <t>19.01.2012</t>
  </si>
  <si>
    <t>20.01.2012</t>
  </si>
  <si>
    <t>21.01.2012</t>
  </si>
  <si>
    <t>22.01.2012</t>
  </si>
  <si>
    <t>23.01.2012</t>
  </si>
  <si>
    <t>24.01.2012</t>
  </si>
  <si>
    <t>25.01.2012</t>
  </si>
  <si>
    <t>26.12.2012</t>
  </si>
  <si>
    <t>28.01.2012</t>
  </si>
  <si>
    <t>29.01.2012</t>
  </si>
  <si>
    <t>30.01.2012</t>
  </si>
  <si>
    <t>03.01.2012</t>
  </si>
  <si>
    <t>10.01.2012</t>
  </si>
  <si>
    <t>13.01.2012</t>
  </si>
  <si>
    <t>27.12.2012</t>
  </si>
  <si>
    <t>31.01.2012</t>
  </si>
  <si>
    <t>TOP 301211</t>
  </si>
  <si>
    <t>GC 301211</t>
  </si>
  <si>
    <t>TOP 020112</t>
  </si>
  <si>
    <t>GC 020112</t>
  </si>
  <si>
    <t>TOP 050112</t>
  </si>
  <si>
    <t>TOP 070112</t>
  </si>
  <si>
    <t>TOP 090112</t>
  </si>
  <si>
    <t>TOP 110112</t>
  </si>
  <si>
    <t>GC 120112</t>
  </si>
  <si>
    <t>GC 130112</t>
  </si>
  <si>
    <t>GC 150112</t>
  </si>
  <si>
    <t>TOP 180112</t>
  </si>
  <si>
    <t>GC 180112</t>
  </si>
  <si>
    <t>SPRC 210112</t>
  </si>
  <si>
    <t>GC 230112</t>
  </si>
  <si>
    <t>TOP 240112</t>
  </si>
  <si>
    <t>TOP 250112</t>
  </si>
  <si>
    <t>SPRC 260112</t>
  </si>
  <si>
    <t>GC 101211</t>
  </si>
  <si>
    <t>ใบเสร็จรับเงินเลขที่ C02100055/0000919</t>
  </si>
  <si>
    <t>ใบเสร็จรับเงินเลขที่ C02100055/0000976</t>
  </si>
  <si>
    <t>ใบเสร็จรับเงินเลขที่ C02100055/0001076</t>
  </si>
  <si>
    <t>ใบเสร็จรับเงินเลขที่ C02100055/0001168</t>
  </si>
  <si>
    <t>ใบเสร็จรับเงินเลขที่ C02100055/0001372</t>
  </si>
  <si>
    <t>ใบเสร็จรับเงินเลขที่ C02100055/0001393</t>
  </si>
  <si>
    <t>ใบเสร็จรับเงินเลขที่ C02100055/0001460</t>
  </si>
  <si>
    <t>ใบเสร็จรับเงินเลขที่ C02100055/0001117</t>
  </si>
  <si>
    <t>ใบเสร็จรับเงินเลขที่ C02100055/0001355</t>
  </si>
  <si>
    <t>ใบเสร็จรับเงินเลขที่ C02100055/0001464</t>
  </si>
  <si>
    <t>ใบเสร็จรับเงินเลขที่ C02070055/0001524</t>
  </si>
  <si>
    <t>ใบเสร็จรับเงินเลขที่ C02070055/0001569</t>
  </si>
  <si>
    <t>ใบเสร็จรับเงินเลขที่ C02070055/0001618</t>
  </si>
  <si>
    <t>ใบเสร็จรับเงินเลขที่ C02070055/0001673</t>
  </si>
  <si>
    <t>ใบเสร็จรับเงินเลขที่ C02070055/0001675</t>
  </si>
  <si>
    <t>ใบเสร็จรับเงินเลขที่ C02070055/0001839</t>
  </si>
  <si>
    <t>ใบเสร็จรับเงินเลขที่ C02070055/0001894</t>
  </si>
  <si>
    <t>ใบเสร็จรับเงินเลขที่ C02070055/0002058</t>
  </si>
  <si>
    <t>ใบเสร็จรับเงินเลขที่ C02070055/0002575</t>
  </si>
  <si>
    <t>ใบเสร็จรับเงินเลขที่ C02070055/0002161</t>
  </si>
  <si>
    <t>ใบเสร็จรับเงินเลขที่ C02070055/0002163</t>
  </si>
  <si>
    <t>ใบเสร็จรับเงินเลขที่ C02070055/0002258</t>
  </si>
  <si>
    <t>ใบเสร็จรับเงินเลขที่ C02070055/0002446</t>
  </si>
  <si>
    <t>ใบเสร็จรับเงินเลขที่ C02070055/0002447</t>
  </si>
  <si>
    <t>ใบเสร็จรับเงินเลขที่ C02070055/0002488</t>
  </si>
  <si>
    <t>ใบเสร็จรับเงินเลขที่ C02070055/0002525</t>
  </si>
  <si>
    <t>ใบเสร็จรับเงินเลขที่ C02070055/0002599</t>
  </si>
  <si>
    <t>ใบเสร็จรับเงินเลขที่ C02100055/0001484</t>
  </si>
  <si>
    <t>ใบเสร็จรับเงินเลขที่ C02100055/0001529</t>
  </si>
  <si>
    <t>ใบเสร็จรับเงินเลขที่ C02100055/0001575</t>
  </si>
  <si>
    <t>ใบเสร็จรับเงินเลขที่ C02100055/0001623</t>
  </si>
  <si>
    <t>ใบเสร็จรับเงินเลขที่ C02100055/0001667</t>
  </si>
  <si>
    <t>ใบเสร็จรับเงินเลขที่ C02100055/0001689</t>
  </si>
  <si>
    <t>ใบเสร็จรับเงินเลขที่ C02100055/0001761</t>
  </si>
  <si>
    <t>ใบเสร็จรับเงินเลขที่ C02100055/0001886</t>
  </si>
  <si>
    <t>20-01-54-00189</t>
  </si>
  <si>
    <t>20-01-54-00101</t>
  </si>
  <si>
    <t>20-01-54-00195</t>
  </si>
  <si>
    <t>บัญชี รับ-จ่าย น้ำมัน JET A-1  ประจำเดือน.....กุมภาพันธ์...2555…..</t>
  </si>
  <si>
    <t>01.02.2012</t>
  </si>
  <si>
    <t>02.02.2012</t>
  </si>
  <si>
    <t>03.02.2012</t>
  </si>
  <si>
    <t>04.02.2012</t>
  </si>
  <si>
    <t>05.02.2012</t>
  </si>
  <si>
    <t>06.02.2012</t>
  </si>
  <si>
    <t>08.02.2012</t>
  </si>
  <si>
    <t>09.02.2012</t>
  </si>
  <si>
    <t>10.02.2012</t>
  </si>
  <si>
    <t>11.02.2012</t>
  </si>
  <si>
    <t>12.02.2012</t>
  </si>
  <si>
    <t>13.02.2012</t>
  </si>
  <si>
    <t>15.02.2012</t>
  </si>
  <si>
    <t>16.02.2012</t>
  </si>
  <si>
    <t>17.02.2012</t>
  </si>
  <si>
    <t>18.02.2012</t>
  </si>
  <si>
    <t>19.02.2012</t>
  </si>
  <si>
    <t>20.02.2012</t>
  </si>
  <si>
    <t>21.02.2012</t>
  </si>
  <si>
    <t>22.02.2012</t>
  </si>
  <si>
    <t>23.02.2012</t>
  </si>
  <si>
    <t>24.02.2012</t>
  </si>
  <si>
    <t>25.02.2012</t>
  </si>
  <si>
    <t>26.02.2012</t>
  </si>
  <si>
    <t>27.02.2012</t>
  </si>
  <si>
    <t>29.02.2012</t>
  </si>
  <si>
    <t>07.02.2012</t>
  </si>
  <si>
    <t>14.02.2012</t>
  </si>
  <si>
    <t>28.02.2012</t>
  </si>
  <si>
    <t>SPRC 280112</t>
  </si>
  <si>
    <t>GC 310112</t>
  </si>
  <si>
    <t>TOP 010212</t>
  </si>
  <si>
    <t>GC 020212</t>
  </si>
  <si>
    <t>SPRC 030212</t>
  </si>
  <si>
    <t>GC 040212</t>
  </si>
  <si>
    <t>GC 070212</t>
  </si>
  <si>
    <t>GC 130212</t>
  </si>
  <si>
    <t>TOP 150212</t>
  </si>
  <si>
    <t>GC 180212</t>
  </si>
  <si>
    <t>GC 230212</t>
  </si>
  <si>
    <t>GC 200212</t>
  </si>
  <si>
    <t>GC 240212</t>
  </si>
  <si>
    <t>ใบเสร็จรับเงินเลขที่ C02070055/0002749</t>
  </si>
  <si>
    <t>ใบเสร็จรับเงินเลขที่ C02070055/0002768</t>
  </si>
  <si>
    <t>ใบเสร็จรับเงินเลขที่ C02070055/0002799</t>
  </si>
  <si>
    <t>ใบเสร็จรับเงินเลขที่ C02070055/0002862</t>
  </si>
  <si>
    <t>ใบเสร็จรับเงินเลขที่ C02070055/0003029</t>
  </si>
  <si>
    <t>ใบเสร็จรับเงินเลขที่ C02070055/0003071</t>
  </si>
  <si>
    <t>ใบเสร็จรับเงินเลขที่ C02070055/0002668</t>
  </si>
  <si>
    <t>ใบเสร็จรับเงินเลขที่ C02070055/0002696</t>
  </si>
  <si>
    <t>ใบเสร็จรับเงินเลขที่ C02070055/0002764</t>
  </si>
  <si>
    <t>20-01-55-00051</t>
  </si>
  <si>
    <t>20-01-55-00027</t>
  </si>
  <si>
    <t>20-01-55-00004</t>
  </si>
  <si>
    <t>ใบเสร็จรับเงินเลขที่ C02100055/0001964</t>
  </si>
  <si>
    <t>ใบเสร็จรับเงินเลขที่ C02100055/0001978</t>
  </si>
  <si>
    <t>ใบเสร็จรับเงินเลขที่ C02100055/0002083</t>
  </si>
  <si>
    <t>ใบเสร็จรับเงินเลขที่ C02100055/0002438</t>
  </si>
  <si>
    <t>ใบเสร็จรับเงินเลขที่ C02070054/0001845</t>
  </si>
  <si>
    <t>ใบเสร็จรับเงินเลขที่ C02070055/0002970</t>
  </si>
  <si>
    <t>01.03.2012</t>
  </si>
  <si>
    <t>02.03.2012</t>
  </si>
  <si>
    <t>03.03.2012</t>
  </si>
  <si>
    <t>04.03.2012</t>
  </si>
  <si>
    <t>05.03.2012</t>
  </si>
  <si>
    <t>06.03.2012</t>
  </si>
  <si>
    <t>07.03.2012</t>
  </si>
  <si>
    <t>08.03.2012</t>
  </si>
  <si>
    <t>09.03.2012</t>
  </si>
  <si>
    <t>10.03.2012</t>
  </si>
  <si>
    <t>11.03.2012</t>
  </si>
  <si>
    <t>12.03.2012</t>
  </si>
  <si>
    <t>13.03.2012</t>
  </si>
  <si>
    <t>14.03.2012</t>
  </si>
  <si>
    <t>15.03.2012</t>
  </si>
  <si>
    <t>16.03.2012</t>
  </si>
  <si>
    <t>17.03.2012</t>
  </si>
  <si>
    <t>18.03.2012</t>
  </si>
  <si>
    <t>19.03.2012</t>
  </si>
  <si>
    <t>21.03.2012</t>
  </si>
  <si>
    <t>22.03.2012</t>
  </si>
  <si>
    <t>24.03.2012</t>
  </si>
  <si>
    <t>25.03.2012</t>
  </si>
  <si>
    <t>26.03.2012</t>
  </si>
  <si>
    <t>28.03.2012</t>
  </si>
  <si>
    <t>29.03.2012</t>
  </si>
  <si>
    <t>31.03.2012</t>
  </si>
  <si>
    <t>บัญชี รับ-จ่าย น้ำมัน JET A-1  ประจำเดือน.....มีนาคม...2555…..</t>
  </si>
  <si>
    <t>23.03.2012</t>
  </si>
  <si>
    <t>27.03.2012</t>
  </si>
  <si>
    <t>30.03.2012</t>
  </si>
  <si>
    <t>TOP 010312</t>
  </si>
  <si>
    <t>GC 010312</t>
  </si>
  <si>
    <t>GC 030312</t>
  </si>
  <si>
    <t>GC 040312</t>
  </si>
  <si>
    <t>TOP 060312</t>
  </si>
  <si>
    <t>GC 060312</t>
  </si>
  <si>
    <t>TOP 090312</t>
  </si>
  <si>
    <t>GC 110312</t>
  </si>
  <si>
    <t>TOP 130312</t>
  </si>
  <si>
    <t>TOP 140312</t>
  </si>
  <si>
    <t>GC 180312</t>
  </si>
  <si>
    <t>TOP 200312</t>
  </si>
  <si>
    <t>GC 220312</t>
  </si>
  <si>
    <t>GC 250312</t>
  </si>
  <si>
    <t>GC 260212</t>
  </si>
  <si>
    <t>20-01-55-00035</t>
  </si>
  <si>
    <t>20-01-55-00017</t>
  </si>
  <si>
    <t>ใบเสร็จรับเงินเลขที่ C02070055/0003098</t>
  </si>
  <si>
    <t>ใบเสร็จรับเงินเลขที่ C02070055/0003099</t>
  </si>
  <si>
    <t>ใบเสร็จรับเงินเลขที่ C02070055/0003193</t>
  </si>
  <si>
    <t>ใบเสร็จรับเงินเลขที่ C02070055/0003241</t>
  </si>
  <si>
    <t>ใบเสร็จรับเงินเลขที่ C02070055/0003289</t>
  </si>
  <si>
    <t>ใบเสร็จรับเงินเลขที่ C02070055/0003305</t>
  </si>
  <si>
    <t>ใบเสร็จรับเงินเลขที่ C02070055/0003345</t>
  </si>
  <si>
    <t>ใบเสร็จรับเงินเลขที่ C02070055/0003431</t>
  </si>
  <si>
    <t>ใบเสร็จรับเงินเลขที่ C02070055/0003584</t>
  </si>
  <si>
    <t>ใบเสร็จรับเงินเลขที่ C02070055/0003729</t>
  </si>
  <si>
    <t>ใบเสร็จรับเงินเลขที่ C02100055/0002635</t>
  </si>
  <si>
    <t>ใบเสร็จรับเงินเลขที่ C02100055/0002753</t>
  </si>
  <si>
    <t>ใบเสร็จรับเงินเลขที่ C02100055/0002779</t>
  </si>
  <si>
    <t>ใบเสร็จรับเงินเลขที่ C02100055/0002929</t>
  </si>
  <si>
    <t>ใบเสร็จรับเงินเลขที่ C02100055/0002951</t>
  </si>
  <si>
    <t>ใบเสร็จรับเงินเลขที่ C02100055/0003007</t>
  </si>
  <si>
    <t>บัญชี รับ-จ่าย น้ำมัน JET A-1  ประจำเดือน.....เมษายน...2555…..</t>
  </si>
  <si>
    <t>01.04.2012</t>
  </si>
  <si>
    <t>03.04.2012</t>
  </si>
  <si>
    <t>04.04.2012</t>
  </si>
  <si>
    <t>05.04.2012</t>
  </si>
  <si>
    <t>06.04.2012</t>
  </si>
  <si>
    <t>07.04.2012</t>
  </si>
  <si>
    <t>08.04.2012</t>
  </si>
  <si>
    <t>09.04.2012</t>
  </si>
  <si>
    <t>10.04.2012</t>
  </si>
  <si>
    <t>11.04.2012</t>
  </si>
  <si>
    <t>12.04.2012</t>
  </si>
  <si>
    <t>14.04.2012</t>
  </si>
  <si>
    <t>15.04.2012</t>
  </si>
  <si>
    <t>17.04.2012</t>
  </si>
  <si>
    <t>21.04.2012</t>
  </si>
  <si>
    <t>25.04.2012</t>
  </si>
  <si>
    <t>26.04.2012</t>
  </si>
  <si>
    <t>GC 280312</t>
  </si>
  <si>
    <t>GC 310312</t>
  </si>
  <si>
    <t>GC 010412</t>
  </si>
  <si>
    <t>GC 030412</t>
  </si>
  <si>
    <t>GC 040412</t>
  </si>
  <si>
    <t>ใบเสร็จรับเงินเลขที่ C02070055/0003752</t>
  </si>
  <si>
    <t>ใบเสร็จรับเงินเลขที่ C02070055/0003827</t>
  </si>
  <si>
    <t>ใบเสร็จรับเงินเลขที่ C02070055/0003830</t>
  </si>
  <si>
    <t>ใบเสร็จรับเงินเลขที่ C02070055/0003884</t>
  </si>
  <si>
    <t>ใบเสร็จรับเงินเลขที่ C02070055/0004002</t>
  </si>
  <si>
    <t>20-01-55-00040</t>
  </si>
  <si>
    <t>บัญชี รับ-จ่าย น้ำมัน JET A-1  ประจำเดือน.....พฤษภาคม...2555…..</t>
  </si>
  <si>
    <t>04.05.2012</t>
  </si>
  <si>
    <t>28.05.2012</t>
  </si>
  <si>
    <t>05.05.2012</t>
  </si>
  <si>
    <t>SPRC 290412</t>
  </si>
  <si>
    <t>บัญชี รับ-จ่าย น้ำมัน JET A-1  ประจำเดือน.....มิถุนายน...2555…..</t>
  </si>
  <si>
    <t>05.06.2012</t>
  </si>
  <si>
    <t>06.06.2012</t>
  </si>
  <si>
    <t>07.06.2012</t>
  </si>
  <si>
    <t>08.06.2012</t>
  </si>
  <si>
    <t>12.06.2012</t>
  </si>
  <si>
    <t>15.06.2012</t>
  </si>
  <si>
    <t>16.06.2012</t>
  </si>
  <si>
    <t>19.06.2012</t>
  </si>
  <si>
    <t>20-01-55-00049</t>
  </si>
  <si>
    <t>02.07.2012</t>
  </si>
  <si>
    <t>03.07.2012</t>
  </si>
  <si>
    <t>04.07.2012</t>
  </si>
  <si>
    <t>05.07.2012</t>
  </si>
  <si>
    <t>06.07.2012</t>
  </si>
  <si>
    <t>08.07.2012</t>
  </si>
  <si>
    <t>14.07.2012</t>
  </si>
  <si>
    <t>18.07.2012</t>
  </si>
  <si>
    <t>21.07.2012</t>
  </si>
  <si>
    <t>23.07.2012</t>
  </si>
  <si>
    <t>27.07.2012</t>
  </si>
  <si>
    <t>30.07.2012</t>
  </si>
  <si>
    <t>31.07.2012</t>
  </si>
  <si>
    <t>บัญชี รับ-จ่าย น้ำมัน JET A-1  ประจำเดือน.....กรกฎาคม...2555…..</t>
  </si>
  <si>
    <t>20-01-55-00074</t>
  </si>
  <si>
    <t>บัญชี รับ-จ่าย น้ำมัน JET A-1  ประจำเดือน.....สิงหาคม...2555…..</t>
  </si>
  <si>
    <t>07.08.2012</t>
  </si>
  <si>
    <t>09.08.2012</t>
  </si>
  <si>
    <t>13.08.2012</t>
  </si>
  <si>
    <t>16.08.2012</t>
  </si>
  <si>
    <t>18.08.2012</t>
  </si>
  <si>
    <t>20.08.2012</t>
  </si>
  <si>
    <t>22.08.2012</t>
  </si>
  <si>
    <t>23.08.2012</t>
  </si>
  <si>
    <t>27.08.2012</t>
  </si>
  <si>
    <t>20-01-55-00080</t>
  </si>
  <si>
    <t>บัญชี รับ-จ่าย น้ำมัน JET A-1  ประจำเดือน.....กันยายน...2555…..</t>
  </si>
  <si>
    <t>03.09.2012</t>
  </si>
  <si>
    <t>05.09.2012</t>
  </si>
  <si>
    <t>10.09.2012</t>
  </si>
  <si>
    <t>12.09.2012</t>
  </si>
  <si>
    <t>15.09.2012</t>
  </si>
  <si>
    <t>21.09.2012</t>
  </si>
  <si>
    <t>28.09.2012</t>
  </si>
  <si>
    <t>30.09.2012</t>
  </si>
  <si>
    <t>22.09.2012</t>
  </si>
  <si>
    <t>24.09.2012</t>
  </si>
  <si>
    <t>GC 110912</t>
  </si>
  <si>
    <t>GC 130912</t>
  </si>
  <si>
    <t>20-01-55-00100</t>
  </si>
  <si>
    <t>บัญชี รับ-จ่าย น้ำมัน JET A-1  ประจำเดือน.....ตุลาคม...2555…..</t>
  </si>
  <si>
    <t>01.10.2012</t>
  </si>
  <si>
    <t>02.10.2012</t>
  </si>
  <si>
    <t>04.10.2012</t>
  </si>
  <si>
    <t>05.10.2012</t>
  </si>
  <si>
    <t>08.10.2012</t>
  </si>
  <si>
    <t>11.10.2012</t>
  </si>
  <si>
    <t>13.10.2012</t>
  </si>
  <si>
    <t>18.10.2012</t>
  </si>
  <si>
    <t>20.10.2012</t>
  </si>
  <si>
    <t>21.10.2012</t>
  </si>
  <si>
    <t>22.10.2012</t>
  </si>
  <si>
    <t>23.10.2012</t>
  </si>
  <si>
    <t>26.10.2012</t>
  </si>
  <si>
    <t>27.10.2012</t>
  </si>
  <si>
    <t>30.10.2012</t>
  </si>
  <si>
    <t>31.10.2012</t>
  </si>
  <si>
    <t>06.12.2012</t>
  </si>
  <si>
    <t>GC 161012</t>
  </si>
  <si>
    <t>GC 250912</t>
  </si>
  <si>
    <t>TOP 280912</t>
  </si>
  <si>
    <t>20-01-55-00141</t>
  </si>
  <si>
    <t>20-01-55-00085</t>
  </si>
  <si>
    <t>ใบเสร็จรับเงินเลขที่ C02070055/0004003</t>
  </si>
  <si>
    <t>ใบเสร็จรับเงินเลขที่ C02070055/0007165</t>
  </si>
  <si>
    <t>ใบเสร็จรับเงินเลขที่ C02070055/0004459</t>
  </si>
  <si>
    <t>บัญชี รับ-จ่าย น้ำมัน JET A-1  ประจำเดือน.....พฤศจิกายน...2555…..</t>
  </si>
  <si>
    <t>01.11.2012</t>
  </si>
  <si>
    <t>02.11.2012</t>
  </si>
  <si>
    <t>04.11.2012</t>
  </si>
  <si>
    <t>05.11.2012</t>
  </si>
  <si>
    <t>07.11.2012</t>
  </si>
  <si>
    <t>09.11.2012</t>
  </si>
  <si>
    <t>11.11.2012</t>
  </si>
  <si>
    <t>12.11.2012</t>
  </si>
  <si>
    <t>13.11.2012</t>
  </si>
  <si>
    <t>14.11.2012</t>
  </si>
  <si>
    <t>16.11.2012</t>
  </si>
  <si>
    <t>17.11.2012</t>
  </si>
  <si>
    <t>18.11.2012</t>
  </si>
  <si>
    <t>20.11.2012</t>
  </si>
  <si>
    <t>21.11.2012</t>
  </si>
  <si>
    <t>22.11.2012</t>
  </si>
  <si>
    <t>25.11.2012</t>
  </si>
  <si>
    <t>26.11.2012</t>
  </si>
  <si>
    <t>27.11.2012</t>
  </si>
  <si>
    <t>28.11.2012</t>
  </si>
  <si>
    <t>29.11.2012</t>
  </si>
  <si>
    <t>30.11.2012</t>
  </si>
  <si>
    <t>06.11.2012</t>
  </si>
  <si>
    <t>15.11.2012</t>
  </si>
  <si>
    <t>19.11.2012</t>
  </si>
  <si>
    <t>TOP 271012</t>
  </si>
  <si>
    <t>GC 051112</t>
  </si>
  <si>
    <t>GC 081112</t>
  </si>
  <si>
    <t>TOP 121112</t>
  </si>
  <si>
    <t>TOP 151112</t>
  </si>
  <si>
    <t>GC 161112</t>
  </si>
  <si>
    <t>SPRC 201112</t>
  </si>
  <si>
    <t>TOP 241112</t>
  </si>
  <si>
    <t>GC 261112</t>
  </si>
  <si>
    <t>TOP 241012</t>
  </si>
  <si>
    <t>GC 021112</t>
  </si>
  <si>
    <t>20-01-55-00145</t>
  </si>
  <si>
    <t>20-01-55-00154</t>
  </si>
  <si>
    <t>ใบเสร็จรับเงินเลขที่ C02070055/0007183</t>
  </si>
  <si>
    <t>ใบเสร็จรับเงินเลขที่ C02070056/0000495</t>
  </si>
  <si>
    <t>ใบเสร็จรับเงินเลขที่ C02070056/0000786</t>
  </si>
  <si>
    <t>ใบเสร็จรับเงินเลขที่ C02070056/0000884</t>
  </si>
  <si>
    <t>ใบเสร็จรับเงินเลขที่ C02070056/0000929</t>
  </si>
  <si>
    <t>ใบเสร็จรับเงินเลขที่ C02100056/0000098</t>
  </si>
  <si>
    <t>ใบเสร็จรับเงินเลขที่ C02100056/0000433</t>
  </si>
  <si>
    <t>ใบเสร็จรับเงินเลขที่ C02100056/0000453</t>
  </si>
  <si>
    <t>ใบเสร็จรับเงินเลขที่ C02100056/0000686</t>
  </si>
  <si>
    <t>ใบเสร็จรับเงินเลขที่ C02100056/0000723</t>
  </si>
  <si>
    <t>ใบเสร็จรับเงินเลขที่ C02070056/0000096</t>
  </si>
  <si>
    <t>บัญชี รับ-จ่าย น้ำมัน JET A-1  ประจำเดือน.....ธันวาคม...2555…..</t>
  </si>
  <si>
    <t>30.12.2012</t>
  </si>
  <si>
    <t>31.12.2012</t>
  </si>
  <si>
    <t>01.12.2012</t>
  </si>
  <si>
    <t>02.12.2012</t>
  </si>
  <si>
    <t>03.12.2012</t>
  </si>
  <si>
    <t>04.12.2012</t>
  </si>
  <si>
    <t>05.12.2012</t>
  </si>
  <si>
    <t>08.12.2012</t>
  </si>
  <si>
    <t>09.12.2012</t>
  </si>
  <si>
    <t>10.12.2012</t>
  </si>
  <si>
    <t>11.12.2012</t>
  </si>
  <si>
    <t>12.12.2012</t>
  </si>
  <si>
    <t>13.12.2012</t>
  </si>
  <si>
    <t>15.12.2012</t>
  </si>
  <si>
    <t>16.12.2012</t>
  </si>
  <si>
    <t>17.12.2012</t>
  </si>
  <si>
    <t>18.12.2012</t>
  </si>
  <si>
    <t>19.12.2012</t>
  </si>
  <si>
    <t>20.12.2012</t>
  </si>
  <si>
    <t>22.12.2012</t>
  </si>
  <si>
    <t>23.12.2012</t>
  </si>
  <si>
    <t>24.12.2012</t>
  </si>
  <si>
    <t>25.12.2012</t>
  </si>
  <si>
    <t>28.12.2012</t>
  </si>
  <si>
    <t>29.12.2012</t>
  </si>
  <si>
    <t>07.12.2012</t>
  </si>
  <si>
    <t>14.12.2012</t>
  </si>
  <si>
    <t>21.12.2012</t>
  </si>
  <si>
    <t>GC 291112</t>
  </si>
  <si>
    <t>GC 051212</t>
  </si>
  <si>
    <t>TOP 101212</t>
  </si>
  <si>
    <t>GC 141212</t>
  </si>
  <si>
    <t>GC 201212</t>
  </si>
  <si>
    <t>SPRC 021212</t>
  </si>
  <si>
    <t>GC 091212</t>
  </si>
  <si>
    <t>TOP 111212</t>
  </si>
  <si>
    <t>TOP 141212</t>
  </si>
  <si>
    <t>GC 181212</t>
  </si>
  <si>
    <t>GC 231212</t>
  </si>
  <si>
    <t>GC 251212</t>
  </si>
  <si>
    <t>GC 261212</t>
  </si>
  <si>
    <t>สอ.สร.</t>
  </si>
  <si>
    <t>20-01-55-00177</t>
  </si>
  <si>
    <t>20-01-55-00103</t>
  </si>
  <si>
    <t>20-01-55-00165</t>
  </si>
  <si>
    <t>ใบเสร็จรับเงินเลขที่ C02070056/0001080</t>
  </si>
  <si>
    <t>ใบเสร็จรับเงินเลขที่ C02070056/0001280</t>
  </si>
  <si>
    <t>ใบเสร็จรับเงินเลขที่ C02070056/0001326</t>
  </si>
  <si>
    <t>ใบเสร็จรับเงินเลขที่ C02070056/0001437</t>
  </si>
  <si>
    <t>ใบเสร็จรับเงินเลขที่ C02070056/0001503</t>
  </si>
  <si>
    <t>ใบเสร็จรับเงินเลขที่ C02070056/0001588</t>
  </si>
  <si>
    <t>ใบเสร็จรับเงินเลขที่ C02070056/0001709</t>
  </si>
  <si>
    <t>ใบเสร็จรับเงินเลขที่ C02070056/0001734</t>
  </si>
  <si>
    <t>ใบเสร็จรับเงินเลขที่ C02070056/0001737</t>
  </si>
  <si>
    <t>ใบเสร็จรับเงินเลขที่ C02070056/0001187</t>
  </si>
  <si>
    <t>ใบเสร็จรับเงินเลขที่ C02070056/0001378</t>
  </si>
  <si>
    <t>ใบเสร็จรับเงินเลขที่ C02070056/0000723</t>
  </si>
  <si>
    <t>ใบเสร็จรับเงินเลขที่ C02070056/0000822</t>
  </si>
  <si>
    <t>ใบเสร็จรับเงินเลขที่ C02070056/0001019</t>
  </si>
  <si>
    <t>ใบเสร็จรับเงินเลขที่ C02070056/0001036</t>
  </si>
  <si>
    <t>ใบเสร็จรับเงินเลขที่ C02070056/0001051</t>
  </si>
  <si>
    <t>บัญชี รับ-จ่าย น้ำมัน JET A-1  ประจำเดือน.....มกราคม...2556…..</t>
  </si>
  <si>
    <t>01.01.2013</t>
  </si>
  <si>
    <t>02.01.2013</t>
  </si>
  <si>
    <t>03.01.2013</t>
  </si>
  <si>
    <t>04.01.2013</t>
  </si>
  <si>
    <t>05.01.2013</t>
  </si>
  <si>
    <t>06.01.2013</t>
  </si>
  <si>
    <t>07.01.2013</t>
  </si>
  <si>
    <t>08.01.2013</t>
  </si>
  <si>
    <t>09.01.2013</t>
  </si>
  <si>
    <t>10.01.2013</t>
  </si>
  <si>
    <t>20.01.2013</t>
  </si>
  <si>
    <t>11.01.2013</t>
  </si>
  <si>
    <t>12.01.2013</t>
  </si>
  <si>
    <t>13.01.2013</t>
  </si>
  <si>
    <t>14.01.2013</t>
  </si>
  <si>
    <t>15.01.2013</t>
  </si>
  <si>
    <t>16.01.2013</t>
  </si>
  <si>
    <t>17.01.2013</t>
  </si>
  <si>
    <t>18.01.2013</t>
  </si>
  <si>
    <t>19.01.2013</t>
  </si>
  <si>
    <t>30.01.2013</t>
  </si>
  <si>
    <t>21.01.2013</t>
  </si>
  <si>
    <t>22.01.2013</t>
  </si>
  <si>
    <t>23.01.2013</t>
  </si>
  <si>
    <t>24.01.2013</t>
  </si>
  <si>
    <t>25.01.2013</t>
  </si>
  <si>
    <t>26.01.2013</t>
  </si>
  <si>
    <t>27.01.2013</t>
  </si>
  <si>
    <t>28.01.2013</t>
  </si>
  <si>
    <t>29.01.2013</t>
  </si>
  <si>
    <t>31.01.2013</t>
  </si>
  <si>
    <t>GC 271212</t>
  </si>
  <si>
    <t>GC 301212</t>
  </si>
  <si>
    <t>GC 010113</t>
  </si>
  <si>
    <t>TOP 030113</t>
  </si>
  <si>
    <t>GC 050113</t>
  </si>
  <si>
    <t>GC 070113</t>
  </si>
  <si>
    <t>GC 110113</t>
  </si>
  <si>
    <t>GC 140113</t>
  </si>
  <si>
    <t>GC 150113</t>
  </si>
  <si>
    <t>TOP 180113</t>
  </si>
  <si>
    <t>GC 180113</t>
  </si>
  <si>
    <t>GC 210113</t>
  </si>
  <si>
    <t>GC 230113</t>
  </si>
  <si>
    <t>GC 240113</t>
  </si>
  <si>
    <t>TOP 260113</t>
  </si>
  <si>
    <t>ใบเสร็จรับเงินเลขที่ C02070056/0001818</t>
  </si>
  <si>
    <t>ใบเสร็จรับเงินเลขที่ C02070056/0001834</t>
  </si>
  <si>
    <t>ใบเสร็จรับเงินเลขที่ C02070056/0001835</t>
  </si>
  <si>
    <t>ใบเสร็จรับเงินเลขที่ C02070056/0001879</t>
  </si>
  <si>
    <t>ใบเสร็จรับเงินเลขที่ C02070056/0001928</t>
  </si>
  <si>
    <t>ใบเสร็จรับเงินเลขที่ C02070056/0001974</t>
  </si>
  <si>
    <t>ใบเสร็จรับเงินเลขที่ C02070056/0002021</t>
  </si>
  <si>
    <t>ใบเสร็จรับเงินเลขที่ C02070056/0002066</t>
  </si>
  <si>
    <t>ใบเสร็จรับเงินเลขที่ C02070056/0002145</t>
  </si>
  <si>
    <t>ใบเสร็จรับเงินเลขที่ C02070056/0002186</t>
  </si>
  <si>
    <t>ใบเสร็จรับเงินเลขที่ C02070056/0002215</t>
  </si>
  <si>
    <t>ใบเสร็จรับเงินเลขที่ C02070056/0002261</t>
  </si>
  <si>
    <t>ใบเสร็จรับเงินเลขที่ C02070056/0002323</t>
  </si>
  <si>
    <t>ใบเสร็จรับเงินเลขที่ C02100056/0001295</t>
  </si>
  <si>
    <t>ใบเสร็จรับเงินเลขที่ C02100056/0001540</t>
  </si>
  <si>
    <t>20-01-55-00189</t>
  </si>
  <si>
    <t>20-01-55-00181</t>
  </si>
  <si>
    <t>20-01-55-00209</t>
  </si>
  <si>
    <t>บัญชี รับ-จ่าย น้ำมัน JET A-1  ประจำเดือน.....กุมภาพันธ์...2556…..</t>
  </si>
  <si>
    <t>01.02.2013</t>
  </si>
  <si>
    <t>02.02.2013</t>
  </si>
  <si>
    <t>03.02.2013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</si>
  <si>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</si>
  <si>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</si>
  <si>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</si>
  <si>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</si>
  <si>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</si>
  <si>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</si>
  <si>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</si>
  <si>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11.02.2013</t>
  </si>
  <si>
    <t>12.02.2013</t>
  </si>
  <si>
    <t>13.02.2013</t>
  </si>
  <si>
    <t>14.02.2013</t>
  </si>
  <si>
    <t>15.02.2013</t>
  </si>
  <si>
    <t>16.02.2013</t>
  </si>
  <si>
    <t>17.02.2013</t>
  </si>
  <si>
    <t>18.02.2013</t>
  </si>
  <si>
    <t>19.02.2013</t>
  </si>
  <si>
    <t>20.02.2013</t>
  </si>
  <si>
    <t>21.02.2013</t>
  </si>
  <si>
    <t>22.02.2013</t>
  </si>
  <si>
    <t>23.02.2013</t>
  </si>
  <si>
    <t>24.02.2013</t>
  </si>
  <si>
    <t>25.02.2013</t>
  </si>
  <si>
    <t>26.02.2013</t>
  </si>
  <si>
    <t>27.02.2013</t>
  </si>
  <si>
    <t>28.02.2013</t>
  </si>
  <si>
    <t>GC 270113</t>
  </si>
  <si>
    <t>GC 310113</t>
  </si>
  <si>
    <t>TOP  020213</t>
  </si>
  <si>
    <t>TOP 040213</t>
  </si>
  <si>
    <t>TOP 050213</t>
  </si>
  <si>
    <t>GC 060213</t>
  </si>
  <si>
    <t>TOP 100213</t>
  </si>
  <si>
    <t>GC 120213</t>
  </si>
  <si>
    <t>GC 130213</t>
  </si>
  <si>
    <t>GC 150213</t>
  </si>
  <si>
    <t>GC 160213</t>
  </si>
  <si>
    <t>TOP 071112</t>
  </si>
  <si>
    <t>TOP 180213</t>
  </si>
  <si>
    <t>GC 190213</t>
  </si>
  <si>
    <t>GC 210213</t>
  </si>
  <si>
    <t>SPRC 240213</t>
  </si>
  <si>
    <t>20-01-56-00019</t>
  </si>
  <si>
    <t>20-01-56-00007</t>
  </si>
  <si>
    <t>ใบเสร็จรับเงินเลขที่ C02070056/0002324</t>
  </si>
  <si>
    <t>ใบเสร็จรับเงินเลขที่ C02070056/0002458</t>
  </si>
  <si>
    <t>ใบเสร็จรับเงินเลขที่ C02070056/0002561</t>
  </si>
  <si>
    <t>ใบเสร็จรับเงินเลขที่ C02070056/0002655</t>
  </si>
  <si>
    <t>ใบเสร็จรับเงินเลขที่ C02070056/0002700</t>
  </si>
  <si>
    <t>ใบเสร็จรับเงินเลขที่ C02070056/0002701</t>
  </si>
  <si>
    <t>ใบเสร็จรับเงินเลขที่ C02070056/0002761</t>
  </si>
  <si>
    <t>ใบเสร็จรับเงินเลขที่ C02070056/0002371</t>
  </si>
  <si>
    <t>ใบเสร็จรับเงินเลขที่ C02070056/0002698</t>
  </si>
  <si>
    <t>ใบเสร็จรับเงินเลขที่ C02100056/0000639</t>
  </si>
  <si>
    <t>ใบเสร็จรับเงินเลขที่ C02100056/0001632</t>
  </si>
  <si>
    <t>ใบเสร็จรับเงินเลขที่ C02100056/0001705</t>
  </si>
  <si>
    <t>ใบเสร็จรับเงินเลขที่ C02100056/0001751</t>
  </si>
  <si>
    <t>ใบเสร็จรับเงินเลขที่ C02100056/0001784</t>
  </si>
  <si>
    <t>ใบเสร็จรับเงินเลขที่ C02100056/0001875</t>
  </si>
  <si>
    <t>ใบเสร็จรับเงินเลขที่ C02100056/0001972</t>
  </si>
  <si>
    <t>TOP 220213</t>
  </si>
  <si>
    <t>19.03.2013</t>
  </si>
  <si>
    <t>26.03.2013</t>
  </si>
  <si>
    <t>11.03.2013</t>
  </si>
  <si>
    <t>05.03.2013</t>
  </si>
  <si>
    <t>16.03.2013</t>
  </si>
  <si>
    <t>21.03.2013</t>
  </si>
  <si>
    <t>27.03.2013</t>
  </si>
  <si>
    <t>25.03.2013</t>
  </si>
  <si>
    <t>30.03.2013</t>
  </si>
  <si>
    <t>01.03.2013</t>
  </si>
  <si>
    <t>04.03.2013</t>
  </si>
  <si>
    <t>08.03.2013</t>
  </si>
  <si>
    <t>09.03.2013</t>
  </si>
  <si>
    <t>22.03.2013</t>
  </si>
  <si>
    <t>23.03.2013</t>
  </si>
  <si>
    <t>06.03.2013</t>
  </si>
  <si>
    <t>14.03.2013</t>
  </si>
  <si>
    <t>07.03.2013</t>
  </si>
  <si>
    <t>15.03.2013</t>
  </si>
  <si>
    <t>02.03.2013</t>
  </si>
  <si>
    <t>03.03.2013</t>
  </si>
  <si>
    <t>10.03.2013</t>
  </si>
  <si>
    <t>12.03.2013</t>
  </si>
  <si>
    <t>13.03.2013</t>
  </si>
  <si>
    <t>17.03.2013</t>
  </si>
  <si>
    <t>18.03.2013</t>
  </si>
  <si>
    <t>20.03.2013</t>
  </si>
  <si>
    <t>24.03.2013</t>
  </si>
  <si>
    <t>28.03.2013</t>
  </si>
  <si>
    <t>31.03.2013</t>
  </si>
  <si>
    <t>GC 260213</t>
  </si>
  <si>
    <t>29.03.2013</t>
  </si>
  <si>
    <t>TOP 280213</t>
  </si>
  <si>
    <t>GC 030313</t>
  </si>
  <si>
    <t>GC 040313</t>
  </si>
  <si>
    <t>TOP 080313</t>
  </si>
  <si>
    <t>GC 100313</t>
  </si>
  <si>
    <t>GC 130313</t>
  </si>
  <si>
    <t>GC 150313</t>
  </si>
  <si>
    <t>TOP 160313</t>
  </si>
  <si>
    <t>GC 180313</t>
  </si>
  <si>
    <t>GC 190313</t>
  </si>
  <si>
    <t>TOP 210313</t>
  </si>
  <si>
    <t>GC 220313</t>
  </si>
  <si>
    <t>TOP 230313</t>
  </si>
  <si>
    <t>TOP 250313</t>
  </si>
  <si>
    <t>TOP 010313</t>
  </si>
  <si>
    <t>ใบเสร็จรับเงินเลขที่ C02070056/0002781</t>
  </si>
  <si>
    <t>ใบเสร็จรับเงินเลขที่ C02070056/0002895</t>
  </si>
  <si>
    <t>ใบเสร็จรับเงินเลขที่ C02070056/0002965</t>
  </si>
  <si>
    <t>ใบเสร็จรับเงินเลขที่ C02070056/0002997</t>
  </si>
  <si>
    <t>ใบเสร็จรับเงินเลขที่ C02070056/0003094</t>
  </si>
  <si>
    <t>ใบเสร็จรับเงินเลขที่ C02070056/0003157</t>
  </si>
  <si>
    <t>ใบเสร็จรับเงินเลขที่ C02070056/0003159</t>
  </si>
  <si>
    <t>ใบเสร็จรับเงินเลขที่ C02070056/0003228</t>
  </si>
  <si>
    <t>ใบเสร็จรับเงินเลขที่ C02070056/0003268</t>
  </si>
  <si>
    <t>ใบเสร็จรับเงินเลขที่ C02070056/0002846</t>
  </si>
  <si>
    <t>ใบเสร็จรับเงินเลขที่ C02100056/0002023</t>
  </si>
  <si>
    <t>ใบเสร็จรับเงินเลขที่ C02100056/0002084</t>
  </si>
  <si>
    <t>ใบเสร็จรับเงินเลขที่ C02100056/0002085</t>
  </si>
  <si>
    <t>ใบเสร็จรับเงินเลขที่ C02100056/0002203</t>
  </si>
  <si>
    <t>ใบเสร็จรับเงินเลขที่ C02100056/0002277</t>
  </si>
  <si>
    <t>20-01-56-00044</t>
  </si>
  <si>
    <t>20-01-56-00033</t>
  </si>
  <si>
    <t>20-01-56-00025</t>
  </si>
  <si>
    <t>บัญชี รับ-จ่าย น้ำมัน JET A-1  ประจำเดือน.....มีนาคม...2556…..</t>
  </si>
  <si>
    <t>บัญชี รับ-จ่าย น้ำมัน JET A-1  ประจำเดือน.....เมษายน...2556…..</t>
  </si>
  <si>
    <t>01.04.2013</t>
  </si>
  <si>
    <t>02.04.2013</t>
  </si>
  <si>
    <t>03.04.2013</t>
  </si>
  <si>
    <t>04.04.2013</t>
  </si>
  <si>
    <t>05.04.2013</t>
  </si>
  <si>
    <t>06.04.2013</t>
  </si>
  <si>
    <t>07.04.2013</t>
  </si>
  <si>
    <t>08.04.2013</t>
  </si>
  <si>
    <t>09.04.2013</t>
  </si>
  <si>
    <t>10.04.2013</t>
  </si>
  <si>
    <t>11.04.2013</t>
  </si>
  <si>
    <t>12.04.2013</t>
  </si>
  <si>
    <t>13.04.2013</t>
  </si>
  <si>
    <t>14.04.2013</t>
  </si>
  <si>
    <t>15.04.2013</t>
  </si>
  <si>
    <t>16.04.2013</t>
  </si>
  <si>
    <t>19.04.2013</t>
  </si>
  <si>
    <t>20.04.2013</t>
  </si>
  <si>
    <t>22.04.2013</t>
  </si>
  <si>
    <t>23.04.2013</t>
  </si>
  <si>
    <t>24.04.2013</t>
  </si>
  <si>
    <t>25.04.2013</t>
  </si>
  <si>
    <t>26.04.2013</t>
  </si>
  <si>
    <t>27.04.2013</t>
  </si>
  <si>
    <t>28.04.2013</t>
  </si>
  <si>
    <t>29.04.2013</t>
  </si>
  <si>
    <t>TOP 170213</t>
  </si>
  <si>
    <t>GC 280313</t>
  </si>
  <si>
    <t>TOP 010413</t>
  </si>
  <si>
    <t>ใบเสร็จรับเงินเลขที่ C02070056/0003280</t>
  </si>
  <si>
    <t>ใบเสร็จรับเงินเลขที่ C02070056/0003401</t>
  </si>
  <si>
    <t>ใบเสร็จรับเงินเลขที่ C02100056/0001965</t>
  </si>
  <si>
    <t>ใบเสร็จรับเงินเลขที่ C02100056/0002341</t>
  </si>
  <si>
    <t>ใบเสร็จรับเงินเลขที่ C02100056/0002358</t>
  </si>
  <si>
    <t>ใบเสร็จรับเงินเลขที่ C02100056/0002381</t>
  </si>
  <si>
    <t>20-01-56-00061</t>
  </si>
  <si>
    <t>20-01-56-00055</t>
  </si>
  <si>
    <t>บัญชี รับ-จ่าย น้ำมัน JET A-1  ประจำเดือน.....พฤษภาคม...2556…..</t>
  </si>
  <si>
    <t>03.05.2013</t>
  </si>
  <si>
    <t>05.05.2013</t>
  </si>
  <si>
    <t>06.05.2013</t>
  </si>
  <si>
    <t>16.05.2013</t>
  </si>
  <si>
    <t>17.05.2013</t>
  </si>
  <si>
    <t>20.05.2013</t>
  </si>
  <si>
    <t>21.05.2013</t>
  </si>
  <si>
    <t>24.05.2013</t>
  </si>
  <si>
    <t>25.05.2013</t>
  </si>
  <si>
    <t>30.05.2013</t>
  </si>
  <si>
    <t>31.05.2013</t>
  </si>
  <si>
    <t>04.05.2013</t>
  </si>
  <si>
    <t>15.05.2013</t>
  </si>
  <si>
    <t>GC 160413</t>
  </si>
  <si>
    <t>TOP 290413</t>
  </si>
  <si>
    <t>ใบเสร็จรับเงินเลขที่ C02070056/0003721</t>
  </si>
  <si>
    <t>ใบเสร็จรับเงินเลขที่ C02100056/0002467</t>
  </si>
  <si>
    <t>20-01-56-00067</t>
  </si>
  <si>
    <t>20-01-56-00088</t>
  </si>
  <si>
    <t>บัญชี รับ-จ่าย น้ำมัน JET A-1  ประจำเดือน.....มิถุนายน...2556…..</t>
  </si>
  <si>
    <t>03.06.2013</t>
  </si>
  <si>
    <t>04.06.2013</t>
  </si>
  <si>
    <t>05.06.2013</t>
  </si>
  <si>
    <t>06.06.2013</t>
  </si>
  <si>
    <t>12.06.2013</t>
  </si>
  <si>
    <t>13.06.2013</t>
  </si>
  <si>
    <t>14.06.2013</t>
  </si>
  <si>
    <t>17.06.2013</t>
  </si>
  <si>
    <t>18.06.2013</t>
  </si>
  <si>
    <t>19.06.2013</t>
  </si>
  <si>
    <t>21.06.2013</t>
  </si>
  <si>
    <t>22.06.2013</t>
  </si>
  <si>
    <t>24.06.2013</t>
  </si>
  <si>
    <t>27.06.2013</t>
  </si>
  <si>
    <t>28.06.2013</t>
  </si>
  <si>
    <t>GC 060613</t>
  </si>
  <si>
    <t>TOP 300413</t>
  </si>
  <si>
    <t>29.06.2013</t>
  </si>
  <si>
    <t>ใบเสร็จรับเงินเลขที่ C02100056/0002759</t>
  </si>
  <si>
    <t>20-01-56-00073</t>
  </si>
  <si>
    <t>20-01-56-00110</t>
  </si>
  <si>
    <t>บัญชี รับ-จ่าย น้ำมัน JET A-1  ประจำเดือน.....กรกฎาคม...2556…..</t>
  </si>
  <si>
    <t>02.07.2013</t>
  </si>
  <si>
    <t>05.07.2013</t>
  </si>
  <si>
    <t>06.07.2013</t>
  </si>
  <si>
    <t>08.07.2013</t>
  </si>
  <si>
    <t>09.07.2013</t>
  </si>
  <si>
    <t>10.07.2013</t>
  </si>
  <si>
    <t>11.07.2013</t>
  </si>
  <si>
    <t>12.07.2013</t>
  </si>
  <si>
    <t>15.07.2013</t>
  </si>
  <si>
    <t>17.07.2013</t>
  </si>
  <si>
    <t>21.07.2013</t>
  </si>
  <si>
    <t>23.07.2013</t>
  </si>
  <si>
    <t>24.07.2013</t>
  </si>
  <si>
    <t>25.07.2013</t>
  </si>
  <si>
    <t>27.07.2013</t>
  </si>
  <si>
    <t>28.07.2013</t>
  </si>
  <si>
    <t>29.07.2013</t>
  </si>
  <si>
    <t>31.07.2013</t>
  </si>
  <si>
    <t>GC 260713</t>
  </si>
  <si>
    <t>SPRC 150613</t>
  </si>
  <si>
    <t>ใบเสร็จรับเงินเลขที่ C02070056/0004590</t>
  </si>
  <si>
    <t>20-01-56-00094</t>
  </si>
  <si>
    <t>20-01-56-00131</t>
  </si>
  <si>
    <t>01.08.2013</t>
  </si>
  <si>
    <t>02.08.2013</t>
  </si>
  <si>
    <t>04.08.2013</t>
  </si>
  <si>
    <t>05.08.2013</t>
  </si>
  <si>
    <t>06.08.2013</t>
  </si>
  <si>
    <t>08.08.2013</t>
  </si>
  <si>
    <t>09.08.2013</t>
  </si>
  <si>
    <t>10.08.2013</t>
  </si>
  <si>
    <t>11.08.2013</t>
  </si>
  <si>
    <t>12.08.2013</t>
  </si>
  <si>
    <t>13.08.2013</t>
  </si>
  <si>
    <t>14.08.2013</t>
  </si>
  <si>
    <t>16.08.2013</t>
  </si>
  <si>
    <t>20.08.2013</t>
  </si>
  <si>
    <t>25.08.2013</t>
  </si>
  <si>
    <t>26.08.2013</t>
  </si>
  <si>
    <t>29.08.2013</t>
  </si>
  <si>
    <t>19.08.2013</t>
  </si>
  <si>
    <t>GC 140813</t>
  </si>
  <si>
    <t>บัญชี รับ-จ่าย น้ำมัน JET A-1  ประจำเดือน.....สิงหาคม...2556…..</t>
  </si>
  <si>
    <t>ใบเสร็จรับเงินเลขที่ C02100056/0002781</t>
  </si>
  <si>
    <t>ใบเสร็จรับเงินเลขที่ C02070056/0004757</t>
  </si>
  <si>
    <t>20-01-56-00099</t>
  </si>
  <si>
    <t>20-01-56-00140</t>
  </si>
  <si>
    <t>20-01-56-00039</t>
  </si>
  <si>
    <t>TOP 310813</t>
  </si>
  <si>
    <t>GC 100913</t>
  </si>
  <si>
    <t>บัญชี รับ-จ่าย น้ำมัน JET A-1  ประจำเดือน.....กันยายน...2556…..</t>
  </si>
  <si>
    <t>20-01-56-00040</t>
  </si>
  <si>
    <t>20-01-56-00118</t>
  </si>
  <si>
    <t>ใบเสร็จรับเงินเลขที่ C02070056/0005455</t>
  </si>
  <si>
    <t>ใบเสร็จรับเงินเลขที่ C02070056/0005849</t>
  </si>
  <si>
    <t>บัญชี รับ-จ่าย น้ำมัน JET A-1  ประจำเดือน.....ตุลาคม...2556…..</t>
  </si>
  <si>
    <t>GC 300913</t>
  </si>
  <si>
    <t>GC 051013</t>
  </si>
  <si>
    <t>GC 151013</t>
  </si>
  <si>
    <t>GC 171013</t>
  </si>
  <si>
    <t>GC 201013</t>
  </si>
  <si>
    <t>ใบเสร็จรับเงินเลขที่ C02070056/0006291</t>
  </si>
  <si>
    <t>ใบเสร็จรับเงินเลขที่ C02070057/0000137</t>
  </si>
  <si>
    <t>ใบเสร็จรับเงินเลขที่ C02100056/0004316</t>
  </si>
  <si>
    <t>20-01-56-00182</t>
  </si>
  <si>
    <t>20-01-56-00125</t>
  </si>
  <si>
    <t>บัญชี รับ-จ่าย น้ำมัน JET A-1  ประจำเดือน.....พฤศจิกายน...2556…..</t>
  </si>
  <si>
    <t>คน.ลก.</t>
  </si>
  <si>
    <t>GC 261013</t>
  </si>
  <si>
    <t>TOP 291013</t>
  </si>
  <si>
    <t>GC 011113</t>
  </si>
  <si>
    <t>GC 041113</t>
  </si>
  <si>
    <t>TOP 071113</t>
  </si>
  <si>
    <t>TOP 261013</t>
  </si>
  <si>
    <t>TOP 091113</t>
  </si>
  <si>
    <t>TOP 101113</t>
  </si>
  <si>
    <t>GC 121113</t>
  </si>
  <si>
    <t>GC 161113</t>
  </si>
  <si>
    <t>GC 181113</t>
  </si>
  <si>
    <t>GC 211113</t>
  </si>
  <si>
    <t>GC 251113</t>
  </si>
  <si>
    <t>TOP 251113</t>
  </si>
  <si>
    <t>ใบเสร็จรับเงินเลขที่ C02070057/0000207</t>
  </si>
  <si>
    <t>ใบเสร็จรับเงินเลขที่ C02070057/0000324</t>
  </si>
  <si>
    <t>ใบเสร็จรับเงินเลขที่ C02070057/0000361</t>
  </si>
  <si>
    <t>ใบเสร็จรับเงินเลขที่ C02070057/0000383</t>
  </si>
  <si>
    <t>ใบเสร็จรับเงินเลขที่ C02070057/0000456</t>
  </si>
  <si>
    <t>ใบเสร็จรับเงินเลขที่ C02070057/0000528</t>
  </si>
  <si>
    <t>ใบเสร็จรับเงินเลขที่ C02070057/0000588</t>
  </si>
  <si>
    <t>ใบเสร็จรับเงินเลขที่ C02070057/0000729</t>
  </si>
  <si>
    <t>ใบเสร็จรับเงินเลขที่ 264/02</t>
  </si>
  <si>
    <t>ใบเสร็จรับเงินเลขที่ C02070057/0000787</t>
  </si>
  <si>
    <t>ใบเสร็จรับเงินเลขที่ C02070057/0000820</t>
  </si>
  <si>
    <t>ใบเสร็จรับเงินเลขที่ C02100057/0000583</t>
  </si>
  <si>
    <t>ใบเสร็จรับเงินเลขที่ C02100057/0000727</t>
  </si>
  <si>
    <t>ใบเสร็จรับเงินเลขที่ C02100057/0000750</t>
  </si>
  <si>
    <t>ใบเสร็จรับเงินเลขที่ C02100057/0000763</t>
  </si>
  <si>
    <t>ใบเสร็จรับเงินเลขที่ C02100057/0000551</t>
  </si>
  <si>
    <t>20-01-56-00150</t>
  </si>
  <si>
    <t>20-01-56-00193</t>
  </si>
  <si>
    <t>บัญชี รับ-จ่าย น้ำมัน JET A-1  ประจำเดือน.....ธันวาคม...2556…..</t>
  </si>
  <si>
    <t>GC 271113</t>
  </si>
  <si>
    <t>TOP 011213</t>
  </si>
  <si>
    <t>GC 041213</t>
  </si>
  <si>
    <t>GC 051213</t>
  </si>
  <si>
    <t>GC 071213</t>
  </si>
  <si>
    <t>GC 111213</t>
  </si>
  <si>
    <t>GC 131213</t>
  </si>
  <si>
    <t>GC 151213</t>
  </si>
  <si>
    <t>GC 161213</t>
  </si>
  <si>
    <t>GC 181213</t>
  </si>
  <si>
    <t>GC 201213</t>
  </si>
  <si>
    <t>GC 231213</t>
  </si>
  <si>
    <t>SPRC 241213</t>
  </si>
  <si>
    <t>GC 271213</t>
  </si>
  <si>
    <t>TOP 281213</t>
  </si>
  <si>
    <t>ใบเสร็จรับเงินเลขที่ C02070057/0000871</t>
  </si>
  <si>
    <t>ใบเสร็จรับเงินเลขที่ C02070057/0000888</t>
  </si>
  <si>
    <t>ใบเสร็จรับเงินเลขที่ C02070057/0000989</t>
  </si>
  <si>
    <t>ใบเสร็จรับเงินเลขที่ C02070057/0000990</t>
  </si>
  <si>
    <t>ใบเสร็จรับเงินเลขที่ C02070057/0000998</t>
  </si>
  <si>
    <t>ใบเสร็จรับเงินเลขที่ C02070057/0001069</t>
  </si>
  <si>
    <t>ใบเสร็จรับเงินเลขที่ C02070057/0001071</t>
  </si>
  <si>
    <t>ใบเสร็จรับเงินเลขที่ C02070057/0001097</t>
  </si>
  <si>
    <t>ใบเสร็จรับเงินเลขที่ C02070057/0001119</t>
  </si>
  <si>
    <t>ใบเสร็จรับเงินเลขที่ C02070057/0001154</t>
  </si>
  <si>
    <t>ใบเสร็จรับเงินเลขที่ C02070057/0001156</t>
  </si>
  <si>
    <t>ใบเสร็จรับเงินเลขที่ C02070057/0001159</t>
  </si>
  <si>
    <t>ใบเสร็จรับเงินเลขที่ C02100057/0001054</t>
  </si>
  <si>
    <t>ใบเสร็จรับเงินเลขที่ C02100057/0000997</t>
  </si>
  <si>
    <t>20-01-56-00201</t>
  </si>
  <si>
    <t>20-01-56-00076</t>
  </si>
  <si>
    <t>20-01-56-00155</t>
  </si>
  <si>
    <t>ใบเสร็จรับเงินเลขที่ C02070057/0001186</t>
  </si>
  <si>
    <t>บัญชี รับ-จ่าย น้ำมัน JET A-1  ประจำเดือน.....มกราคม...2557…..</t>
  </si>
  <si>
    <t>TOP 301213</t>
  </si>
  <si>
    <t>GC 311213</t>
  </si>
  <si>
    <t>GC 010114</t>
  </si>
  <si>
    <t>GC 020114</t>
  </si>
  <si>
    <t>GC 050114</t>
  </si>
  <si>
    <t>GC 060114</t>
  </si>
  <si>
    <t>GC 080114</t>
  </si>
  <si>
    <t>GC 090114</t>
  </si>
  <si>
    <t>GC 110114</t>
  </si>
  <si>
    <t>GC 120114</t>
  </si>
  <si>
    <t>GC 140114</t>
  </si>
  <si>
    <t>TOP 260513</t>
  </si>
  <si>
    <t>SPRC 010613</t>
  </si>
  <si>
    <t>GC 180114</t>
  </si>
  <si>
    <t>GC 190114</t>
  </si>
  <si>
    <t>GC 230114</t>
  </si>
  <si>
    <t>SPRC 240114</t>
  </si>
  <si>
    <t>GC 260114</t>
  </si>
  <si>
    <t>GC 280114</t>
  </si>
  <si>
    <t>20-01-56-00216</t>
  </si>
  <si>
    <t>20-01-56-00179</t>
  </si>
  <si>
    <t>20-01-56-00078</t>
  </si>
  <si>
    <t>ใบเสร็จรับเงินเลขที่ C02070056/0004524</t>
  </si>
  <si>
    <t>ใบเสร็จรับเงินเลขที่ C02070057/0001523</t>
  </si>
  <si>
    <t>ใบเสร็จรับเงินเลขที่ C02100057/0001457</t>
  </si>
  <si>
    <t>ใบเสร็จรับเงินเลขที่ C02100057/0001487</t>
  </si>
  <si>
    <t>ใบเสร็จรับเงินเลขที่ C02100056/0003080</t>
  </si>
  <si>
    <t>GC 200114</t>
  </si>
  <si>
    <t>ใบเสร็จรับเงินเลขที่ C02070057/0001206</t>
  </si>
  <si>
    <t>ใบเสร็จรับเงินเลขที่ C02070057/0001264</t>
  </si>
  <si>
    <t>ใบเสร็จรับเงินเลขที่ C02070057/0001286</t>
  </si>
  <si>
    <t>ใบเสร็จรับเงินเลขที่ C02070057/0001312</t>
  </si>
  <si>
    <t>ใบเสร็จรับเงินเลขที่ C02070057/0001331</t>
  </si>
  <si>
    <t>ใบเสร็จรับเงินเลขที่ C02070057/0001357</t>
  </si>
  <si>
    <t>ใบเสร็จรับเงินเลขที่ C02070057/0001358</t>
  </si>
  <si>
    <t>ใบเสร็จรับเงินเลขที่ C02070057/0001369</t>
  </si>
  <si>
    <t>ใบเสร็จรับเงินเลขที่ C02070057/0001380</t>
  </si>
  <si>
    <t>ใบเสร็จรับเงินเลขที่ C02070057/0001410</t>
  </si>
  <si>
    <t>ใบเสร็จรับเงินเลขที่ C02070057/0001445</t>
  </si>
  <si>
    <t>ใบเสร็จรับเงินเลขที่ C02070057/0001459</t>
  </si>
  <si>
    <t>ใบเสร็จรับเงินเลขที่ C02070057/0001466</t>
  </si>
  <si>
    <t>ใบเสร็จรับเงินเลขที่ C02070057/0001509</t>
  </si>
  <si>
    <t>ใบเสร็จรับเงินเลขที่ C02070057/0001535</t>
  </si>
  <si>
    <t>ใบเสร็จรับเงินเลขที่ C02070057/0001287</t>
  </si>
  <si>
    <t>บัญชี รับ-จ่าย น้ำมัน JET A-1  ประจำเดือน.....กุมภาพันธ์...2557…..</t>
  </si>
  <si>
    <t>GC 300114</t>
  </si>
  <si>
    <t>GC 010214</t>
  </si>
  <si>
    <t>GC 030214</t>
  </si>
  <si>
    <t>SPRC 040214</t>
  </si>
  <si>
    <t>SPRC 050214</t>
  </si>
  <si>
    <t>SPRC 060214</t>
  </si>
  <si>
    <t>TOP 070214</t>
  </si>
  <si>
    <t>GC 100214</t>
  </si>
  <si>
    <t>GC 090214</t>
  </si>
  <si>
    <t>GC 130214</t>
  </si>
  <si>
    <t>GC 140214</t>
  </si>
  <si>
    <t>GC 150214</t>
  </si>
  <si>
    <t>GC 160214</t>
  </si>
  <si>
    <t>GC 190214</t>
  </si>
  <si>
    <t>GC 210214</t>
  </si>
  <si>
    <t>GC 230214</t>
  </si>
  <si>
    <t>20-01-57-00025</t>
  </si>
  <si>
    <t>20-01-57-00037</t>
  </si>
  <si>
    <t>20-01-57-00006</t>
  </si>
  <si>
    <t>ใบเสร็จรับเงินเลขที่ C02100057/0002037</t>
  </si>
  <si>
    <t>ใบเสร็จรับเงินเลขที่ C02070057/0001673</t>
  </si>
  <si>
    <t>ใบเสร็จรับเงินเลขที่ C02070057/0001674</t>
  </si>
  <si>
    <t>ใบเสร็จรับเงินเลขที่ C02070057/0001675</t>
  </si>
  <si>
    <t>ใบเสร็จรับเงินเลขที่ C02070057/0001537</t>
  </si>
  <si>
    <t>ใบเสร็จรับเงินเลขที่ C02070057/0001582</t>
  </si>
  <si>
    <t>ใบเสร็จรับเงินเลขที่ C02070057/0001616</t>
  </si>
  <si>
    <t>ใบเสร็จรับเงินเลขที่ C02070057/0001650</t>
  </si>
  <si>
    <t>ใบเสร็จรับเงินเลขที่ C02070057/0001724</t>
  </si>
  <si>
    <t>ใบเสร็จรับเงินเลขที่ C02070057/0001754</t>
  </si>
  <si>
    <t>ใบเสร็จรับเงินเลขที่ C02070057/0001790</t>
  </si>
  <si>
    <t>ใบเสร็จรับเงินเลขที่ C02070057/0001786</t>
  </si>
  <si>
    <t>ใบเสร็จรับเงินเลขที่ C02070057/0001798</t>
  </si>
  <si>
    <t>ใบเสร็จรับเงินเลขที่ C02070057/0001813</t>
  </si>
  <si>
    <t>ใบเสร็จรับเงินเลขที่ C02070057/0001863</t>
  </si>
  <si>
    <t>ใบเสร็จรับเงินเลขที่ C02070057/0001865</t>
  </si>
  <si>
    <t>บัญชี รับ-จ่าย น้ำมัน JET A-1  ประจำเดือน.....มีนาคม...2557…..</t>
  </si>
  <si>
    <t>GC 240214</t>
  </si>
  <si>
    <t>GC 260214</t>
  </si>
  <si>
    <t>GC 280214</t>
  </si>
  <si>
    <t>GC 020314</t>
  </si>
  <si>
    <t>GC 040314</t>
  </si>
  <si>
    <t>GC 070314</t>
  </si>
  <si>
    <t>GC 080314</t>
  </si>
  <si>
    <t>GC 100314</t>
  </si>
  <si>
    <t>GC 110314</t>
  </si>
  <si>
    <t>TOP 130314</t>
  </si>
  <si>
    <t>GC 140314</t>
  </si>
  <si>
    <t>SPRC 170314</t>
  </si>
  <si>
    <t>SPRC 190314</t>
  </si>
  <si>
    <t>GC 220314</t>
  </si>
  <si>
    <t>GC 240314</t>
  </si>
  <si>
    <t>GC 260314</t>
  </si>
  <si>
    <t>GC 270314</t>
  </si>
  <si>
    <t>ใบเสร็จรับเงินเลขที่ C02070057/0001895</t>
  </si>
  <si>
    <t>ใบเสร็จรับเงินเลขที่ C02070057/0001897</t>
  </si>
  <si>
    <t>ใบเสร็จรับเงินเลขที่ C02070057/0001940</t>
  </si>
  <si>
    <t>ใบเสร็จรับเงินเลขที่ C02070057/0001942</t>
  </si>
  <si>
    <t>ใบเสร็จรับเงินเลขที่ C02070057/0001988</t>
  </si>
  <si>
    <t>ใบเสร็จรับเงินเลขที่ C02070057/0002002</t>
  </si>
  <si>
    <t>ใบเสร็จรับเงินเลขที่ C02070057/0002048</t>
  </si>
  <si>
    <t>ใบเสร็จรับเงินเลขที่ C02070057/0002066</t>
  </si>
  <si>
    <t>ใบเสร็จรับเงินเลขที่ C02070057/0002085</t>
  </si>
  <si>
    <t>ใบเสร็จรับเงินเลขที่ C02070057/0002104</t>
  </si>
  <si>
    <t>ใบเสร็จรับเงินเลขที่ C02070057/0002134</t>
  </si>
  <si>
    <t>ใบเสร็จรับเงินเลขที่ C02070057/0002246</t>
  </si>
  <si>
    <t>20-01-57-00032</t>
  </si>
  <si>
    <t>20-01-57-00040</t>
  </si>
  <si>
    <t>20-01-57-00016</t>
  </si>
  <si>
    <t>ใบเสร็จรับเงินเลขที่ C02070057/0002177</t>
  </si>
  <si>
    <t>ใบเสร็จรับเงินเลขที่ C02070057/0002235</t>
  </si>
  <si>
    <t>ใบเสร็จรับเงินเลขที่ C02100057/0002565</t>
  </si>
  <si>
    <t>บัญชี รับ-จ่าย น้ำมัน JET A-1  ประจำเดือน.....เมษายน...2557…..</t>
  </si>
  <si>
    <t>GC 100414</t>
  </si>
  <si>
    <t>GC 120414</t>
  </si>
  <si>
    <t>GC 140414</t>
  </si>
  <si>
    <t>GC 150414</t>
  </si>
  <si>
    <t>GC 190414</t>
  </si>
  <si>
    <t>GC 290314</t>
  </si>
  <si>
    <t>GC 300314</t>
  </si>
  <si>
    <t>GC 020414</t>
  </si>
  <si>
    <t>GC 030414</t>
  </si>
  <si>
    <t>GC 050414</t>
  </si>
  <si>
    <t>GC 060414</t>
  </si>
  <si>
    <t>ใบเสร็จรับเงินเลขที่ C02070057/0002265</t>
  </si>
  <si>
    <t>ใบเสร็จรับเงินเลขที่ C02070057/0002305</t>
  </si>
  <si>
    <t>ใบเสร็จรับเงินเลขที่ C02070057/0002306</t>
  </si>
  <si>
    <t>ใบเสร็จรับเงินเลขที่ C02070057/0002308</t>
  </si>
  <si>
    <t>ใบเสร็จรับเงินเลขที่ C02070057/0002325</t>
  </si>
  <si>
    <t>ใบเสร็จรับเงินเลขที่ C02070057/0002431</t>
  </si>
  <si>
    <t>ใบเสร็จรับเงินเลขที่ C02070057/0002432</t>
  </si>
  <si>
    <t>ใบเสร็จรับเงินเลขที่ C02070057/0002434</t>
  </si>
  <si>
    <t>ใบเสร็จรับเงินเลขที่ C02070057/0002435</t>
  </si>
  <si>
    <t>ใบเสร็จรับเงินเลขที่ C02070057/0002479</t>
  </si>
  <si>
    <t>20-01-57-00062</t>
  </si>
  <si>
    <t>บัญชี รับ-จ่าย น้ำมัน JET A-1  ประจำเดือน.....พฤษภาคม...2557…..</t>
  </si>
  <si>
    <t>TOP 250414</t>
  </si>
  <si>
    <t>GC 290414</t>
  </si>
  <si>
    <t>GC 020514</t>
  </si>
  <si>
    <t>TOP 050514</t>
  </si>
  <si>
    <t>TOP 080514</t>
  </si>
  <si>
    <t>GC 110514</t>
  </si>
  <si>
    <t>GC 180514</t>
  </si>
  <si>
    <t>GC 210514</t>
  </si>
  <si>
    <t>GC 240514</t>
  </si>
  <si>
    <t>ใบเสร็จรับเงินเลขที่ C02070057/0002494</t>
  </si>
  <si>
    <t>ใบเสร็จรับเงินเลขที่ C02070057/0002515</t>
  </si>
  <si>
    <t>ใบเสร็จรับเงินเลขที่ C02070057/0002527</t>
  </si>
  <si>
    <t>ใบเสร็จรับเงินเลขที่ C02070057/0002582</t>
  </si>
  <si>
    <t>ใบเสร็จรับเงินเลขที่ C02070057/0002760</t>
  </si>
  <si>
    <t>ใบเสร็จรับเงินเลขที่ C02070057/0002763</t>
  </si>
  <si>
    <t>ใบเสร็จรับเงินเลขที่ C02070057/0002892</t>
  </si>
  <si>
    <t>ใบเสร็จรับเงินเลขที่ C02100057/0003091</t>
  </si>
  <si>
    <t>ใบเสร็จรับเงินเลขที่ C02100057/0003215</t>
  </si>
  <si>
    <t>ใบเสร็จรับเงินเลขที่ C02100057/0003273</t>
  </si>
  <si>
    <t>20-01-57-00068</t>
  </si>
  <si>
    <t>20-01-57-00060</t>
  </si>
  <si>
    <t>บัญชี รับ-จ่าย น้ำมัน JET A-1  ประจำเดือน.....มิถุนายน...2557…..</t>
  </si>
  <si>
    <t>GC 270514</t>
  </si>
  <si>
    <t>TOP 131113</t>
  </si>
  <si>
    <t>GC 090614</t>
  </si>
  <si>
    <t>GC 160614</t>
  </si>
  <si>
    <t>TOP 170614</t>
  </si>
  <si>
    <t>GC 220614</t>
  </si>
  <si>
    <t>TOP 250614</t>
  </si>
  <si>
    <t>20-01-57-00084</t>
  </si>
  <si>
    <t>20-01-57-00079</t>
  </si>
  <si>
    <t>ใบเสร็จรับเงินเลขที่ C02070057/0002987</t>
  </si>
  <si>
    <t>ใบเสร็จรับเงินเลขที่ C02070057/0003036</t>
  </si>
  <si>
    <t>ใบเสร็จรับเงินเลขที่ C02070057/0003050</t>
  </si>
  <si>
    <t>ใบเสร็จรับเงินเลขที่ C02070057/0003102</t>
  </si>
  <si>
    <t>ใบเสร็จรับเงินเลขที่ C02070057/0003289</t>
  </si>
  <si>
    <t>ใบเสร็จรับเงินเลขที่ C02100057/0000814</t>
  </si>
  <si>
    <t>ใบเสร็จรับเงินเลขที่ C02070057/0002011</t>
  </si>
  <si>
    <t>บัญชี รับ-จ่าย น้ำมัน JET A-1  ประจำเดือน.....กรกฎาคม...2557…..</t>
  </si>
  <si>
    <t>GC 300614</t>
  </si>
  <si>
    <t>TOP 030714</t>
  </si>
  <si>
    <t>GC 070714</t>
  </si>
  <si>
    <t>GC 100714</t>
  </si>
  <si>
    <t>TOP 140714</t>
  </si>
  <si>
    <t>GC 160714</t>
  </si>
  <si>
    <t>TOP 170714</t>
  </si>
  <si>
    <t>GC 200714</t>
  </si>
  <si>
    <t>GC 240714</t>
  </si>
  <si>
    <t>GC 270714</t>
  </si>
  <si>
    <t>ใบเสร็จรับเงินเลขที่ N00030057/0002093</t>
  </si>
  <si>
    <t>ใบเสร็จรับเงินเลขที่ N00030057/0002193</t>
  </si>
  <si>
    <t>ใบเสร็จรับเงินเลขที่ N00030057/0002315</t>
  </si>
  <si>
    <t>ใบเสร็จรับเงินเลขที่ N00030057/0002355</t>
  </si>
  <si>
    <t>ใบเสร็จรับเงินเลขที่ N00030057/0002455</t>
  </si>
  <si>
    <t>ใบเสร็จรับเงินเลขที่ N00030057/0002496</t>
  </si>
  <si>
    <t>ใบเสร็จรับเงินเลขที่ C02100057/0003764</t>
  </si>
  <si>
    <t>ใบเสร็จรับเงินเลขที่ C02100057/0003899</t>
  </si>
  <si>
    <t>ใบเสร็จรับเงินเลขที่ C02100057/0004003</t>
  </si>
  <si>
    <t>ใบเสร็จรับเงินเลขที่ C02100057/0004184</t>
  </si>
  <si>
    <t>ใบเสร็จรับเงินเลขที่ C02100057/0004208</t>
  </si>
  <si>
    <t>20-01-57-00101</t>
  </si>
  <si>
    <t>20-01-57-00092</t>
  </si>
  <si>
    <t>บัญชี รับ-จ่าย น้ำมัน JET A-1  ประจำเดือน.....สิงหาคม...2557…..</t>
  </si>
  <si>
    <t>GC 300714</t>
  </si>
  <si>
    <t>GC 310714</t>
  </si>
  <si>
    <t>GC 030814</t>
  </si>
  <si>
    <t>GC 040814</t>
  </si>
  <si>
    <t>GC 080814</t>
  </si>
  <si>
    <t>GC 090814</t>
  </si>
  <si>
    <t>GC 100814</t>
  </si>
  <si>
    <t>GC 110814</t>
  </si>
  <si>
    <t>GC 120814</t>
  </si>
  <si>
    <t>GC 150814</t>
  </si>
  <si>
    <t>GC 190814</t>
  </si>
  <si>
    <t>TOP 240814</t>
  </si>
  <si>
    <t>ใบเสร็จรับเงินเลขที่ N00030057/0002545</t>
  </si>
  <si>
    <t>ใบเสร็จรับเงินเลขที่ N00030057/0002585</t>
  </si>
  <si>
    <t>ใบเสร็จรับเงินเลขที่ N00030057/0002655</t>
  </si>
  <si>
    <t>ใบเสร็จรับเงินเลขที่ N00030057/0002650</t>
  </si>
  <si>
    <t>ใบเสร็จรับเงินเลขที่ N00030057/0002653</t>
  </si>
  <si>
    <t>ใบเสร็จรับเงินเลขที่ N00030057/0002692</t>
  </si>
  <si>
    <t>ใบเสร็จรับเงินเลขที่ N00030057/0002747</t>
  </si>
  <si>
    <t>ใบเสร็จรับเงินเลขที่ N00030057/0002771</t>
  </si>
  <si>
    <t>ใบเสร็จรับเงินเลขที่ N00030057/0002780</t>
  </si>
  <si>
    <t>ใบเสร็จรับเงินเลขที่ N00030057/0002792</t>
  </si>
  <si>
    <t>ใบเสร็จรับเงินเลขที่ N00030057/0002813</t>
  </si>
  <si>
    <t>ใบเสร็จรับเงินเลขที่ N00030057/0002828</t>
  </si>
  <si>
    <t>20-01-57-00134</t>
  </si>
  <si>
    <t>บัญชี รับ-จ่าย น้ำมัน JET A-1  ประจำเดือน.....กันยายน...2557…..</t>
  </si>
  <si>
    <t>TOP 290814</t>
  </si>
  <si>
    <t>TOP 310814</t>
  </si>
  <si>
    <t>GC 030914</t>
  </si>
  <si>
    <t>TOP 070914</t>
  </si>
  <si>
    <t>TOP 090914</t>
  </si>
  <si>
    <t>TOP 130914</t>
  </si>
  <si>
    <t>TOP 160914</t>
  </si>
  <si>
    <t>GC 180914</t>
  </si>
  <si>
    <t>TOP 210914</t>
  </si>
  <si>
    <t>TOP 220914</t>
  </si>
  <si>
    <t>20-01-57-00162</t>
  </si>
  <si>
    <t>20-01-57-00129</t>
  </si>
  <si>
    <t>GC 060914</t>
  </si>
  <si>
    <t>ใบเสร็จรับเงินเลขที่ C02100057/0004709</t>
  </si>
  <si>
    <t>ใบเสร็จรับเงินเลขที่ C02100057/0004755</t>
  </si>
  <si>
    <t>ใบเสร็จรับเงินเลขที่ C02100057/0004783</t>
  </si>
  <si>
    <t>ใบเสร็จรับเงินเลขที่ C02100057/0004925</t>
  </si>
  <si>
    <t>ใบเสร็จรับเงินเลขที่ C02100057/0004963</t>
  </si>
  <si>
    <t>ใบเสร็จรับเงินเลขที่ C02100057/0004998</t>
  </si>
  <si>
    <t>ใบเสร็จรับเงินเลขที่ C02100057/0005030</t>
  </si>
  <si>
    <t>ใบเสร็จรับเงินเลขที่ N00030057/0003308</t>
  </si>
  <si>
    <t>ใบเสร็จรับเงินเลขที่ N00030057/0002884</t>
  </si>
  <si>
    <t>ใบเสร็จรับเงินเลขที่ N00030057/0003111</t>
  </si>
  <si>
    <t>ใบเสร็จรับเงินเลขที่ N00030057/0003159</t>
  </si>
  <si>
    <t>บัญชี รับ-จ่าย น้ำมัน JET A-1  ประจำเดือน.....ตุลาคม...2557…..</t>
  </si>
  <si>
    <t>GC 231014</t>
  </si>
  <si>
    <t>GC 261014</t>
  </si>
  <si>
    <t>GC 271014</t>
  </si>
  <si>
    <t>TOP 240914</t>
  </si>
  <si>
    <t>TOP 270914</t>
  </si>
  <si>
    <t>TOP 280914</t>
  </si>
  <si>
    <t>TOP 011014</t>
  </si>
  <si>
    <t>GC 041014</t>
  </si>
  <si>
    <t>GC 081014</t>
  </si>
  <si>
    <t>TOP 121014</t>
  </si>
  <si>
    <t>TOP 161014</t>
  </si>
  <si>
    <t>TOP 191014</t>
  </si>
  <si>
    <t>ใบเสร็จรับเงินเลขที่ N00030058/0000253</t>
  </si>
  <si>
    <t>ใบเสร็จรับเงินเลขที่ N00030058/0000407</t>
  </si>
  <si>
    <t>ใบเสร็จรับเงินเลขที่ C02100058/0000004</t>
  </si>
  <si>
    <t>ใบเสร็จรับเงินเลขที่ C02100058/0000027</t>
  </si>
  <si>
    <t>ใบเสร็จรับเงินเลขที่ C02100058/0000064</t>
  </si>
  <si>
    <t>ใบเสร็จรับเงินเลขที่ C02100058/0000095</t>
  </si>
  <si>
    <t>ใบเสร็จรับเงินเลขที่ C02100058/0000104</t>
  </si>
  <si>
    <t>ใบเสร็จรับเงินเลขที่ C02100058/0000163</t>
  </si>
  <si>
    <t>ใบเสร็จรับเงินเลขที่ C02100058/0000311</t>
  </si>
  <si>
    <t>ใบเสร็จรับเงินเลขที่ C02100058/0000361</t>
  </si>
  <si>
    <t>ใบเสร็จรับเงินเลขที่ C02100058/0000391</t>
  </si>
  <si>
    <t>ใบเสร็จรับเงินเลขที่ N00030058/0000752</t>
  </si>
  <si>
    <t>บัญชี รับ-จ่าย น้ำมัน JET A-1  ประจำเดือน.....พฤศจิกายน...2557…..</t>
  </si>
  <si>
    <t>01/11/14</t>
  </si>
  <si>
    <t>02/11/14</t>
  </si>
  <si>
    <t>03/11/14</t>
  </si>
  <si>
    <t>04/11/14</t>
  </si>
  <si>
    <t>05/11/14</t>
  </si>
  <si>
    <t>06/11/14</t>
  </si>
  <si>
    <t>07/11/14</t>
  </si>
  <si>
    <t>08/11/14</t>
  </si>
  <si>
    <t>09/11/14</t>
  </si>
  <si>
    <t>10/11/14</t>
  </si>
  <si>
    <t>11/11/14</t>
  </si>
  <si>
    <t>12/11/14</t>
  </si>
  <si>
    <t>13/11/14</t>
  </si>
  <si>
    <t>14/11/14</t>
  </si>
  <si>
    <t>15/11/14</t>
  </si>
  <si>
    <t>16/11/14</t>
  </si>
  <si>
    <t>17/11/14</t>
  </si>
  <si>
    <t>18/11/14</t>
  </si>
  <si>
    <t>19/11/14</t>
  </si>
  <si>
    <t>20/11/14</t>
  </si>
  <si>
    <t>21/11/14</t>
  </si>
  <si>
    <t>22/11/14</t>
  </si>
  <si>
    <t>23/11/14</t>
  </si>
  <si>
    <t>24/11/14</t>
  </si>
  <si>
    <t>25/11/14</t>
  </si>
  <si>
    <t>26/11/14</t>
  </si>
  <si>
    <t>27/11/14</t>
  </si>
  <si>
    <t>28/11/14</t>
  </si>
  <si>
    <t>29/11/14</t>
  </si>
  <si>
    <t>30/11/14</t>
  </si>
  <si>
    <t>GC 041114</t>
  </si>
  <si>
    <t>TOP 021114</t>
  </si>
  <si>
    <t>TOP 291014</t>
  </si>
  <si>
    <t>GC 011114</t>
  </si>
  <si>
    <t>TOP 071014</t>
  </si>
  <si>
    <t>GC 051114</t>
  </si>
  <si>
    <t>GC 061114</t>
  </si>
  <si>
    <t>TOP 091114</t>
  </si>
  <si>
    <t>GC 101114</t>
  </si>
  <si>
    <t>GC 111114</t>
  </si>
  <si>
    <t>GC 131114</t>
  </si>
  <si>
    <t>TOP 141114</t>
  </si>
  <si>
    <t>GC 161114</t>
  </si>
  <si>
    <t>GC 171114</t>
  </si>
  <si>
    <t>TOP 181114</t>
  </si>
  <si>
    <t>TOP 211114</t>
  </si>
  <si>
    <t>TOP 221114</t>
  </si>
  <si>
    <t>GC 231114</t>
  </si>
  <si>
    <t>TOP 251114</t>
  </si>
  <si>
    <t>TOP 241114</t>
  </si>
  <si>
    <t>ใบเสร็จรับเงินเลขที่ N00030058/0000810</t>
  </si>
  <si>
    <t>ใบเสร็จรับเงินเลขที่ N00030058/0000835</t>
  </si>
  <si>
    <t>ใบเสร็จรับเงินเลขที่ N00030058/0001215</t>
  </si>
  <si>
    <t>ใบเสร็จรับเงินเลขที่ N00030058/0001241</t>
  </si>
  <si>
    <t>ใบเสร็จรับเงินเลขที่ N00030058/0001364</t>
  </si>
  <si>
    <t>ใบเสร็จรับเงินเลขที่ N00030058/0001389</t>
  </si>
  <si>
    <t>ใบเสร็จรับเงินเลขที่ C02100058/0000533</t>
  </si>
  <si>
    <t>ใบเสร็จรับเงินเลขที่ C02100058/0000699</t>
  </si>
  <si>
    <t>ใบเสร็จรับเงินเลขที่ C02100058/0000745</t>
  </si>
  <si>
    <t>ใบเสร็จรับเงินเลขที่ C02100058/0000255</t>
  </si>
  <si>
    <t>ใบเสร็จรับเงินเลขที่ C02100058/0000572</t>
  </si>
  <si>
    <t>ใบเสร็จรับเงินเลขที่ C02100058/0000812</t>
  </si>
  <si>
    <t>ใบเสร็จรับเงินเลขที่ C02100058/0000833</t>
  </si>
  <si>
    <t>ใบเสร็จรับเงินเลขที่ C02100058/0000851</t>
  </si>
  <si>
    <t>ใบเสร็จรับเงินเลขที่ N00030058/0000969</t>
  </si>
  <si>
    <t>ใบเสร็จรับเงินเลขที่ N00030058/0001046</t>
  </si>
  <si>
    <t>ใบเสร็จรับเงินเลขที่ N00030058/0001113</t>
  </si>
  <si>
    <t>ใบเสร็จรับเงินเลขที่ N00030058/0001112</t>
  </si>
  <si>
    <t>ใบเสร็จรับเงินเลขที่ N00030058/0001307</t>
  </si>
  <si>
    <t>ใบเสร็จรับเงินเลขที่ N00030058/0001542</t>
  </si>
  <si>
    <t>บัญชี รับ-จ่าย น้ำมัน JET A-1  ประจำเดือน.....ธันวาคม...2557…..</t>
  </si>
  <si>
    <t>01/12/14</t>
  </si>
  <si>
    <t>02/12/14</t>
  </si>
  <si>
    <t>03/12/14</t>
  </si>
  <si>
    <t>04/12/14</t>
  </si>
  <si>
    <t>05/12/14</t>
  </si>
  <si>
    <t>06/12/14</t>
  </si>
  <si>
    <t>07/12/14</t>
  </si>
  <si>
    <t>08/12/14</t>
  </si>
  <si>
    <t>09/12/14</t>
  </si>
  <si>
    <t>10/12/14</t>
  </si>
  <si>
    <t>11/12/14</t>
  </si>
  <si>
    <t>12/12/14</t>
  </si>
  <si>
    <t>13/12/14</t>
  </si>
  <si>
    <t>14/12/14</t>
  </si>
  <si>
    <t>15/12/14</t>
  </si>
  <si>
    <t>16/12/14</t>
  </si>
  <si>
    <t>17/12/14</t>
  </si>
  <si>
    <t>18/12/14</t>
  </si>
  <si>
    <t>19/12/14</t>
  </si>
  <si>
    <t>20/12/14</t>
  </si>
  <si>
    <t>21/12/14</t>
  </si>
  <si>
    <t>22/12/14</t>
  </si>
  <si>
    <t>23/12/14</t>
  </si>
  <si>
    <t>24/12/14</t>
  </si>
  <si>
    <t>25/12/14</t>
  </si>
  <si>
    <t>26/12/14</t>
  </si>
  <si>
    <t>27/12/14</t>
  </si>
  <si>
    <t>28/12/14</t>
  </si>
  <si>
    <t>29/12/14</t>
  </si>
  <si>
    <t>30/12/14</t>
  </si>
  <si>
    <t>31/12/14</t>
  </si>
  <si>
    <t>GC 271114</t>
  </si>
  <si>
    <t>TOP 291114</t>
  </si>
  <si>
    <t>TOP 011214</t>
  </si>
  <si>
    <t>TOP 110214</t>
  </si>
  <si>
    <t>GC 041214</t>
  </si>
  <si>
    <t>TOP 051214</t>
  </si>
  <si>
    <t>GC 061214</t>
  </si>
  <si>
    <t>GC 091214</t>
  </si>
  <si>
    <t>GC 131214</t>
  </si>
  <si>
    <t>TOP 151014</t>
  </si>
  <si>
    <t>GC 151214</t>
  </si>
  <si>
    <t>TOP 171214</t>
  </si>
  <si>
    <t>GC 191214</t>
  </si>
  <si>
    <t>GC 211214</t>
  </si>
  <si>
    <t>TOP 231214</t>
  </si>
  <si>
    <t>TOP 251214</t>
  </si>
  <si>
    <t>GC 261214</t>
  </si>
  <si>
    <t>TOP 271214</t>
  </si>
  <si>
    <t>TOP 271114</t>
  </si>
  <si>
    <t>ใบเสร็จรับเงินเลขที่ N00030058/0001650</t>
  </si>
  <si>
    <t>ใบเสร็จรับเงินเลขที่ N00030058/0001878</t>
  </si>
  <si>
    <t>ใบเสร็จรับเงินเลขที่ N00030058/0001938</t>
  </si>
  <si>
    <t>ใบเสร็จรับเงินเลขที่ N00030058/0002014</t>
  </si>
  <si>
    <t>ใบเสร็จรับเงินเลขที่ N00030058/0002114</t>
  </si>
  <si>
    <t>ใบเสร็จรับเงินเลขที่ N00030058/0002159</t>
  </si>
  <si>
    <t>ใบเสร็จรับเงินเลขที่ N00030058/0002248</t>
  </si>
  <si>
    <t>ใบเสร็จรับเงินเลขที่ N00030058/0002387</t>
  </si>
  <si>
    <t>ใบเสร็จรับเงินเลขที่ C02100057/0002113</t>
  </si>
  <si>
    <t>ใบเสร็จรับเงินเลขที่ C02100058/0000360</t>
  </si>
  <si>
    <t>ใบเสร็จรับเงินเลขที่ C02100058/0000879</t>
  </si>
  <si>
    <t>ใบเสร็จรับเงินเลขที่ C02100058/0000903</t>
  </si>
  <si>
    <t>ใบเสร็จรับเงินเลขที่ C02100058/0000901</t>
  </si>
  <si>
    <t>ใบเสร็จรับเงินเลขที่ C02100058/0000939</t>
  </si>
  <si>
    <t>ใบเสร็จรับเงินเลขที่ C02100058/0000959</t>
  </si>
  <si>
    <t>ใบเสร็จรับเงินเลขที่ C02100058/0001013</t>
  </si>
  <si>
    <t>ใบเสร็จรับเงินเลขที่ C02100058/0001207</t>
  </si>
  <si>
    <t>บัญชี รับ-จ่าย น้ำมัน JET A-1  ประจำเดือน.....มกราคม...2558…..</t>
  </si>
  <si>
    <t>01/01/15</t>
  </si>
  <si>
    <t>02/01/15</t>
  </si>
  <si>
    <t>03/01/15</t>
  </si>
  <si>
    <t>04/01/15</t>
  </si>
  <si>
    <t>05/01/15</t>
  </si>
  <si>
    <t>06/01/15</t>
  </si>
  <si>
    <t>07/01/15</t>
  </si>
  <si>
    <t>08/01/15</t>
  </si>
  <si>
    <t>09/01/15</t>
  </si>
  <si>
    <t>10/01/15</t>
  </si>
  <si>
    <t>11/01/15</t>
  </si>
  <si>
    <t>12/01/15</t>
  </si>
  <si>
    <t>13/01/15</t>
  </si>
  <si>
    <t>14/01/15</t>
  </si>
  <si>
    <t>15/01/15</t>
  </si>
  <si>
    <t>16/01/15</t>
  </si>
  <si>
    <t>17/01/15</t>
  </si>
  <si>
    <t>18/01/15</t>
  </si>
  <si>
    <t>19/01/15</t>
  </si>
  <si>
    <t>20/01/15</t>
  </si>
  <si>
    <t>21/01/15</t>
  </si>
  <si>
    <t>22/01/15</t>
  </si>
  <si>
    <t>23/01/15</t>
  </si>
  <si>
    <t>24/01/15</t>
  </si>
  <si>
    <t>25/01/15</t>
  </si>
  <si>
    <t>26/01/15</t>
  </si>
  <si>
    <t>27/01/15</t>
  </si>
  <si>
    <t>28/01/15</t>
  </si>
  <si>
    <t>29/01/15</t>
  </si>
  <si>
    <t>30/01/15</t>
  </si>
  <si>
    <t>31/01/15</t>
  </si>
  <si>
    <t>TOP 291214</t>
  </si>
  <si>
    <t>TOP 301214</t>
  </si>
  <si>
    <t>GC 020115</t>
  </si>
  <si>
    <t>GC 030115</t>
  </si>
  <si>
    <t>GC 050115</t>
  </si>
  <si>
    <t>GC 070115</t>
  </si>
  <si>
    <t>GC 080115</t>
  </si>
  <si>
    <t>TOP 080115</t>
  </si>
  <si>
    <t>TOP 090115</t>
  </si>
  <si>
    <t>TOP 110115</t>
  </si>
  <si>
    <t>TOP 120115</t>
  </si>
  <si>
    <t>TOP 130115</t>
  </si>
  <si>
    <t>GC 130115</t>
  </si>
  <si>
    <t>TOP 160115</t>
  </si>
  <si>
    <t>GC 160115</t>
  </si>
  <si>
    <t>GC 170115</t>
  </si>
  <si>
    <t>TOP 200115</t>
  </si>
  <si>
    <t>TOP 210115</t>
  </si>
  <si>
    <t>GC 230115</t>
  </si>
  <si>
    <t>TOP 240115</t>
  </si>
  <si>
    <t>GC 260115</t>
  </si>
  <si>
    <t>TOP 270115</t>
  </si>
  <si>
    <t>TOP 290115</t>
  </si>
  <si>
    <t>20-01-57-00247</t>
  </si>
  <si>
    <t>20-01-57-00200</t>
  </si>
  <si>
    <t>ใบเสร็จรับเงินเลขที่ N00030058/0002392</t>
  </si>
  <si>
    <t>ใบเสร็จรับเงินเลขที่ N00030058/0002549</t>
  </si>
  <si>
    <t>ใบเสร็จรับเงินเลขที่ N00030058/0002578</t>
  </si>
  <si>
    <t>ใบเสร็จรับเงินเลขที่ N00030058/0002638</t>
  </si>
  <si>
    <t>ใบเสร็จรับเงินเลขที่ N00030058/0002748</t>
  </si>
  <si>
    <t>ใบเสร็จรับเงินเลขที่ N00030058/0002749</t>
  </si>
  <si>
    <t>ใบเสร็จรับเงินเลขที่ N00030058/0002857</t>
  </si>
  <si>
    <t>ใบเสร็จรับเงินเลขที่ N00030058/0002923</t>
  </si>
  <si>
    <t>ใบเสร็จรับเงินเลขที่ N00030058/0002960</t>
  </si>
  <si>
    <t>ใบเสร็จรับเงินเลขที่ N00030058/0003098</t>
  </si>
  <si>
    <t>ใบเสร็จรับเงินเลขที่ N00030058/0003179</t>
  </si>
  <si>
    <t>ใบเสร็จรับเงินเลขที่ C02100058/0001276</t>
  </si>
  <si>
    <t>ใบเสร็จรับเงินเลขที่ C02100058/0001291</t>
  </si>
  <si>
    <t>ใบเสร็จรับเงินเลขที่ C02100058/0001318</t>
  </si>
  <si>
    <t>ใบเสร็จรับเงินเลขที่ C02100058/0001335</t>
  </si>
  <si>
    <t>ใบเสร็จรับเงินเลขที่ C02100058/0001491</t>
  </si>
  <si>
    <t>ใบเสร็จรับเงินเลขที่ C02100058/0001492</t>
  </si>
  <si>
    <t>ใบเสร็จรับเงินเลขที่ C02100058/0001517</t>
  </si>
  <si>
    <t>ใบเสร็จรับเงินเลขที่ C02100058/0001539</t>
  </si>
  <si>
    <t>ใบเสร็จรับเงินเลขที่ C02100058/0001555</t>
  </si>
  <si>
    <t>ใบเสร็จรับเงินเลขที่ C02100058/0001578</t>
  </si>
  <si>
    <t>ใบเสร็จรับเงินเลขที่ C02100058/0001633</t>
  </si>
  <si>
    <t>ใบเสร็จรับเงินเลขที่ C02100058/0001278</t>
  </si>
  <si>
    <t>บัญชี รับ-จ่าย น้ำมัน JET A-1  ประจำเดือน.....กุมภาพันธ์...2558…..</t>
  </si>
  <si>
    <t>01/02/15</t>
  </si>
  <si>
    <t>02/02/15</t>
  </si>
  <si>
    <t>03/02/15</t>
  </si>
  <si>
    <t>04/02/15</t>
  </si>
  <si>
    <t>05/02/15</t>
  </si>
  <si>
    <t>06/02/15</t>
  </si>
  <si>
    <t>07/02/15</t>
  </si>
  <si>
    <t>08/02/15</t>
  </si>
  <si>
    <t>09/02/15</t>
  </si>
  <si>
    <t>10/02/15</t>
  </si>
  <si>
    <t>11/02/15</t>
  </si>
  <si>
    <t>12/02/15</t>
  </si>
  <si>
    <t>13/02/15</t>
  </si>
  <si>
    <t>14/02/15</t>
  </si>
  <si>
    <t>15/02/15</t>
  </si>
  <si>
    <t>16/02/15</t>
  </si>
  <si>
    <t>17/02/15</t>
  </si>
  <si>
    <t>18/02/15</t>
  </si>
  <si>
    <t>19/02/15</t>
  </si>
  <si>
    <t>20/02/15</t>
  </si>
  <si>
    <t>21/02/15</t>
  </si>
  <si>
    <t>22/02/15</t>
  </si>
  <si>
    <t>23/02/15</t>
  </si>
  <si>
    <t>24/02/15</t>
  </si>
  <si>
    <t>25/02/15</t>
  </si>
  <si>
    <t>26/02/15</t>
  </si>
  <si>
    <t>27/02/15</t>
  </si>
  <si>
    <t>28/02/15</t>
  </si>
  <si>
    <t>TOP 230215</t>
  </si>
  <si>
    <t>TOP 250215</t>
  </si>
  <si>
    <t>GC 310115</t>
  </si>
  <si>
    <t>TOP 020215</t>
  </si>
  <si>
    <t>GC 030215</t>
  </si>
  <si>
    <t>TOP 040215</t>
  </si>
  <si>
    <t>TOP 050215</t>
  </si>
  <si>
    <t>GC 060215</t>
  </si>
  <si>
    <t>GC 070215</t>
  </si>
  <si>
    <t>GC 090215</t>
  </si>
  <si>
    <t>TOP 100215</t>
  </si>
  <si>
    <t>GC 120215</t>
  </si>
  <si>
    <t>TOP 130215</t>
  </si>
  <si>
    <t>GC 140215</t>
  </si>
  <si>
    <t>GC 150215</t>
  </si>
  <si>
    <t>TOP 160215</t>
  </si>
  <si>
    <t>TOP 170215</t>
  </si>
  <si>
    <t>GC 180215</t>
  </si>
  <si>
    <t>TOP 200215</t>
  </si>
  <si>
    <t>GC 210215</t>
  </si>
  <si>
    <t>GC 240215</t>
  </si>
  <si>
    <t>อัตราภาษี</t>
  </si>
  <si>
    <t>ใบเสร็จรับเงินเลขที่ N00030058/0003311</t>
  </si>
  <si>
    <t>ใบเสร็จรับเงินเลขที่ N00030058/0003384</t>
  </si>
  <si>
    <t>ใบเสร็จรับเงินเลขที่ N00030058/0003459</t>
  </si>
  <si>
    <t>ใบเสร็จรับเงินเลขที่ N00030058/0003515</t>
  </si>
  <si>
    <t>ใบเสร็จรับเงินเลขที่ N00030058/0003559</t>
  </si>
  <si>
    <t>ใบเสร็จรับเงินเลขที่ N00030058/0003652</t>
  </si>
  <si>
    <t>ใบเสร็จรับเงินเลขที่ N00030058/0003689</t>
  </si>
  <si>
    <t>ใบเสร็จรับเงินเลขที่ N00030058/0003711</t>
  </si>
  <si>
    <t>ใบเสร็จรับเงินเลขที่ N00030058/0003833</t>
  </si>
  <si>
    <t>ใบเสร็จรับเงินเลขที่ N00030058/0003871</t>
  </si>
  <si>
    <t>ใบเสร็จรับเงินเลขที่ N00030058/0003948</t>
  </si>
  <si>
    <t>ใบเสร็จรับเงินเลขที่ C02100058/0001709</t>
  </si>
  <si>
    <t>ใบเสร็จรับเงินเลขที่ C02100058/0001725</t>
  </si>
  <si>
    <t>ใบเสร็จรับเงินเลขที่ C02100058/0001777</t>
  </si>
  <si>
    <t>ใบเสร็จรับเงินเลขที่ C02100058/0001833</t>
  </si>
  <si>
    <t>ใบเสร็จรับเงินเลขที่ C02100058/0001834</t>
  </si>
  <si>
    <t>ใบเสร็จรับเงินเลขที่ C02100058/0001925</t>
  </si>
  <si>
    <t>ใบเสร็จรับเงินเลขที่ C02100058/0001940</t>
  </si>
  <si>
    <t>ใบเสร็จรับเงินเลขที่ C02100058/0001980</t>
  </si>
  <si>
    <t>ใบเสร็จรับเงินเลขที่ C02100058/0001992</t>
  </si>
  <si>
    <t>ใบเสร็จรับเงินเลขที่ C02100058/0001672</t>
  </si>
  <si>
    <t>ใบเสร็จรับเงินเลขที่ C02100058/0001653</t>
  </si>
  <si>
    <t>TOP 260215</t>
  </si>
  <si>
    <t>บัญชี รับ-จ่าย น้ำมัน JET A-1  ประจำเดือน.....มีนาคม...2558…..</t>
  </si>
  <si>
    <t>01/03/15</t>
  </si>
  <si>
    <t>02/03/15</t>
  </si>
  <si>
    <t>03/03/15</t>
  </si>
  <si>
    <t>04/03/15</t>
  </si>
  <si>
    <t>05/03/15</t>
  </si>
  <si>
    <t>06/03/15</t>
  </si>
  <si>
    <t>07/03/15</t>
  </si>
  <si>
    <t>08/03/15</t>
  </si>
  <si>
    <t>09/03/15</t>
  </si>
  <si>
    <t>10/03/15</t>
  </si>
  <si>
    <t>11/03/15</t>
  </si>
  <si>
    <t>12/03/15</t>
  </si>
  <si>
    <t>13/03/15</t>
  </si>
  <si>
    <t>14/03/15</t>
  </si>
  <si>
    <t>15/03/15</t>
  </si>
  <si>
    <t>16/03/15</t>
  </si>
  <si>
    <t>17/03/15</t>
  </si>
  <si>
    <t>18/03/15</t>
  </si>
  <si>
    <t>19/03/15</t>
  </si>
  <si>
    <t>20/03/15</t>
  </si>
  <si>
    <t>21/03/15</t>
  </si>
  <si>
    <t>22/03/15</t>
  </si>
  <si>
    <t>23/03/15</t>
  </si>
  <si>
    <t>24/03/15</t>
  </si>
  <si>
    <t>25/03/15</t>
  </si>
  <si>
    <t>26/03/15</t>
  </si>
  <si>
    <t>27/03/15</t>
  </si>
  <si>
    <t>28/03/15</t>
  </si>
  <si>
    <t>29/03/15</t>
  </si>
  <si>
    <t>30/03/15</t>
  </si>
  <si>
    <t>31/03/15</t>
  </si>
  <si>
    <t>GC 260215</t>
  </si>
  <si>
    <t>GC 270215</t>
  </si>
  <si>
    <t>TOP 280215</t>
  </si>
  <si>
    <t>GC 010315</t>
  </si>
  <si>
    <t>GC 020315</t>
  </si>
  <si>
    <t>GC 030315</t>
  </si>
  <si>
    <t>GC 050315</t>
  </si>
  <si>
    <t>GC 070315</t>
  </si>
  <si>
    <t>GC 080315</t>
  </si>
  <si>
    <t>TOP 090315</t>
  </si>
  <si>
    <t>TOP 110315</t>
  </si>
  <si>
    <t>GC 130315</t>
  </si>
  <si>
    <t>TOP 130315</t>
  </si>
  <si>
    <t>TOP 140315</t>
  </si>
  <si>
    <t>TOP 150315</t>
  </si>
  <si>
    <t>TOP 170315</t>
  </si>
  <si>
    <t>TOP 180315</t>
  </si>
  <si>
    <t>GC 200315</t>
  </si>
  <si>
    <t>TOP 200315</t>
  </si>
  <si>
    <t>TOP 210315</t>
  </si>
  <si>
    <t>TOP 230315</t>
  </si>
  <si>
    <t>GC 260315</t>
  </si>
  <si>
    <t>TOP 270315</t>
  </si>
  <si>
    <t>ใบเสร็จรับเงินเลขที่ C02100058/0002068</t>
  </si>
  <si>
    <t>ใบเสร็จรับเงินเลขที่ C02100058/0002098</t>
  </si>
  <si>
    <t>ใบเสร็จรับเงินเลขที่ C02100058/0002099</t>
  </si>
  <si>
    <t>ใบเสร็จรับเงินเลขที่ C02100058/0002123</t>
  </si>
  <si>
    <t>ใบเสร็จรับเงินเลขที่ C02100058/0002281</t>
  </si>
  <si>
    <t>ใบเสร็จรับเงินเลขที่ C02100058/0002310</t>
  </si>
  <si>
    <t>ใบเสร็จรับเงินเลขที่ C02100058/0002312</t>
  </si>
  <si>
    <t>ใบเสร็จรับเงินเลขที่ C02100058/0002337</t>
  </si>
  <si>
    <t>ใบเสร็จรับเงินเลขที่ C02100058/0002351</t>
  </si>
  <si>
    <t>ใบเสร็จรับเงินเลขที่ C02100058/0002397</t>
  </si>
  <si>
    <t>ใบเสร็จรับเงินเลขที่ C02100058/0002416</t>
  </si>
  <si>
    <t>ใบเสร็จรับเงินเลขที่ C02100058/0002418</t>
  </si>
  <si>
    <t>ใบเสร็จรับเงินเลขที่ C02100058/0002460</t>
  </si>
  <si>
    <t>ใบเสร็จรับเงินเลขที่ N00030058/0004018</t>
  </si>
  <si>
    <t>ใบเสร็จรับเงินเลขที่ N00030058/0004019</t>
  </si>
  <si>
    <t>ใบเสร็จรับเงินเลขที่ N00030058/0004079</t>
  </si>
  <si>
    <t>ใบเสร็จรับเงินเลขที่ N00030058/0004105</t>
  </si>
  <si>
    <t>ใบเสร็จรับเงินเลขที่ N00030058/0004142</t>
  </si>
  <si>
    <t>ใบเสร็จรับเงินเลขที่ N00030058/0004220</t>
  </si>
  <si>
    <t>ใบเสร็จรับเงินเลขที่ N00030058/0004266</t>
  </si>
  <si>
    <t>ใบเสร็จรับเงินเลขที่ N00030058/0004293</t>
  </si>
  <si>
    <t>ใบเสร็จรับเงินเลขที่ N00030058/0004421</t>
  </si>
  <si>
    <t>ใบเสร็จรับเงินเลขที่ N00030058/0004601</t>
  </si>
  <si>
    <t>ใบเสร็จรับเงินเลขที่ C02100058/0002032</t>
  </si>
  <si>
    <t>บัญชี รับ-จ่าย น้ำมัน JET A-1  ประจำเดือน.....เมษายน...2558…..</t>
  </si>
  <si>
    <t>01/04/15</t>
  </si>
  <si>
    <t>02/04/15</t>
  </si>
  <si>
    <t>03/04/15</t>
  </si>
  <si>
    <t>04/04/15</t>
  </si>
  <si>
    <t>05/04/15</t>
  </si>
  <si>
    <t>06/04/15</t>
  </si>
  <si>
    <t>07/04/15</t>
  </si>
  <si>
    <t>08/04/15</t>
  </si>
  <si>
    <t>09/04/15</t>
  </si>
  <si>
    <t>10/04/15</t>
  </si>
  <si>
    <t>11/04/15</t>
  </si>
  <si>
    <t>12/04/15</t>
  </si>
  <si>
    <t>13/04/15</t>
  </si>
  <si>
    <t>14/04/15</t>
  </si>
  <si>
    <t>15/04/15</t>
  </si>
  <si>
    <t>16/04/15</t>
  </si>
  <si>
    <t>17/04/15</t>
  </si>
  <si>
    <t>18/04/15</t>
  </si>
  <si>
    <t>19/04/15</t>
  </si>
  <si>
    <t>20/04/15</t>
  </si>
  <si>
    <t>21/04/15</t>
  </si>
  <si>
    <t>22/04/15</t>
  </si>
  <si>
    <t>23/04/15</t>
  </si>
  <si>
    <t>24/04/15</t>
  </si>
  <si>
    <t>25/04/15</t>
  </si>
  <si>
    <t>26/04/15</t>
  </si>
  <si>
    <t>27/04/15</t>
  </si>
  <si>
    <t>28/04/15</t>
  </si>
  <si>
    <t>29/04/15</t>
  </si>
  <si>
    <t>30/04/15</t>
  </si>
  <si>
    <t>TOP 311214</t>
  </si>
  <si>
    <t>SPRC 290315</t>
  </si>
  <si>
    <t>GC 010415</t>
  </si>
  <si>
    <t>TOP 020415</t>
  </si>
  <si>
    <t>GC 040415</t>
  </si>
  <si>
    <t>TOP 070415</t>
  </si>
  <si>
    <t>GC 100415</t>
  </si>
  <si>
    <t>TOP 100415</t>
  </si>
  <si>
    <t>GC 130415</t>
  </si>
  <si>
    <t>TOP 150415</t>
  </si>
  <si>
    <t>GC 160415</t>
  </si>
  <si>
    <t>TOP 190415</t>
  </si>
  <si>
    <t>GC 200415</t>
  </si>
  <si>
    <t>TOP 230415</t>
  </si>
  <si>
    <t>TOP 250412</t>
  </si>
  <si>
    <t>ใบเสร็จรับเงินเลขที่ N00030058/0004748</t>
  </si>
  <si>
    <t>ใบเสร็จรับเงินเลขที่ N00030058/0005035</t>
  </si>
  <si>
    <t>ใบเสร็จรับเงินเลขที่ N00030058/0005038</t>
  </si>
  <si>
    <t>ใบเสร็จรับเงินเลขที่ N00030058/0005193</t>
  </si>
  <si>
    <t>ใบเสร็จรับเงินเลขที่ N00030058/0005274</t>
  </si>
  <si>
    <t>ใบเสร็จรับเงินเลขที่ N00030058/0005360</t>
  </si>
  <si>
    <t>ใบเสร็จรับเงินเลขที่ N00030058/0001840</t>
  </si>
  <si>
    <t>ใบเสร็จรับเงินเลขที่ C02100058/0001357</t>
  </si>
  <si>
    <t>ใบเสร็จรับเงินเลขที่ C02100058/0002490</t>
  </si>
  <si>
    <t>ใบเสร็จรับเงินเลขที่ C02100058/0002529</t>
  </si>
  <si>
    <t>ใบเสร็จรับเงินเลขที่ C02100058/0002658</t>
  </si>
  <si>
    <t>ใบเสร็จรับเงินเลขที่ C02100058/0002708</t>
  </si>
  <si>
    <t>ใบเสร็จรับเงินเลขที่ C02100058/0002732</t>
  </si>
  <si>
    <t>ใบเสร็จรับเงินเลขที่ C02100058/0002801</t>
  </si>
  <si>
    <t>ใบเสร็จรับเงินเลขที่ C02100058/0002836</t>
  </si>
  <si>
    <t>บัญชี รับ-จ่าย น้ำมัน JET A-1  ประจำเดือน.....พฤษภาคม...2558…..</t>
  </si>
  <si>
    <t>01/05/15</t>
  </si>
  <si>
    <t>02/05/15</t>
  </si>
  <si>
    <t>03/05/15</t>
  </si>
  <si>
    <t>04/05/15</t>
  </si>
  <si>
    <t>05/05/15</t>
  </si>
  <si>
    <t>06/05/15</t>
  </si>
  <si>
    <t>07/05/15</t>
  </si>
  <si>
    <t>08/05/15</t>
  </si>
  <si>
    <t>09/05/15</t>
  </si>
  <si>
    <t>10/05/15</t>
  </si>
  <si>
    <t>11/05/15</t>
  </si>
  <si>
    <t>12/05/15</t>
  </si>
  <si>
    <t>13/05/15</t>
  </si>
  <si>
    <t>14/05/15</t>
  </si>
  <si>
    <t>15/05/15</t>
  </si>
  <si>
    <t>16/05/15</t>
  </si>
  <si>
    <t>17/05/15</t>
  </si>
  <si>
    <t>18/05/15</t>
  </si>
  <si>
    <t>19/05/15</t>
  </si>
  <si>
    <t>20/05/15</t>
  </si>
  <si>
    <t>21/05/15</t>
  </si>
  <si>
    <t>22/05/15</t>
  </si>
  <si>
    <t>23/05/15</t>
  </si>
  <si>
    <t>24/05/15</t>
  </si>
  <si>
    <t>25/05/15</t>
  </si>
  <si>
    <t>26/05/15</t>
  </si>
  <si>
    <t>27/05/15</t>
  </si>
  <si>
    <t>28/05/15</t>
  </si>
  <si>
    <t>29/05/15</t>
  </si>
  <si>
    <t>30/05/15</t>
  </si>
  <si>
    <t>31/05/15</t>
  </si>
  <si>
    <t>TOP 280412</t>
  </si>
  <si>
    <t>GC 290415</t>
  </si>
  <si>
    <t>TOP 010515</t>
  </si>
  <si>
    <t>GC 040515</t>
  </si>
  <si>
    <t>GC 050515</t>
  </si>
  <si>
    <t>TOP 070515</t>
  </si>
  <si>
    <t>TOP 100515</t>
  </si>
  <si>
    <t>TOP 110515</t>
  </si>
  <si>
    <t>TOP 130515</t>
  </si>
  <si>
    <t>TOP 160515</t>
  </si>
  <si>
    <t>TOP 190515</t>
  </si>
  <si>
    <t>TOP 210515</t>
  </si>
  <si>
    <t>TOP 240515</t>
  </si>
  <si>
    <t>TOP 250415</t>
  </si>
  <si>
    <t>TOP 280415</t>
  </si>
  <si>
    <t>ใบเสร็จรับเงินเลขที่ N00030058/0005453</t>
  </si>
  <si>
    <t>ใบเสร็จรับเงินเลขที่ N00030058/0005722</t>
  </si>
  <si>
    <t>ใบเสร็จรับเงินเลขที่ N00030058/0005783</t>
  </si>
  <si>
    <t>ใบเสร็จรับเงินเลขที่ N00030058/0005829</t>
  </si>
  <si>
    <t>ใบเสร็จรับเงินเลขที่ C02100058/0002896</t>
  </si>
  <si>
    <t>ใบเสร็จรับเงินเลขที่ C02100058/0002898</t>
  </si>
  <si>
    <t>ใบเสร็จรับเงินเลขที่ C02100058/0002937</t>
  </si>
  <si>
    <t>ใบเสร็จรับเงินเลขที่ C02100058/0002957</t>
  </si>
  <si>
    <t>ใบเสร็จรับเงินเลขที่ C02100058/0003075</t>
  </si>
  <si>
    <t>ใบเสร็จรับเงินเลขที่ C02100058/0003100</t>
  </si>
  <si>
    <t>ใบเสร็จรับเงินเลขที่ C02100058/0003113</t>
  </si>
  <si>
    <t>ใบเสร็จรับเงินเลขที่ C02100058/0003150</t>
  </si>
  <si>
    <t>ใบเสร็จรับเงินเลขที่ C02100058/0003171</t>
  </si>
  <si>
    <t>ใบเสร็จรับเงินเลขที่ C02100058/0003220</t>
  </si>
  <si>
    <t>บัญชี รับ-จ่าย น้ำมัน JET A-1  ประจำเดือน.....มิถุนายน...2558…..</t>
  </si>
  <si>
    <t>ประเภทเที่ยวบิน: Int</t>
  </si>
  <si>
    <t>ประเภทน้ำมัน (Mat. Type) : น้ำมันเติม</t>
  </si>
  <si>
    <t>No.</t>
  </si>
  <si>
    <t>เล่มที่
(Book No.)</t>
  </si>
  <si>
    <t xml:space="preserve">เลขที่ </t>
  </si>
  <si>
    <t>ลูกค้า
(Customer Name)</t>
  </si>
  <si>
    <t>DC</t>
  </si>
  <si>
    <t xml:space="preserve">เที่ยวบิน
(Flight No.) </t>
  </si>
  <si>
    <t>เลขเครื่อง
(Aircraft Regs.)</t>
  </si>
  <si>
    <t>ต้นทาง
(From)</t>
  </si>
  <si>
    <t>ปลายทาง
(To)</t>
  </si>
  <si>
    <t>D/I</t>
  </si>
  <si>
    <t>ผลิตภัณฑ์</t>
  </si>
  <si>
    <t>ปริมาณ
(ลิตร)
Qty</t>
  </si>
  <si>
    <t>ปริมาณที่ L86 F</t>
  </si>
  <si>
    <t>01/06/15</t>
  </si>
  <si>
    <t>0010013509:CHINA EASTERN AIRLINES</t>
  </si>
  <si>
    <t>12</t>
  </si>
  <si>
    <t>WUH</t>
  </si>
  <si>
    <t>I</t>
  </si>
  <si>
    <t>JET A-1</t>
  </si>
  <si>
    <t>PVG</t>
  </si>
  <si>
    <t>11</t>
  </si>
  <si>
    <t>0010005530:บจ.ไทยแอร์เอเชีย</t>
  </si>
  <si>
    <t>FD415</t>
  </si>
  <si>
    <t>SIN</t>
  </si>
  <si>
    <t>CAN</t>
  </si>
  <si>
    <t>B-1720</t>
  </si>
  <si>
    <t>02/06/15</t>
  </si>
  <si>
    <t>0010013549:WORLD FUEL SERVICES (SINGAPORE) PTELTD</t>
  </si>
  <si>
    <t>XIY</t>
  </si>
  <si>
    <t>0010022683:CHAKRIT HOLDINGS LIMITED</t>
  </si>
  <si>
    <t>HS-NGC</t>
  </si>
  <si>
    <t>NNG</t>
  </si>
  <si>
    <t>03/06/15</t>
  </si>
  <si>
    <t>B-1910</t>
  </si>
  <si>
    <t>CGO</t>
  </si>
  <si>
    <t>04/06/15</t>
  </si>
  <si>
    <t>B-1961</t>
  </si>
  <si>
    <t>DMK</t>
  </si>
  <si>
    <t>KBV</t>
  </si>
  <si>
    <t>05/06/15</t>
  </si>
  <si>
    <t>B-5530</t>
  </si>
  <si>
    <t>06/06/15</t>
  </si>
  <si>
    <t>07/06/15</t>
  </si>
  <si>
    <t>08/06/15</t>
  </si>
  <si>
    <t>B-2688</t>
  </si>
  <si>
    <t>09/06/15</t>
  </si>
  <si>
    <t>10/06/15</t>
  </si>
  <si>
    <t>11/06/15</t>
  </si>
  <si>
    <t>B-1948</t>
  </si>
  <si>
    <t>12/06/15</t>
  </si>
  <si>
    <t>13/06/15</t>
  </si>
  <si>
    <t>B-5780</t>
  </si>
  <si>
    <t>0010013575:AirAsia Berhad</t>
  </si>
  <si>
    <t>KUL</t>
  </si>
  <si>
    <t>B-5131</t>
  </si>
  <si>
    <t>14/06/15</t>
  </si>
  <si>
    <t>15/06/15</t>
  </si>
  <si>
    <t>16/06/15</t>
  </si>
  <si>
    <t>17/06/15</t>
  </si>
  <si>
    <t>FD330</t>
  </si>
  <si>
    <t>0010002442:The Shell Company of Thailand Limited</t>
  </si>
  <si>
    <t>14</t>
  </si>
  <si>
    <t>TR2183</t>
  </si>
  <si>
    <t>18/06/15</t>
  </si>
  <si>
    <t>B-2168</t>
  </si>
  <si>
    <t>19/06/15</t>
  </si>
  <si>
    <t>20/06/15</t>
  </si>
  <si>
    <t>21/06/15</t>
  </si>
  <si>
    <t>22/06/15</t>
  </si>
  <si>
    <t>23/06/15</t>
  </si>
  <si>
    <t>24/06/15</t>
  </si>
  <si>
    <t>B-5142</t>
  </si>
  <si>
    <t>25/06/15</t>
  </si>
  <si>
    <t>PVT</t>
  </si>
  <si>
    <t>26/06/15</t>
  </si>
  <si>
    <t>27/06/15</t>
  </si>
  <si>
    <t>28/06/15</t>
  </si>
  <si>
    <t>HS-NGB</t>
  </si>
  <si>
    <t>29/06/15</t>
  </si>
  <si>
    <t>30/06/15</t>
  </si>
  <si>
    <t>International</t>
  </si>
  <si>
    <t>FD3226</t>
  </si>
  <si>
    <t>D</t>
  </si>
  <si>
    <t>FD3071</t>
  </si>
  <si>
    <t>CNX</t>
  </si>
  <si>
    <t>FD3075</t>
  </si>
  <si>
    <t>0010001880:บมจ.การบินกรุงเทพ</t>
  </si>
  <si>
    <t>PG268</t>
  </si>
  <si>
    <t>HS-PGU</t>
  </si>
  <si>
    <t>BKK</t>
  </si>
  <si>
    <t>HS-PGV</t>
  </si>
  <si>
    <t>HS-PPK</t>
  </si>
  <si>
    <t>01</t>
  </si>
  <si>
    <t>02</t>
  </si>
  <si>
    <t>PG262</t>
  </si>
  <si>
    <t>PG266</t>
  </si>
  <si>
    <t>HS-PGG</t>
  </si>
  <si>
    <t>USM</t>
  </si>
  <si>
    <t>0010000213:บมจ.การบินไทย</t>
  </si>
  <si>
    <t>TG242</t>
  </si>
  <si>
    <t>HS-PPE</t>
  </si>
  <si>
    <t>Domestic</t>
  </si>
  <si>
    <t>Total</t>
  </si>
  <si>
    <t>TOP 280515</t>
  </si>
  <si>
    <t>TOP 290515</t>
  </si>
  <si>
    <t>TOP 010615</t>
  </si>
  <si>
    <t>TOP 030615</t>
  </si>
  <si>
    <t>TOP 070615</t>
  </si>
  <si>
    <t>TOP 090615</t>
  </si>
  <si>
    <t>TOP 110615</t>
  </si>
  <si>
    <t>TOP 120615</t>
  </si>
  <si>
    <t>TOP 150615</t>
  </si>
  <si>
    <t>GC 170615</t>
  </si>
  <si>
    <t>TOP 190615</t>
  </si>
  <si>
    <t>TOP 210615</t>
  </si>
  <si>
    <t>TOP 230615</t>
  </si>
  <si>
    <t>GC 250615</t>
  </si>
  <si>
    <t>ใบเสร็จรับเงินเลขที่ N00030058/00071017</t>
  </si>
  <si>
    <t>ใบเสร็จรับเงินเลขที่ C02100058/0003238</t>
  </si>
  <si>
    <t>ใบเสร็จรับเงินเลขที่ C02100058/0003262</t>
  </si>
  <si>
    <t>ใบเสร็จรับเงินเลขที่ C02100058/0003304</t>
  </si>
  <si>
    <t>ใบเสร็จรับเงินเลขที่ C02100058/0003362</t>
  </si>
  <si>
    <t>ใบเสร็จรับเงินเลขที่ C02100058/0003416</t>
  </si>
  <si>
    <t>ใบเสร็จรับเงินเลขที่ C02100058/0003483</t>
  </si>
  <si>
    <t>ใบเสร็จรับเงินเลขที่ C02100058/0003512</t>
  </si>
  <si>
    <t>ใบเสร็จรับเงินเลขที่ C02100058/0003530</t>
  </si>
  <si>
    <t>ใบเสร็จรับเงินเลขที่ C02100058/0003533</t>
  </si>
  <si>
    <t>ใบเสร็จรับเงินเลขที่ C02100058/0003578</t>
  </si>
  <si>
    <t>ใบเสร็จรับเงินเลขที่ C02100058/0003310</t>
  </si>
  <si>
    <t>บัญชี รับ-จ่าย น้ำมัน JET A-1  ประจำเดือน.....กรกฎาคม...2558…..</t>
  </si>
  <si>
    <t>01/07/15</t>
  </si>
  <si>
    <t>02/07/15</t>
  </si>
  <si>
    <t>B-5076</t>
  </si>
  <si>
    <t>0010013452:China Southern Airlines Co.,Ltd,</t>
  </si>
  <si>
    <t>03/07/15</t>
  </si>
  <si>
    <t>B-5130</t>
  </si>
  <si>
    <t>04/07/15</t>
  </si>
  <si>
    <t>05/07/15</t>
  </si>
  <si>
    <t>06/07/15</t>
  </si>
  <si>
    <t>AK869</t>
  </si>
  <si>
    <t>B-5320</t>
  </si>
  <si>
    <t>07/07/15</t>
  </si>
  <si>
    <t>08/07/15</t>
  </si>
  <si>
    <t>09/07/15</t>
  </si>
  <si>
    <t>10/07/15</t>
  </si>
  <si>
    <t>11/07/15</t>
  </si>
  <si>
    <t>12/07/15</t>
  </si>
  <si>
    <t>B-5145</t>
  </si>
  <si>
    <t>13/07/15</t>
  </si>
  <si>
    <t>B-5545</t>
  </si>
  <si>
    <t>14/07/15</t>
  </si>
  <si>
    <t>15/07/15</t>
  </si>
  <si>
    <t>KHN</t>
  </si>
  <si>
    <t>16/07/15</t>
  </si>
  <si>
    <t>17/07/15</t>
  </si>
  <si>
    <t>18/07/15</t>
  </si>
  <si>
    <t>19/07/15</t>
  </si>
  <si>
    <t>20/07/15</t>
  </si>
  <si>
    <t>21/07/15</t>
  </si>
  <si>
    <t>22/07/15</t>
  </si>
  <si>
    <t>23/07/15</t>
  </si>
  <si>
    <t>24/07/15</t>
  </si>
  <si>
    <t>B-5185</t>
  </si>
  <si>
    <t>25/07/15</t>
  </si>
  <si>
    <t>26/07/15</t>
  </si>
  <si>
    <t>27/07/15</t>
  </si>
  <si>
    <t>28/07/15</t>
  </si>
  <si>
    <t>29/07/15</t>
  </si>
  <si>
    <t>B-5077</t>
  </si>
  <si>
    <t>30/07/15</t>
  </si>
  <si>
    <t>31/07/15</t>
  </si>
  <si>
    <t>HS-PGB</t>
  </si>
  <si>
    <t>0010021814:บจ.ไทย ไลอ้อน เมนทารี</t>
  </si>
  <si>
    <t>HS-BBH</t>
  </si>
  <si>
    <t>0010009583:บจ.แอ็ดวานซ์ เอวิเอชั่น</t>
  </si>
  <si>
    <t>HS-BCN</t>
  </si>
  <si>
    <t>HKT</t>
  </si>
  <si>
    <t>HS-BBD</t>
  </si>
  <si>
    <t>HS-PGC</t>
  </si>
  <si>
    <t>HS-PPH</t>
  </si>
  <si>
    <t>PG264</t>
  </si>
  <si>
    <t>GC 260615</t>
  </si>
  <si>
    <t>TOP 290615</t>
  </si>
  <si>
    <t>TOP 300615</t>
  </si>
  <si>
    <t>TOP 020715</t>
  </si>
  <si>
    <t>GC 060715</t>
  </si>
  <si>
    <t>TOP 060715</t>
  </si>
  <si>
    <t>GC 130715</t>
  </si>
  <si>
    <t>GC 170715</t>
  </si>
  <si>
    <t>TOP 180715</t>
  </si>
  <si>
    <t>TOP 200715</t>
  </si>
  <si>
    <t>TOP 220715</t>
  </si>
  <si>
    <t>TOP 230715</t>
  </si>
  <si>
    <t>TOP 240715</t>
  </si>
  <si>
    <t>ใบเสร็จรับเงินเลขที่ N00030058/0007107</t>
  </si>
  <si>
    <t>ใบเสร็จรับเงินเลขที่ N00030058/0007355</t>
  </si>
  <si>
    <t>ใบเสร็จรับเงินเลขที่ N00030058/0007356</t>
  </si>
  <si>
    <t>ใบเสร็จรับเงินเลขที่ N00030058/0007706</t>
  </si>
  <si>
    <t>ใบเสร็จรับเงินเลขที่ N00030058/0007902</t>
  </si>
  <si>
    <t>ใบเสร็จรับเงินเลขที่ N00030058/0008000</t>
  </si>
  <si>
    <t>ใบเสร็จรับเงินเลขที่ C02100058/0003613</t>
  </si>
  <si>
    <t>ใบเสร็จรับเงินเลขที่ C02100058/0003636</t>
  </si>
  <si>
    <t>ใบเสร็จรับเงินเลขที่ C02100058/0003668</t>
  </si>
  <si>
    <t>ใบเสร็จรับเงินเลขที่ C02100058/0003728</t>
  </si>
  <si>
    <t>ใบเสร็จรับเงินเลขที่ C02100058/0003744</t>
  </si>
  <si>
    <t>ใบเสร็จรับเงินเลขที่ C02100058/0003766</t>
  </si>
  <si>
    <t>ใบเสร็จรับเงินเลขที่ C02100058/0003871</t>
  </si>
  <si>
    <t>ใบเสร็จรับเงินเลขที่ C02100058/0004026</t>
  </si>
  <si>
    <t>*</t>
  </si>
  <si>
    <t>FM9770</t>
  </si>
  <si>
    <t>HS-ABT</t>
  </si>
  <si>
    <t>9M-MLM</t>
  </si>
  <si>
    <t>MH771</t>
  </si>
  <si>
    <t>0010013488:MALAYSIAN AIRLINES SYSTEM BERHAD</t>
  </si>
  <si>
    <t>DME</t>
  </si>
  <si>
    <t>EI-RUY</t>
  </si>
  <si>
    <t>UN9728</t>
  </si>
  <si>
    <t>0010020973:Gazpromneft-Aero JSC</t>
  </si>
  <si>
    <t>ARN</t>
  </si>
  <si>
    <t>SE-RFR</t>
  </si>
  <si>
    <t>BLX844</t>
  </si>
  <si>
    <t>0010002156:บจ.คูเวต ปิโตรเลี่ยม เอวิเอชั่น (ประเทศไทย)</t>
  </si>
  <si>
    <t>HEL</t>
  </si>
  <si>
    <t>OH-LQG</t>
  </si>
  <si>
    <t>AY036</t>
  </si>
  <si>
    <t>0010013461:FINNAIR</t>
  </si>
  <si>
    <t>B-5501</t>
  </si>
  <si>
    <t>MU2696</t>
  </si>
  <si>
    <t>B-6659</t>
  </si>
  <si>
    <t>CZ8318</t>
  </si>
  <si>
    <t>E38613</t>
  </si>
  <si>
    <t>LHW</t>
  </si>
  <si>
    <t>B-6371</t>
  </si>
  <si>
    <t>MU7026</t>
  </si>
  <si>
    <t>FM9768</t>
  </si>
  <si>
    <t>ROV</t>
  </si>
  <si>
    <t>PEE</t>
  </si>
  <si>
    <t>VQ-BPT</t>
  </si>
  <si>
    <t>NWS2572</t>
  </si>
  <si>
    <t>KJA</t>
  </si>
  <si>
    <t>VVO</t>
  </si>
  <si>
    <t>VQ-BEY</t>
  </si>
  <si>
    <t>ZF3134</t>
  </si>
  <si>
    <t>B-5739</t>
  </si>
  <si>
    <t>CEK</t>
  </si>
  <si>
    <t>NWS2500</t>
  </si>
  <si>
    <t>HKG</t>
  </si>
  <si>
    <t>MLE</t>
  </si>
  <si>
    <t>VP-BNY OR SUBST</t>
  </si>
  <si>
    <t>VP-BNY</t>
  </si>
  <si>
    <t>BLX824</t>
  </si>
  <si>
    <t>CPH</t>
  </si>
  <si>
    <t>G-OBYH</t>
  </si>
  <si>
    <t>BLX812</t>
  </si>
  <si>
    <t>ZF3118</t>
  </si>
  <si>
    <t>GOT</t>
  </si>
  <si>
    <t>G-OBYG</t>
  </si>
  <si>
    <t>TOM457</t>
  </si>
  <si>
    <t>GOI</t>
  </si>
  <si>
    <t>SVO</t>
  </si>
  <si>
    <t>VQ-BMQ</t>
  </si>
  <si>
    <t>NWS9805</t>
  </si>
  <si>
    <t>SE-RFS</t>
  </si>
  <si>
    <t>BLX804</t>
  </si>
  <si>
    <t>DPS</t>
  </si>
  <si>
    <t>HS-KCS</t>
  </si>
  <si>
    <t>0010001704:บจ.เอ็มเจ็ท</t>
  </si>
  <si>
    <t>B-5147</t>
  </si>
  <si>
    <t>9V-TAT</t>
  </si>
  <si>
    <t>OVB</t>
  </si>
  <si>
    <t>KHV</t>
  </si>
  <si>
    <t>VQ-BKF</t>
  </si>
  <si>
    <t>UTA5150</t>
  </si>
  <si>
    <t>E3 8613</t>
  </si>
  <si>
    <t>SZB</t>
  </si>
  <si>
    <t>9M-LMR</t>
  </si>
  <si>
    <t>OD535</t>
  </si>
  <si>
    <t>0010013501:PT PERTAMINA (PERSERO)</t>
  </si>
  <si>
    <t>BLX828</t>
  </si>
  <si>
    <t>OH-LQA</t>
  </si>
  <si>
    <t>VQ-BQA</t>
  </si>
  <si>
    <t>UTA5134</t>
  </si>
  <si>
    <t>B-2209</t>
  </si>
  <si>
    <t>B-5192</t>
  </si>
  <si>
    <t>WAW</t>
  </si>
  <si>
    <t>SP-LAR</t>
  </si>
  <si>
    <t>LO6208</t>
  </si>
  <si>
    <t>VQ-BTQ</t>
  </si>
  <si>
    <t>KAR2488</t>
  </si>
  <si>
    <t>9M-AHG</t>
  </si>
  <si>
    <t>SVX</t>
  </si>
  <si>
    <t>VQ-BSY</t>
  </si>
  <si>
    <t>UTA5140</t>
  </si>
  <si>
    <t>B-1921</t>
  </si>
  <si>
    <t>9M-AQF</t>
  </si>
  <si>
    <t>AK861</t>
  </si>
  <si>
    <t>G-OBYE</t>
  </si>
  <si>
    <t>B-3320</t>
  </si>
  <si>
    <t>9V-TAE</t>
  </si>
  <si>
    <t>E3 8614</t>
  </si>
  <si>
    <t>EI-UND</t>
  </si>
  <si>
    <t>B-5191</t>
  </si>
  <si>
    <t>IKT</t>
  </si>
  <si>
    <t>KEJ</t>
  </si>
  <si>
    <t>VP-BLT</t>
  </si>
  <si>
    <t>UTA5112</t>
  </si>
  <si>
    <t>9M-AHS</t>
  </si>
  <si>
    <t>9V-TJR</t>
  </si>
  <si>
    <t>9M-MXQ</t>
  </si>
  <si>
    <t>MH811</t>
  </si>
  <si>
    <t>HS-ABQ</t>
  </si>
  <si>
    <t>VQ-BUD</t>
  </si>
  <si>
    <t>NWS2482</t>
  </si>
  <si>
    <t>UTA3144</t>
  </si>
  <si>
    <t>SCO</t>
  </si>
  <si>
    <t>NWS2478</t>
  </si>
  <si>
    <t>VQ-BTO</t>
  </si>
  <si>
    <t>NWS2484</t>
  </si>
  <si>
    <t>B-5747</t>
  </si>
  <si>
    <t>B-2153</t>
  </si>
  <si>
    <t>SP-LRE</t>
  </si>
  <si>
    <t>9M-MSC</t>
  </si>
  <si>
    <t>B-5741</t>
  </si>
  <si>
    <t>JKT</t>
  </si>
  <si>
    <t>VQ-BKB</t>
  </si>
  <si>
    <t>UTA5116</t>
  </si>
  <si>
    <t>9M-MSB</t>
  </si>
  <si>
    <t>BLX878</t>
  </si>
  <si>
    <t>UTA5144</t>
  </si>
  <si>
    <t>EI-RUX</t>
  </si>
  <si>
    <t>B5780</t>
  </si>
  <si>
    <t>CXR</t>
  </si>
  <si>
    <t>VQ-BJK</t>
  </si>
  <si>
    <t>NWS2534</t>
  </si>
  <si>
    <t>9M-MLI</t>
  </si>
  <si>
    <t>9M-AFS</t>
  </si>
  <si>
    <t>UTA5118</t>
  </si>
  <si>
    <t>B-5189</t>
  </si>
  <si>
    <t>9M-MLN</t>
  </si>
  <si>
    <t>9M-AHE</t>
  </si>
  <si>
    <t>B-5190</t>
  </si>
  <si>
    <t>TJM</t>
  </si>
  <si>
    <t>UTA5114</t>
  </si>
  <si>
    <t>SP-LRB</t>
  </si>
  <si>
    <t>REP</t>
  </si>
  <si>
    <t>XU-ZAB</t>
  </si>
  <si>
    <t>IP816</t>
  </si>
  <si>
    <t>B-6875</t>
  </si>
  <si>
    <t>MU7254</t>
  </si>
  <si>
    <t>น้ำมันฝาก</t>
  </si>
  <si>
    <t>HDY</t>
  </si>
  <si>
    <t>2602</t>
  </si>
  <si>
    <t>0010005066:กองบินตำรวจ</t>
  </si>
  <si>
    <t>040188</t>
  </si>
  <si>
    <t>560804</t>
  </si>
  <si>
    <t>040214</t>
  </si>
  <si>
    <t>560805</t>
  </si>
  <si>
    <t>HS-PGK</t>
  </si>
  <si>
    <t>040212</t>
  </si>
  <si>
    <t>040209</t>
  </si>
  <si>
    <t>040207</t>
  </si>
  <si>
    <t>UTP</t>
  </si>
  <si>
    <t>VTCPA</t>
  </si>
  <si>
    <t>040203</t>
  </si>
  <si>
    <t>040202</t>
  </si>
  <si>
    <t>040201</t>
  </si>
  <si>
    <t>HS-PGF</t>
  </si>
  <si>
    <t>040199</t>
  </si>
  <si>
    <t>040198</t>
  </si>
  <si>
    <t>HS-TEH</t>
  </si>
  <si>
    <t>040197</t>
  </si>
  <si>
    <t>040196</t>
  </si>
  <si>
    <t>040195</t>
  </si>
  <si>
    <t>040190</t>
  </si>
  <si>
    <t>650804</t>
  </si>
  <si>
    <t>040186</t>
  </si>
  <si>
    <t>HS-PGD</t>
  </si>
  <si>
    <t>040185</t>
  </si>
  <si>
    <t>040184</t>
  </si>
  <si>
    <t>040183</t>
  </si>
  <si>
    <t>HS-BBB</t>
  </si>
  <si>
    <t>040179</t>
  </si>
  <si>
    <t>HS-PPJ</t>
  </si>
  <si>
    <t>040178</t>
  </si>
  <si>
    <t>HS-VIP</t>
  </si>
  <si>
    <t>0010010257:บจ.วีไอพี เจ็ทส์</t>
  </si>
  <si>
    <t>040176</t>
  </si>
  <si>
    <t>040175</t>
  </si>
  <si>
    <t>040174</t>
  </si>
  <si>
    <t>PG135</t>
  </si>
  <si>
    <t>040173</t>
  </si>
  <si>
    <t>FG266</t>
  </si>
  <si>
    <t>040172</t>
  </si>
  <si>
    <t>040169</t>
  </si>
  <si>
    <t>040167</t>
  </si>
  <si>
    <t>040165</t>
  </si>
  <si>
    <t>040160</t>
  </si>
  <si>
    <t>040159</t>
  </si>
  <si>
    <t>SHJ</t>
  </si>
  <si>
    <t>G-HMEI</t>
  </si>
  <si>
    <t>FNS-12-2014-65</t>
  </si>
  <si>
    <t>040158</t>
  </si>
  <si>
    <t>040157</t>
  </si>
  <si>
    <t>040156</t>
  </si>
  <si>
    <t>040154</t>
  </si>
  <si>
    <t>040152</t>
  </si>
  <si>
    <t>040149</t>
  </si>
  <si>
    <t>560803</t>
  </si>
  <si>
    <t>040148</t>
  </si>
  <si>
    <t>040145</t>
  </si>
  <si>
    <t>040143</t>
  </si>
  <si>
    <t>HS-KAC</t>
  </si>
  <si>
    <t>0010011792:บจ.กานต์นิธิ เอวิเอชั่น</t>
  </si>
  <si>
    <t>040142</t>
  </si>
  <si>
    <t>040141</t>
  </si>
  <si>
    <t>040140</t>
  </si>
  <si>
    <t>040139</t>
  </si>
  <si>
    <t>HS-TEM</t>
  </si>
  <si>
    <t>TG250</t>
  </si>
  <si>
    <t>040136</t>
  </si>
  <si>
    <t>040134</t>
  </si>
  <si>
    <t>040133</t>
  </si>
  <si>
    <t>040127</t>
  </si>
  <si>
    <t>040126</t>
  </si>
  <si>
    <t>040122</t>
  </si>
  <si>
    <t>040119</t>
  </si>
  <si>
    <t>040118</t>
  </si>
  <si>
    <t>PG222</t>
  </si>
  <si>
    <t>040117</t>
  </si>
  <si>
    <t>040115</t>
  </si>
  <si>
    <t>040112</t>
  </si>
  <si>
    <t>040108</t>
  </si>
  <si>
    <t>URT</t>
  </si>
  <si>
    <t>HS-CNS</t>
  </si>
  <si>
    <t>0010001761:บจ.วิทยุการบินแห่งประเทศไทย</t>
  </si>
  <si>
    <t>040105</t>
  </si>
  <si>
    <t>040103</t>
  </si>
  <si>
    <t>040102</t>
  </si>
  <si>
    <t>040101</t>
  </si>
  <si>
    <t>HS-BBK</t>
  </si>
  <si>
    <t>040098</t>
  </si>
  <si>
    <t>560802</t>
  </si>
  <si>
    <t>HS-BBN</t>
  </si>
  <si>
    <t>FD3223</t>
  </si>
  <si>
    <t>040097</t>
  </si>
  <si>
    <t>040096</t>
  </si>
  <si>
    <t>HS-BBC</t>
  </si>
  <si>
    <t>040095</t>
  </si>
  <si>
    <t>040094</t>
  </si>
  <si>
    <t>040091</t>
  </si>
  <si>
    <t>040089</t>
  </si>
  <si>
    <t>040087</t>
  </si>
  <si>
    <t>040085</t>
  </si>
  <si>
    <t>040083</t>
  </si>
  <si>
    <t>040079</t>
  </si>
  <si>
    <t>HS-PPD</t>
  </si>
  <si>
    <t>040075</t>
  </si>
  <si>
    <t>040073</t>
  </si>
  <si>
    <t>040072</t>
  </si>
  <si>
    <t>040067</t>
  </si>
  <si>
    <t>040066</t>
  </si>
  <si>
    <t>HS-DCB</t>
  </si>
  <si>
    <t>040065</t>
  </si>
  <si>
    <t>040064</t>
  </si>
  <si>
    <t>040062</t>
  </si>
  <si>
    <t>HS-ABZ</t>
  </si>
  <si>
    <t>FD3705</t>
  </si>
  <si>
    <t>040058</t>
  </si>
  <si>
    <t>040054</t>
  </si>
  <si>
    <t>040053</t>
  </si>
  <si>
    <t>040047</t>
  </si>
  <si>
    <t>560801</t>
  </si>
  <si>
    <t>040043</t>
  </si>
  <si>
    <t>HS-PPG</t>
  </si>
  <si>
    <t>PG290</t>
  </si>
  <si>
    <t>040041</t>
  </si>
  <si>
    <t>040040</t>
  </si>
  <si>
    <t>040037</t>
  </si>
  <si>
    <t>040034</t>
  </si>
  <si>
    <t>040033</t>
  </si>
  <si>
    <t>040029</t>
  </si>
  <si>
    <t>040027</t>
  </si>
  <si>
    <t>040025</t>
  </si>
  <si>
    <t>040020</t>
  </si>
  <si>
    <t>040019</t>
  </si>
  <si>
    <t>040016</t>
  </si>
  <si>
    <t>040014</t>
  </si>
  <si>
    <t>040010</t>
  </si>
  <si>
    <t>NWS9807</t>
  </si>
  <si>
    <t>040008</t>
  </si>
  <si>
    <t>040005</t>
  </si>
  <si>
    <t>040004</t>
  </si>
  <si>
    <t>040001</t>
  </si>
  <si>
    <t>0010021021:AML Thai Operations</t>
  </si>
  <si>
    <t>039950</t>
  </si>
  <si>
    <t>560799</t>
  </si>
  <si>
    <t>039949</t>
  </si>
  <si>
    <t>039948</t>
  </si>
  <si>
    <t>039945</t>
  </si>
  <si>
    <t>039939</t>
  </si>
  <si>
    <t>039938</t>
  </si>
  <si>
    <t>039933</t>
  </si>
  <si>
    <t>039932</t>
  </si>
  <si>
    <t>039928</t>
  </si>
  <si>
    <t>039927</t>
  </si>
  <si>
    <t>039922</t>
  </si>
  <si>
    <t>039920</t>
  </si>
  <si>
    <t>039919</t>
  </si>
  <si>
    <t>039917</t>
  </si>
  <si>
    <t>039914</t>
  </si>
  <si>
    <t>039912</t>
  </si>
  <si>
    <t>039911</t>
  </si>
  <si>
    <t>039908</t>
  </si>
  <si>
    <t>039907</t>
  </si>
  <si>
    <t>039904</t>
  </si>
  <si>
    <t>039903</t>
  </si>
  <si>
    <t>039899</t>
  </si>
  <si>
    <t>560798</t>
  </si>
  <si>
    <t>039895</t>
  </si>
  <si>
    <t>039892</t>
  </si>
  <si>
    <t>039888</t>
  </si>
  <si>
    <t>HS-PPB</t>
  </si>
  <si>
    <t>039887</t>
  </si>
  <si>
    <t>039886</t>
  </si>
  <si>
    <t>039881</t>
  </si>
  <si>
    <t>039879</t>
  </si>
  <si>
    <t>HS-LTM</t>
  </si>
  <si>
    <t>SL8573</t>
  </si>
  <si>
    <t>039877</t>
  </si>
  <si>
    <t>HS-BBI</t>
  </si>
  <si>
    <t>039876</t>
  </si>
  <si>
    <t>039875</t>
  </si>
  <si>
    <t>039871</t>
  </si>
  <si>
    <t>039868</t>
  </si>
  <si>
    <t>039866</t>
  </si>
  <si>
    <t>039863</t>
  </si>
  <si>
    <t>039861</t>
  </si>
  <si>
    <t>039860</t>
  </si>
  <si>
    <t>039859</t>
  </si>
  <si>
    <t>039857</t>
  </si>
  <si>
    <t>039855</t>
  </si>
  <si>
    <t>039853</t>
  </si>
  <si>
    <t>039852</t>
  </si>
  <si>
    <t>040216</t>
  </si>
  <si>
    <t>040215</t>
  </si>
  <si>
    <t>040213</t>
  </si>
  <si>
    <t>040211</t>
  </si>
  <si>
    <t>040210</t>
  </si>
  <si>
    <t>040208</t>
  </si>
  <si>
    <t>040206</t>
  </si>
  <si>
    <t>040205</t>
  </si>
  <si>
    <t>040204</t>
  </si>
  <si>
    <t>040200</t>
  </si>
  <si>
    <t>040194</t>
  </si>
  <si>
    <t>040193</t>
  </si>
  <si>
    <t>040191</t>
  </si>
  <si>
    <t>040192</t>
  </si>
  <si>
    <t>040189</t>
  </si>
  <si>
    <t>040187</t>
  </si>
  <si>
    <t>040182</t>
  </si>
  <si>
    <t>040181</t>
  </si>
  <si>
    <t>040180</t>
  </si>
  <si>
    <t>040177</t>
  </si>
  <si>
    <t>040171</t>
  </si>
  <si>
    <t>040170</t>
  </si>
  <si>
    <t>040168</t>
  </si>
  <si>
    <t>040166</t>
  </si>
  <si>
    <t>040164</t>
  </si>
  <si>
    <t>040163</t>
  </si>
  <si>
    <t>040162</t>
  </si>
  <si>
    <t>040161</t>
  </si>
  <si>
    <t>040155</t>
  </si>
  <si>
    <t>040153</t>
  </si>
  <si>
    <t>040151</t>
  </si>
  <si>
    <t>040150</t>
  </si>
  <si>
    <t>040147</t>
  </si>
  <si>
    <t>040146</t>
  </si>
  <si>
    <t>040144</t>
  </si>
  <si>
    <t>040138</t>
  </si>
  <si>
    <t>040137</t>
  </si>
  <si>
    <t>040135</t>
  </si>
  <si>
    <t>040132</t>
  </si>
  <si>
    <t>040131</t>
  </si>
  <si>
    <t>040130</t>
  </si>
  <si>
    <t>040129</t>
  </si>
  <si>
    <t>040128</t>
  </si>
  <si>
    <t>040125</t>
  </si>
  <si>
    <t>040124</t>
  </si>
  <si>
    <t>040123</t>
  </si>
  <si>
    <t>040121</t>
  </si>
  <si>
    <t>040120</t>
  </si>
  <si>
    <t>040116</t>
  </si>
  <si>
    <t>040114</t>
  </si>
  <si>
    <t>040113</t>
  </si>
  <si>
    <t>040111</t>
  </si>
  <si>
    <t>040110</t>
  </si>
  <si>
    <t>040109</t>
  </si>
  <si>
    <t>040107</t>
  </si>
  <si>
    <t>040106</t>
  </si>
  <si>
    <t>040104</t>
  </si>
  <si>
    <t>040100</t>
  </si>
  <si>
    <t>040099</t>
  </si>
  <si>
    <t>040093</t>
  </si>
  <si>
    <t>040092</t>
  </si>
  <si>
    <t>040090</t>
  </si>
  <si>
    <t>040088</t>
  </si>
  <si>
    <t>040086</t>
  </si>
  <si>
    <t>040084</t>
  </si>
  <si>
    <t>040082</t>
  </si>
  <si>
    <t>040081</t>
  </si>
  <si>
    <t>040080</t>
  </si>
  <si>
    <t>040078</t>
  </si>
  <si>
    <t>040077</t>
  </si>
  <si>
    <t>040076</t>
  </si>
  <si>
    <t>040074</t>
  </si>
  <si>
    <t>040071</t>
  </si>
  <si>
    <t>040070</t>
  </si>
  <si>
    <t>040069</t>
  </si>
  <si>
    <t>040068</t>
  </si>
  <si>
    <t>040061</t>
  </si>
  <si>
    <t>040060</t>
  </si>
  <si>
    <t>040059</t>
  </si>
  <si>
    <t>040057</t>
  </si>
  <si>
    <t>040056</t>
  </si>
  <si>
    <t>040055</t>
  </si>
  <si>
    <t>040052</t>
  </si>
  <si>
    <t>040051</t>
  </si>
  <si>
    <t>050050</t>
  </si>
  <si>
    <t>040049</t>
  </si>
  <si>
    <t>040048</t>
  </si>
  <si>
    <t>040046</t>
  </si>
  <si>
    <t>040045</t>
  </si>
  <si>
    <t>040044</t>
  </si>
  <si>
    <t>040042</t>
  </si>
  <si>
    <t>040039</t>
  </si>
  <si>
    <t>040038</t>
  </si>
  <si>
    <t>040036</t>
  </si>
  <si>
    <t>040035</t>
  </si>
  <si>
    <t>040032</t>
  </si>
  <si>
    <t>040031</t>
  </si>
  <si>
    <t>040030</t>
  </si>
  <si>
    <t>040028</t>
  </si>
  <si>
    <t>040026</t>
  </si>
  <si>
    <t>040024</t>
  </si>
  <si>
    <t>040023</t>
  </si>
  <si>
    <t>040022</t>
  </si>
  <si>
    <t>040021</t>
  </si>
  <si>
    <t>040018</t>
  </si>
  <si>
    <t>040017</t>
  </si>
  <si>
    <t>040015</t>
  </si>
  <si>
    <t>040013</t>
  </si>
  <si>
    <t>040012</t>
  </si>
  <si>
    <t>040011</t>
  </si>
  <si>
    <t>040009</t>
  </si>
  <si>
    <t>040007</t>
  </si>
  <si>
    <t>040006</t>
  </si>
  <si>
    <t>040003</t>
  </si>
  <si>
    <t>040002</t>
  </si>
  <si>
    <t>039947</t>
  </si>
  <si>
    <t>039946</t>
  </si>
  <si>
    <t>039944</t>
  </si>
  <si>
    <t>039943</t>
  </si>
  <si>
    <t>039942</t>
  </si>
  <si>
    <t>039941</t>
  </si>
  <si>
    <t>039940</t>
  </si>
  <si>
    <t>039937</t>
  </si>
  <si>
    <t>039936</t>
  </si>
  <si>
    <t>039935</t>
  </si>
  <si>
    <t>039934</t>
  </si>
  <si>
    <t>039931</t>
  </si>
  <si>
    <t>039930</t>
  </si>
  <si>
    <t>039929</t>
  </si>
  <si>
    <t>039926</t>
  </si>
  <si>
    <t>039925</t>
  </si>
  <si>
    <t>039924</t>
  </si>
  <si>
    <t>039923</t>
  </si>
  <si>
    <t>039921</t>
  </si>
  <si>
    <t>039918</t>
  </si>
  <si>
    <t>039916</t>
  </si>
  <si>
    <t>039915</t>
  </si>
  <si>
    <t>039913</t>
  </si>
  <si>
    <t>039910</t>
  </si>
  <si>
    <t>039909</t>
  </si>
  <si>
    <t>039906</t>
  </si>
  <si>
    <t>039905</t>
  </si>
  <si>
    <t>039902</t>
  </si>
  <si>
    <t>039901</t>
  </si>
  <si>
    <t>039900</t>
  </si>
  <si>
    <t>039898</t>
  </si>
  <si>
    <t>039897</t>
  </si>
  <si>
    <t>039896</t>
  </si>
  <si>
    <t>039894</t>
  </si>
  <si>
    <t>039893</t>
  </si>
  <si>
    <t>039891</t>
  </si>
  <si>
    <t>039890</t>
  </si>
  <si>
    <t>039889</t>
  </si>
  <si>
    <t>039885</t>
  </si>
  <si>
    <t>039884</t>
  </si>
  <si>
    <t>039883</t>
  </si>
  <si>
    <t>039882</t>
  </si>
  <si>
    <t>039880</t>
  </si>
  <si>
    <t>039878</t>
  </si>
  <si>
    <t>039874</t>
  </si>
  <si>
    <t>039873</t>
  </si>
  <si>
    <t>039872</t>
  </si>
  <si>
    <t>039870</t>
  </si>
  <si>
    <t>039869</t>
  </si>
  <si>
    <t>039867</t>
  </si>
  <si>
    <t>039865</t>
  </si>
  <si>
    <t>039864</t>
  </si>
  <si>
    <t>039862</t>
  </si>
  <si>
    <t>039858</t>
  </si>
  <si>
    <t>039856</t>
  </si>
  <si>
    <t>039854</t>
  </si>
  <si>
    <t>039851</t>
  </si>
  <si>
    <t>039850</t>
  </si>
  <si>
    <t>560797</t>
  </si>
  <si>
    <t>คลัง:  5523 สอ.กระบี่</t>
  </si>
  <si>
    <t>วันที่: 01/12/2014        ถึง : 31/12/2014</t>
  </si>
  <si>
    <t>บัญชี รับ-จ่าย น้ำมัน JET A-1  ประจำเดือน.....สิงหาคม...2558…..</t>
  </si>
  <si>
    <t>คลัง: 5523 สอ.กระบี่</t>
  </si>
  <si>
    <t>01/08/15</t>
  </si>
  <si>
    <t>FM870</t>
  </si>
  <si>
    <t>B-1742</t>
  </si>
  <si>
    <t>3U8092</t>
  </si>
  <si>
    <t>B-6899</t>
  </si>
  <si>
    <t>CKG</t>
  </si>
  <si>
    <t>0010020920:Juneyao Airlines Co.,Ltd.</t>
  </si>
  <si>
    <t>HO1330</t>
  </si>
  <si>
    <t>FM814</t>
  </si>
  <si>
    <t>B-5132</t>
  </si>
  <si>
    <t>0010020669:Spring Airlines Co.,Ltd.</t>
  </si>
  <si>
    <t>9C8520</t>
  </si>
  <si>
    <t>E3813</t>
  </si>
  <si>
    <t>KWE</t>
  </si>
  <si>
    <t>E3811</t>
  </si>
  <si>
    <t>CSX</t>
  </si>
  <si>
    <t>CTU</t>
  </si>
  <si>
    <t>B-1740</t>
  </si>
  <si>
    <t>MU732</t>
  </si>
  <si>
    <t>PEK</t>
  </si>
  <si>
    <t>02/08/15</t>
  </si>
  <si>
    <t>3U8080</t>
  </si>
  <si>
    <t>BK2768</t>
  </si>
  <si>
    <t>B-5571</t>
  </si>
  <si>
    <t>TSN</t>
  </si>
  <si>
    <t>MU2606</t>
  </si>
  <si>
    <t>E3837</t>
  </si>
  <si>
    <t>E3817</t>
  </si>
  <si>
    <t>03/08/15</t>
  </si>
  <si>
    <t>B-6396</t>
  </si>
  <si>
    <t>0010013840:Associate Energy Group LLC</t>
  </si>
  <si>
    <t>8L9640</t>
  </si>
  <si>
    <t>KMG</t>
  </si>
  <si>
    <t>B-1741</t>
  </si>
  <si>
    <t>04/08/15</t>
  </si>
  <si>
    <t>BK2976</t>
  </si>
  <si>
    <t>B-6963</t>
  </si>
  <si>
    <t>B-6125</t>
  </si>
  <si>
    <t>05/08/15</t>
  </si>
  <si>
    <t>B-6338</t>
  </si>
  <si>
    <t>B-5841</t>
  </si>
  <si>
    <t>B-1967</t>
  </si>
  <si>
    <t>06/08/15</t>
  </si>
  <si>
    <t>07/08/15</t>
  </si>
  <si>
    <t>B-5367</t>
  </si>
  <si>
    <t>08/08/15</t>
  </si>
  <si>
    <t>B-6017</t>
  </si>
  <si>
    <t>B-1900</t>
  </si>
  <si>
    <t>09/08/15</t>
  </si>
  <si>
    <t>B-1721</t>
  </si>
  <si>
    <t>10/08/15</t>
  </si>
  <si>
    <t>B-6341</t>
  </si>
  <si>
    <t>11/08/15</t>
  </si>
  <si>
    <t>B-6340</t>
  </si>
  <si>
    <t>12/08/15</t>
  </si>
  <si>
    <t>13/08/15</t>
  </si>
  <si>
    <t>14/08/15</t>
  </si>
  <si>
    <t>B-6590</t>
  </si>
  <si>
    <t>B-1968</t>
  </si>
  <si>
    <t>15/08/15</t>
  </si>
  <si>
    <t>B-1840</t>
  </si>
  <si>
    <t>16/08/15</t>
  </si>
  <si>
    <t>17/08/15</t>
  </si>
  <si>
    <t>B-1965</t>
  </si>
  <si>
    <t>B-6962</t>
  </si>
  <si>
    <t>18/08/15</t>
  </si>
  <si>
    <t>19/08/15</t>
  </si>
  <si>
    <t>20/08/15</t>
  </si>
  <si>
    <t>B-9978</t>
  </si>
  <si>
    <t>21/08/15</t>
  </si>
  <si>
    <t>22/08/15</t>
  </si>
  <si>
    <t>23/08/15</t>
  </si>
  <si>
    <t>B-6718</t>
  </si>
  <si>
    <t>24/08/15</t>
  </si>
  <si>
    <t>25/08/15</t>
  </si>
  <si>
    <t>26/08/15</t>
  </si>
  <si>
    <t>B-5779</t>
  </si>
  <si>
    <t>27/08/15</t>
  </si>
  <si>
    <t>28/08/15</t>
  </si>
  <si>
    <t>B-6298</t>
  </si>
  <si>
    <t>29/08/15</t>
  </si>
  <si>
    <t>30/08/15</t>
  </si>
  <si>
    <t>31/08/15</t>
  </si>
  <si>
    <t>HS-BBF</t>
  </si>
  <si>
    <t>HS-BBL</t>
  </si>
  <si>
    <t>TOP 260715</t>
  </si>
  <si>
    <t>TOP 280715</t>
  </si>
  <si>
    <t>TOP 300715</t>
  </si>
  <si>
    <t>TOP 010815</t>
  </si>
  <si>
    <t>GC 030815</t>
  </si>
  <si>
    <t>TOP 050815</t>
  </si>
  <si>
    <t>TOP 070815</t>
  </si>
  <si>
    <t>GC 100815</t>
  </si>
  <si>
    <t>GC 120815</t>
  </si>
  <si>
    <t>TOP 130815</t>
  </si>
  <si>
    <t>TOP 140815</t>
  </si>
  <si>
    <t>TOP 160815</t>
  </si>
  <si>
    <t>TOP 170815</t>
  </si>
  <si>
    <t>GC 190815</t>
  </si>
  <si>
    <t>TOP 210815</t>
  </si>
  <si>
    <t>GC 220815</t>
  </si>
  <si>
    <t>TOP 250815</t>
  </si>
  <si>
    <t>GC 260815</t>
  </si>
  <si>
    <t>ใบเสร็จรับเงินเลขที่ N00030058/0008468</t>
  </si>
  <si>
    <t>ใบเสร็จรับเงินเลขที่ N00030058/0008671</t>
  </si>
  <si>
    <t>ใบเสร็จรับเงินเลขที่ N00030058/0008808</t>
  </si>
  <si>
    <t>ใบเสร็จรับเงินเลขที่ C02100058/0004057</t>
  </si>
  <si>
    <t>ใบเสร็จรับเงินเลขที่ C02100058/0004065</t>
  </si>
  <si>
    <t>ใบเสร็จรับเงินเลขที่ C02100058/0004066</t>
  </si>
  <si>
    <t>ใบเสร็จรับเงินเลขที่ C02100058/0004069</t>
  </si>
  <si>
    <t>ใบเสร็จรับเงินเลขที่ C02100058/0004091</t>
  </si>
  <si>
    <t>ใบเสร็จรับเงินเลขที่ C02100058/0004141</t>
  </si>
  <si>
    <t>ใบเสร็จรับเงินเลขที่ C02100058/0004160</t>
  </si>
  <si>
    <t>ใบเสร็จรับเงินเลขที่ C02100058/0004184</t>
  </si>
  <si>
    <t>ใบเสร็จรับเงินเลขที่ C02100058/0004277</t>
  </si>
  <si>
    <t>ใบเสร็จรับเงินเลขที่ C02100058/0004279</t>
  </si>
  <si>
    <t>ใบเสร็จรับเงินเลขที่ C02100058/0004379</t>
  </si>
  <si>
    <t>ใบเสร็จรับเงินเลขที่ C02100058/0004374</t>
  </si>
  <si>
    <t>ใบเสร็จรับเงินเลขที่ C02100058/0004404</t>
  </si>
  <si>
    <t>ใบเสร็จรับเงินเลขที่ C02100058/0004417</t>
  </si>
  <si>
    <t>บัญชี รับ-จ่าย น้ำมัน JET A-1  ประจำเดือน.....กันยายน...2558…..</t>
  </si>
  <si>
    <t>01/09/15</t>
  </si>
  <si>
    <t>02/09/15</t>
  </si>
  <si>
    <t>03/09/15</t>
  </si>
  <si>
    <t>04/09/15</t>
  </si>
  <si>
    <t>05/09/15</t>
  </si>
  <si>
    <t>06/09/15</t>
  </si>
  <si>
    <t>07/09/15</t>
  </si>
  <si>
    <t>08/09/15</t>
  </si>
  <si>
    <t>09/09/15</t>
  </si>
  <si>
    <t>10/09/15</t>
  </si>
  <si>
    <t>B-5689</t>
  </si>
  <si>
    <t>11/09/15</t>
  </si>
  <si>
    <t>12/09/15</t>
  </si>
  <si>
    <t>13/09/15</t>
  </si>
  <si>
    <t>14/09/15</t>
  </si>
  <si>
    <t>15/09/15</t>
  </si>
  <si>
    <t>16/09/15</t>
  </si>
  <si>
    <t>17/09/15</t>
  </si>
  <si>
    <t>18/09/15</t>
  </si>
  <si>
    <t>B-1512</t>
  </si>
  <si>
    <t>19/09/15</t>
  </si>
  <si>
    <t>20/09/15</t>
  </si>
  <si>
    <t>B-6107</t>
  </si>
  <si>
    <t>21/09/15</t>
  </si>
  <si>
    <t>22/09/15</t>
  </si>
  <si>
    <t>23/09/15</t>
  </si>
  <si>
    <t>24/09/15</t>
  </si>
  <si>
    <t>25/09/15</t>
  </si>
  <si>
    <t>26/09/15</t>
  </si>
  <si>
    <t>27/09/15</t>
  </si>
  <si>
    <t>28/09/15</t>
  </si>
  <si>
    <t>29/09/15</t>
  </si>
  <si>
    <t>30/09/15</t>
  </si>
  <si>
    <t>TG252</t>
  </si>
  <si>
    <t>TOP 280815</t>
  </si>
  <si>
    <t>TOP 290815</t>
  </si>
  <si>
    <t>TOP 310815</t>
  </si>
  <si>
    <t>TOP 010915</t>
  </si>
  <si>
    <t>TOP 050915</t>
  </si>
  <si>
    <t>TOP 070915</t>
  </si>
  <si>
    <t>TOP 080915</t>
  </si>
  <si>
    <t>GC 100915</t>
  </si>
  <si>
    <t>GC 120915</t>
  </si>
  <si>
    <t>TOP 130915</t>
  </si>
  <si>
    <t>GC 150915</t>
  </si>
  <si>
    <t>GC 170915</t>
  </si>
  <si>
    <t>GC 180915</t>
  </si>
  <si>
    <t>GC 230915</t>
  </si>
  <si>
    <t>ใบเสร็จรับเงินเลขที่ N00030058/0009023</t>
  </si>
  <si>
    <t>ใบเสร็จรับเงินเลขที่ N00030058/0009213</t>
  </si>
  <si>
    <t>ใบเสร็จรับเงินเลขที่ N00030058/0009581</t>
  </si>
  <si>
    <t>ใบเสร็จรับเงินเลขที่ C02100058/0004474</t>
  </si>
  <si>
    <t>ใบเสร็จรับเงินเลขที่ C02100058/0004533</t>
  </si>
  <si>
    <t>ใบเสร็จรับเงินเลขที่ C02100058/0004556</t>
  </si>
  <si>
    <t>ใบเสร็จรับเงินเลขที่ C02100058/0004576</t>
  </si>
  <si>
    <t>ใบเสร็จรับเงินเลขที่ C02100058/0004611</t>
  </si>
  <si>
    <t>ใบเสร็จรับเงินเลขที่ C02100058/0004618</t>
  </si>
  <si>
    <t>ใบเสร็จรับเงินเลขที่ C02100058/0004678</t>
  </si>
  <si>
    <t>ใบเสร็จรับเงินเลขที่ C02100058/0004724</t>
  </si>
  <si>
    <t>ใบเสร็จรับเงินเลขที่ C02100058/0004734</t>
  </si>
  <si>
    <t>ใบเสร็จรับเงินเลขที่ N00030058/0008985</t>
  </si>
  <si>
    <t>บัญชี รับ-จ่าย น้ำมัน JET A-1  ประจำเดือน.....ตุลาคม...2558…..</t>
  </si>
  <si>
    <t>01/10/15</t>
  </si>
  <si>
    <t>B-9940</t>
  </si>
  <si>
    <t>02/10/15</t>
  </si>
  <si>
    <t>E3861</t>
  </si>
  <si>
    <t>JJN</t>
  </si>
  <si>
    <t>9V-TAS</t>
  </si>
  <si>
    <t>03/10/15</t>
  </si>
  <si>
    <t>B-1628</t>
  </si>
  <si>
    <t>04/10/15</t>
  </si>
  <si>
    <t>05/10/15</t>
  </si>
  <si>
    <t>B-5732</t>
  </si>
  <si>
    <t>06/10/15</t>
  </si>
  <si>
    <t>B-1896</t>
  </si>
  <si>
    <t>07/10/15</t>
  </si>
  <si>
    <t>08/10/15</t>
  </si>
  <si>
    <t>09/10/15</t>
  </si>
  <si>
    <t>B-6311</t>
  </si>
  <si>
    <t>10/10/15</t>
  </si>
  <si>
    <t>11/10/15</t>
  </si>
  <si>
    <t>B-6381</t>
  </si>
  <si>
    <t>12/10/15</t>
  </si>
  <si>
    <t>B-1513</t>
  </si>
  <si>
    <t>13/10/15</t>
  </si>
  <si>
    <t>14/10/15</t>
  </si>
  <si>
    <t>B-5449</t>
  </si>
  <si>
    <t>15/10/15</t>
  </si>
  <si>
    <t>B-8012</t>
  </si>
  <si>
    <t>16/10/15</t>
  </si>
  <si>
    <t>17/10/15</t>
  </si>
  <si>
    <t>18/10/15</t>
  </si>
  <si>
    <t>19/10/15</t>
  </si>
  <si>
    <t>20/10/15</t>
  </si>
  <si>
    <t>21/10/15</t>
  </si>
  <si>
    <t>HS-NGD</t>
  </si>
  <si>
    <t>22/10/15</t>
  </si>
  <si>
    <t>23/10/15</t>
  </si>
  <si>
    <t>B-5953</t>
  </si>
  <si>
    <t>HS-ABJ</t>
  </si>
  <si>
    <t>24/10/15</t>
  </si>
  <si>
    <t>25/10/15</t>
  </si>
  <si>
    <t>26/10/15</t>
  </si>
  <si>
    <t>B-1739</t>
  </si>
  <si>
    <t>27/10/15</t>
  </si>
  <si>
    <t>28/10/15</t>
  </si>
  <si>
    <t>B-6119</t>
  </si>
  <si>
    <t>570411</t>
  </si>
  <si>
    <t>HS-ABL</t>
  </si>
  <si>
    <t>29/10/15</t>
  </si>
  <si>
    <t>BLX878F</t>
  </si>
  <si>
    <t>G-OBYF</t>
  </si>
  <si>
    <t>30/10/15</t>
  </si>
  <si>
    <t>31/10/15</t>
  </si>
  <si>
    <t>B-6949</t>
  </si>
  <si>
    <t>B-1893</t>
  </si>
  <si>
    <t>RX013301:ขาจรการค้าสอ.กบ.</t>
  </si>
  <si>
    <t>MGZ</t>
  </si>
  <si>
    <t>0010004688:กรมฝนหลวงและการบินเกษตร</t>
  </si>
  <si>
    <t>KASET</t>
  </si>
  <si>
    <t>HS-BBM</t>
  </si>
  <si>
    <t>HS-PGW</t>
  </si>
  <si>
    <t>E38011</t>
  </si>
  <si>
    <t>K1921</t>
  </si>
  <si>
    <t>TOP 250915</t>
  </si>
  <si>
    <t>TOP 260915</t>
  </si>
  <si>
    <t>TOP 011015</t>
  </si>
  <si>
    <t>TOP 041015</t>
  </si>
  <si>
    <t>GC 071015</t>
  </si>
  <si>
    <t>GC 101015</t>
  </si>
  <si>
    <t>TOP 111015</t>
  </si>
  <si>
    <t>TOP 131015</t>
  </si>
  <si>
    <t>GC 151015</t>
  </si>
  <si>
    <t>TOP 191015</t>
  </si>
  <si>
    <t>TOP 201015</t>
  </si>
  <si>
    <t>TOP 241015</t>
  </si>
  <si>
    <t>ใบเสร็จรับเงินเลขที่ N00030058/0009743</t>
  </si>
  <si>
    <t>ใบเสร็จรับเงินเลขที่ N00030058/0009811</t>
  </si>
  <si>
    <t>ใบเสร็จรับเงินเลขที่ N00030058/0009812</t>
  </si>
  <si>
    <t>ใบเสร็จรับเงินเลขที่ N00030059/0000129</t>
  </si>
  <si>
    <t>ใบเสร็จรับเงินเลขที่ N00030059/0000520</t>
  </si>
  <si>
    <t>ใบเสร็จรับเงินเลขที่ N00030059/0000561</t>
  </si>
  <si>
    <t>ใบเสร็จรับเงินเลขที่ N00030058/0009651</t>
  </si>
  <si>
    <t>ใบเสร็จรับเงินเลขที่ C02100058/0004798</t>
  </si>
  <si>
    <t>ใบเสร็จรับเงินเลขที่ C02100059/0000036</t>
  </si>
  <si>
    <t>ใบเสร็จรับเงินเลขที่ C02100059/0000058</t>
  </si>
  <si>
    <t>ใบเสร็จรับเงินเลขที่ N02100059/0000008</t>
  </si>
  <si>
    <t>ใบเสร็จรับเงินเลขที่ N02100059/0000028</t>
  </si>
  <si>
    <t>บัญชี รับ-จ่าย น้ำมัน JET A-1  ประจำเดือน.....พฤศจิกายน...2558…..</t>
  </si>
  <si>
    <t>วันที่: 01/11/2015        ถึง : 30/11/2015</t>
  </si>
  <si>
    <t>01/11/15</t>
  </si>
  <si>
    <t>020536</t>
  </si>
  <si>
    <t>020537</t>
  </si>
  <si>
    <t>020538</t>
  </si>
  <si>
    <t>020539</t>
  </si>
  <si>
    <t>020540</t>
  </si>
  <si>
    <t>020543</t>
  </si>
  <si>
    <t>BLX824F</t>
  </si>
  <si>
    <t>AYT</t>
  </si>
  <si>
    <t>020544</t>
  </si>
  <si>
    <t>PP-MKE</t>
  </si>
  <si>
    <t>020546</t>
  </si>
  <si>
    <t>020548</t>
  </si>
  <si>
    <t>020549</t>
  </si>
  <si>
    <t>02/11/15</t>
  </si>
  <si>
    <t>020550</t>
  </si>
  <si>
    <t>570421</t>
  </si>
  <si>
    <t>021001</t>
  </si>
  <si>
    <t>021002</t>
  </si>
  <si>
    <t>021004</t>
  </si>
  <si>
    <t>021011</t>
  </si>
  <si>
    <t>03/11/15</t>
  </si>
  <si>
    <t>021012</t>
  </si>
  <si>
    <t>021013</t>
  </si>
  <si>
    <t>B-1627</t>
  </si>
  <si>
    <t>021014</t>
  </si>
  <si>
    <t>021015</t>
  </si>
  <si>
    <t>021016</t>
  </si>
  <si>
    <t>B-5368</t>
  </si>
  <si>
    <t>021018</t>
  </si>
  <si>
    <t>021020</t>
  </si>
  <si>
    <t>021022</t>
  </si>
  <si>
    <t>021023</t>
  </si>
  <si>
    <t>04/11/15</t>
  </si>
  <si>
    <t>021024</t>
  </si>
  <si>
    <t>021025</t>
  </si>
  <si>
    <t>021026</t>
  </si>
  <si>
    <t>021027</t>
  </si>
  <si>
    <t>B-1515</t>
  </si>
  <si>
    <t>021028</t>
  </si>
  <si>
    <t>021030</t>
  </si>
  <si>
    <t>021033</t>
  </si>
  <si>
    <t>021035</t>
  </si>
  <si>
    <t>021036</t>
  </si>
  <si>
    <t>05/11/15</t>
  </si>
  <si>
    <t>021037</t>
  </si>
  <si>
    <t>021038</t>
  </si>
  <si>
    <t>021039</t>
  </si>
  <si>
    <t>021042</t>
  </si>
  <si>
    <t>021044</t>
  </si>
  <si>
    <t>021046</t>
  </si>
  <si>
    <t>021047</t>
  </si>
  <si>
    <t>06/11/15</t>
  </si>
  <si>
    <t>021048</t>
  </si>
  <si>
    <t>021049</t>
  </si>
  <si>
    <t>021050</t>
  </si>
  <si>
    <t>B-5517</t>
  </si>
  <si>
    <t>570422</t>
  </si>
  <si>
    <t>021051</t>
  </si>
  <si>
    <t>021052</t>
  </si>
  <si>
    <t>021058</t>
  </si>
  <si>
    <t>021059</t>
  </si>
  <si>
    <t>021061</t>
  </si>
  <si>
    <t>021062</t>
  </si>
  <si>
    <t>07/11/15</t>
  </si>
  <si>
    <t>021063</t>
  </si>
  <si>
    <t>021064</t>
  </si>
  <si>
    <t>021066</t>
  </si>
  <si>
    <t>021070</t>
  </si>
  <si>
    <t>021074</t>
  </si>
  <si>
    <t>021075</t>
  </si>
  <si>
    <t>08/11/15</t>
  </si>
  <si>
    <t>021076</t>
  </si>
  <si>
    <t>B-6810</t>
  </si>
  <si>
    <t>021077</t>
  </si>
  <si>
    <t>B-9936</t>
  </si>
  <si>
    <t>021078</t>
  </si>
  <si>
    <t>021079</t>
  </si>
  <si>
    <t>021080</t>
  </si>
  <si>
    <t>021086</t>
  </si>
  <si>
    <t>021087</t>
  </si>
  <si>
    <t>ZF9448</t>
  </si>
  <si>
    <t>021089</t>
  </si>
  <si>
    <t>021091</t>
  </si>
  <si>
    <t>021092</t>
  </si>
  <si>
    <t>09/11/15</t>
  </si>
  <si>
    <t>021093</t>
  </si>
  <si>
    <t>B-6948</t>
  </si>
  <si>
    <t>021094</t>
  </si>
  <si>
    <t>B-8000</t>
  </si>
  <si>
    <t>021095</t>
  </si>
  <si>
    <t>021096</t>
  </si>
  <si>
    <t>021098</t>
  </si>
  <si>
    <t>570423</t>
  </si>
  <si>
    <t>021101</t>
  </si>
  <si>
    <t>10/11/15</t>
  </si>
  <si>
    <t>021102</t>
  </si>
  <si>
    <t>B-6262</t>
  </si>
  <si>
    <t>021103</t>
  </si>
  <si>
    <t>021104</t>
  </si>
  <si>
    <t>021105</t>
  </si>
  <si>
    <t>021107</t>
  </si>
  <si>
    <t>021111</t>
  </si>
  <si>
    <t>021112</t>
  </si>
  <si>
    <t>021113</t>
  </si>
  <si>
    <t>B-6126</t>
  </si>
  <si>
    <t>11/11/15</t>
  </si>
  <si>
    <t>021114</t>
  </si>
  <si>
    <t>021115</t>
  </si>
  <si>
    <t>021116</t>
  </si>
  <si>
    <t>021117</t>
  </si>
  <si>
    <t>021118</t>
  </si>
  <si>
    <t>021120</t>
  </si>
  <si>
    <t>021122</t>
  </si>
  <si>
    <t>021123</t>
  </si>
  <si>
    <t>021126</t>
  </si>
  <si>
    <t>021127</t>
  </si>
  <si>
    <t>12/11/15</t>
  </si>
  <si>
    <t>021128</t>
  </si>
  <si>
    <t>021129</t>
  </si>
  <si>
    <t>B-1672</t>
  </si>
  <si>
    <t>021130</t>
  </si>
  <si>
    <t>021132</t>
  </si>
  <si>
    <t>021134</t>
  </si>
  <si>
    <t>021135</t>
  </si>
  <si>
    <t>021137</t>
  </si>
  <si>
    <t>0010013543:UVair</t>
  </si>
  <si>
    <t>D-CONE</t>
  </si>
  <si>
    <t>DEL</t>
  </si>
  <si>
    <t>JHB</t>
  </si>
  <si>
    <t>021139</t>
  </si>
  <si>
    <t>021140</t>
  </si>
  <si>
    <t>021141</t>
  </si>
  <si>
    <t>13/11/15</t>
  </si>
  <si>
    <t>021142</t>
  </si>
  <si>
    <t>021143</t>
  </si>
  <si>
    <t>021144</t>
  </si>
  <si>
    <t>021145</t>
  </si>
  <si>
    <t>021146</t>
  </si>
  <si>
    <t>021147</t>
  </si>
  <si>
    <t>HX756</t>
  </si>
  <si>
    <t>B-LPD</t>
  </si>
  <si>
    <t>021148</t>
  </si>
  <si>
    <t>021149</t>
  </si>
  <si>
    <t>570424</t>
  </si>
  <si>
    <t>021155</t>
  </si>
  <si>
    <t>021158</t>
  </si>
  <si>
    <t>021159</t>
  </si>
  <si>
    <t>14/11/15</t>
  </si>
  <si>
    <t>021160</t>
  </si>
  <si>
    <t>021161</t>
  </si>
  <si>
    <t>021162</t>
  </si>
  <si>
    <t>021163</t>
  </si>
  <si>
    <t>021165</t>
  </si>
  <si>
    <t>021170</t>
  </si>
  <si>
    <t>021171</t>
  </si>
  <si>
    <t>021172</t>
  </si>
  <si>
    <t>B-6162</t>
  </si>
  <si>
    <t>15/11/15</t>
  </si>
  <si>
    <t>021173</t>
  </si>
  <si>
    <t>021174</t>
  </si>
  <si>
    <t>021175</t>
  </si>
  <si>
    <t>021176</t>
  </si>
  <si>
    <t>021177</t>
  </si>
  <si>
    <t>021180</t>
  </si>
  <si>
    <t>021183</t>
  </si>
  <si>
    <t>021185</t>
  </si>
  <si>
    <t>021186</t>
  </si>
  <si>
    <t>16/11/15</t>
  </si>
  <si>
    <t>021187</t>
  </si>
  <si>
    <t>021188</t>
  </si>
  <si>
    <t>021189</t>
  </si>
  <si>
    <t>021190</t>
  </si>
  <si>
    <t>021191</t>
  </si>
  <si>
    <t>021193</t>
  </si>
  <si>
    <t>021196</t>
  </si>
  <si>
    <t>021197</t>
  </si>
  <si>
    <t>B-5799</t>
  </si>
  <si>
    <t>17/11/15</t>
  </si>
  <si>
    <t>021198</t>
  </si>
  <si>
    <t>021199</t>
  </si>
  <si>
    <t>MU2054</t>
  </si>
  <si>
    <t>B-6005</t>
  </si>
  <si>
    <t>021200</t>
  </si>
  <si>
    <t>570425</t>
  </si>
  <si>
    <t>021201</t>
  </si>
  <si>
    <t>021202</t>
  </si>
  <si>
    <t>021203</t>
  </si>
  <si>
    <t>021205</t>
  </si>
  <si>
    <t>021207</t>
  </si>
  <si>
    <t>021209</t>
  </si>
  <si>
    <t>E38651</t>
  </si>
  <si>
    <t>HS-NGG</t>
  </si>
  <si>
    <t>NKG</t>
  </si>
  <si>
    <t>021211</t>
  </si>
  <si>
    <t>021212</t>
  </si>
  <si>
    <t>021213</t>
  </si>
  <si>
    <t>B-6083</t>
  </si>
  <si>
    <t>18/11/15</t>
  </si>
  <si>
    <t>021214</t>
  </si>
  <si>
    <t>021215</t>
  </si>
  <si>
    <t>B-6387</t>
  </si>
  <si>
    <t>021216</t>
  </si>
  <si>
    <t>021217</t>
  </si>
  <si>
    <t>021218</t>
  </si>
  <si>
    <t>021219</t>
  </si>
  <si>
    <t>B-LPJ</t>
  </si>
  <si>
    <t>021220</t>
  </si>
  <si>
    <t>021222</t>
  </si>
  <si>
    <t>021224</t>
  </si>
  <si>
    <t>BLX802</t>
  </si>
  <si>
    <t>021225</t>
  </si>
  <si>
    <t>E3819</t>
  </si>
  <si>
    <t>WUX</t>
  </si>
  <si>
    <t>021226</t>
  </si>
  <si>
    <t>021228</t>
  </si>
  <si>
    <t>021230</t>
  </si>
  <si>
    <t>021231</t>
  </si>
  <si>
    <t>19/11/15</t>
  </si>
  <si>
    <t>570412</t>
  </si>
  <si>
    <t>020551</t>
  </si>
  <si>
    <t>020552</t>
  </si>
  <si>
    <t>020553</t>
  </si>
  <si>
    <t>021233</t>
  </si>
  <si>
    <t>021234</t>
  </si>
  <si>
    <t>021235</t>
  </si>
  <si>
    <t>021236</t>
  </si>
  <si>
    <t>B-1522</t>
  </si>
  <si>
    <t>021237</t>
  </si>
  <si>
    <t>B-LPC</t>
  </si>
  <si>
    <t>021238</t>
  </si>
  <si>
    <t>021239</t>
  </si>
  <si>
    <t>021242</t>
  </si>
  <si>
    <t>021245</t>
  </si>
  <si>
    <t>AY8904</t>
  </si>
  <si>
    <t>021246</t>
  </si>
  <si>
    <t>021248</t>
  </si>
  <si>
    <t>20/11/15</t>
  </si>
  <si>
    <t>020554</t>
  </si>
  <si>
    <t>B-6940</t>
  </si>
  <si>
    <t>020555</t>
  </si>
  <si>
    <t>020556</t>
  </si>
  <si>
    <t>B-LPM</t>
  </si>
  <si>
    <t>020557</t>
  </si>
  <si>
    <t>020558</t>
  </si>
  <si>
    <t>020560</t>
  </si>
  <si>
    <t>E3867</t>
  </si>
  <si>
    <t>020562</t>
  </si>
  <si>
    <t>020565</t>
  </si>
  <si>
    <t>020567</t>
  </si>
  <si>
    <t>020568</t>
  </si>
  <si>
    <t>21/11/15</t>
  </si>
  <si>
    <t>020569</t>
  </si>
  <si>
    <t>020570</t>
  </si>
  <si>
    <t>B-1892</t>
  </si>
  <si>
    <t>020571</t>
  </si>
  <si>
    <t>020572</t>
  </si>
  <si>
    <t>B-LPK</t>
  </si>
  <si>
    <t>020573</t>
  </si>
  <si>
    <t>020575</t>
  </si>
  <si>
    <t>020577</t>
  </si>
  <si>
    <t>020578</t>
  </si>
  <si>
    <t>9V-TAR</t>
  </si>
  <si>
    <t>020579</t>
  </si>
  <si>
    <t>020581</t>
  </si>
  <si>
    <t>020583</t>
  </si>
  <si>
    <t>22/11/15</t>
  </si>
  <si>
    <t>020584</t>
  </si>
  <si>
    <t>B-6155</t>
  </si>
  <si>
    <t>020585</t>
  </si>
  <si>
    <t>020586</t>
  </si>
  <si>
    <t>020587</t>
  </si>
  <si>
    <t>020588</t>
  </si>
  <si>
    <t>020589</t>
  </si>
  <si>
    <t>020592</t>
  </si>
  <si>
    <t>020594</t>
  </si>
  <si>
    <t>020596</t>
  </si>
  <si>
    <t>020598</t>
  </si>
  <si>
    <t>020599</t>
  </si>
  <si>
    <t>570413</t>
  </si>
  <si>
    <t>020601</t>
  </si>
  <si>
    <t>020602</t>
  </si>
  <si>
    <t>23/11/15</t>
  </si>
  <si>
    <t>020603</t>
  </si>
  <si>
    <t>020604</t>
  </si>
  <si>
    <t>B-1656</t>
  </si>
  <si>
    <t>020605</t>
  </si>
  <si>
    <t>020606</t>
  </si>
  <si>
    <t>020607</t>
  </si>
  <si>
    <t>B-LPI</t>
  </si>
  <si>
    <t>020608</t>
  </si>
  <si>
    <t>020609</t>
  </si>
  <si>
    <t>E3816</t>
  </si>
  <si>
    <t>020613</t>
  </si>
  <si>
    <t>020616</t>
  </si>
  <si>
    <t>24/11/15</t>
  </si>
  <si>
    <t>020617</t>
  </si>
  <si>
    <t>020618</t>
  </si>
  <si>
    <t>020619</t>
  </si>
  <si>
    <t>B-1895</t>
  </si>
  <si>
    <t>020620</t>
  </si>
  <si>
    <t>020621</t>
  </si>
  <si>
    <t>020622</t>
  </si>
  <si>
    <t>020624</t>
  </si>
  <si>
    <t>020626</t>
  </si>
  <si>
    <t>020627</t>
  </si>
  <si>
    <t>020628</t>
  </si>
  <si>
    <t>020629</t>
  </si>
  <si>
    <t>020630</t>
  </si>
  <si>
    <t>B-5976</t>
  </si>
  <si>
    <t>25/11/15</t>
  </si>
  <si>
    <t>020631</t>
  </si>
  <si>
    <t>020632</t>
  </si>
  <si>
    <t>020633</t>
  </si>
  <si>
    <t>mu2606</t>
  </si>
  <si>
    <t>B-5199</t>
  </si>
  <si>
    <t>020634</t>
  </si>
  <si>
    <t>020635</t>
  </si>
  <si>
    <t>020636</t>
  </si>
  <si>
    <t>OH-LQC</t>
  </si>
  <si>
    <t>020638</t>
  </si>
  <si>
    <t>020639</t>
  </si>
  <si>
    <t>020641</t>
  </si>
  <si>
    <t>020642</t>
  </si>
  <si>
    <t>UT9448</t>
  </si>
  <si>
    <t>020643</t>
  </si>
  <si>
    <t>HS-ABN</t>
  </si>
  <si>
    <t>020644</t>
  </si>
  <si>
    <t>26/11/15</t>
  </si>
  <si>
    <t>020645</t>
  </si>
  <si>
    <t>020646</t>
  </si>
  <si>
    <t>020647</t>
  </si>
  <si>
    <t>020648</t>
  </si>
  <si>
    <t>B-LPL</t>
  </si>
  <si>
    <t>020649</t>
  </si>
  <si>
    <t>B-2686</t>
  </si>
  <si>
    <t>570414</t>
  </si>
  <si>
    <t>020652</t>
  </si>
  <si>
    <t>020654</t>
  </si>
  <si>
    <t>020656</t>
  </si>
  <si>
    <t>020658</t>
  </si>
  <si>
    <t>020659</t>
  </si>
  <si>
    <t>PG953</t>
  </si>
  <si>
    <t>HS-PPA</t>
  </si>
  <si>
    <t>020660</t>
  </si>
  <si>
    <t>020661</t>
  </si>
  <si>
    <t>27/11/15</t>
  </si>
  <si>
    <t>020662</t>
  </si>
  <si>
    <t>020663</t>
  </si>
  <si>
    <t>020664</t>
  </si>
  <si>
    <t>020665</t>
  </si>
  <si>
    <t>B-LPN</t>
  </si>
  <si>
    <t>020666</t>
  </si>
  <si>
    <t>020668</t>
  </si>
  <si>
    <t>020672</t>
  </si>
  <si>
    <t>NUX</t>
  </si>
  <si>
    <t>020674</t>
  </si>
  <si>
    <t>020675</t>
  </si>
  <si>
    <t>28/11/15</t>
  </si>
  <si>
    <t>020676</t>
  </si>
  <si>
    <t>B-8035</t>
  </si>
  <si>
    <t>020677</t>
  </si>
  <si>
    <t>020678</t>
  </si>
  <si>
    <t>MU2504</t>
  </si>
  <si>
    <t>020679</t>
  </si>
  <si>
    <t>020680</t>
  </si>
  <si>
    <t>020681</t>
  </si>
  <si>
    <t>020682</t>
  </si>
  <si>
    <t>020684</t>
  </si>
  <si>
    <t>VHPFK</t>
  </si>
  <si>
    <t>020686</t>
  </si>
  <si>
    <t>020687</t>
  </si>
  <si>
    <t>020689</t>
  </si>
  <si>
    <t>020690</t>
  </si>
  <si>
    <t>29/11/15</t>
  </si>
  <si>
    <t>020691</t>
  </si>
  <si>
    <t>020692</t>
  </si>
  <si>
    <t>B-6598</t>
  </si>
  <si>
    <t>020693</t>
  </si>
  <si>
    <t>020694</t>
  </si>
  <si>
    <t>020695</t>
  </si>
  <si>
    <t>020697</t>
  </si>
  <si>
    <t>B-5407</t>
  </si>
  <si>
    <t>020698</t>
  </si>
  <si>
    <t>020700</t>
  </si>
  <si>
    <t>570415</t>
  </si>
  <si>
    <t>020702</t>
  </si>
  <si>
    <t>30/11/15</t>
  </si>
  <si>
    <t>020703</t>
  </si>
  <si>
    <t>020704</t>
  </si>
  <si>
    <t>B-9928</t>
  </si>
  <si>
    <t>020705</t>
  </si>
  <si>
    <t>020706</t>
  </si>
  <si>
    <t>020707</t>
  </si>
  <si>
    <t>020712</t>
  </si>
  <si>
    <t>HS-ABK</t>
  </si>
  <si>
    <t>020713</t>
  </si>
  <si>
    <t>020541</t>
  </si>
  <si>
    <t>020542</t>
  </si>
  <si>
    <t>020545</t>
  </si>
  <si>
    <t>020547</t>
  </si>
  <si>
    <t>021003</t>
  </si>
  <si>
    <t>021005</t>
  </si>
  <si>
    <t>021006</t>
  </si>
  <si>
    <t>1914,1917,1921</t>
  </si>
  <si>
    <t>021009</t>
  </si>
  <si>
    <t>021010</t>
  </si>
  <si>
    <t>021008</t>
  </si>
  <si>
    <t>2216</t>
  </si>
  <si>
    <t>NST</t>
  </si>
  <si>
    <t>021017</t>
  </si>
  <si>
    <t>021019</t>
  </si>
  <si>
    <t>021021</t>
  </si>
  <si>
    <t>021029</t>
  </si>
  <si>
    <t>021031</t>
  </si>
  <si>
    <t>021032</t>
  </si>
  <si>
    <t>021034</t>
  </si>
  <si>
    <t>021040</t>
  </si>
  <si>
    <t>021041</t>
  </si>
  <si>
    <t>PG260</t>
  </si>
  <si>
    <t>021043</t>
  </si>
  <si>
    <t>021045</t>
  </si>
  <si>
    <t>021053</t>
  </si>
  <si>
    <t>021054</t>
  </si>
  <si>
    <t>021056</t>
  </si>
  <si>
    <t>HS-TES</t>
  </si>
  <si>
    <t>021057</t>
  </si>
  <si>
    <t>FD3224</t>
  </si>
  <si>
    <t>HS-ABI</t>
  </si>
  <si>
    <t>021060</t>
  </si>
  <si>
    <t>021055</t>
  </si>
  <si>
    <t>021065</t>
  </si>
  <si>
    <t>021067</t>
  </si>
  <si>
    <t>021068</t>
  </si>
  <si>
    <t>021069</t>
  </si>
  <si>
    <t>HS-TEL</t>
  </si>
  <si>
    <t>021071</t>
  </si>
  <si>
    <t>HS-PPL</t>
  </si>
  <si>
    <t>021072</t>
  </si>
  <si>
    <t>E38011F</t>
  </si>
  <si>
    <t>021073</t>
  </si>
  <si>
    <t>021082</t>
  </si>
  <si>
    <t>021083</t>
  </si>
  <si>
    <t>021084</t>
  </si>
  <si>
    <t>021085</t>
  </si>
  <si>
    <t>021088</t>
  </si>
  <si>
    <t>021090</t>
  </si>
  <si>
    <t>021097</t>
  </si>
  <si>
    <t>021099</t>
  </si>
  <si>
    <t>021100</t>
  </si>
  <si>
    <t>021106</t>
  </si>
  <si>
    <t>021108</t>
  </si>
  <si>
    <t>021109</t>
  </si>
  <si>
    <t>021110</t>
  </si>
  <si>
    <t>HS-BBG</t>
  </si>
  <si>
    <t>021119</t>
  </si>
  <si>
    <t>021121</t>
  </si>
  <si>
    <t>021124</t>
  </si>
  <si>
    <t>021125</t>
  </si>
  <si>
    <t>021131</t>
  </si>
  <si>
    <t>021133</t>
  </si>
  <si>
    <t>021136</t>
  </si>
  <si>
    <t>021138</t>
  </si>
  <si>
    <t>021150</t>
  </si>
  <si>
    <t>021151</t>
  </si>
  <si>
    <t>021152</t>
  </si>
  <si>
    <t>021153</t>
  </si>
  <si>
    <t>021154</t>
  </si>
  <si>
    <t>021156</t>
  </si>
  <si>
    <t>021157</t>
  </si>
  <si>
    <t>021164</t>
  </si>
  <si>
    <t>021166</t>
  </si>
  <si>
    <t>021167</t>
  </si>
  <si>
    <t>021168</t>
  </si>
  <si>
    <t>021169</t>
  </si>
  <si>
    <t>021178</t>
  </si>
  <si>
    <t>021179</t>
  </si>
  <si>
    <t>021181</t>
  </si>
  <si>
    <t>021182</t>
  </si>
  <si>
    <t>021184</t>
  </si>
  <si>
    <t>021192</t>
  </si>
  <si>
    <t>021194</t>
  </si>
  <si>
    <t>021195</t>
  </si>
  <si>
    <t>021204</t>
  </si>
  <si>
    <t>021206</t>
  </si>
  <si>
    <t>021208</t>
  </si>
  <si>
    <t>021210</t>
  </si>
  <si>
    <t>021221</t>
  </si>
  <si>
    <t>021223</t>
  </si>
  <si>
    <t>021227</t>
  </si>
  <si>
    <t>021229</t>
  </si>
  <si>
    <t>021240</t>
  </si>
  <si>
    <t>021241</t>
  </si>
  <si>
    <t>021243</t>
  </si>
  <si>
    <t>021247</t>
  </si>
  <si>
    <t>021249</t>
  </si>
  <si>
    <t>SL8579</t>
  </si>
  <si>
    <t>HS-LTH</t>
  </si>
  <si>
    <t>021250</t>
  </si>
  <si>
    <t>020559</t>
  </si>
  <si>
    <t>020561</t>
  </si>
  <si>
    <t>020563</t>
  </si>
  <si>
    <t>020564</t>
  </si>
  <si>
    <t>E3 8011</t>
  </si>
  <si>
    <t>020566</t>
  </si>
  <si>
    <t>020574</t>
  </si>
  <si>
    <t>020576</t>
  </si>
  <si>
    <t>020580</t>
  </si>
  <si>
    <t>fd3075</t>
  </si>
  <si>
    <t>020582</t>
  </si>
  <si>
    <t>020590</t>
  </si>
  <si>
    <t>020591</t>
  </si>
  <si>
    <t>020593</t>
  </si>
  <si>
    <t>020595</t>
  </si>
  <si>
    <t>HS-PZC</t>
  </si>
  <si>
    <t>020597</t>
  </si>
  <si>
    <t>020600</t>
  </si>
  <si>
    <t>020610</t>
  </si>
  <si>
    <t>020611</t>
  </si>
  <si>
    <t>020614</t>
  </si>
  <si>
    <t>020615</t>
  </si>
  <si>
    <t>020623</t>
  </si>
  <si>
    <t>020625</t>
  </si>
  <si>
    <t>020637</t>
  </si>
  <si>
    <t>020640</t>
  </si>
  <si>
    <t>020650</t>
  </si>
  <si>
    <t>020651</t>
  </si>
  <si>
    <t>020653</t>
  </si>
  <si>
    <t>020655</t>
  </si>
  <si>
    <t>HS-PZA</t>
  </si>
  <si>
    <t>020657</t>
  </si>
  <si>
    <t>TG251</t>
  </si>
  <si>
    <t>020667</t>
  </si>
  <si>
    <t>020669</t>
  </si>
  <si>
    <t>020670</t>
  </si>
  <si>
    <t>VH-PFK</t>
  </si>
  <si>
    <t>020671</t>
  </si>
  <si>
    <t>020673</t>
  </si>
  <si>
    <t>020683</t>
  </si>
  <si>
    <t>020685</t>
  </si>
  <si>
    <t>HS-PZB</t>
  </si>
  <si>
    <t>020688</t>
  </si>
  <si>
    <t>020696</t>
  </si>
  <si>
    <t>020699</t>
  </si>
  <si>
    <t>020701</t>
  </si>
  <si>
    <t>020708</t>
  </si>
  <si>
    <t>020709</t>
  </si>
  <si>
    <t>020710</t>
  </si>
  <si>
    <t>020711</t>
  </si>
  <si>
    <t>GC 291015</t>
  </si>
  <si>
    <t>TOP 281015</t>
  </si>
  <si>
    <t>GC 011115</t>
  </si>
  <si>
    <t>GC 041115</t>
  </si>
  <si>
    <t>TOP 051115</t>
  </si>
  <si>
    <t>TOP 061115</t>
  </si>
  <si>
    <t>TOP 101115</t>
  </si>
  <si>
    <t>GC 101115</t>
  </si>
  <si>
    <t>TOP 121115</t>
  </si>
  <si>
    <t>GC 131115</t>
  </si>
  <si>
    <t>TOP 161115</t>
  </si>
  <si>
    <t>GC 161115</t>
  </si>
  <si>
    <t>TOP 181115</t>
  </si>
  <si>
    <t>GC 201115</t>
  </si>
  <si>
    <t>TOP 211115</t>
  </si>
  <si>
    <t>TOP 231115</t>
  </si>
  <si>
    <t>TOP 251115</t>
  </si>
  <si>
    <t>GC 251115</t>
  </si>
  <si>
    <t>TOP 281115</t>
  </si>
  <si>
    <t>GC 081115</t>
  </si>
  <si>
    <t>ใบเสร็จรับเงินเลขที่ N00030059/0000691</t>
  </si>
  <si>
    <t>ใบเสร็จรับเงินเลขที่ N00030059/0001025</t>
  </si>
  <si>
    <t>ใบเสร็จรับเงินเลขที่ N00030059/0001129</t>
  </si>
  <si>
    <t>ใบเสร็จรับเงินเลขที่ N00030059/0001255</t>
  </si>
  <si>
    <t>ใบเสร็จรับเงินเลขที่ N00030059/0001339</t>
  </si>
  <si>
    <t>ใบเสร็จรับเงินเลขที่ N00030059/0001367</t>
  </si>
  <si>
    <t>ใบเสร็จรับเงินเลขที่ N00030059/0001458</t>
  </si>
  <si>
    <t>ใบเสร็จรับเงินเลขที่ N02100059/0000092</t>
  </si>
  <si>
    <t>ใบเสร็จรับเงินเลขที่ N02100059/0000106</t>
  </si>
  <si>
    <t>ใบเสร็จรับเงินเลขที่ N02100059/0000158</t>
  </si>
  <si>
    <t>ใบเสร็จรับเงินเลขที่ N02100059/0000167</t>
  </si>
  <si>
    <t>ใบเสร็จรับเงินเลขที่ N02100059/0000204</t>
  </si>
  <si>
    <t>ใบเสร็จรับเงินเลขที่ N02100059/0000244</t>
  </si>
  <si>
    <t>ใบเสร็จรับเงินเลขที่ N02100059/0000311</t>
  </si>
  <si>
    <t>ใบเสร็จรับเงินเลขที่ N02100059/0000315</t>
  </si>
  <si>
    <t>ใบเสร็จรับเงินเลขที่ N02100059/0000352</t>
  </si>
  <si>
    <t>ใบเสร็จรับเงินเลขที่ N02100059/0000372</t>
  </si>
  <si>
    <t>ใบเสร็จรับเงินเลขที่ N02100059/0000406</t>
  </si>
  <si>
    <t>บัญชี รับ-จ่าย น้ำมัน JET A-1  ประจำเดือน.....ธันวามคม...2558…..</t>
  </si>
  <si>
    <t>01/12/15</t>
  </si>
  <si>
    <t>02/12/15</t>
  </si>
  <si>
    <t>03/12/15</t>
  </si>
  <si>
    <t>04/12/15</t>
  </si>
  <si>
    <t>05/12/15</t>
  </si>
  <si>
    <t>06/12/15</t>
  </si>
  <si>
    <t>07/12/15</t>
  </si>
  <si>
    <t>08/12/15</t>
  </si>
  <si>
    <t>09/12/15</t>
  </si>
  <si>
    <t>10/12/15</t>
  </si>
  <si>
    <t>11/12/15</t>
  </si>
  <si>
    <t>12/12/15</t>
  </si>
  <si>
    <t>13/12/15</t>
  </si>
  <si>
    <t>14/12/15</t>
  </si>
  <si>
    <t>15/12/15</t>
  </si>
  <si>
    <t>16/12/15</t>
  </si>
  <si>
    <t>17/12/15</t>
  </si>
  <si>
    <t>18/12/15</t>
  </si>
  <si>
    <t>19/12/15</t>
  </si>
  <si>
    <t>20/12/15</t>
  </si>
  <si>
    <t>21/12/15</t>
  </si>
  <si>
    <t>22/12/15</t>
  </si>
  <si>
    <t>23/12/15</t>
  </si>
  <si>
    <t>24/12/15</t>
  </si>
  <si>
    <t>25/12/15</t>
  </si>
  <si>
    <t>26/12/15</t>
  </si>
  <si>
    <t>27/12/15</t>
  </si>
  <si>
    <t>28/12/15</t>
  </si>
  <si>
    <t>29/12/15</t>
  </si>
  <si>
    <t>30/12/15</t>
  </si>
  <si>
    <t>31/12/15</t>
  </si>
  <si>
    <t>SPRC 281115</t>
  </si>
  <si>
    <t>TOP 301115</t>
  </si>
  <si>
    <t>GC011215</t>
  </si>
  <si>
    <t>TOP021215</t>
  </si>
  <si>
    <t>TOP041215</t>
  </si>
  <si>
    <t>GC041215</t>
  </si>
  <si>
    <t>GC081215</t>
  </si>
  <si>
    <t>TOP091215</t>
  </si>
  <si>
    <t>GC101215</t>
  </si>
  <si>
    <t>TOP111215</t>
  </si>
  <si>
    <t>TOP121215</t>
  </si>
  <si>
    <t>GC141215</t>
  </si>
  <si>
    <t>TOP151215</t>
  </si>
  <si>
    <t>TOP171215</t>
  </si>
  <si>
    <t>TOP191215</t>
  </si>
  <si>
    <t>GC191215</t>
  </si>
  <si>
    <t>GC211215</t>
  </si>
  <si>
    <t>TOP231215</t>
  </si>
  <si>
    <t>TOP241215</t>
  </si>
  <si>
    <t>TOP251215</t>
  </si>
  <si>
    <t>GC271215</t>
  </si>
  <si>
    <t>GC281215</t>
  </si>
  <si>
    <t>16/12/16</t>
  </si>
  <si>
    <t>30/12/16</t>
  </si>
  <si>
    <t>01/12/16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</si>
</sst>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-&quot;฿&quot;* #,##0_-;\-&quot;฿&quot;* #,##0_-;_-&quot;฿&quot;* &quot;-&quot;_-;_-@_-"/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[$-1070000]d/m/yy;@"/>
    <numFmt numFmtId="188" formatCode="\ ดดดด\ "/>
    <numFmt numFmtId="189" formatCode="_-* #,##0_-;\-* #,##0_-;_-* &quot;-&quot;??_-;_-@_-"/>
    <numFmt numFmtId="190" formatCode="#,##0_ ;\-#,##0\ "/>
    <numFmt numFmtId="191" formatCode="#,##0;\(#,##0\)"/>
    <numFmt numFmtId="192" formatCode="_ * #,##0.00_)_ฃ_ ;_ * \(#,##0.00\)_ฃ_ ;_ * &quot;-&quot;??_)_ฃ_ ;_ @_ "/>
    <numFmt numFmtId="193" formatCode="#,##0\ &quot;F&quot;;[Red]\-#,##0\ &quot;F&quot;"/>
    <numFmt numFmtId="194" formatCode="0.00_)"/>
    <numFmt numFmtId="195" formatCode="#,##0_);[Red]\(#,##0\)"/>
    <numFmt numFmtId="196" formatCode="[$-107041E]d\ mmm\ yy;@"/>
    <numFmt numFmtId="197" formatCode="#,##0.0000_);[Red]\(#,##0.0000\)"/>
    <numFmt numFmtId="198" formatCode="#,##0.0000;[Red]#,##0.0000"/>
    <numFmt numFmtId="199" formatCode="[$-1010000]d/m/yy;@"/>
  </numFmts>
  <fonts count="102" x14ac:knownFonts="1">
    <font>
      <sz val="14"/>
      <name val="Cordia New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12"/>
      <name val="Cordia New"/>
      <family val="2"/>
      <charset val="222"/>
    </font>
    <font>
      <sz val="12"/>
      <name val="Cordia New"/>
      <family val="2"/>
    </font>
    <font>
      <sz val="12"/>
      <color indexed="12"/>
      <name val="Cordia New"/>
      <family val="2"/>
      <charset val="222"/>
    </font>
    <font>
      <i/>
      <sz val="12"/>
      <name val="Cordia New"/>
      <family val="2"/>
      <charset val="222"/>
    </font>
    <font>
      <sz val="12"/>
      <color indexed="9"/>
      <name val="Cordia New"/>
      <family val="2"/>
      <charset val="222"/>
    </font>
    <font>
      <sz val="12"/>
      <color indexed="18"/>
      <name val="Angsana New"/>
      <family val="1"/>
      <charset val="222"/>
    </font>
    <font>
      <sz val="11"/>
      <name val="CordiaUPC"/>
      <family val="2"/>
      <charset val="222"/>
    </font>
    <font>
      <sz val="11"/>
      <name val="Cordia New"/>
      <family val="2"/>
      <charset val="222"/>
    </font>
    <font>
      <sz val="11"/>
      <color indexed="18"/>
      <name val="CordiaUPC"/>
      <family val="2"/>
      <charset val="222"/>
    </font>
    <font>
      <sz val="11"/>
      <name val="Cordia New"/>
      <family val="2"/>
    </font>
    <font>
      <sz val="12"/>
      <name val="CordiaUPC"/>
      <family val="2"/>
      <charset val="222"/>
    </font>
    <font>
      <sz val="9"/>
      <name val="Cordia New"/>
      <family val="2"/>
      <charset val="222"/>
    </font>
    <font>
      <sz val="11"/>
      <color indexed="8"/>
      <name val="CordiaUPC"/>
      <family val="2"/>
      <charset val="222"/>
    </font>
    <font>
      <sz val="11"/>
      <color indexed="9"/>
      <name val="CordiaUPC"/>
      <family val="2"/>
      <charset val="222"/>
    </font>
    <font>
      <sz val="12"/>
      <name val="Cordia New"/>
      <family val="2"/>
      <charset val="222"/>
    </font>
    <font>
      <sz val="10"/>
      <name val="Cordia New"/>
      <family val="2"/>
    </font>
    <font>
      <sz val="10"/>
      <name val="Cordia New"/>
      <family val="2"/>
      <charset val="222"/>
    </font>
    <font>
      <sz val="11"/>
      <color indexed="9"/>
      <name val="Cordia New"/>
      <family val="2"/>
    </font>
    <font>
      <sz val="12"/>
      <color indexed="12"/>
      <name val="Cordia New"/>
      <family val="2"/>
    </font>
    <font>
      <sz val="12"/>
      <color indexed="12"/>
      <name val="CordiaUPC"/>
      <family val="2"/>
      <charset val="222"/>
    </font>
    <font>
      <sz val="10"/>
      <name val="Times New Roman"/>
      <family val="1"/>
    </font>
    <font>
      <sz val="14"/>
      <name val="AngsanaUPC"/>
      <family val="1"/>
      <charset val="222"/>
    </font>
    <font>
      <b/>
      <i/>
      <sz val="16"/>
      <name val="Helv"/>
    </font>
    <font>
      <b/>
      <sz val="9"/>
      <name val="Tahoma"/>
      <family val="2"/>
      <scheme val="major"/>
    </font>
    <font>
      <sz val="9"/>
      <name val="Tahoma"/>
      <family val="2"/>
      <scheme val="major"/>
    </font>
    <font>
      <sz val="16"/>
      <name val="Angsana New"/>
      <family val="1"/>
    </font>
    <font>
      <i/>
      <sz val="9"/>
      <name val="Tahoma"/>
      <family val="2"/>
      <scheme val="maj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57">
    <xf numFmtId="0" fontId="0" fillId="0" borderId="0"/>
    <xf numFmtId="43" fontId="59" fillId="0" borderId="0" applyFont="0" applyFill="0" applyBorder="0" applyAlignment="0" applyProtection="0"/>
    <xf numFmtId="0" fontId="59" fillId="0" borderId="0"/>
    <xf numFmtId="191" fontId="80" fillId="0" borderId="0"/>
    <xf numFmtId="192" fontId="81" fillId="0" borderId="0"/>
    <xf numFmtId="193" fontId="81" fillId="0" borderId="0"/>
    <xf numFmtId="194" fontId="82" fillId="0" borderId="0"/>
    <xf numFmtId="43" fontId="85" fillId="0" borderId="0" applyFont="0" applyFill="0" applyBorder="0" applyAlignment="0" applyProtection="0"/>
    <xf numFmtId="0" fontId="85" fillId="0" borderId="0"/>
    <xf numFmtId="41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81" fillId="0" borderId="0"/>
    <xf numFmtId="0" fontId="58" fillId="0" borderId="0"/>
    <xf numFmtId="0" fontId="87" fillId="0" borderId="0"/>
    <xf numFmtId="0" fontId="57" fillId="0" borderId="0"/>
    <xf numFmtId="43" fontId="57" fillId="0" borderId="0" applyFont="0" applyFill="0" applyBorder="0" applyAlignment="0" applyProtection="0"/>
    <xf numFmtId="0" fontId="56" fillId="0" borderId="0"/>
    <xf numFmtId="43" fontId="56" fillId="0" borderId="0" applyFont="0" applyFill="0" applyBorder="0" applyAlignment="0" applyProtection="0"/>
    <xf numFmtId="0" fontId="55" fillId="0" borderId="0"/>
    <xf numFmtId="43" fontId="5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2" fillId="0" borderId="0"/>
    <xf numFmtId="43" fontId="52" fillId="0" borderId="0" applyFont="0" applyFill="0" applyBorder="0" applyAlignment="0" applyProtection="0"/>
    <xf numFmtId="41" fontId="59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1" fillId="0" borderId="0"/>
    <xf numFmtId="43" fontId="51" fillId="0" borderId="0" applyFont="0" applyFill="0" applyBorder="0" applyAlignment="0" applyProtection="0"/>
    <xf numFmtId="0" fontId="50" fillId="0" borderId="0"/>
    <xf numFmtId="43" fontId="50" fillId="0" borderId="0" applyFont="0" applyFill="0" applyBorder="0" applyAlignment="0" applyProtection="0"/>
    <xf numFmtId="0" fontId="49" fillId="0" borderId="0"/>
    <xf numFmtId="43" fontId="49" fillId="0" borderId="0" applyFont="0" applyFill="0" applyBorder="0" applyAlignment="0" applyProtection="0"/>
    <xf numFmtId="0" fontId="50" fillId="0" borderId="0"/>
    <xf numFmtId="0" fontId="48" fillId="0" borderId="0"/>
    <xf numFmtId="43" fontId="48" fillId="0" borderId="0" applyFont="0" applyFill="0" applyBorder="0" applyAlignment="0" applyProtection="0"/>
    <xf numFmtId="0" fontId="47" fillId="0" borderId="0"/>
    <xf numFmtId="43" fontId="47" fillId="0" borderId="0" applyFont="0" applyFill="0" applyBorder="0" applyAlignment="0" applyProtection="0"/>
    <xf numFmtId="0" fontId="46" fillId="0" borderId="0"/>
    <xf numFmtId="43" fontId="46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0" fontId="85" fillId="0" borderId="0"/>
    <xf numFmtId="0" fontId="50" fillId="0" borderId="0"/>
    <xf numFmtId="0" fontId="40" fillId="0" borderId="0"/>
    <xf numFmtId="43" fontId="40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7" fillId="0" borderId="0"/>
    <xf numFmtId="43" fontId="37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88" fillId="0" borderId="0">
      <alignment vertical="top"/>
    </xf>
    <xf numFmtId="43" fontId="89" fillId="0" borderId="0" applyFont="0" applyFill="0" applyBorder="0" applyAlignment="0" applyProtection="0">
      <alignment vertical="top"/>
    </xf>
    <xf numFmtId="43" fontId="85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59" fillId="0" borderId="0"/>
    <xf numFmtId="0" fontId="22" fillId="0" borderId="0"/>
    <xf numFmtId="43" fontId="2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90" fillId="0" borderId="0"/>
    <xf numFmtId="43" fontId="15" fillId="0" borderId="0" applyFont="0" applyFill="0" applyBorder="0" applyAlignment="0" applyProtection="0"/>
    <xf numFmtId="0" fontId="91" fillId="0" borderId="0"/>
    <xf numFmtId="43" fontId="14" fillId="0" borderId="0" applyFont="0" applyFill="0" applyBorder="0" applyAlignment="0" applyProtection="0"/>
    <xf numFmtId="0" fontId="92" fillId="0" borderId="0"/>
    <xf numFmtId="43" fontId="13" fillId="0" borderId="0" applyFont="0" applyFill="0" applyBorder="0" applyAlignment="0" applyProtection="0"/>
    <xf numFmtId="0" fontId="85" fillId="0" borderId="0"/>
    <xf numFmtId="0" fontId="93" fillId="0" borderId="0"/>
    <xf numFmtId="43" fontId="12" fillId="0" borderId="0" applyFont="0" applyFill="0" applyBorder="0" applyAlignment="0" applyProtection="0"/>
    <xf numFmtId="0" fontId="94" fillId="0" borderId="0"/>
    <xf numFmtId="43" fontId="11" fillId="0" borderId="0" applyFont="0" applyFill="0" applyBorder="0" applyAlignment="0" applyProtection="0"/>
    <xf numFmtId="0" fontId="95" fillId="0" borderId="0"/>
    <xf numFmtId="43" fontId="10" fillId="0" borderId="0" applyFont="0" applyFill="0" applyBorder="0" applyAlignment="0" applyProtection="0"/>
    <xf numFmtId="0" fontId="96" fillId="0" borderId="0"/>
    <xf numFmtId="43" fontId="9" fillId="0" borderId="0" applyFont="0" applyFill="0" applyBorder="0" applyAlignment="0" applyProtection="0"/>
    <xf numFmtId="0" fontId="97" fillId="0" borderId="0"/>
    <xf numFmtId="43" fontId="8" fillId="0" borderId="0" applyFont="0" applyFill="0" applyBorder="0" applyAlignment="0" applyProtection="0"/>
    <xf numFmtId="0" fontId="99" fillId="0" borderId="0"/>
    <xf numFmtId="43" fontId="7" fillId="0" borderId="0" applyFont="0" applyFill="0" applyBorder="0" applyAlignment="0" applyProtection="0"/>
    <xf numFmtId="0" fontId="100" fillId="0" borderId="0"/>
    <xf numFmtId="43" fontId="6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1" fillId="0" borderId="0"/>
  </cellStyleXfs>
  <cellXfs count="482">
    <xf numFmtId="0" fontId="0" fillId="0" borderId="0" xfId="0"/>
    <xf numFmtId="0" fontId="60" fillId="0" borderId="0" xfId="0" applyFont="1" applyBorder="1"/>
    <xf numFmtId="187" fontId="61" fillId="0" borderId="0" xfId="0" applyNumberFormat="1" applyFont="1" applyBorder="1"/>
    <xf numFmtId="0" fontId="61" fillId="0" borderId="0" xfId="0" applyFont="1" applyBorder="1" applyAlignment="1"/>
    <xf numFmtId="188" fontId="62" fillId="0" borderId="0" xfId="0" applyNumberFormat="1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61" fillId="0" borderId="0" xfId="0" applyFont="1" applyBorder="1"/>
    <xf numFmtId="0" fontId="61" fillId="0" borderId="0" xfId="0" applyFont="1"/>
    <xf numFmtId="187" fontId="61" fillId="0" borderId="0" xfId="0" applyNumberFormat="1" applyFont="1"/>
    <xf numFmtId="0" fontId="61" fillId="0" borderId="0" xfId="0" applyFont="1" applyAlignment="1"/>
    <xf numFmtId="0" fontId="61" fillId="0" borderId="0" xfId="0" applyFont="1" applyAlignment="1">
      <alignment horizont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4" fillId="2" borderId="6" xfId="0" applyFont="1" applyFill="1" applyBorder="1" applyAlignment="1">
      <alignment horizontal="center"/>
    </xf>
    <xf numFmtId="0" fontId="61" fillId="3" borderId="6" xfId="0" applyFont="1" applyFill="1" applyBorder="1" applyAlignment="1">
      <alignment horizontal="center"/>
    </xf>
    <xf numFmtId="187" fontId="61" fillId="3" borderId="6" xfId="0" applyNumberFormat="1" applyFont="1" applyFill="1" applyBorder="1" applyAlignment="1">
      <alignment horizontal="center"/>
    </xf>
    <xf numFmtId="0" fontId="61" fillId="3" borderId="7" xfId="0" applyFont="1" applyFill="1" applyBorder="1" applyAlignment="1">
      <alignment horizontal="center"/>
    </xf>
    <xf numFmtId="0" fontId="61" fillId="3" borderId="8" xfId="0" applyFont="1" applyFill="1" applyBorder="1" applyAlignment="1">
      <alignment horizontal="center"/>
    </xf>
    <xf numFmtId="0" fontId="64" fillId="2" borderId="9" xfId="0" applyFont="1" applyFill="1" applyBorder="1" applyAlignment="1">
      <alignment horizontal="center"/>
    </xf>
    <xf numFmtId="0" fontId="64" fillId="2" borderId="10" xfId="0" applyFont="1" applyFill="1" applyBorder="1" applyAlignment="1">
      <alignment horizontal="center"/>
    </xf>
    <xf numFmtId="0" fontId="62" fillId="3" borderId="11" xfId="0" applyFont="1" applyFill="1" applyBorder="1" applyAlignment="1">
      <alignment horizontal="center"/>
    </xf>
    <xf numFmtId="187" fontId="61" fillId="3" borderId="11" xfId="0" applyNumberFormat="1" applyFont="1" applyFill="1" applyBorder="1"/>
    <xf numFmtId="3" fontId="65" fillId="3" borderId="12" xfId="0" applyNumberFormat="1" applyFont="1" applyFill="1" applyBorder="1" applyAlignment="1">
      <alignment horizontal="center" vertical="center"/>
    </xf>
    <xf numFmtId="0" fontId="61" fillId="3" borderId="13" xfId="0" applyFont="1" applyFill="1" applyBorder="1"/>
    <xf numFmtId="0" fontId="61" fillId="3" borderId="11" xfId="0" applyFont="1" applyFill="1" applyBorder="1" applyAlignment="1">
      <alignment horizontal="center"/>
    </xf>
    <xf numFmtId="187" fontId="61" fillId="3" borderId="11" xfId="0" applyNumberFormat="1" applyFont="1" applyFill="1" applyBorder="1" applyAlignment="1">
      <alignment horizontal="center"/>
    </xf>
    <xf numFmtId="3" fontId="61" fillId="3" borderId="12" xfId="0" applyNumberFormat="1" applyFont="1" applyFill="1" applyBorder="1" applyAlignment="1">
      <alignment horizontal="center"/>
    </xf>
    <xf numFmtId="0" fontId="61" fillId="3" borderId="14" xfId="0" applyFont="1" applyFill="1" applyBorder="1" applyAlignment="1">
      <alignment horizontal="center"/>
    </xf>
    <xf numFmtId="0" fontId="61" fillId="3" borderId="15" xfId="0" applyFont="1" applyFill="1" applyBorder="1" applyAlignment="1">
      <alignment horizontal="center"/>
    </xf>
    <xf numFmtId="0" fontId="61" fillId="3" borderId="16" xfId="0" applyFont="1" applyFill="1" applyBorder="1" applyAlignment="1">
      <alignment horizontal="center"/>
    </xf>
    <xf numFmtId="0" fontId="64" fillId="2" borderId="17" xfId="0" applyFont="1" applyFill="1" applyBorder="1"/>
    <xf numFmtId="0" fontId="64" fillId="2" borderId="11" xfId="0" applyFont="1" applyFill="1" applyBorder="1" applyAlignment="1">
      <alignment horizontal="center"/>
    </xf>
    <xf numFmtId="2" fontId="66" fillId="0" borderId="18" xfId="0" applyNumberFormat="1" applyFont="1" applyBorder="1" applyAlignment="1">
      <alignment horizontal="center" vertical="center"/>
    </xf>
    <xf numFmtId="2" fontId="66" fillId="0" borderId="19" xfId="0" applyNumberFormat="1" applyFont="1" applyBorder="1" applyAlignment="1">
      <alignment horizontal="center" vertical="center"/>
    </xf>
    <xf numFmtId="2" fontId="66" fillId="0" borderId="22" xfId="0" applyNumberFormat="1" applyFont="1" applyBorder="1" applyAlignment="1">
      <alignment horizontal="center" vertical="center"/>
    </xf>
    <xf numFmtId="15" fontId="67" fillId="0" borderId="22" xfId="0" quotePrefix="1" applyNumberFormat="1" applyFont="1" applyBorder="1" applyAlignment="1">
      <alignment horizontal="center" vertical="center"/>
    </xf>
    <xf numFmtId="2" fontId="66" fillId="0" borderId="22" xfId="0" quotePrefix="1" applyNumberFormat="1" applyFont="1" applyBorder="1" applyAlignment="1">
      <alignment horizontal="center" vertical="center"/>
    </xf>
    <xf numFmtId="2" fontId="66" fillId="0" borderId="23" xfId="0" applyNumberFormat="1" applyFont="1" applyBorder="1" applyAlignment="1">
      <alignment horizontal="center" vertical="center"/>
    </xf>
    <xf numFmtId="0" fontId="69" fillId="0" borderId="22" xfId="0" applyFont="1" applyBorder="1" applyAlignment="1">
      <alignment horizontal="center"/>
    </xf>
    <xf numFmtId="2" fontId="66" fillId="0" borderId="25" xfId="0" applyNumberFormat="1" applyFont="1" applyBorder="1" applyAlignment="1">
      <alignment horizontal="center" vertical="center"/>
    </xf>
    <xf numFmtId="0" fontId="66" fillId="0" borderId="22" xfId="0" applyFont="1" applyBorder="1" applyAlignment="1">
      <alignment horizontal="center" vertical="center"/>
    </xf>
    <xf numFmtId="41" fontId="66" fillId="0" borderId="26" xfId="0" applyNumberFormat="1" applyFont="1" applyBorder="1" applyAlignment="1">
      <alignment horizontal="right" vertical="center"/>
    </xf>
    <xf numFmtId="0" fontId="61" fillId="0" borderId="24" xfId="0" applyFont="1" applyBorder="1"/>
    <xf numFmtId="14" fontId="70" fillId="0" borderId="0" xfId="0" applyNumberFormat="1" applyFont="1" applyBorder="1" applyAlignment="1">
      <alignment horizontal="center" vertical="center"/>
    </xf>
    <xf numFmtId="0" fontId="67" fillId="0" borderId="22" xfId="0" applyFont="1" applyFill="1" applyBorder="1" applyAlignment="1">
      <alignment horizontal="center"/>
    </xf>
    <xf numFmtId="0" fontId="67" fillId="0" borderId="22" xfId="0" applyFont="1" applyBorder="1" applyAlignment="1">
      <alignment horizontal="center" vertical="center"/>
    </xf>
    <xf numFmtId="0" fontId="71" fillId="0" borderId="22" xfId="0" applyFont="1" applyBorder="1" applyAlignment="1">
      <alignment horizontal="center" vertical="center"/>
    </xf>
    <xf numFmtId="0" fontId="69" fillId="0" borderId="23" xfId="0" applyFont="1" applyBorder="1" applyAlignment="1">
      <alignment horizontal="center"/>
    </xf>
    <xf numFmtId="187" fontId="66" fillId="0" borderId="22" xfId="0" quotePrefix="1" applyNumberFormat="1" applyFont="1" applyBorder="1" applyAlignment="1">
      <alignment horizontal="center" vertical="center"/>
    </xf>
    <xf numFmtId="15" fontId="71" fillId="0" borderId="22" xfId="0" quotePrefix="1" applyNumberFormat="1" applyFont="1" applyBorder="1" applyAlignment="1">
      <alignment horizontal="center" vertical="center"/>
    </xf>
    <xf numFmtId="41" fontId="61" fillId="0" borderId="0" xfId="0" applyNumberFormat="1" applyFont="1" applyBorder="1"/>
    <xf numFmtId="0" fontId="67" fillId="0" borderId="23" xfId="0" applyFont="1" applyFill="1" applyBorder="1" applyAlignment="1">
      <alignment horizontal="center"/>
    </xf>
    <xf numFmtId="41" fontId="70" fillId="0" borderId="0" xfId="0" applyNumberFormat="1" applyFont="1" applyBorder="1" applyAlignment="1">
      <alignment horizontal="center" vertical="center"/>
    </xf>
    <xf numFmtId="2" fontId="66" fillId="0" borderId="26" xfId="0" applyNumberFormat="1" applyFont="1" applyBorder="1" applyAlignment="1">
      <alignment horizontal="center" vertical="center"/>
    </xf>
    <xf numFmtId="187" fontId="66" fillId="0" borderId="22" xfId="0" applyNumberFormat="1" applyFont="1" applyBorder="1" applyAlignment="1">
      <alignment horizontal="center" vertical="center"/>
    </xf>
    <xf numFmtId="41" fontId="66" fillId="0" borderId="26" xfId="0" applyNumberFormat="1" applyFont="1" applyFill="1" applyBorder="1" applyAlignment="1">
      <alignment horizontal="right" vertical="center"/>
    </xf>
    <xf numFmtId="2" fontId="66" fillId="0" borderId="27" xfId="0" applyNumberFormat="1" applyFont="1" applyBorder="1" applyAlignment="1">
      <alignment horizontal="center" vertical="center"/>
    </xf>
    <xf numFmtId="1" fontId="66" fillId="0" borderId="22" xfId="0" applyNumberFormat="1" applyFont="1" applyBorder="1" applyAlignment="1">
      <alignment horizontal="center" vertical="center"/>
    </xf>
    <xf numFmtId="41" fontId="66" fillId="0" borderId="22" xfId="0" applyNumberFormat="1" applyFont="1" applyBorder="1" applyAlignment="1">
      <alignment horizontal="right" vertical="center"/>
    </xf>
    <xf numFmtId="189" fontId="69" fillId="0" borderId="0" xfId="1" applyNumberFormat="1" applyFont="1" applyBorder="1" applyAlignment="1"/>
    <xf numFmtId="41" fontId="61" fillId="0" borderId="0" xfId="0" applyNumberFormat="1" applyFont="1"/>
    <xf numFmtId="0" fontId="71" fillId="0" borderId="22" xfId="0" quotePrefix="1" applyFont="1" applyBorder="1" applyAlignment="1">
      <alignment horizontal="center" vertical="center"/>
    </xf>
    <xf numFmtId="190" fontId="66" fillId="0" borderId="26" xfId="1" applyNumberFormat="1" applyFont="1" applyBorder="1" applyAlignment="1">
      <alignment horizontal="right" vertical="center"/>
    </xf>
    <xf numFmtId="190" fontId="61" fillId="0" borderId="0" xfId="0" applyNumberFormat="1" applyFont="1" applyBorder="1"/>
    <xf numFmtId="187" fontId="72" fillId="3" borderId="14" xfId="0" applyNumberFormat="1" applyFont="1" applyFill="1" applyBorder="1" applyAlignment="1">
      <alignment horizontal="center" vertical="center"/>
    </xf>
    <xf numFmtId="3" fontId="72" fillId="3" borderId="16" xfId="0" applyNumberFormat="1" applyFont="1" applyFill="1" applyBorder="1" applyAlignment="1">
      <alignment horizontal="center" vertical="center"/>
    </xf>
    <xf numFmtId="3" fontId="72" fillId="3" borderId="14" xfId="0" applyNumberFormat="1" applyFont="1" applyFill="1" applyBorder="1" applyAlignment="1">
      <alignment horizontal="center" vertical="center"/>
    </xf>
    <xf numFmtId="3" fontId="72" fillId="3" borderId="15" xfId="0" applyNumberFormat="1" applyFont="1" applyFill="1" applyBorder="1" applyAlignment="1">
      <alignment horizontal="center" vertical="center"/>
    </xf>
    <xf numFmtId="0" fontId="72" fillId="3" borderId="16" xfId="0" applyNumberFormat="1" applyFont="1" applyFill="1" applyBorder="1" applyAlignment="1">
      <alignment horizontal="center" vertical="center"/>
    </xf>
    <xf numFmtId="2" fontId="72" fillId="3" borderId="1" xfId="0" applyNumberFormat="1" applyFont="1" applyFill="1" applyBorder="1" applyAlignment="1">
      <alignment horizontal="center" vertical="center"/>
    </xf>
    <xf numFmtId="3" fontId="72" fillId="3" borderId="15" xfId="0" applyNumberFormat="1" applyFont="1" applyFill="1" applyBorder="1" applyAlignment="1">
      <alignment horizontal="right" vertical="center"/>
    </xf>
    <xf numFmtId="0" fontId="69" fillId="0" borderId="0" xfId="0" applyFont="1" applyBorder="1" applyAlignment="1">
      <alignment horizontal="center"/>
    </xf>
    <xf numFmtId="0" fontId="69" fillId="0" borderId="0" xfId="2" applyFont="1" applyBorder="1" applyAlignment="1"/>
    <xf numFmtId="0" fontId="67" fillId="0" borderId="28" xfId="0" applyFont="1" applyBorder="1" applyAlignment="1">
      <alignment horizontal="center" vertical="center"/>
    </xf>
    <xf numFmtId="187" fontId="67" fillId="0" borderId="28" xfId="0" applyNumberFormat="1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66" fillId="0" borderId="28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41" fontId="72" fillId="0" borderId="21" xfId="0" applyNumberFormat="1" applyFont="1" applyFill="1" applyBorder="1" applyAlignment="1">
      <alignment horizontal="right" vertical="center"/>
    </xf>
    <xf numFmtId="2" fontId="66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87" fontId="67" fillId="0" borderId="0" xfId="0" applyNumberFormat="1" applyFont="1" applyBorder="1" applyAlignment="1">
      <alignment horizontal="center" vertical="center"/>
    </xf>
    <xf numFmtId="0" fontId="75" fillId="0" borderId="0" xfId="0" applyFont="1" applyAlignment="1"/>
    <xf numFmtId="0" fontId="75" fillId="0" borderId="0" xfId="0" applyFont="1"/>
    <xf numFmtId="187" fontId="75" fillId="0" borderId="0" xfId="0" applyNumberFormat="1" applyFont="1"/>
    <xf numFmtId="0" fontId="75" fillId="0" borderId="0" xfId="0" applyFont="1" applyAlignment="1">
      <alignment horizontal="center"/>
    </xf>
    <xf numFmtId="0" fontId="75" fillId="0" borderId="0" xfId="0" applyFont="1" applyBorder="1" applyAlignment="1">
      <alignment horizontal="center" vertical="center"/>
    </xf>
    <xf numFmtId="0" fontId="76" fillId="0" borderId="0" xfId="0" applyFont="1"/>
    <xf numFmtId="41" fontId="76" fillId="0" borderId="0" xfId="0" applyNumberFormat="1" applyFont="1" applyFill="1"/>
    <xf numFmtId="0" fontId="76" fillId="0" borderId="0" xfId="0" applyFont="1" applyFill="1"/>
    <xf numFmtId="0" fontId="76" fillId="0" borderId="0" xfId="0" applyFont="1" applyFill="1" applyBorder="1"/>
    <xf numFmtId="3" fontId="69" fillId="0" borderId="0" xfId="0" applyNumberFormat="1" applyFont="1" applyFill="1" applyBorder="1" applyAlignment="1"/>
    <xf numFmtId="0" fontId="67" fillId="0" borderId="0" xfId="0" applyFont="1" applyFill="1" applyBorder="1" applyAlignment="1">
      <alignment horizontal="center"/>
    </xf>
    <xf numFmtId="41" fontId="61" fillId="0" borderId="0" xfId="0" applyNumberFormat="1" applyFont="1" applyFill="1" applyBorder="1"/>
    <xf numFmtId="41" fontId="77" fillId="0" borderId="0" xfId="0" applyNumberFormat="1" applyFont="1" applyFill="1" applyBorder="1" applyAlignment="1">
      <alignment horizontal="right"/>
    </xf>
    <xf numFmtId="0" fontId="61" fillId="0" borderId="0" xfId="0" applyFont="1" applyFill="1" applyBorder="1"/>
    <xf numFmtId="2" fontId="66" fillId="0" borderId="0" xfId="0" quotePrefix="1" applyNumberFormat="1" applyFont="1" applyBorder="1" applyAlignment="1">
      <alignment horizontal="center" vertical="center"/>
    </xf>
    <xf numFmtId="3" fontId="68" fillId="0" borderId="0" xfId="0" applyNumberFormat="1" applyFont="1" applyFill="1" applyBorder="1" applyAlignment="1">
      <alignment horizontal="right" vertical="center"/>
    </xf>
    <xf numFmtId="2" fontId="66" fillId="0" borderId="0" xfId="0" applyNumberFormat="1" applyFont="1" applyFill="1" applyBorder="1" applyAlignment="1">
      <alignment horizontal="center" vertical="center"/>
    </xf>
    <xf numFmtId="0" fontId="61" fillId="0" borderId="0" xfId="0" applyFont="1" applyFill="1"/>
    <xf numFmtId="3" fontId="61" fillId="0" borderId="0" xfId="0" applyNumberFormat="1" applyFont="1" applyFill="1" applyBorder="1"/>
    <xf numFmtId="41" fontId="61" fillId="0" borderId="0" xfId="0" applyNumberFormat="1" applyFont="1" applyFill="1"/>
    <xf numFmtId="3" fontId="61" fillId="0" borderId="0" xfId="0" applyNumberFormat="1" applyFont="1" applyFill="1" applyBorder="1" applyAlignment="1">
      <alignment horizontal="center"/>
    </xf>
    <xf numFmtId="3" fontId="78" fillId="0" borderId="0" xfId="0" applyNumberFormat="1" applyFont="1" applyBorder="1"/>
    <xf numFmtId="3" fontId="78" fillId="0" borderId="0" xfId="0" applyNumberFormat="1" applyFont="1" applyBorder="1" applyAlignment="1">
      <alignment horizontal="center"/>
    </xf>
    <xf numFmtId="0" fontId="79" fillId="0" borderId="0" xfId="0" applyNumberFormat="1" applyFont="1" applyBorder="1" applyAlignment="1">
      <alignment horizontal="center" vertical="center"/>
    </xf>
    <xf numFmtId="3" fontId="61" fillId="0" borderId="0" xfId="0" applyNumberFormat="1" applyFont="1" applyBorder="1"/>
    <xf numFmtId="14" fontId="66" fillId="0" borderId="20" xfId="0" quotePrefix="1" applyNumberFormat="1" applyFont="1" applyBorder="1" applyAlignment="1">
      <alignment horizontal="center" vertical="center"/>
    </xf>
    <xf numFmtId="187" fontId="66" fillId="0" borderId="18" xfId="0" quotePrefix="1" applyNumberFormat="1" applyFont="1" applyBorder="1" applyAlignment="1">
      <alignment horizontal="center" vertical="center"/>
    </xf>
    <xf numFmtId="14" fontId="66" fillId="0" borderId="20" xfId="0" applyNumberFormat="1" applyFont="1" applyBorder="1" applyAlignment="1">
      <alignment horizontal="center" vertical="center"/>
    </xf>
    <xf numFmtId="3" fontId="66" fillId="0" borderId="18" xfId="0" applyNumberFormat="1" applyFont="1" applyBorder="1" applyAlignment="1">
      <alignment horizontal="center" vertical="center"/>
    </xf>
    <xf numFmtId="14" fontId="66" fillId="0" borderId="24" xfId="0" quotePrefix="1" applyNumberFormat="1" applyFont="1" applyBorder="1" applyAlignment="1">
      <alignment horizontal="center" vertical="center"/>
    </xf>
    <xf numFmtId="14" fontId="66" fillId="0" borderId="24" xfId="0" applyNumberFormat="1" applyFont="1" applyBorder="1" applyAlignment="1">
      <alignment horizontal="center" vertical="center"/>
    </xf>
    <xf numFmtId="41" fontId="66" fillId="0" borderId="22" xfId="0" applyNumberFormat="1" applyFont="1" applyBorder="1" applyAlignment="1">
      <alignment horizontal="center" vertical="center"/>
    </xf>
    <xf numFmtId="187" fontId="66" fillId="0" borderId="24" xfId="0" applyNumberFormat="1" applyFont="1" applyBorder="1" applyAlignment="1">
      <alignment horizontal="center" vertical="center"/>
    </xf>
    <xf numFmtId="189" fontId="71" fillId="0" borderId="26" xfId="1" applyNumberFormat="1" applyFont="1" applyFill="1" applyBorder="1" applyAlignment="1">
      <alignment horizontal="center" vertical="center"/>
    </xf>
    <xf numFmtId="3" fontId="74" fillId="0" borderId="0" xfId="0" applyNumberFormat="1" applyFont="1" applyBorder="1"/>
    <xf numFmtId="187" fontId="66" fillId="0" borderId="24" xfId="0" quotePrefix="1" applyNumberFormat="1" applyFont="1" applyBorder="1" applyAlignment="1">
      <alignment horizontal="center" vertical="center"/>
    </xf>
    <xf numFmtId="195" fontId="66" fillId="0" borderId="24" xfId="0" applyNumberFormat="1" applyFont="1" applyBorder="1" applyAlignment="1">
      <alignment horizontal="right" vertical="center"/>
    </xf>
    <xf numFmtId="195" fontId="73" fillId="2" borderId="16" xfId="0" applyNumberFormat="1" applyFont="1" applyFill="1" applyBorder="1" applyAlignment="1">
      <alignment horizontal="right" vertical="center"/>
    </xf>
    <xf numFmtId="195" fontId="72" fillId="3" borderId="14" xfId="0" applyNumberFormat="1" applyFont="1" applyFill="1" applyBorder="1" applyAlignment="1">
      <alignment vertical="center"/>
    </xf>
    <xf numFmtId="195" fontId="72" fillId="3" borderId="14" xfId="0" applyNumberFormat="1" applyFont="1" applyFill="1" applyBorder="1" applyAlignment="1">
      <alignment horizontal="right" vertical="center"/>
    </xf>
    <xf numFmtId="195" fontId="72" fillId="3" borderId="15" xfId="0" applyNumberFormat="1" applyFont="1" applyFill="1" applyBorder="1" applyAlignment="1">
      <alignment horizontal="right" vertical="center"/>
    </xf>
    <xf numFmtId="3" fontId="69" fillId="0" borderId="14" xfId="0" applyNumberFormat="1" applyFont="1" applyFill="1" applyBorder="1" applyAlignment="1">
      <alignment horizontal="center"/>
    </xf>
    <xf numFmtId="195" fontId="66" fillId="0" borderId="14" xfId="0" applyNumberFormat="1" applyFont="1" applyBorder="1" applyAlignment="1">
      <alignment horizontal="right" vertical="center"/>
    </xf>
    <xf numFmtId="3" fontId="66" fillId="0" borderId="29" xfId="0" applyNumberFormat="1" applyFont="1" applyFill="1" applyBorder="1" applyAlignment="1">
      <alignment vertical="center"/>
    </xf>
    <xf numFmtId="0" fontId="69" fillId="0" borderId="30" xfId="0" applyFont="1" applyBorder="1" applyAlignment="1">
      <alignment horizontal="center"/>
    </xf>
    <xf numFmtId="195" fontId="77" fillId="2" borderId="14" xfId="0" applyNumberFormat="1" applyFont="1" applyFill="1" applyBorder="1" applyAlignment="1">
      <alignment horizontal="right"/>
    </xf>
    <xf numFmtId="2" fontId="72" fillId="3" borderId="14" xfId="0" applyNumberFormat="1" applyFont="1" applyFill="1" applyBorder="1" applyAlignment="1">
      <alignment horizontal="center" vertical="center"/>
    </xf>
    <xf numFmtId="15" fontId="67" fillId="0" borderId="22" xfId="0" applyNumberFormat="1" applyFont="1" applyBorder="1" applyAlignment="1">
      <alignment horizontal="center" vertical="center"/>
    </xf>
    <xf numFmtId="0" fontId="83" fillId="0" borderId="0" xfId="2" applyFont="1"/>
    <xf numFmtId="0" fontId="84" fillId="0" borderId="0" xfId="2" applyFont="1" applyAlignment="1"/>
    <xf numFmtId="189" fontId="84" fillId="0" borderId="0" xfId="7" applyNumberFormat="1" applyFont="1"/>
    <xf numFmtId="0" fontId="84" fillId="0" borderId="0" xfId="2" applyFont="1" applyAlignment="1">
      <alignment horizontal="center"/>
    </xf>
    <xf numFmtId="0" fontId="84" fillId="0" borderId="0" xfId="2" applyFont="1"/>
    <xf numFmtId="0" fontId="84" fillId="0" borderId="0" xfId="2" applyFont="1" applyBorder="1"/>
    <xf numFmtId="189" fontId="83" fillId="0" borderId="0" xfId="7" applyNumberFormat="1" applyFont="1" applyBorder="1" applyAlignment="1">
      <alignment horizontal="center"/>
    </xf>
    <xf numFmtId="189" fontId="84" fillId="0" borderId="0" xfId="7" applyNumberFormat="1" applyFont="1" applyBorder="1" applyAlignment="1">
      <alignment horizontal="center"/>
    </xf>
    <xf numFmtId="189" fontId="84" fillId="0" borderId="0" xfId="7" applyNumberFormat="1" applyFont="1" applyBorder="1"/>
    <xf numFmtId="189" fontId="83" fillId="4" borderId="6" xfId="7" applyNumberFormat="1" applyFont="1" applyFill="1" applyBorder="1" applyAlignment="1">
      <alignment horizontal="center"/>
    </xf>
    <xf numFmtId="0" fontId="83" fillId="4" borderId="10" xfId="2" applyFont="1" applyFill="1" applyBorder="1" applyAlignment="1">
      <alignment horizontal="center"/>
    </xf>
    <xf numFmtId="189" fontId="83" fillId="4" borderId="10" xfId="7" applyNumberFormat="1" applyFont="1" applyFill="1" applyBorder="1" applyAlignment="1">
      <alignment horizontal="center"/>
    </xf>
    <xf numFmtId="0" fontId="83" fillId="4" borderId="11" xfId="2" applyFont="1" applyFill="1" applyBorder="1" applyAlignment="1">
      <alignment horizontal="center"/>
    </xf>
    <xf numFmtId="0" fontId="83" fillId="4" borderId="11" xfId="2" applyFont="1" applyFill="1" applyBorder="1" applyAlignment="1"/>
    <xf numFmtId="189" fontId="83" fillId="4" borderId="11" xfId="7" applyNumberFormat="1" applyFont="1" applyFill="1" applyBorder="1" applyAlignment="1">
      <alignment horizontal="center"/>
    </xf>
    <xf numFmtId="2" fontId="84" fillId="0" borderId="18" xfId="2" applyNumberFormat="1" applyFont="1" applyFill="1" applyBorder="1" applyAlignment="1">
      <alignment horizontal="center" vertical="center"/>
    </xf>
    <xf numFmtId="14" fontId="84" fillId="0" borderId="18" xfId="2" quotePrefix="1" applyNumberFormat="1" applyFont="1" applyFill="1" applyBorder="1" applyAlignment="1">
      <alignment horizontal="center" vertical="center"/>
    </xf>
    <xf numFmtId="195" fontId="84" fillId="0" borderId="18" xfId="7" applyNumberFormat="1" applyFont="1" applyFill="1" applyBorder="1" applyAlignment="1">
      <alignment horizontal="right"/>
    </xf>
    <xf numFmtId="15" fontId="84" fillId="0" borderId="18" xfId="2" applyNumberFormat="1" applyFont="1" applyFill="1" applyBorder="1" applyAlignment="1">
      <alignment horizontal="center" vertical="center"/>
    </xf>
    <xf numFmtId="0" fontId="84" fillId="0" borderId="18" xfId="2" applyFont="1" applyFill="1" applyBorder="1" applyAlignment="1">
      <alignment horizontal="center" vertical="center"/>
    </xf>
    <xf numFmtId="2" fontId="84" fillId="0" borderId="22" xfId="2" applyNumberFormat="1" applyFont="1" applyFill="1" applyBorder="1" applyAlignment="1">
      <alignment horizontal="center" vertical="center"/>
    </xf>
    <xf numFmtId="0" fontId="84" fillId="0" borderId="22" xfId="2" quotePrefix="1" applyFont="1" applyFill="1" applyBorder="1" applyAlignment="1">
      <alignment horizontal="center" vertical="center"/>
    </xf>
    <xf numFmtId="195" fontId="84" fillId="0" borderId="22" xfId="7" applyNumberFormat="1" applyFont="1" applyFill="1" applyBorder="1" applyAlignment="1">
      <alignment horizontal="right"/>
    </xf>
    <xf numFmtId="15" fontId="84" fillId="0" borderId="22" xfId="2" applyNumberFormat="1" applyFont="1" applyFill="1" applyBorder="1" applyAlignment="1">
      <alignment horizontal="center" vertical="center"/>
    </xf>
    <xf numFmtId="0" fontId="84" fillId="0" borderId="22" xfId="2" applyFont="1" applyFill="1" applyBorder="1" applyAlignment="1">
      <alignment horizontal="center" vertical="center"/>
    </xf>
    <xf numFmtId="15" fontId="84" fillId="0" borderId="22" xfId="2" applyNumberFormat="1" applyFont="1" applyFill="1" applyBorder="1" applyAlignment="1">
      <alignment horizontal="center" vertical="center"/>
    </xf>
    <xf numFmtId="49" fontId="84" fillId="0" borderId="22" xfId="2" applyNumberFormat="1" applyFont="1" applyFill="1" applyBorder="1" applyAlignment="1">
      <alignment horizontal="center" vertical="center"/>
    </xf>
    <xf numFmtId="0" fontId="84" fillId="0" borderId="22" xfId="8" applyFont="1" applyFill="1" applyBorder="1" applyAlignment="1">
      <alignment horizontal="center" vertical="center"/>
    </xf>
    <xf numFmtId="15" fontId="84" fillId="0" borderId="22" xfId="2" quotePrefix="1" applyNumberFormat="1" applyFont="1" applyFill="1" applyBorder="1" applyAlignment="1">
      <alignment horizontal="center" vertical="center"/>
    </xf>
    <xf numFmtId="2" fontId="84" fillId="0" borderId="22" xfId="2" quotePrefix="1" applyNumberFormat="1" applyFont="1" applyFill="1" applyBorder="1" applyAlignment="1">
      <alignment horizontal="center" vertical="center"/>
    </xf>
    <xf numFmtId="0" fontId="84" fillId="0" borderId="22" xfId="8" applyNumberFormat="1" applyFont="1" applyFill="1" applyBorder="1" applyAlignment="1">
      <alignment horizontal="center" vertical="center"/>
    </xf>
    <xf numFmtId="14" fontId="84" fillId="0" borderId="22" xfId="2" applyNumberFormat="1" applyFont="1" applyFill="1" applyBorder="1" applyAlignment="1">
      <alignment horizontal="center" vertical="center"/>
    </xf>
    <xf numFmtId="189" fontId="84" fillId="0" borderId="22" xfId="7" applyNumberFormat="1" applyFont="1" applyFill="1" applyBorder="1" applyAlignment="1">
      <alignment horizontal="center" vertical="center"/>
    </xf>
    <xf numFmtId="14" fontId="84" fillId="0" borderId="22" xfId="2" quotePrefix="1" applyNumberFormat="1" applyFont="1" applyFill="1" applyBorder="1" applyAlignment="1">
      <alignment horizontal="center" vertical="center"/>
    </xf>
    <xf numFmtId="0" fontId="84" fillId="0" borderId="22" xfId="2" applyFont="1" applyFill="1" applyBorder="1" applyAlignment="1">
      <alignment horizontal="center"/>
    </xf>
    <xf numFmtId="2" fontId="84" fillId="0" borderId="22" xfId="8" applyNumberFormat="1" applyFont="1" applyFill="1" applyBorder="1" applyAlignment="1">
      <alignment horizontal="center" vertical="center"/>
    </xf>
    <xf numFmtId="187" fontId="84" fillId="0" borderId="22" xfId="8" quotePrefix="1" applyNumberFormat="1" applyFont="1" applyFill="1" applyBorder="1" applyAlignment="1">
      <alignment horizontal="center" vertical="center"/>
    </xf>
    <xf numFmtId="0" fontId="84" fillId="0" borderId="0" xfId="2" applyFont="1" applyFill="1"/>
    <xf numFmtId="15" fontId="84" fillId="0" borderId="22" xfId="8" quotePrefix="1" applyNumberFormat="1" applyFont="1" applyFill="1" applyBorder="1" applyAlignment="1">
      <alignment horizontal="center" vertical="center"/>
    </xf>
    <xf numFmtId="15" fontId="84" fillId="0" borderId="22" xfId="2" quotePrefix="1" applyNumberFormat="1" applyFont="1" applyFill="1" applyBorder="1" applyAlignment="1">
      <alignment horizontal="center" vertical="center"/>
    </xf>
    <xf numFmtId="0" fontId="84" fillId="0" borderId="22" xfId="8" quotePrefix="1" applyNumberFormat="1" applyFont="1" applyFill="1" applyBorder="1" applyAlignment="1">
      <alignment horizontal="center" vertical="center"/>
    </xf>
    <xf numFmtId="14" fontId="84" fillId="0" borderId="22" xfId="8" quotePrefix="1" applyNumberFormat="1" applyFont="1" applyFill="1" applyBorder="1" applyAlignment="1">
      <alignment horizontal="center" vertical="center"/>
    </xf>
    <xf numFmtId="0" fontId="84" fillId="0" borderId="22" xfId="8" quotePrefix="1" applyFont="1" applyFill="1" applyBorder="1" applyAlignment="1">
      <alignment horizontal="center" vertical="center"/>
    </xf>
    <xf numFmtId="0" fontId="84" fillId="0" borderId="31" xfId="2" applyFont="1" applyFill="1" applyBorder="1" applyAlignment="1">
      <alignment horizontal="center" vertical="center"/>
    </xf>
    <xf numFmtId="195" fontId="84" fillId="0" borderId="31" xfId="7" applyNumberFormat="1" applyFont="1" applyFill="1" applyBorder="1" applyAlignment="1">
      <alignment horizontal="right"/>
    </xf>
    <xf numFmtId="15" fontId="84" fillId="0" borderId="31" xfId="2" quotePrefix="1" applyNumberFormat="1" applyFont="1" applyFill="1" applyBorder="1" applyAlignment="1">
      <alignment horizontal="center" vertical="center"/>
    </xf>
    <xf numFmtId="14" fontId="84" fillId="0" borderId="31" xfId="2" quotePrefix="1" applyNumberFormat="1" applyFont="1" applyFill="1" applyBorder="1" applyAlignment="1">
      <alignment horizontal="center" vertical="center"/>
    </xf>
    <xf numFmtId="0" fontId="83" fillId="4" borderId="14" xfId="2" applyFont="1" applyFill="1" applyBorder="1" applyAlignment="1">
      <alignment horizontal="center" vertical="center"/>
    </xf>
    <xf numFmtId="195" fontId="83" fillId="4" borderId="14" xfId="7" applyNumberFormat="1" applyFont="1" applyFill="1" applyBorder="1" applyAlignment="1">
      <alignment horizontal="right"/>
    </xf>
    <xf numFmtId="14" fontId="83" fillId="4" borderId="14" xfId="2" applyNumberFormat="1" applyFont="1" applyFill="1" applyBorder="1" applyAlignment="1">
      <alignment horizontal="center" vertical="center"/>
    </xf>
    <xf numFmtId="189" fontId="84" fillId="4" borderId="14" xfId="7" applyNumberFormat="1" applyFont="1" applyFill="1" applyBorder="1" applyAlignment="1">
      <alignment horizontal="center" vertical="center"/>
    </xf>
    <xf numFmtId="189" fontId="83" fillId="4" borderId="14" xfId="7" applyNumberFormat="1" applyFont="1" applyFill="1" applyBorder="1" applyAlignment="1">
      <alignment horizontal="center" vertical="center"/>
    </xf>
    <xf numFmtId="2" fontId="84" fillId="0" borderId="0" xfId="2" applyNumberFormat="1" applyFont="1" applyFill="1" applyBorder="1" applyAlignment="1">
      <alignment horizontal="center"/>
    </xf>
    <xf numFmtId="0" fontId="84" fillId="0" borderId="0" xfId="2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189" fontId="84" fillId="0" borderId="0" xfId="7" applyNumberFormat="1" applyFont="1" applyFill="1" applyBorder="1" applyAlignment="1">
      <alignment horizontal="center"/>
    </xf>
    <xf numFmtId="196" fontId="84" fillId="0" borderId="0" xfId="2" applyNumberFormat="1" applyFont="1" applyFill="1" applyBorder="1" applyAlignment="1">
      <alignment horizontal="center"/>
    </xf>
    <xf numFmtId="189" fontId="84" fillId="0" borderId="0" xfId="7" applyNumberFormat="1" applyFont="1" applyFill="1" applyBorder="1"/>
    <xf numFmtId="0" fontId="84" fillId="0" borderId="0" xfId="2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left" vertical="center"/>
    </xf>
    <xf numFmtId="189" fontId="84" fillId="0" borderId="0" xfId="7" applyNumberFormat="1" applyFont="1" applyFill="1" applyBorder="1" applyAlignment="1">
      <alignment horizontal="center" vertical="center"/>
    </xf>
    <xf numFmtId="195" fontId="84" fillId="0" borderId="14" xfId="2" applyNumberFormat="1" applyFont="1" applyFill="1" applyBorder="1" applyAlignment="1">
      <alignment horizontal="right"/>
    </xf>
    <xf numFmtId="2" fontId="84" fillId="0" borderId="14" xfId="2" applyNumberFormat="1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0" borderId="14" xfId="2" applyFont="1" applyFill="1" applyBorder="1" applyAlignment="1">
      <alignment horizontal="center" vertical="center"/>
    </xf>
    <xf numFmtId="195" fontId="83" fillId="4" borderId="14" xfId="2" applyNumberFormat="1" applyFont="1" applyFill="1" applyBorder="1" applyAlignment="1">
      <alignment horizontal="right"/>
    </xf>
    <xf numFmtId="189" fontId="84" fillId="0" borderId="0" xfId="2" applyNumberFormat="1" applyFont="1" applyFill="1" applyBorder="1" applyAlignment="1">
      <alignment horizontal="center" vertical="center"/>
    </xf>
    <xf numFmtId="195" fontId="84" fillId="0" borderId="0" xfId="2" applyNumberFormat="1" applyFont="1" applyFill="1" applyBorder="1" applyAlignment="1">
      <alignment horizontal="righ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195" fontId="84" fillId="0" borderId="0" xfId="2" applyNumberFormat="1" applyFont="1" applyFill="1" applyBorder="1" applyAlignment="1">
      <alignment horizontal="center" vertical="center"/>
    </xf>
    <xf numFmtId="195" fontId="84" fillId="0" borderId="32" xfId="2" applyNumberFormat="1" applyFont="1" applyFill="1" applyBorder="1" applyAlignment="1">
      <alignment horizontal="center" vertic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195" fontId="84" fillId="0" borderId="0" xfId="2" applyNumberFormat="1" applyFont="1"/>
    <xf numFmtId="189" fontId="83" fillId="0" borderId="14" xfId="7" applyNumberFormat="1" applyFont="1" applyFill="1" applyBorder="1" applyAlignment="1">
      <alignment horizontal="center" vertical="center"/>
    </xf>
    <xf numFmtId="195" fontId="83" fillId="0" borderId="14" xfId="2" applyNumberFormat="1" applyFont="1" applyFill="1" applyBorder="1" applyAlignment="1">
      <alignment horizontal="right"/>
    </xf>
    <xf numFmtId="0" fontId="84" fillId="0" borderId="0" xfId="2" applyFont="1" applyFill="1" applyAlignment="1">
      <alignment horizontal="center"/>
    </xf>
    <xf numFmtId="189" fontId="84" fillId="0" borderId="0" xfId="7" applyNumberFormat="1" applyFont="1" applyFill="1"/>
    <xf numFmtId="195" fontId="84" fillId="0" borderId="0" xfId="2" applyNumberFormat="1" applyFont="1" applyFill="1" applyBorder="1" applyAlignment="1">
      <alignment horizontal="right" vertical="center"/>
    </xf>
    <xf numFmtId="195" fontId="84" fillId="0" borderId="32" xfId="2" applyNumberFormat="1" applyFont="1" applyFill="1" applyBorder="1" applyAlignment="1">
      <alignment horizontal="right" vertical="center"/>
    </xf>
    <xf numFmtId="195" fontId="84" fillId="0" borderId="32" xfId="2" applyNumberFormat="1" applyFont="1" applyBorder="1"/>
    <xf numFmtId="0" fontId="84" fillId="0" borderId="0" xfId="2" applyFont="1" applyFill="1" applyBorder="1" applyAlignment="1">
      <alignment horizontal="left"/>
    </xf>
    <xf numFmtId="0" fontId="84" fillId="0" borderId="0" xfId="2" applyFont="1" applyBorder="1" applyAlignment="1"/>
    <xf numFmtId="0" fontId="84" fillId="0" borderId="0" xfId="2" applyFont="1" applyBorder="1" applyAlignment="1">
      <alignment horizontal="center"/>
    </xf>
    <xf numFmtId="195" fontId="84" fillId="0" borderId="0" xfId="2" applyNumberFormat="1" applyFont="1" applyBorder="1"/>
    <xf numFmtId="189" fontId="84" fillId="0" borderId="32" xfId="7" applyNumberFormat="1" applyFont="1" applyFill="1" applyBorder="1"/>
    <xf numFmtId="189" fontId="84" fillId="0" borderId="32" xfId="7" applyNumberFormat="1" applyFont="1" applyBorder="1"/>
    <xf numFmtId="43" fontId="84" fillId="0" borderId="0" xfId="7" applyNumberFormat="1" applyFont="1" applyFill="1" applyBorder="1" applyAlignment="1">
      <alignment horizontal="center"/>
    </xf>
    <xf numFmtId="189" fontId="84" fillId="0" borderId="0" xfId="7" applyNumberFormat="1" applyFont="1" applyAlignment="1">
      <alignment horizontal="center"/>
    </xf>
    <xf numFmtId="197" fontId="84" fillId="0" borderId="0" xfId="2" applyNumberFormat="1" applyFont="1" applyFill="1" applyBorder="1" applyAlignment="1">
      <alignment horizontal="right" vertical="center"/>
    </xf>
    <xf numFmtId="43" fontId="84" fillId="0" borderId="0" xfId="7" applyFont="1" applyAlignment="1">
      <alignment horizontal="center"/>
    </xf>
    <xf numFmtId="43" fontId="84" fillId="0" borderId="0" xfId="7" applyFont="1"/>
    <xf numFmtId="43" fontId="84" fillId="0" borderId="32" xfId="7" applyFont="1" applyBorder="1" applyAlignment="1">
      <alignment horizontal="center"/>
    </xf>
    <xf numFmtId="0" fontId="84" fillId="0" borderId="0" xfId="8" applyNumberFormat="1" applyFont="1" applyFill="1" applyBorder="1" applyAlignment="1">
      <alignment horizontal="center"/>
    </xf>
    <xf numFmtId="189" fontId="84" fillId="0" borderId="18" xfId="7" applyNumberFormat="1" applyFont="1" applyFill="1" applyBorder="1" applyAlignment="1">
      <alignment horizontal="right"/>
    </xf>
    <xf numFmtId="189" fontId="84" fillId="0" borderId="22" xfId="7" applyNumberFormat="1" applyFont="1" applyFill="1" applyBorder="1" applyAlignment="1">
      <alignment horizontal="right"/>
    </xf>
    <xf numFmtId="189" fontId="84" fillId="0" borderId="31" xfId="7" applyNumberFormat="1" applyFont="1" applyFill="1" applyBorder="1" applyAlignment="1">
      <alignment horizontal="right"/>
    </xf>
    <xf numFmtId="189" fontId="83" fillId="4" borderId="14" xfId="7" applyNumberFormat="1" applyFont="1" applyFill="1" applyBorder="1" applyAlignment="1">
      <alignment horizontal="right"/>
    </xf>
    <xf numFmtId="189" fontId="84" fillId="0" borderId="14" xfId="2" applyNumberFormat="1" applyFont="1" applyFill="1" applyBorder="1" applyAlignment="1">
      <alignment horizontal="right"/>
    </xf>
    <xf numFmtId="195" fontId="84" fillId="0" borderId="0" xfId="2" applyNumberFormat="1" applyFont="1" applyAlignment="1"/>
    <xf numFmtId="197" fontId="84" fillId="0" borderId="32" xfId="2" applyNumberFormat="1" applyFont="1" applyFill="1" applyBorder="1" applyAlignment="1">
      <alignment horizontal="right" vertical="center"/>
    </xf>
    <xf numFmtId="195" fontId="84" fillId="0" borderId="32" xfId="2" applyNumberFormat="1" applyFont="1" applyBorder="1" applyAlignment="1"/>
    <xf numFmtId="43" fontId="84" fillId="0" borderId="32" xfId="2" applyNumberFormat="1" applyFont="1" applyBorder="1" applyAlignment="1">
      <alignment horizontal="center"/>
    </xf>
    <xf numFmtId="43" fontId="84" fillId="0" borderId="0" xfId="1" applyFont="1" applyAlignment="1">
      <alignment horizontal="center"/>
    </xf>
    <xf numFmtId="43" fontId="84" fillId="0" borderId="0" xfId="1" applyFont="1"/>
    <xf numFmtId="43" fontId="84" fillId="0" borderId="0" xfId="1" applyFont="1" applyFill="1" applyBorder="1" applyAlignment="1">
      <alignment horizontal="right" vertical="center"/>
    </xf>
    <xf numFmtId="189" fontId="84" fillId="0" borderId="0" xfId="2" applyNumberFormat="1" applyFont="1"/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43" fontId="84" fillId="0" borderId="32" xfId="1" applyFont="1" applyBorder="1" applyAlignment="1">
      <alignment horizontal="center"/>
    </xf>
    <xf numFmtId="0" fontId="84" fillId="0" borderId="18" xfId="8" applyFont="1" applyFill="1" applyBorder="1" applyAlignment="1">
      <alignment horizontal="center" vertical="center"/>
    </xf>
    <xf numFmtId="189" fontId="84" fillId="0" borderId="0" xfId="2" applyNumberFormat="1" applyFont="1" applyAlignment="1">
      <alignment horizontal="center"/>
    </xf>
    <xf numFmtId="2" fontId="84" fillId="0" borderId="0" xfId="2" quotePrefix="1" applyNumberFormat="1" applyFont="1" applyFill="1" applyBorder="1" applyAlignment="1">
      <alignment horizontal="center" vertical="center"/>
    </xf>
    <xf numFmtId="2" fontId="84" fillId="0" borderId="0" xfId="2" applyNumberFormat="1" applyFont="1" applyFill="1" applyBorder="1" applyAlignment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84" fillId="0" borderId="0" xfId="0" applyNumberFormat="1" applyFont="1" applyFill="1" applyBorder="1" applyAlignment="1">
      <alignment horizontal="center" vertical="center"/>
    </xf>
    <xf numFmtId="198" fontId="84" fillId="0" borderId="0" xfId="2" applyNumberFormat="1" applyFont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189" fontId="83" fillId="4" borderId="14" xfId="7" applyNumberFormat="1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5" borderId="22" xfId="2" applyFont="1" applyFill="1" applyBorder="1" applyAlignment="1">
      <alignment horizontal="center" vertical="center"/>
    </xf>
    <xf numFmtId="0" fontId="84" fillId="5" borderId="22" xfId="8" applyFont="1" applyFill="1" applyBorder="1" applyAlignment="1">
      <alignment horizontal="center" vertical="center"/>
    </xf>
    <xf numFmtId="195" fontId="84" fillId="5" borderId="22" xfId="7" applyNumberFormat="1" applyFont="1" applyFill="1" applyBorder="1" applyAlignment="1">
      <alignment horizontal="right"/>
    </xf>
    <xf numFmtId="2" fontId="84" fillId="5" borderId="22" xfId="2" applyNumberFormat="1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1" applyFont="1" applyBorder="1" applyAlignment="1">
      <alignment horizontal="center"/>
    </xf>
    <xf numFmtId="43" fontId="84" fillId="0" borderId="0" xfId="1" applyFont="1" applyBorder="1"/>
    <xf numFmtId="189" fontId="84" fillId="0" borderId="0" xfId="2" applyNumberFormat="1" applyFont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28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22" xfId="37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59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22" xfId="7" applyNumberFormat="1" applyFont="1" applyFill="1" applyBorder="1" applyAlignment="1">
      <alignment horizontal="righ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199" fontId="84" fillId="0" borderId="22" xfId="2" applyNumberFormat="1" applyFont="1" applyFill="1" applyBorder="1" applyAlignment="1">
      <alignment horizontal="center" vertical="center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59" applyNumberFormat="1" applyFont="1" applyFill="1" applyBorder="1" applyAlignment="1">
      <alignment horizontal="center" vertical="center"/>
    </xf>
    <xf numFmtId="195" fontId="84" fillId="0" borderId="14" xfId="2" applyNumberFormat="1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106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8" applyFont="1" applyFill="1" applyBorder="1" applyAlignment="1">
      <alignment horizontal="center" vertic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100" fillId="0" borderId="0" xfId="140"/>
    <xf numFmtId="189" fontId="0" fillId="0" borderId="0" xfId="141" applyNumberFormat="1" applyFont="1"/>
    <xf numFmtId="0" fontId="100" fillId="0" borderId="0" xfId="140" applyAlignment="1">
      <alignment horizontal="center"/>
    </xf>
    <xf numFmtId="189" fontId="98" fillId="0" borderId="14" xfId="141" applyNumberFormat="1" applyFont="1" applyBorder="1"/>
    <xf numFmtId="189" fontId="0" fillId="0" borderId="22" xfId="141" applyNumberFormat="1" applyFont="1" applyBorder="1"/>
    <xf numFmtId="0" fontId="100" fillId="0" borderId="22" xfId="140" applyBorder="1" applyAlignment="1">
      <alignment horizontal="center"/>
    </xf>
    <xf numFmtId="189" fontId="0" fillId="0" borderId="0" xfId="141" applyNumberFormat="1" applyFont="1" applyBorder="1"/>
    <xf numFmtId="0" fontId="100" fillId="0" borderId="0" xfId="140" applyBorder="1" applyAlignment="1">
      <alignment horizontal="center"/>
    </xf>
    <xf numFmtId="189" fontId="98" fillId="0" borderId="14" xfId="141" applyNumberFormat="1" applyFont="1" applyBorder="1" applyAlignment="1">
      <alignment horizontal="center" wrapText="1"/>
    </xf>
    <xf numFmtId="189" fontId="98" fillId="0" borderId="14" xfId="141" applyNumberFormat="1" applyFont="1" applyBorder="1" applyAlignment="1">
      <alignment horizontal="center"/>
    </xf>
    <xf numFmtId="0" fontId="98" fillId="0" borderId="14" xfId="140" applyFont="1" applyBorder="1" applyAlignment="1">
      <alignment horizontal="center"/>
    </xf>
    <xf numFmtId="0" fontId="98" fillId="0" borderId="14" xfId="140" applyFont="1" applyBorder="1" applyAlignment="1">
      <alignment horizontal="center" wrapText="1"/>
    </xf>
    <xf numFmtId="0" fontId="98" fillId="0" borderId="0" xfId="140" applyFont="1" applyAlignment="1">
      <alignment horizontal="left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98" fillId="0" borderId="0" xfId="15" applyFont="1" applyAlignment="1">
      <alignment horizontal="left"/>
    </xf>
    <xf numFmtId="0" fontId="87" fillId="0" borderId="0" xfId="15" applyAlignment="1">
      <alignment horizontal="center"/>
    </xf>
    <xf numFmtId="0" fontId="87" fillId="0" borderId="0" xfId="15"/>
    <xf numFmtId="0" fontId="98" fillId="0" borderId="14" xfId="15" applyFont="1" applyBorder="1" applyAlignment="1">
      <alignment horizontal="center" wrapText="1"/>
    </xf>
    <xf numFmtId="0" fontId="87" fillId="0" borderId="22" xfId="15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189" fontId="87" fillId="0" borderId="0" xfId="15" applyNumberFormat="1"/>
    <xf numFmtId="43" fontId="84" fillId="0" borderId="0" xfId="7" applyFont="1" applyFill="1" applyBorder="1" applyAlignment="1">
      <alignment horizontal="center"/>
    </xf>
    <xf numFmtId="0" fontId="98" fillId="0" borderId="14" xfId="15" applyFont="1" applyBorder="1" applyAlignment="1">
      <alignment horizont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189" fontId="0" fillId="0" borderId="0" xfId="154" applyNumberFormat="1" applyFont="1"/>
    <xf numFmtId="189" fontId="98" fillId="0" borderId="14" xfId="154" applyNumberFormat="1" applyFont="1" applyBorder="1" applyAlignment="1">
      <alignment horizontal="center"/>
    </xf>
    <xf numFmtId="189" fontId="98" fillId="0" borderId="14" xfId="154" applyNumberFormat="1" applyFont="1" applyBorder="1" applyAlignment="1">
      <alignment horizontal="center" wrapText="1"/>
    </xf>
    <xf numFmtId="189" fontId="0" fillId="0" borderId="22" xfId="154" applyNumberFormat="1" applyFont="1" applyBorder="1"/>
    <xf numFmtId="189" fontId="98" fillId="0" borderId="14" xfId="154" applyNumberFormat="1" applyFont="1" applyBorder="1"/>
    <xf numFmtId="189" fontId="0" fillId="0" borderId="0" xfId="0" applyNumberFormat="1"/>
    <xf numFmtId="43" fontId="84" fillId="0" borderId="0" xfId="7" applyNumberFormat="1" applyFont="1" applyFill="1" applyBorder="1" applyAlignment="1">
      <alignment horizontal="center" vertical="center"/>
    </xf>
    <xf numFmtId="0" fontId="84" fillId="0" borderId="30" xfId="8" applyFont="1" applyFill="1" applyBorder="1" applyAlignment="1">
      <alignment horizontal="center" vertical="center"/>
    </xf>
    <xf numFmtId="43" fontId="84" fillId="0" borderId="0" xfId="7" applyFont="1" applyFill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84" fillId="0" borderId="28" xfId="2" applyFont="1" applyFill="1" applyBorder="1" applyAlignment="1">
      <alignment horizontal="left"/>
    </xf>
    <xf numFmtId="189" fontId="86" fillId="0" borderId="0" xfId="7" applyNumberFormat="1" applyFont="1" applyAlignment="1">
      <alignment horizontal="center"/>
    </xf>
    <xf numFmtId="189" fontId="83" fillId="4" borderId="14" xfId="7" applyNumberFormat="1" applyFont="1" applyFill="1" applyBorder="1" applyAlignment="1">
      <alignment horizontal="center"/>
    </xf>
    <xf numFmtId="0" fontId="98" fillId="0" borderId="14" xfId="15" applyFont="1" applyBorder="1" applyAlignment="1">
      <alignment horizontal="center"/>
    </xf>
    <xf numFmtId="0" fontId="98" fillId="0" borderId="14" xfId="140" applyFont="1" applyBorder="1" applyAlignment="1">
      <alignment horizontal="center"/>
    </xf>
    <xf numFmtId="0" fontId="84" fillId="0" borderId="0" xfId="2" applyFont="1" applyFill="1" applyBorder="1" applyAlignment="1">
      <alignment horizontal="left"/>
    </xf>
    <xf numFmtId="43" fontId="84" fillId="0" borderId="0" xfId="7" applyFont="1" applyFill="1" applyBorder="1" applyAlignment="1">
      <alignment horizontal="right"/>
    </xf>
    <xf numFmtId="43" fontId="84" fillId="0" borderId="0" xfId="7" applyFont="1" applyFill="1" applyBorder="1" applyAlignment="1">
      <alignment horizontal="center"/>
    </xf>
    <xf numFmtId="0" fontId="64" fillId="2" borderId="1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2" borderId="4" xfId="0" applyFont="1" applyFill="1" applyBorder="1" applyAlignment="1">
      <alignment horizontal="center"/>
    </xf>
    <xf numFmtId="0" fontId="64" fillId="2" borderId="5" xfId="0" applyFont="1" applyFill="1" applyBorder="1" applyAlignment="1">
      <alignment horizontal="center"/>
    </xf>
    <xf numFmtId="0" fontId="61" fillId="3" borderId="1" xfId="0" applyFont="1" applyFill="1" applyBorder="1" applyAlignment="1">
      <alignment horizontal="center"/>
    </xf>
    <xf numFmtId="0" fontId="61" fillId="3" borderId="3" xfId="0" applyFont="1" applyFill="1" applyBorder="1" applyAlignment="1">
      <alignment horizontal="center"/>
    </xf>
    <xf numFmtId="0" fontId="61" fillId="3" borderId="4" xfId="0" applyFont="1" applyFill="1" applyBorder="1" applyAlignment="1">
      <alignment horizontal="center"/>
    </xf>
    <xf numFmtId="0" fontId="61" fillId="3" borderId="2" xfId="0" applyFont="1" applyFill="1" applyBorder="1" applyAlignment="1">
      <alignment horizontal="center"/>
    </xf>
  </cellXfs>
  <cellStyles count="157">
    <cellStyle name="Comma" xfId="1" builtinId="3"/>
    <cellStyle name="Comma [0] 2" xfId="29"/>
    <cellStyle name="Comma 10" xfId="34"/>
    <cellStyle name="Comma 11" xfId="36"/>
    <cellStyle name="Comma 12" xfId="39"/>
    <cellStyle name="Comma 13" xfId="41"/>
    <cellStyle name="Comma 13 2" xfId="147"/>
    <cellStyle name="Comma 14" xfId="43"/>
    <cellStyle name="Comma 15" xfId="45"/>
    <cellStyle name="Comma 16" xfId="47"/>
    <cellStyle name="Comma 17" xfId="49"/>
    <cellStyle name="Comma 18" xfId="54"/>
    <cellStyle name="Comma 19" xfId="62"/>
    <cellStyle name="Comma 2" xfId="7"/>
    <cellStyle name="Comma 2 2" xfId="50"/>
    <cellStyle name="Comma 2 3" xfId="101"/>
    <cellStyle name="Comma 20" xfId="64"/>
    <cellStyle name="Comma 21" xfId="66"/>
    <cellStyle name="Comma 22" xfId="69"/>
    <cellStyle name="Comma 23" xfId="71"/>
    <cellStyle name="Comma 24" xfId="73"/>
    <cellStyle name="Comma 25" xfId="75"/>
    <cellStyle name="Comma 26" xfId="77"/>
    <cellStyle name="Comma 27" xfId="79"/>
    <cellStyle name="Comma 28" xfId="81"/>
    <cellStyle name="Comma 29" xfId="85"/>
    <cellStyle name="Comma 3" xfId="17"/>
    <cellStyle name="Comma 30" xfId="92"/>
    <cellStyle name="Comma 31" xfId="94"/>
    <cellStyle name="Comma 32" xfId="96"/>
    <cellStyle name="Comma 33" xfId="98"/>
    <cellStyle name="Comma 34" xfId="100"/>
    <cellStyle name="Comma 35" xfId="103"/>
    <cellStyle name="Comma 36" xfId="105"/>
    <cellStyle name="Comma 37" xfId="108"/>
    <cellStyle name="Comma 38" xfId="110"/>
    <cellStyle name="Comma 39" xfId="112"/>
    <cellStyle name="Comma 4" xfId="19"/>
    <cellStyle name="Comma 40" xfId="114"/>
    <cellStyle name="Comma 41" xfId="116"/>
    <cellStyle name="Comma 42" xfId="118"/>
    <cellStyle name="Comma 43" xfId="120"/>
    <cellStyle name="Comma 44" xfId="122"/>
    <cellStyle name="Comma 45" xfId="124"/>
    <cellStyle name="Comma 46" xfId="126"/>
    <cellStyle name="Comma 47" xfId="129"/>
    <cellStyle name="Comma 48" xfId="131"/>
    <cellStyle name="Comma 49" xfId="133"/>
    <cellStyle name="Comma 5" xfId="21"/>
    <cellStyle name="Comma 50" xfId="135"/>
    <cellStyle name="Comma 51" xfId="137"/>
    <cellStyle name="Comma 52" xfId="139"/>
    <cellStyle name="Comma 53" xfId="141"/>
    <cellStyle name="Comma 54" xfId="143"/>
    <cellStyle name="Comma 55" xfId="144"/>
    <cellStyle name="Comma 56" xfId="146"/>
    <cellStyle name="Comma 57" xfId="148"/>
    <cellStyle name="Comma 58" xfId="149"/>
    <cellStyle name="Comma 59" xfId="154"/>
    <cellStyle name="Comma 6" xfId="23"/>
    <cellStyle name="Comma 60" xfId="155"/>
    <cellStyle name="Comma 7" xfId="25"/>
    <cellStyle name="Comma 7 2" xfId="30"/>
    <cellStyle name="Comma 7 3" xfId="52"/>
    <cellStyle name="Comma 7 4" xfId="56"/>
    <cellStyle name="Comma 7 5" xfId="83"/>
    <cellStyle name="Comma 7 6" xfId="87"/>
    <cellStyle name="Comma 7 7" xfId="150"/>
    <cellStyle name="Comma 8" xfId="28"/>
    <cellStyle name="Comma 8 2" xfId="58"/>
    <cellStyle name="Comma 8 3" xfId="89"/>
    <cellStyle name="Comma 9" xfId="32"/>
    <cellStyle name="comma zerodec" xfId="3"/>
    <cellStyle name="Currency1" xfId="4"/>
    <cellStyle name="Dollar (zero dec)" xfId="5"/>
    <cellStyle name="Normal" xfId="0" builtinId="0"/>
    <cellStyle name="Normal - Style1" xfId="6"/>
    <cellStyle name="Normal 10" xfId="31"/>
    <cellStyle name="Normal 11" xfId="33"/>
    <cellStyle name="Normal 12" xfId="35"/>
    <cellStyle name="Normal 12 2" xfId="151"/>
    <cellStyle name="Normal 13" xfId="38"/>
    <cellStyle name="Normal 14" xfId="40"/>
    <cellStyle name="Normal 15" xfId="42"/>
    <cellStyle name="Normal 16" xfId="44"/>
    <cellStyle name="Normal 17" xfId="46"/>
    <cellStyle name="Normal 18" xfId="48"/>
    <cellStyle name="Normal 19" xfId="53"/>
    <cellStyle name="Normal 2" xfId="8"/>
    <cellStyle name="Normal 2 2" xfId="37"/>
    <cellStyle name="Normal 2 2 2" xfId="127"/>
    <cellStyle name="Normal 2 3" xfId="59"/>
    <cellStyle name="Normal 20" xfId="61"/>
    <cellStyle name="Normal 21" xfId="63"/>
    <cellStyle name="Normal 22" xfId="65"/>
    <cellStyle name="Normal 23" xfId="67"/>
    <cellStyle name="Normal 23 2" xfId="140"/>
    <cellStyle name="Normal 24" xfId="68"/>
    <cellStyle name="Normal 25" xfId="70"/>
    <cellStyle name="Normal 26" xfId="72"/>
    <cellStyle name="Normal 27" xfId="74"/>
    <cellStyle name="Normal 28" xfId="76"/>
    <cellStyle name="Normal 29" xfId="78"/>
    <cellStyle name="Normal 3" xfId="14"/>
    <cellStyle name="Normal 3 2" xfId="60"/>
    <cellStyle name="Normal 30" xfId="80"/>
    <cellStyle name="Normal 31" xfId="84"/>
    <cellStyle name="Normal 32" xfId="90"/>
    <cellStyle name="Normal 33" xfId="91"/>
    <cellStyle name="Normal 34" xfId="93"/>
    <cellStyle name="Normal 35" xfId="95"/>
    <cellStyle name="Normal 36" xfId="97"/>
    <cellStyle name="Normal 37" xfId="99"/>
    <cellStyle name="Normal 38" xfId="102"/>
    <cellStyle name="Normal 39" xfId="104"/>
    <cellStyle name="Normal 4" xfId="15"/>
    <cellStyle name="Normal 40" xfId="107"/>
    <cellStyle name="Normal 41" xfId="109"/>
    <cellStyle name="Normal 42" xfId="111"/>
    <cellStyle name="Normal 43" xfId="113"/>
    <cellStyle name="Normal 44" xfId="115"/>
    <cellStyle name="Normal 45" xfId="117"/>
    <cellStyle name="Normal 46" xfId="119"/>
    <cellStyle name="Normal 47" xfId="121"/>
    <cellStyle name="Normal 48" xfId="123"/>
    <cellStyle name="Normal 49" xfId="125"/>
    <cellStyle name="Normal 5" xfId="16"/>
    <cellStyle name="Normal 50" xfId="128"/>
    <cellStyle name="Normal 51" xfId="130"/>
    <cellStyle name="Normal 52" xfId="132"/>
    <cellStyle name="Normal 53" xfId="134"/>
    <cellStyle name="Normal 54" xfId="136"/>
    <cellStyle name="Normal 55" xfId="138"/>
    <cellStyle name="Normal 56" xfId="142"/>
    <cellStyle name="Normal 57" xfId="145"/>
    <cellStyle name="Normal 58" xfId="152"/>
    <cellStyle name="Normal 59" xfId="156"/>
    <cellStyle name="Normal 6" xfId="18"/>
    <cellStyle name="Normal 6 2" xfId="26"/>
    <cellStyle name="Normal 6 3" xfId="51"/>
    <cellStyle name="Normal 6 4" xfId="55"/>
    <cellStyle name="Normal 6 5" xfId="82"/>
    <cellStyle name="Normal 6 6" xfId="86"/>
    <cellStyle name="Normal 6 7" xfId="153"/>
    <cellStyle name="Normal 7" xfId="20"/>
    <cellStyle name="Normal 8" xfId="22"/>
    <cellStyle name="Normal 8 2" xfId="27"/>
    <cellStyle name="Normal 8 3" xfId="57"/>
    <cellStyle name="Normal 8 4" xfId="88"/>
    <cellStyle name="Normal 9" xfId="24"/>
    <cellStyle name="Normal_STOCKSAMUI" xfId="2"/>
    <cellStyle name="Normal_STOCKSAMUI 2" xfId="106"/>
    <cellStyle name="เครื่องหมายจุลภาค [0]_PERSONAL" xfId="9"/>
    <cellStyle name="เครื่องหมายจุลภาค_PERSONAL" xfId="10"/>
    <cellStyle name="เครื่องหมายสกุลเงิน [0]_PERSONAL" xfId="11"/>
    <cellStyle name="เครื่องหมายสกุลเงิน_PERSONAL" xfId="12"/>
    <cellStyle name="ปกติ_PERSON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1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5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5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200%20&#3591;&#3634;&#3609;%20&#3616;&#3607;/Aviation/Aviation%2012.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SS%2011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SS%201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x\jet\55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215"/>
      <sheetName val="รับ1215 new"/>
      <sheetName val="รับ1215"/>
      <sheetName val="รับ 1115"/>
      <sheetName val="1115"/>
      <sheetName val="รับ 1015"/>
      <sheetName val="1015"/>
      <sheetName val="รับ 0915"/>
      <sheetName val="0915"/>
      <sheetName val="0815"/>
      <sheetName val="รับ 0815"/>
      <sheetName val="0715"/>
      <sheetName val="รับ 0715"/>
      <sheetName val="0615"/>
      <sheetName val="รับ 0615"/>
      <sheetName val="0515"/>
      <sheetName val="รับ 0515"/>
      <sheetName val="0415"/>
      <sheetName val="รับ 0415"/>
      <sheetName val="0315"/>
      <sheetName val="รับ 0315"/>
      <sheetName val="0215"/>
      <sheetName val="รับ 0215"/>
      <sheetName val="0115"/>
      <sheetName val="รับ 0115"/>
      <sheetName val="1214"/>
      <sheetName val="รับ 1214 new"/>
      <sheetName val="รับ 1214"/>
      <sheetName val="1114"/>
      <sheetName val="รับ 1114"/>
      <sheetName val="รับ 1014"/>
      <sheetName val="1014"/>
      <sheetName val="รับ 0914"/>
      <sheetName val="0914"/>
      <sheetName val="รับ 0814"/>
      <sheetName val="0814"/>
      <sheetName val="รับ 0714"/>
      <sheetName val="0714"/>
      <sheetName val="รับ 0614"/>
      <sheetName val="0614"/>
      <sheetName val="รับ 0514"/>
      <sheetName val="0514"/>
      <sheetName val="รับ 0414"/>
      <sheetName val="0414"/>
      <sheetName val="รับ 0314"/>
      <sheetName val="0314"/>
      <sheetName val="รับ 0214"/>
      <sheetName val="0214"/>
      <sheetName val="0114"/>
      <sheetName val="รับ 0114 (2)"/>
      <sheetName val="รับ 0114"/>
      <sheetName val="1213"/>
      <sheetName val="รับ 1213"/>
      <sheetName val="1113"/>
      <sheetName val="รับ 1113"/>
      <sheetName val="1013"/>
      <sheetName val="รับ 1013"/>
      <sheetName val="0913"/>
      <sheetName val="0813"/>
      <sheetName val="0713"/>
      <sheetName val="0613"/>
      <sheetName val="0513"/>
      <sheetName val="รับ 0413"/>
      <sheetName val="0413"/>
      <sheetName val="รับ 0313"/>
      <sheetName val="0313"/>
      <sheetName val="รับ 0213"/>
      <sheetName val="0213"/>
      <sheetName val="รับ 0113"/>
      <sheetName val="0113"/>
      <sheetName val="รับ 1212"/>
      <sheetName val="1212"/>
      <sheetName val="รับ 1112"/>
      <sheetName val="1112"/>
      <sheetName val="รับ 1012"/>
      <sheetName val="1012"/>
      <sheetName val="รับ 0912"/>
      <sheetName val="0912"/>
      <sheetName val="0812"/>
      <sheetName val="0712"/>
      <sheetName val="0612"/>
      <sheetName val="0512"/>
      <sheetName val="0412"/>
      <sheetName val="รับ 0312"/>
      <sheetName val="0312"/>
      <sheetName val="รับ 0212"/>
      <sheetName val="0212"/>
      <sheetName val="รับ 0112"/>
      <sheetName val="0112"/>
      <sheetName val="รับ 1211"/>
      <sheetName val="1211"/>
      <sheetName val="1111"/>
      <sheetName val="1011"/>
      <sheetName val="0911"/>
      <sheetName val="0811"/>
      <sheetName val="0711"/>
      <sheetName val="0611"/>
      <sheetName val="0511"/>
      <sheetName val="0411"/>
      <sheetName val="0311"/>
      <sheetName val="0211"/>
      <sheetName val="0111"/>
      <sheetName val="รับ 0111"/>
      <sheetName val="1210"/>
      <sheetName val="ASS 1210"/>
      <sheetName val="1110"/>
      <sheetName val="ASS 1110"/>
      <sheetName val="1010"/>
      <sheetName val="ASS 1010"/>
      <sheetName val="0910"/>
      <sheetName val="0810"/>
      <sheetName val="0710"/>
      <sheetName val="0610"/>
      <sheetName val="0510"/>
      <sheetName val="0410"/>
      <sheetName val="0310"/>
      <sheetName val="0210"/>
      <sheetName val="รับ 0210"/>
      <sheetName val="0110"/>
      <sheetName val="1209"/>
      <sheetName val="1109"/>
      <sheetName val="issue 1109"/>
      <sheetName val="1009"/>
      <sheetName val="5523 1009"/>
      <sheetName val="5523 0609"/>
    </sheetNames>
    <sheetDataSet>
      <sheetData sheetId="0"/>
      <sheetData sheetId="1"/>
      <sheetData sheetId="2"/>
      <sheetData sheetId="3">
        <row r="163">
          <cell r="K163">
            <v>6813575.2369999988</v>
          </cell>
        </row>
      </sheetData>
      <sheetData sheetId="4">
        <row r="177">
          <cell r="D177">
            <v>4790476.491999995</v>
          </cell>
        </row>
      </sheetData>
      <sheetData sheetId="5"/>
      <sheetData sheetId="6">
        <row r="161">
          <cell r="D161">
            <v>4614002.2759999987</v>
          </cell>
        </row>
      </sheetData>
      <sheetData sheetId="7"/>
      <sheetData sheetId="8">
        <row r="167">
          <cell r="D167">
            <v>4703401.7810000004</v>
          </cell>
        </row>
      </sheetData>
      <sheetData sheetId="9"/>
      <sheetData sheetId="10"/>
      <sheetData sheetId="11"/>
      <sheetData sheetId="12"/>
      <sheetData sheetId="13">
        <row r="161">
          <cell r="D161">
            <v>4570642.22</v>
          </cell>
        </row>
      </sheetData>
      <sheetData sheetId="14"/>
      <sheetData sheetId="15">
        <row r="171">
          <cell r="D171">
            <v>4524197.8439999996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211">
          <cell r="F211" t="str">
            <v>TOP 290115</v>
          </cell>
        </row>
        <row r="212">
          <cell r="D212">
            <v>175958.728</v>
          </cell>
        </row>
        <row r="213">
          <cell r="D213">
            <v>176055.81200000001</v>
          </cell>
        </row>
        <row r="214">
          <cell r="D214">
            <v>175942.36199999999</v>
          </cell>
        </row>
        <row r="215">
          <cell r="D215">
            <v>87935.673999999999</v>
          </cell>
          <cell r="F215" t="str">
            <v>GC 310115</v>
          </cell>
        </row>
        <row r="216">
          <cell r="D216">
            <v>176058.07199999999</v>
          </cell>
        </row>
        <row r="217">
          <cell r="D217">
            <v>175924.12599999999</v>
          </cell>
        </row>
        <row r="218">
          <cell r="D218">
            <v>132107.052</v>
          </cell>
          <cell r="F218" t="str">
            <v>TOP 020215</v>
          </cell>
        </row>
        <row r="219">
          <cell r="D219">
            <v>132107.08599999998</v>
          </cell>
        </row>
        <row r="220">
          <cell r="D220">
            <v>219863.72</v>
          </cell>
          <cell r="F220" t="str">
            <v>GC 030215</v>
          </cell>
        </row>
        <row r="221">
          <cell r="D221">
            <v>219947.20099999997</v>
          </cell>
        </row>
        <row r="222">
          <cell r="D222">
            <v>44120.631000000001</v>
          </cell>
          <cell r="F222" t="str">
            <v>TOP 040215</v>
          </cell>
        </row>
        <row r="223">
          <cell r="D223">
            <v>263917.913</v>
          </cell>
        </row>
        <row r="224">
          <cell r="D224">
            <v>107808.45199999987</v>
          </cell>
        </row>
        <row r="225">
          <cell r="D225">
            <v>112322.503</v>
          </cell>
          <cell r="F225" t="str">
            <v>TOP 050215</v>
          </cell>
        </row>
        <row r="226">
          <cell r="D226">
            <v>175963.25200000001</v>
          </cell>
        </row>
        <row r="227">
          <cell r="D227">
            <v>132004.12899999999</v>
          </cell>
          <cell r="F227" t="str">
            <v>GC 060215</v>
          </cell>
        </row>
        <row r="228">
          <cell r="D228">
            <v>88054.907999999996</v>
          </cell>
          <cell r="F228" t="str">
            <v>GC 070215</v>
          </cell>
        </row>
        <row r="229">
          <cell r="D229">
            <v>220072.92100000003</v>
          </cell>
        </row>
        <row r="230">
          <cell r="D230">
            <v>44039.332000000002</v>
          </cell>
          <cell r="F230" t="str">
            <v>GC 090215</v>
          </cell>
        </row>
        <row r="231">
          <cell r="D231">
            <v>264022.06099999999</v>
          </cell>
        </row>
        <row r="232">
          <cell r="D232">
            <v>25427.695999999938</v>
          </cell>
        </row>
        <row r="233">
          <cell r="D233">
            <v>194514.04800000001</v>
          </cell>
          <cell r="F233" t="str">
            <v>TOP 100215</v>
          </cell>
        </row>
        <row r="234">
          <cell r="D234">
            <v>88000.91399999999</v>
          </cell>
        </row>
        <row r="235">
          <cell r="D235">
            <v>219984.53599999999</v>
          </cell>
          <cell r="F235" t="str">
            <v>GC 120215</v>
          </cell>
        </row>
        <row r="236">
          <cell r="D236">
            <v>44000.000000000029</v>
          </cell>
        </row>
        <row r="237">
          <cell r="D237">
            <v>352036.09100000001</v>
          </cell>
          <cell r="F237" t="str">
            <v>TOP 130215</v>
          </cell>
        </row>
        <row r="238">
          <cell r="D238">
            <v>132012.77399999998</v>
          </cell>
        </row>
        <row r="239">
          <cell r="D239">
            <v>132075.81400000001</v>
          </cell>
          <cell r="F239" t="str">
            <v>GC 140215</v>
          </cell>
        </row>
        <row r="240">
          <cell r="D240">
            <v>175975.84499999997</v>
          </cell>
        </row>
        <row r="241">
          <cell r="D241">
            <v>176042.54</v>
          </cell>
          <cell r="F241" t="str">
            <v>GC 150215</v>
          </cell>
        </row>
        <row r="242">
          <cell r="D242">
            <v>176025.59400000001</v>
          </cell>
        </row>
        <row r="243">
          <cell r="D243">
            <v>131996.09099999999</v>
          </cell>
          <cell r="F243" t="str">
            <v>TOP 160215</v>
          </cell>
        </row>
        <row r="244">
          <cell r="D244">
            <v>175994.80000000002</v>
          </cell>
        </row>
        <row r="245">
          <cell r="D245">
            <v>87964.53</v>
          </cell>
          <cell r="F245" t="str">
            <v>TOP 170215</v>
          </cell>
        </row>
        <row r="246">
          <cell r="D246">
            <v>175956.30100000001</v>
          </cell>
        </row>
        <row r="247">
          <cell r="D247">
            <v>132013.65299999999</v>
          </cell>
          <cell r="F247" t="str">
            <v>GC 180215</v>
          </cell>
        </row>
        <row r="248">
          <cell r="D248">
            <v>175957.29200000002</v>
          </cell>
        </row>
        <row r="249">
          <cell r="D249">
            <v>131902.76699999999</v>
          </cell>
          <cell r="F249" t="str">
            <v>TOP 200215</v>
          </cell>
        </row>
        <row r="250">
          <cell r="D250">
            <v>248881.22699999996</v>
          </cell>
        </row>
        <row r="251">
          <cell r="D251">
            <v>58872.866000000002</v>
          </cell>
          <cell r="F251" t="str">
            <v>GC 210215</v>
          </cell>
        </row>
        <row r="252">
          <cell r="D252">
            <v>307900.467</v>
          </cell>
        </row>
        <row r="253">
          <cell r="D253">
            <v>220506.65800000035</v>
          </cell>
        </row>
        <row r="254">
          <cell r="D254">
            <v>131423.56299999999</v>
          </cell>
          <cell r="F254" t="str">
            <v>GC 240215</v>
          </cell>
        </row>
        <row r="255">
          <cell r="D255">
            <v>219823.698</v>
          </cell>
        </row>
        <row r="256">
          <cell r="D256">
            <v>131816.67300000001</v>
          </cell>
          <cell r="F256" t="str">
            <v>TOP 230215</v>
          </cell>
        </row>
        <row r="257">
          <cell r="D257">
            <v>223051.0799999999</v>
          </cell>
        </row>
        <row r="258">
          <cell r="D258">
            <v>128732.424</v>
          </cell>
          <cell r="F258" t="str">
            <v>TOP 250215</v>
          </cell>
        </row>
        <row r="259">
          <cell r="D259">
            <v>278498.80900000007</v>
          </cell>
        </row>
        <row r="260">
          <cell r="D260">
            <v>29477.8479999999</v>
          </cell>
          <cell r="F260" t="str">
            <v>TOP 260215</v>
          </cell>
        </row>
        <row r="261">
          <cell r="D261">
            <v>7831092.5340000009</v>
          </cell>
        </row>
      </sheetData>
      <sheetData sheetId="24"/>
      <sheetData sheetId="25">
        <row r="211">
          <cell r="D211">
            <v>5692040.9440000011</v>
          </cell>
        </row>
      </sheetData>
      <sheetData sheetId="26"/>
      <sheetData sheetId="27">
        <row r="172">
          <cell r="D172">
            <v>4753527.4730000012</v>
          </cell>
        </row>
      </sheetData>
      <sheetData sheetId="28"/>
      <sheetData sheetId="29"/>
      <sheetData sheetId="30"/>
      <sheetData sheetId="31">
        <row r="95">
          <cell r="F95" t="str">
            <v>TOP 220914</v>
          </cell>
        </row>
        <row r="96">
          <cell r="D96">
            <v>43920.923999999883</v>
          </cell>
        </row>
        <row r="97">
          <cell r="D97">
            <v>43931.366000000096</v>
          </cell>
          <cell r="F97" t="str">
            <v>TOP 240914</v>
          </cell>
        </row>
        <row r="98">
          <cell r="D98">
            <v>175348.25</v>
          </cell>
        </row>
        <row r="99">
          <cell r="D99">
            <v>43927.858999999997</v>
          </cell>
        </row>
        <row r="100">
          <cell r="D100">
            <v>43915.002</v>
          </cell>
          <cell r="F100" t="str">
            <v>TOP 270914</v>
          </cell>
        </row>
        <row r="101">
          <cell r="D101">
            <v>132037.65</v>
          </cell>
        </row>
        <row r="102">
          <cell r="D102">
            <v>95420.279999999795</v>
          </cell>
        </row>
        <row r="103">
          <cell r="D103">
            <v>36731.688000000198</v>
          </cell>
          <cell r="F103" t="str">
            <v>TOP 280914</v>
          </cell>
        </row>
        <row r="104">
          <cell r="D104">
            <v>88030.603000000003</v>
          </cell>
        </row>
        <row r="105">
          <cell r="D105">
            <v>88149.850999999995</v>
          </cell>
        </row>
        <row r="106">
          <cell r="D106">
            <v>88052.207999999999</v>
          </cell>
        </row>
        <row r="107">
          <cell r="D107">
            <v>43986.531000000003</v>
          </cell>
          <cell r="F107" t="str">
            <v>TOP 011014</v>
          </cell>
        </row>
        <row r="108">
          <cell r="D108">
            <v>43980.116999999998</v>
          </cell>
        </row>
        <row r="109">
          <cell r="D109">
            <v>43952.650999999998</v>
          </cell>
        </row>
        <row r="110">
          <cell r="D110">
            <v>131977.924</v>
          </cell>
          <cell r="F110" t="str">
            <v>GC 041014</v>
          </cell>
        </row>
        <row r="111">
          <cell r="D111">
            <v>131930.57999999999</v>
          </cell>
        </row>
        <row r="112">
          <cell r="D112">
            <v>87951.463000000003</v>
          </cell>
        </row>
        <row r="113">
          <cell r="D113">
            <v>44006.184999999998</v>
          </cell>
          <cell r="F113" t="str">
            <v>GC 081014</v>
          </cell>
        </row>
        <row r="114">
          <cell r="D114">
            <v>152029.201</v>
          </cell>
        </row>
        <row r="115">
          <cell r="D115">
            <v>59981.749999999767</v>
          </cell>
        </row>
        <row r="116">
          <cell r="D116">
            <v>43956.403000000202</v>
          </cell>
          <cell r="F116" t="str">
            <v>TOP 121014</v>
          </cell>
        </row>
        <row r="117">
          <cell r="D117">
            <v>87880.702000000005</v>
          </cell>
        </row>
        <row r="118">
          <cell r="D118">
            <v>132099.99799999999</v>
          </cell>
        </row>
        <row r="119">
          <cell r="D119">
            <v>87984.487999999998</v>
          </cell>
          <cell r="F119" t="str">
            <v>TOP 161014</v>
          </cell>
        </row>
        <row r="120">
          <cell r="D120">
            <v>132060.44099999999</v>
          </cell>
        </row>
        <row r="121">
          <cell r="D121">
            <v>87857.97</v>
          </cell>
        </row>
        <row r="122">
          <cell r="D122">
            <v>132011.527</v>
          </cell>
        </row>
        <row r="123">
          <cell r="D123">
            <v>43934.635000000002</v>
          </cell>
        </row>
        <row r="124">
          <cell r="D124">
            <v>131861.73499999999</v>
          </cell>
          <cell r="F124" t="str">
            <v>TOP 191014</v>
          </cell>
        </row>
        <row r="125">
          <cell r="D125">
            <v>44014.628999999928</v>
          </cell>
        </row>
        <row r="126">
          <cell r="D126">
            <v>88051.025000000096</v>
          </cell>
          <cell r="F126" t="str">
            <v>GC 231014</v>
          </cell>
        </row>
        <row r="127">
          <cell r="D127">
            <v>131870.13500000001</v>
          </cell>
        </row>
        <row r="128">
          <cell r="D128">
            <v>91365.556999998924</v>
          </cell>
        </row>
        <row r="129">
          <cell r="D129">
            <v>40498.5950000011</v>
          </cell>
          <cell r="F129" t="str">
            <v>GC 261014</v>
          </cell>
        </row>
        <row r="130">
          <cell r="D130">
            <v>175929.60399999999</v>
          </cell>
        </row>
        <row r="131">
          <cell r="D131">
            <v>87892.641999999934</v>
          </cell>
        </row>
        <row r="132">
          <cell r="D132">
            <v>44051.405000000101</v>
          </cell>
          <cell r="F132" t="str">
            <v>GC 271014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สมุย"/>
      <sheetName val="หาดใหญ่"/>
      <sheetName val="หัวหิน"/>
      <sheetName val="กระบี่"/>
      <sheetName val="ภูเก็ต"/>
      <sheetName val="เชียงใหม่"/>
      <sheetName val="เชียงราย"/>
      <sheetName val="อุดร"/>
      <sheetName val="อู่ตะเผา"/>
      <sheetName val="สุราด"/>
    </sheetNames>
    <sheetDataSet>
      <sheetData sheetId="0"/>
      <sheetData sheetId="1"/>
      <sheetData sheetId="2"/>
      <sheetData sheetId="3"/>
      <sheetData sheetId="4">
        <row r="835">
          <cell r="O835">
            <v>7664400.3630000027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น.ภก."/>
      <sheetName val="คป.สข."/>
      <sheetName val="คป.สร."/>
      <sheetName val="คน.ลก."/>
      <sheetName val="Thap"/>
      <sheetName val="คป.บจ."/>
      <sheetName val="เชียงใหม่"/>
      <sheetName val="เชียงราย"/>
      <sheetName val="อุดร"/>
      <sheetName val="อู่ตะเภา JP1"/>
      <sheetName val="อู่ตะเภา JP8"/>
      <sheetName val="สุราษฎร์"/>
      <sheetName val="ภูเก็ต"/>
      <sheetName val="กระบี่"/>
      <sheetName val="หัวหิน"/>
      <sheetName val="หาดใหญ่"/>
      <sheetName val="สมุย"/>
      <sheetName val="1"/>
      <sheetName val="1 (2)"/>
    </sheetNames>
    <sheetDataSet>
      <sheetData sheetId="0"/>
      <sheetData sheetId="1"/>
      <sheetData sheetId="2"/>
      <sheetData sheetId="3"/>
      <sheetData sheetId="4">
        <row r="47">
          <cell r="C47">
            <v>9027233</v>
          </cell>
        </row>
      </sheetData>
      <sheetData sheetId="5"/>
      <sheetData sheetId="6">
        <row r="1197">
          <cell r="N1197">
            <v>6324291.8469999991</v>
          </cell>
        </row>
      </sheetData>
      <sheetData sheetId="7">
        <row r="50">
          <cell r="N50">
            <v>95514.691999999995</v>
          </cell>
        </row>
      </sheetData>
      <sheetData sheetId="8"/>
      <sheetData sheetId="9">
        <row r="292">
          <cell r="N292">
            <v>1167982.3100000005</v>
          </cell>
        </row>
      </sheetData>
      <sheetData sheetId="10"/>
      <sheetData sheetId="11">
        <row r="86">
          <cell r="N86">
            <v>484628.95600000001</v>
          </cell>
        </row>
      </sheetData>
      <sheetData sheetId="12">
        <row r="2066">
          <cell r="N2066">
            <v>35115763.256999962</v>
          </cell>
        </row>
      </sheetData>
      <sheetData sheetId="13">
        <row r="429">
          <cell r="N429">
            <v>4964993.7209999999</v>
          </cell>
        </row>
      </sheetData>
      <sheetData sheetId="14"/>
      <sheetData sheetId="15"/>
      <sheetData sheetId="16">
        <row r="671">
          <cell r="N671">
            <v>1306152</v>
          </cell>
        </row>
      </sheetData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น.ลก."/>
      <sheetName val="คป.บจ."/>
      <sheetName val="คป.สข."/>
      <sheetName val="คน.ภก."/>
      <sheetName val="คป.สร."/>
      <sheetName val="เชียงใหม่"/>
      <sheetName val="เชียงราย"/>
      <sheetName val="อุดร"/>
      <sheetName val="อู่ตะเภา JP1"/>
      <sheetName val="อู่ตะเภา JP8"/>
      <sheetName val="สุราษฎร์"/>
      <sheetName val="ภูเก็ต"/>
      <sheetName val="กระบี่"/>
      <sheetName val="หัวหิน"/>
      <sheetName val="หาดใหญ่"/>
      <sheetName val="สมุย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63">
          <cell r="N263">
            <v>1238171.906</v>
          </cell>
        </row>
      </sheetData>
      <sheetData sheetId="9"/>
      <sheetData sheetId="10"/>
      <sheetData sheetId="11">
        <row r="1912">
          <cell r="N1912">
            <v>27771806.631999969</v>
          </cell>
        </row>
      </sheetData>
      <sheetData sheetId="12">
        <row r="424">
          <cell r="N424">
            <v>4374109.227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3"/>
      <sheetName val="รับ 1113"/>
      <sheetName val="1013"/>
      <sheetName val="รับ 1013"/>
      <sheetName val="0913"/>
      <sheetName val="0813"/>
      <sheetName val="0713"/>
      <sheetName val="0613"/>
      <sheetName val="0513"/>
      <sheetName val="รับ 0413"/>
      <sheetName val="0413"/>
      <sheetName val="รับ 0313"/>
      <sheetName val="0313"/>
      <sheetName val="รับ 0213"/>
      <sheetName val="0213"/>
      <sheetName val="รับ 0113"/>
      <sheetName val="0113"/>
      <sheetName val="รับ 1212"/>
      <sheetName val="1212"/>
      <sheetName val="รับ 1112"/>
      <sheetName val="1112"/>
      <sheetName val="รับ 1012"/>
      <sheetName val="1012"/>
      <sheetName val="รับ 0912"/>
      <sheetName val="0912"/>
      <sheetName val="0812"/>
      <sheetName val="0712"/>
      <sheetName val="0612"/>
      <sheetName val="0512"/>
      <sheetName val="0412"/>
      <sheetName val="รับ 0312"/>
      <sheetName val="0312"/>
      <sheetName val="รับ 0212"/>
      <sheetName val="0212"/>
      <sheetName val="รับ 0112"/>
      <sheetName val="0112"/>
      <sheetName val="รับ 1211"/>
      <sheetName val="1211"/>
      <sheetName val="1111"/>
      <sheetName val="1011"/>
      <sheetName val="0911"/>
      <sheetName val="0811"/>
      <sheetName val="0711"/>
      <sheetName val="0611"/>
      <sheetName val="0511"/>
      <sheetName val="0411"/>
      <sheetName val="0311"/>
      <sheetName val="0211"/>
      <sheetName val="0111"/>
      <sheetName val="รับ 0111"/>
      <sheetName val="1210"/>
      <sheetName val="ASS 1210"/>
      <sheetName val="1110"/>
      <sheetName val="ASS 1110"/>
      <sheetName val="1010"/>
      <sheetName val="ASS 1010"/>
      <sheetName val="0910"/>
      <sheetName val="0810"/>
      <sheetName val="0710"/>
      <sheetName val="0610"/>
      <sheetName val="0510"/>
      <sheetName val="0410"/>
      <sheetName val="0310"/>
      <sheetName val="0210"/>
      <sheetName val="รับ 0210"/>
      <sheetName val="0110"/>
      <sheetName val="1209"/>
      <sheetName val="1109"/>
      <sheetName val="issue 1109"/>
      <sheetName val="1009"/>
      <sheetName val="5523 1009"/>
      <sheetName val="5523 0609"/>
    </sheetNames>
    <sheetDataSet>
      <sheetData sheetId="0"/>
      <sheetData sheetId="1">
        <row r="64">
          <cell r="D64">
            <v>2434497.4019999993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1">
          <cell r="F61" t="str">
            <v>TOP 241012</v>
          </cell>
        </row>
        <row r="62">
          <cell r="D62">
            <v>42093.591</v>
          </cell>
        </row>
        <row r="63">
          <cell r="D63">
            <v>39969.173000000003</v>
          </cell>
        </row>
        <row r="64">
          <cell r="D64">
            <v>62073.313000000002</v>
          </cell>
        </row>
        <row r="65">
          <cell r="D65">
            <v>121845.046</v>
          </cell>
        </row>
        <row r="66">
          <cell r="D66">
            <v>41995.741000000002</v>
          </cell>
          <cell r="F66" t="str">
            <v>GC 021112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408"/>
  <sheetViews>
    <sheetView topLeftCell="A172" workbookViewId="0">
      <selection activeCell="G173" sqref="G173:G189"/>
    </sheetView>
  </sheetViews>
  <sheetFormatPr defaultRowHeight="14.25" customHeight="1" x14ac:dyDescent="0.5"/>
  <cols>
    <col min="1" max="2" width="9.140625" style="464"/>
    <col min="3" max="4" width="9.140625" style="464" customWidth="1"/>
    <col min="5" max="16384" width="9.140625" style="464"/>
  </cols>
  <sheetData>
    <row r="2" spans="3:7" ht="14.25" customHeight="1" x14ac:dyDescent="0.5">
      <c r="C2" s="464" t="s">
        <v>4091</v>
      </c>
      <c r="D2" s="464">
        <v>1237.7776379880088</v>
      </c>
      <c r="F2" s="464" t="s">
        <v>4091</v>
      </c>
      <c r="G2" s="464">
        <f ca="1">SUMIF(C2:D143,F2,D2:D143)</f>
        <v>208898.03899999999</v>
      </c>
    </row>
    <row r="3" spans="3:7" ht="14.25" customHeight="1" x14ac:dyDescent="0.5">
      <c r="C3" s="464" t="s">
        <v>4091</v>
      </c>
      <c r="D3" s="464">
        <v>14735.517</v>
      </c>
      <c r="F3" s="464" t="s">
        <v>4093</v>
      </c>
      <c r="G3" s="464">
        <f t="shared" ref="G3:G11" ca="1" si="0">SUMIF(C3:D144,F3,D3:D144)</f>
        <v>157235.96599999996</v>
      </c>
    </row>
    <row r="4" spans="3:7" ht="14.25" customHeight="1" x14ac:dyDescent="0.5">
      <c r="C4" s="464" t="s">
        <v>4091</v>
      </c>
      <c r="D4" s="464">
        <v>4876.5159999999996</v>
      </c>
      <c r="F4" s="464" t="s">
        <v>4097</v>
      </c>
      <c r="G4" s="464">
        <f t="shared" ca="1" si="0"/>
        <v>245784.38363798807</v>
      </c>
    </row>
    <row r="5" spans="3:7" ht="14.25" customHeight="1" x14ac:dyDescent="0.5">
      <c r="C5" s="464" t="s">
        <v>4091</v>
      </c>
      <c r="D5" s="464">
        <v>34299.563999999998</v>
      </c>
      <c r="F5" s="464" t="s">
        <v>4152</v>
      </c>
      <c r="G5" s="464">
        <f t="shared" ca="1" si="0"/>
        <v>236696.05799999996</v>
      </c>
    </row>
    <row r="6" spans="3:7" ht="14.25" customHeight="1" x14ac:dyDescent="0.5">
      <c r="C6" s="464" t="s">
        <v>4091</v>
      </c>
      <c r="D6" s="464">
        <v>14694.246999999999</v>
      </c>
      <c r="F6" s="464" t="s">
        <v>4155</v>
      </c>
      <c r="G6" s="464">
        <f t="shared" ca="1" si="0"/>
        <v>365523.071</v>
      </c>
    </row>
    <row r="7" spans="3:7" ht="14.25" customHeight="1" x14ac:dyDescent="0.5">
      <c r="C7" s="464" t="s">
        <v>4091</v>
      </c>
      <c r="D7" s="464">
        <v>17502.645</v>
      </c>
      <c r="F7" s="464" t="s">
        <v>4156</v>
      </c>
      <c r="G7" s="464">
        <f t="shared" ca="1" si="0"/>
        <v>118416.17499999999</v>
      </c>
    </row>
    <row r="8" spans="3:7" ht="14.25" customHeight="1" x14ac:dyDescent="0.5">
      <c r="C8" s="464" t="s">
        <v>4091</v>
      </c>
      <c r="D8" s="464">
        <v>7922.2290000000003</v>
      </c>
      <c r="F8" s="464" t="s">
        <v>4158</v>
      </c>
      <c r="G8" s="464">
        <f t="shared" ca="1" si="0"/>
        <v>195916.9029999999</v>
      </c>
    </row>
    <row r="9" spans="3:7" ht="14.25" customHeight="1" x14ac:dyDescent="0.5">
      <c r="C9" s="464" t="s">
        <v>4091</v>
      </c>
      <c r="D9" s="464">
        <v>13605.153</v>
      </c>
      <c r="F9" s="464" t="s">
        <v>4161</v>
      </c>
      <c r="G9" s="464">
        <f t="shared" ca="1" si="0"/>
        <v>269536.1109999998</v>
      </c>
    </row>
    <row r="10" spans="3:7" ht="14.25" customHeight="1" x14ac:dyDescent="0.5">
      <c r="C10" s="464" t="s">
        <v>4091</v>
      </c>
      <c r="D10" s="464">
        <v>78470.843999999997</v>
      </c>
      <c r="F10" s="464" t="s">
        <v>4165</v>
      </c>
      <c r="G10" s="464">
        <f t="shared" ca="1" si="0"/>
        <v>116557.33663798816</v>
      </c>
    </row>
    <row r="11" spans="3:7" ht="14.25" customHeight="1" x14ac:dyDescent="0.5">
      <c r="C11" s="464" t="s">
        <v>4091</v>
      </c>
      <c r="D11" s="464">
        <v>12022.11</v>
      </c>
      <c r="F11" s="464" t="s">
        <v>4166</v>
      </c>
      <c r="G11" s="464">
        <f t="shared" ca="1" si="0"/>
        <v>433330.36899999972</v>
      </c>
    </row>
    <row r="12" spans="3:7" ht="14.25" customHeight="1" x14ac:dyDescent="0.5">
      <c r="C12" s="464" t="s">
        <v>4091</v>
      </c>
      <c r="D12" s="464">
        <v>9531.4363620119839</v>
      </c>
      <c r="F12"/>
      <c r="G12"/>
    </row>
    <row r="13" spans="3:7" ht="14.25" customHeight="1" x14ac:dyDescent="0.5">
      <c r="C13" s="464" t="s">
        <v>4093</v>
      </c>
      <c r="D13" s="464">
        <v>18264.169637988016</v>
      </c>
      <c r="F13"/>
      <c r="G13"/>
    </row>
    <row r="14" spans="3:7" ht="14.25" customHeight="1" x14ac:dyDescent="0.5">
      <c r="C14" s="464" t="s">
        <v>4093</v>
      </c>
      <c r="D14" s="464">
        <v>16942.866999999998</v>
      </c>
      <c r="F14"/>
      <c r="G14"/>
    </row>
    <row r="15" spans="3:7" ht="14.25" customHeight="1" x14ac:dyDescent="0.5">
      <c r="C15" s="464" t="s">
        <v>4093</v>
      </c>
      <c r="D15" s="464">
        <v>13174.34</v>
      </c>
      <c r="F15"/>
      <c r="G15"/>
    </row>
    <row r="16" spans="3:7" ht="14.25" customHeight="1" x14ac:dyDescent="0.5">
      <c r="C16" s="464" t="s">
        <v>4093</v>
      </c>
      <c r="D16" s="464">
        <v>2498.0129999999999</v>
      </c>
      <c r="F16"/>
      <c r="G16"/>
    </row>
    <row r="17" spans="3:7" ht="14.25" customHeight="1" x14ac:dyDescent="0.5">
      <c r="C17" s="464" t="s">
        <v>4093</v>
      </c>
      <c r="D17" s="464">
        <v>10106.119000000001</v>
      </c>
      <c r="F17"/>
      <c r="G17"/>
    </row>
    <row r="18" spans="3:7" ht="14.25" customHeight="1" x14ac:dyDescent="0.5">
      <c r="C18" s="464" t="s">
        <v>4093</v>
      </c>
      <c r="D18" s="464">
        <v>89901.538</v>
      </c>
      <c r="F18"/>
      <c r="G18"/>
    </row>
    <row r="19" spans="3:7" ht="14.25" customHeight="1" x14ac:dyDescent="0.5">
      <c r="C19" s="464" t="s">
        <v>4093</v>
      </c>
      <c r="D19" s="464">
        <v>6348.9193620119622</v>
      </c>
      <c r="F19"/>
      <c r="G19"/>
    </row>
    <row r="20" spans="3:7" ht="14.25" customHeight="1" x14ac:dyDescent="0.5">
      <c r="C20" s="464" t="s">
        <v>4097</v>
      </c>
      <c r="D20" s="464">
        <v>354.31763798805696</v>
      </c>
      <c r="F20"/>
      <c r="G20"/>
    </row>
    <row r="21" spans="3:7" ht="14.25" customHeight="1" x14ac:dyDescent="0.5">
      <c r="C21" s="464" t="s">
        <v>4097</v>
      </c>
      <c r="D21" s="464">
        <v>12495.8</v>
      </c>
      <c r="F21"/>
      <c r="G21"/>
    </row>
    <row r="22" spans="3:7" ht="14.25" customHeight="1" x14ac:dyDescent="0.5">
      <c r="C22" s="464" t="s">
        <v>4097</v>
      </c>
      <c r="D22" s="464">
        <v>7307.2219999999998</v>
      </c>
      <c r="F22"/>
      <c r="G22"/>
    </row>
    <row r="23" spans="3:7" ht="14.25" customHeight="1" x14ac:dyDescent="0.5">
      <c r="C23" s="464" t="s">
        <v>4097</v>
      </c>
      <c r="D23" s="464">
        <v>11449.482</v>
      </c>
      <c r="F23"/>
      <c r="G23"/>
    </row>
    <row r="24" spans="3:7" ht="14.25" customHeight="1" x14ac:dyDescent="0.5">
      <c r="C24" s="464" t="s">
        <v>4097</v>
      </c>
      <c r="D24" s="464">
        <v>11765.578</v>
      </c>
      <c r="F24"/>
      <c r="G24"/>
    </row>
    <row r="25" spans="3:7" ht="14.25" customHeight="1" x14ac:dyDescent="0.5">
      <c r="C25" s="464" t="s">
        <v>4097</v>
      </c>
      <c r="D25" s="464">
        <v>19671.014999999999</v>
      </c>
      <c r="F25"/>
      <c r="G25"/>
    </row>
    <row r="26" spans="3:7" ht="14.25" customHeight="1" x14ac:dyDescent="0.5">
      <c r="C26" s="464" t="s">
        <v>4097</v>
      </c>
      <c r="D26" s="464">
        <v>5806.2330000000002</v>
      </c>
      <c r="F26"/>
      <c r="G26"/>
    </row>
    <row r="27" spans="3:7" ht="14.25" customHeight="1" x14ac:dyDescent="0.5">
      <c r="C27" s="464" t="s">
        <v>4097</v>
      </c>
      <c r="D27" s="464">
        <v>14462.066999999999</v>
      </c>
      <c r="F27"/>
      <c r="G27"/>
    </row>
    <row r="28" spans="3:7" ht="14.25" customHeight="1" x14ac:dyDescent="0.5">
      <c r="C28" s="464" t="s">
        <v>4097</v>
      </c>
      <c r="D28" s="464">
        <v>14083.144</v>
      </c>
      <c r="F28"/>
      <c r="G28"/>
    </row>
    <row r="29" spans="3:7" ht="14.25" customHeight="1" x14ac:dyDescent="0.5">
      <c r="C29" s="464" t="s">
        <v>4097</v>
      </c>
      <c r="D29" s="464">
        <v>13619.237999999999</v>
      </c>
      <c r="F29"/>
      <c r="G29"/>
    </row>
    <row r="30" spans="3:7" ht="14.25" customHeight="1" x14ac:dyDescent="0.5">
      <c r="C30" s="464" t="s">
        <v>4097</v>
      </c>
      <c r="D30" s="464">
        <v>17504.45</v>
      </c>
      <c r="F30"/>
      <c r="G30"/>
    </row>
    <row r="31" spans="3:7" ht="14.25" customHeight="1" x14ac:dyDescent="0.5">
      <c r="C31" s="464" t="s">
        <v>4097</v>
      </c>
      <c r="D31" s="464">
        <v>13605.241</v>
      </c>
      <c r="F31"/>
      <c r="G31"/>
    </row>
    <row r="32" spans="3:7" ht="14.25" customHeight="1" x14ac:dyDescent="0.5">
      <c r="C32" s="464" t="s">
        <v>4097</v>
      </c>
      <c r="D32" s="464">
        <v>6284.7250000000004</v>
      </c>
      <c r="F32"/>
      <c r="G32"/>
    </row>
    <row r="33" spans="3:7" ht="14.25" customHeight="1" x14ac:dyDescent="0.5">
      <c r="C33" s="464" t="s">
        <v>4097</v>
      </c>
      <c r="D33" s="464">
        <v>14394.081</v>
      </c>
      <c r="F33"/>
      <c r="G33"/>
    </row>
    <row r="34" spans="3:7" ht="14.25" customHeight="1" x14ac:dyDescent="0.5">
      <c r="C34" s="464" t="s">
        <v>4097</v>
      </c>
      <c r="D34" s="464">
        <v>15824.79</v>
      </c>
      <c r="F34"/>
      <c r="G34"/>
    </row>
    <row r="35" spans="3:7" ht="14.25" customHeight="1" x14ac:dyDescent="0.5">
      <c r="C35" s="464" t="s">
        <v>4097</v>
      </c>
      <c r="D35" s="464">
        <v>14930</v>
      </c>
      <c r="F35"/>
      <c r="G35"/>
    </row>
    <row r="36" spans="3:7" ht="14.25" customHeight="1" x14ac:dyDescent="0.5">
      <c r="C36" s="464" t="s">
        <v>4097</v>
      </c>
      <c r="D36" s="464">
        <v>6572</v>
      </c>
      <c r="F36"/>
      <c r="G36"/>
    </row>
    <row r="37" spans="3:7" ht="14.25" customHeight="1" x14ac:dyDescent="0.5">
      <c r="C37" s="464" t="s">
        <v>4097</v>
      </c>
      <c r="D37" s="464">
        <v>11143</v>
      </c>
      <c r="F37"/>
      <c r="G37"/>
    </row>
    <row r="38" spans="3:7" ht="14.25" customHeight="1" x14ac:dyDescent="0.5">
      <c r="C38" s="464" t="s">
        <v>4097</v>
      </c>
      <c r="D38" s="464">
        <v>34512</v>
      </c>
      <c r="F38"/>
      <c r="G38"/>
    </row>
    <row r="39" spans="3:7" ht="14.25" customHeight="1" x14ac:dyDescent="0.5">
      <c r="C39" s="464" t="s">
        <v>4152</v>
      </c>
      <c r="D39" s="464">
        <v>4373.2516379882709</v>
      </c>
      <c r="F39"/>
      <c r="G39"/>
    </row>
    <row r="40" spans="3:7" ht="14.25" customHeight="1" x14ac:dyDescent="0.5">
      <c r="C40" s="464" t="s">
        <v>4152</v>
      </c>
      <c r="D40" s="464">
        <v>7791.2569999999996</v>
      </c>
      <c r="F40"/>
      <c r="G40"/>
    </row>
    <row r="41" spans="3:7" ht="14.25" customHeight="1" x14ac:dyDescent="0.5">
      <c r="C41" s="464" t="s">
        <v>4152</v>
      </c>
      <c r="D41" s="464">
        <v>11642.913</v>
      </c>
      <c r="F41"/>
      <c r="G41"/>
    </row>
    <row r="42" spans="3:7" ht="14.25" customHeight="1" x14ac:dyDescent="0.5">
      <c r="C42" s="464" t="s">
        <v>4152</v>
      </c>
      <c r="D42" s="464">
        <v>7093.9620000000004</v>
      </c>
      <c r="F42"/>
      <c r="G42"/>
    </row>
    <row r="43" spans="3:7" ht="14.25" customHeight="1" x14ac:dyDescent="0.5">
      <c r="C43" s="464" t="s">
        <v>4152</v>
      </c>
      <c r="D43" s="464">
        <v>12366.217000000001</v>
      </c>
      <c r="F43"/>
      <c r="G43"/>
    </row>
    <row r="44" spans="3:7" ht="14.25" customHeight="1" x14ac:dyDescent="0.5">
      <c r="C44" s="464" t="s">
        <v>4152</v>
      </c>
      <c r="D44" s="464">
        <v>11907.62</v>
      </c>
      <c r="F44"/>
      <c r="G44"/>
    </row>
    <row r="45" spans="3:7" ht="14.25" customHeight="1" x14ac:dyDescent="0.5">
      <c r="C45" s="464" t="s">
        <v>4152</v>
      </c>
      <c r="D45" s="464">
        <v>13295.041999999999</v>
      </c>
      <c r="F45"/>
      <c r="G45"/>
    </row>
    <row r="46" spans="3:7" ht="14.25" customHeight="1" x14ac:dyDescent="0.5">
      <c r="C46" s="464" t="s">
        <v>4152</v>
      </c>
      <c r="D46" s="464">
        <v>13233.022999999999</v>
      </c>
      <c r="F46"/>
      <c r="G46"/>
    </row>
    <row r="47" spans="3:7" ht="14.25" customHeight="1" x14ac:dyDescent="0.5">
      <c r="C47" s="464" t="s">
        <v>4152</v>
      </c>
      <c r="D47" s="464">
        <v>13294.040999999999</v>
      </c>
      <c r="F47"/>
      <c r="G47"/>
    </row>
    <row r="48" spans="3:7" ht="14.25" customHeight="1" x14ac:dyDescent="0.5">
      <c r="C48" s="464" t="s">
        <v>4152</v>
      </c>
      <c r="D48" s="464">
        <v>17005.169000000002</v>
      </c>
      <c r="F48"/>
      <c r="G48"/>
    </row>
    <row r="49" spans="3:7" ht="14.25" customHeight="1" x14ac:dyDescent="0.5">
      <c r="C49" s="464" t="s">
        <v>4152</v>
      </c>
      <c r="D49" s="464">
        <v>12981.946</v>
      </c>
      <c r="F49"/>
      <c r="G49"/>
    </row>
    <row r="50" spans="3:7" ht="14.25" customHeight="1" x14ac:dyDescent="0.5">
      <c r="C50" s="464" t="s">
        <v>4152</v>
      </c>
      <c r="D50" s="464">
        <v>8022.4390000000003</v>
      </c>
      <c r="F50"/>
      <c r="G50"/>
    </row>
    <row r="51" spans="3:7" ht="14.25" customHeight="1" x14ac:dyDescent="0.5">
      <c r="C51" s="464" t="s">
        <v>4152</v>
      </c>
      <c r="D51" s="464">
        <v>13544.117</v>
      </c>
      <c r="F51"/>
      <c r="G51"/>
    </row>
    <row r="52" spans="3:7" ht="14.25" customHeight="1" x14ac:dyDescent="0.5">
      <c r="C52" s="464" t="s">
        <v>4152</v>
      </c>
      <c r="D52" s="464">
        <v>14862.518</v>
      </c>
      <c r="F52"/>
      <c r="G52"/>
    </row>
    <row r="53" spans="3:7" ht="14.25" customHeight="1" x14ac:dyDescent="0.5">
      <c r="C53" s="464" t="s">
        <v>4152</v>
      </c>
      <c r="D53" s="464">
        <v>6973.8789999999999</v>
      </c>
      <c r="F53"/>
      <c r="G53"/>
    </row>
    <row r="54" spans="3:7" ht="14.25" customHeight="1" x14ac:dyDescent="0.5">
      <c r="C54" s="464" t="s">
        <v>4152</v>
      </c>
      <c r="D54" s="464">
        <v>34633.464999999997</v>
      </c>
      <c r="F54"/>
      <c r="G54"/>
    </row>
    <row r="55" spans="3:7" ht="14.25" customHeight="1" x14ac:dyDescent="0.5">
      <c r="C55" s="464" t="s">
        <v>4152</v>
      </c>
      <c r="D55" s="464">
        <v>11199.674999999999</v>
      </c>
      <c r="F55"/>
      <c r="G55"/>
    </row>
    <row r="56" spans="3:7" ht="14.25" customHeight="1" x14ac:dyDescent="0.5">
      <c r="C56" s="464" t="s">
        <v>4152</v>
      </c>
      <c r="D56" s="464">
        <v>18895.574000000001</v>
      </c>
      <c r="F56"/>
      <c r="G56"/>
    </row>
    <row r="57" spans="3:7" ht="14.25" customHeight="1" x14ac:dyDescent="0.5">
      <c r="C57" s="464" t="s">
        <v>4152</v>
      </c>
      <c r="D57" s="464">
        <v>3579.9493620117246</v>
      </c>
      <c r="F57"/>
      <c r="G57"/>
    </row>
    <row r="58" spans="3:7" ht="14.25" customHeight="1" x14ac:dyDescent="0.5">
      <c r="C58" s="464" t="s">
        <v>4155</v>
      </c>
      <c r="D58" s="464">
        <v>24133.746637988224</v>
      </c>
      <c r="F58"/>
      <c r="G58"/>
    </row>
    <row r="59" spans="3:7" ht="14.25" customHeight="1" x14ac:dyDescent="0.5">
      <c r="C59" s="464" t="s">
        <v>4155</v>
      </c>
      <c r="D59" s="464">
        <v>14724.492</v>
      </c>
      <c r="F59"/>
      <c r="G59"/>
    </row>
    <row r="60" spans="3:7" ht="14.25" customHeight="1" x14ac:dyDescent="0.5">
      <c r="C60" s="464" t="s">
        <v>4155</v>
      </c>
      <c r="D60" s="464">
        <v>18313.856</v>
      </c>
      <c r="F60"/>
      <c r="G60"/>
    </row>
    <row r="61" spans="3:7" ht="14.25" customHeight="1" x14ac:dyDescent="0.5">
      <c r="C61" s="464" t="s">
        <v>4155</v>
      </c>
      <c r="D61" s="464">
        <v>11017.117</v>
      </c>
      <c r="F61"/>
      <c r="G61"/>
    </row>
    <row r="62" spans="3:7" ht="14.25" customHeight="1" x14ac:dyDescent="0.5">
      <c r="C62" s="464" t="s">
        <v>4155</v>
      </c>
      <c r="D62" s="464">
        <v>6854.6949999999997</v>
      </c>
      <c r="F62"/>
      <c r="G62"/>
    </row>
    <row r="63" spans="3:7" ht="14.25" customHeight="1" x14ac:dyDescent="0.5">
      <c r="C63" s="464" t="s">
        <v>4155</v>
      </c>
      <c r="D63" s="464">
        <v>13868.406000000001</v>
      </c>
      <c r="F63"/>
      <c r="G63"/>
    </row>
    <row r="64" spans="3:7" ht="14.25" customHeight="1" x14ac:dyDescent="0.5">
      <c r="C64" s="464" t="s">
        <v>4155</v>
      </c>
      <c r="D64" s="464">
        <v>8147.8680000000004</v>
      </c>
      <c r="F64"/>
      <c r="G64"/>
    </row>
    <row r="65" spans="3:7" ht="14.25" customHeight="1" x14ac:dyDescent="0.5">
      <c r="C65" s="464" t="s">
        <v>4155</v>
      </c>
      <c r="D65" s="464">
        <v>20091.755362011805</v>
      </c>
      <c r="F65"/>
      <c r="G65"/>
    </row>
    <row r="66" spans="3:7" ht="14.25" customHeight="1" x14ac:dyDescent="0.5">
      <c r="C66" s="464" t="s">
        <v>4155</v>
      </c>
      <c r="D66" s="464">
        <v>12671.630637988193</v>
      </c>
      <c r="F66"/>
      <c r="G66"/>
    </row>
    <row r="67" spans="3:7" ht="14.25" customHeight="1" x14ac:dyDescent="0.5">
      <c r="C67" s="464" t="s">
        <v>4155</v>
      </c>
      <c r="D67" s="464">
        <v>13869.967000000001</v>
      </c>
      <c r="F67"/>
      <c r="G67"/>
    </row>
    <row r="68" spans="3:7" ht="14.25" customHeight="1" x14ac:dyDescent="0.5">
      <c r="C68" s="464" t="s">
        <v>4155</v>
      </c>
      <c r="D68" s="464">
        <v>5103.4120000000003</v>
      </c>
      <c r="F68"/>
      <c r="G68"/>
    </row>
    <row r="69" spans="3:7" ht="14.25" customHeight="1" x14ac:dyDescent="0.5">
      <c r="C69" s="464" t="s">
        <v>4155</v>
      </c>
      <c r="D69" s="464">
        <v>12093.867</v>
      </c>
      <c r="F69"/>
      <c r="G69"/>
    </row>
    <row r="70" spans="3:7" ht="14.25" customHeight="1" x14ac:dyDescent="0.5">
      <c r="C70" s="464" t="s">
        <v>4155</v>
      </c>
      <c r="D70" s="464">
        <v>15723.406000000001</v>
      </c>
      <c r="F70"/>
      <c r="G70"/>
    </row>
    <row r="71" spans="3:7" ht="14.25" customHeight="1" x14ac:dyDescent="0.5">
      <c r="C71" s="464" t="s">
        <v>4155</v>
      </c>
      <c r="D71" s="464">
        <v>12530.73</v>
      </c>
      <c r="F71"/>
      <c r="G71"/>
    </row>
    <row r="72" spans="3:7" ht="14.25" customHeight="1" x14ac:dyDescent="0.5">
      <c r="C72" s="464" t="s">
        <v>4155</v>
      </c>
      <c r="D72" s="464">
        <v>15595.419</v>
      </c>
      <c r="F72"/>
      <c r="G72"/>
    </row>
    <row r="73" spans="3:7" ht="14.25" customHeight="1" x14ac:dyDescent="0.5">
      <c r="C73" s="464" t="s">
        <v>4155</v>
      </c>
      <c r="D73" s="464">
        <v>12866.696</v>
      </c>
      <c r="F73"/>
      <c r="G73"/>
    </row>
    <row r="74" spans="3:7" ht="14.25" customHeight="1" x14ac:dyDescent="0.5">
      <c r="C74" s="464" t="s">
        <v>4155</v>
      </c>
      <c r="D74" s="464">
        <v>7057.2849999999999</v>
      </c>
      <c r="F74"/>
      <c r="G74"/>
    </row>
    <row r="75" spans="3:7" ht="14.25" customHeight="1" x14ac:dyDescent="0.5">
      <c r="C75" s="464" t="s">
        <v>4155</v>
      </c>
      <c r="D75" s="464">
        <v>14184.562</v>
      </c>
      <c r="F75"/>
      <c r="G75"/>
    </row>
    <row r="76" spans="3:7" ht="14.25" customHeight="1" x14ac:dyDescent="0.5">
      <c r="C76" s="464" t="s">
        <v>4155</v>
      </c>
      <c r="D76" s="464">
        <v>15484.43</v>
      </c>
      <c r="F76"/>
      <c r="G76"/>
    </row>
    <row r="77" spans="3:7" ht="14.25" customHeight="1" x14ac:dyDescent="0.5">
      <c r="C77" s="464" t="s">
        <v>4155</v>
      </c>
      <c r="D77" s="464">
        <v>23283.323362011812</v>
      </c>
      <c r="F77"/>
      <c r="G77"/>
    </row>
    <row r="78" spans="3:7" ht="14.25" customHeight="1" x14ac:dyDescent="0.5">
      <c r="C78" s="464" t="s">
        <v>4155</v>
      </c>
      <c r="D78" s="464">
        <v>46943.556637988193</v>
      </c>
      <c r="F78"/>
      <c r="G78"/>
    </row>
    <row r="79" spans="3:7" ht="14.25" customHeight="1" x14ac:dyDescent="0.5">
      <c r="C79" s="464" t="s">
        <v>4155</v>
      </c>
      <c r="D79" s="464">
        <v>6049.3869999999997</v>
      </c>
      <c r="F79"/>
      <c r="G79"/>
    </row>
    <row r="80" spans="3:7" ht="14.25" customHeight="1" x14ac:dyDescent="0.5">
      <c r="C80" s="464" t="s">
        <v>4155</v>
      </c>
      <c r="D80" s="464">
        <v>11325.852000000001</v>
      </c>
      <c r="F80"/>
      <c r="G80"/>
    </row>
    <row r="81" spans="3:7" ht="14.25" customHeight="1" x14ac:dyDescent="0.5">
      <c r="C81" s="464" t="s">
        <v>4155</v>
      </c>
      <c r="D81" s="464">
        <v>23587.611362011754</v>
      </c>
      <c r="F81"/>
      <c r="G81"/>
    </row>
    <row r="82" spans="3:7" ht="14.25" customHeight="1" x14ac:dyDescent="0.5">
      <c r="C82" s="464" t="s">
        <v>4156</v>
      </c>
      <c r="D82" s="464">
        <v>10997.881637988248</v>
      </c>
      <c r="F82"/>
      <c r="G82"/>
    </row>
    <row r="83" spans="3:7" ht="14.25" customHeight="1" x14ac:dyDescent="0.5">
      <c r="C83" s="464" t="s">
        <v>4156</v>
      </c>
      <c r="D83" s="464">
        <v>14657.513999999999</v>
      </c>
      <c r="F83"/>
      <c r="G83"/>
    </row>
    <row r="84" spans="3:7" ht="14.25" customHeight="1" x14ac:dyDescent="0.5">
      <c r="C84" s="464" t="s">
        <v>4156</v>
      </c>
      <c r="D84" s="464">
        <v>13605.136</v>
      </c>
      <c r="F84"/>
      <c r="G84"/>
    </row>
    <row r="85" spans="3:7" ht="14.25" customHeight="1" x14ac:dyDescent="0.5">
      <c r="C85" s="464" t="s">
        <v>4156</v>
      </c>
      <c r="D85" s="464">
        <v>19454.914000000001</v>
      </c>
      <c r="F85"/>
      <c r="G85"/>
    </row>
    <row r="86" spans="3:7" ht="14.25" customHeight="1" x14ac:dyDescent="0.5">
      <c r="C86" s="464" t="s">
        <v>4156</v>
      </c>
      <c r="D86" s="464">
        <v>12181.703</v>
      </c>
      <c r="F86"/>
      <c r="G86"/>
    </row>
    <row r="87" spans="3:7" ht="14.25" customHeight="1" x14ac:dyDescent="0.5">
      <c r="C87" s="464" t="s">
        <v>4156</v>
      </c>
      <c r="D87" s="464">
        <v>3593.1413620118019</v>
      </c>
      <c r="F87"/>
      <c r="G87"/>
    </row>
    <row r="88" spans="3:7" ht="14.25" customHeight="1" x14ac:dyDescent="0.5">
      <c r="C88" s="464" t="s">
        <v>4156</v>
      </c>
      <c r="D88" s="464">
        <v>3386.9806379881984</v>
      </c>
      <c r="F88"/>
      <c r="G88"/>
    </row>
    <row r="89" spans="3:7" ht="14.25" customHeight="1" x14ac:dyDescent="0.5">
      <c r="C89" s="464" t="s">
        <v>4156</v>
      </c>
      <c r="D89" s="464">
        <v>40538.904362011752</v>
      </c>
      <c r="F89"/>
      <c r="G89"/>
    </row>
    <row r="90" spans="3:7" ht="14.25" customHeight="1" x14ac:dyDescent="0.5">
      <c r="C90" s="464" t="s">
        <v>4158</v>
      </c>
      <c r="D90" s="464">
        <v>12775.573637988198</v>
      </c>
      <c r="F90"/>
      <c r="G90"/>
    </row>
    <row r="91" spans="3:7" ht="14.25" customHeight="1" x14ac:dyDescent="0.5">
      <c r="C91" s="464" t="s">
        <v>4158</v>
      </c>
      <c r="D91" s="464">
        <v>4670.5789999999997</v>
      </c>
      <c r="F91"/>
      <c r="G91"/>
    </row>
    <row r="92" spans="3:7" ht="14.25" customHeight="1" x14ac:dyDescent="0.5">
      <c r="C92" s="464" t="s">
        <v>4158</v>
      </c>
      <c r="D92" s="464">
        <v>12472.205</v>
      </c>
      <c r="F92"/>
      <c r="G92"/>
    </row>
    <row r="93" spans="3:7" ht="14.25" customHeight="1" x14ac:dyDescent="0.5">
      <c r="C93" s="464" t="s">
        <v>4158</v>
      </c>
      <c r="D93" s="464">
        <v>14024.264999999999</v>
      </c>
      <c r="F93"/>
      <c r="G93"/>
    </row>
    <row r="94" spans="3:7" ht="14.25" customHeight="1" x14ac:dyDescent="0.5">
      <c r="C94" s="464" t="s">
        <v>4158</v>
      </c>
      <c r="D94" s="464">
        <v>14669.460999999999</v>
      </c>
      <c r="F94"/>
      <c r="G94"/>
    </row>
    <row r="95" spans="3:7" ht="14.25" customHeight="1" x14ac:dyDescent="0.5">
      <c r="C95" s="464" t="s">
        <v>4158</v>
      </c>
      <c r="D95" s="464">
        <v>12853.909</v>
      </c>
      <c r="F95"/>
      <c r="G95"/>
    </row>
    <row r="96" spans="3:7" ht="14.25" customHeight="1" x14ac:dyDescent="0.5">
      <c r="C96" s="464" t="s">
        <v>4158</v>
      </c>
      <c r="D96" s="464">
        <v>18605.657999999999</v>
      </c>
      <c r="F96"/>
      <c r="G96"/>
    </row>
    <row r="97" spans="3:7" ht="14.25" customHeight="1" x14ac:dyDescent="0.5">
      <c r="C97" s="464" t="s">
        <v>4158</v>
      </c>
      <c r="D97" s="464">
        <v>11313.441000000001</v>
      </c>
      <c r="F97"/>
      <c r="G97"/>
    </row>
    <row r="98" spans="3:7" ht="14.25" customHeight="1" x14ac:dyDescent="0.5">
      <c r="C98" s="464" t="s">
        <v>4158</v>
      </c>
      <c r="D98" s="464">
        <v>6650.5673620118196</v>
      </c>
      <c r="F98"/>
      <c r="G98"/>
    </row>
    <row r="99" spans="3:7" ht="14.25" customHeight="1" x14ac:dyDescent="0.5">
      <c r="C99" s="464" t="s">
        <v>4158</v>
      </c>
      <c r="D99" s="464">
        <v>7585.7616379881802</v>
      </c>
      <c r="F99"/>
      <c r="G99"/>
    </row>
    <row r="100" spans="3:7" ht="14.25" customHeight="1" x14ac:dyDescent="0.5">
      <c r="C100" s="464" t="s">
        <v>4158</v>
      </c>
      <c r="D100" s="464">
        <v>6802.0690000000004</v>
      </c>
      <c r="F100"/>
      <c r="G100"/>
    </row>
    <row r="101" spans="3:7" ht="14.25" customHeight="1" x14ac:dyDescent="0.5">
      <c r="C101" s="464" t="s">
        <v>4158</v>
      </c>
      <c r="D101" s="464">
        <v>13874.218999999999</v>
      </c>
      <c r="F101"/>
      <c r="G101"/>
    </row>
    <row r="102" spans="3:7" ht="14.25" customHeight="1" x14ac:dyDescent="0.5">
      <c r="C102" s="464" t="s">
        <v>4158</v>
      </c>
      <c r="D102" s="464">
        <v>17085.196</v>
      </c>
      <c r="F102"/>
      <c r="G102"/>
    </row>
    <row r="103" spans="3:7" ht="14.25" customHeight="1" x14ac:dyDescent="0.5">
      <c r="C103" s="464" t="s">
        <v>4158</v>
      </c>
      <c r="D103" s="464">
        <v>14505.171</v>
      </c>
      <c r="F103"/>
      <c r="G103"/>
    </row>
    <row r="104" spans="3:7" ht="14.25" customHeight="1" x14ac:dyDescent="0.5">
      <c r="C104" s="464" t="s">
        <v>4158</v>
      </c>
      <c r="D104" s="464">
        <v>5594.5950000000003</v>
      </c>
      <c r="F104"/>
      <c r="G104"/>
    </row>
    <row r="105" spans="3:7" ht="14.25" customHeight="1" x14ac:dyDescent="0.5">
      <c r="C105" s="464" t="s">
        <v>4158</v>
      </c>
      <c r="D105" s="464">
        <v>14603.111000000001</v>
      </c>
      <c r="F105"/>
      <c r="G105"/>
    </row>
    <row r="106" spans="3:7" ht="14.25" customHeight="1" x14ac:dyDescent="0.5">
      <c r="C106" s="464" t="s">
        <v>4158</v>
      </c>
      <c r="D106" s="464">
        <v>7831.1213620117087</v>
      </c>
      <c r="F106"/>
      <c r="G106"/>
    </row>
    <row r="107" spans="3:7" ht="14.25" customHeight="1" x14ac:dyDescent="0.5">
      <c r="C107" s="464" t="s">
        <v>4161</v>
      </c>
      <c r="D107" s="464">
        <v>13046.892637988123</v>
      </c>
      <c r="F107"/>
      <c r="G107"/>
    </row>
    <row r="108" spans="3:7" ht="14.25" customHeight="1" x14ac:dyDescent="0.5">
      <c r="C108" s="464" t="s">
        <v>4161</v>
      </c>
      <c r="D108" s="464">
        <v>628</v>
      </c>
      <c r="F108"/>
      <c r="G108"/>
    </row>
    <row r="109" spans="3:7" ht="14.25" customHeight="1" x14ac:dyDescent="0.5">
      <c r="C109" s="464" t="s">
        <v>4161</v>
      </c>
      <c r="D109" s="464">
        <v>8872</v>
      </c>
      <c r="F109"/>
      <c r="G109"/>
    </row>
    <row r="110" spans="3:7" ht="14.25" customHeight="1" x14ac:dyDescent="0.5">
      <c r="C110" s="464" t="s">
        <v>4161</v>
      </c>
      <c r="D110" s="464">
        <v>34140</v>
      </c>
      <c r="F110"/>
      <c r="G110"/>
    </row>
    <row r="111" spans="3:7" ht="14.25" customHeight="1" x14ac:dyDescent="0.5">
      <c r="C111" s="464" t="s">
        <v>4161</v>
      </c>
      <c r="D111" s="464">
        <v>12912</v>
      </c>
      <c r="F111"/>
      <c r="G111"/>
    </row>
    <row r="112" spans="3:7" ht="14.25" customHeight="1" x14ac:dyDescent="0.5">
      <c r="C112" s="464" t="s">
        <v>4161</v>
      </c>
      <c r="D112" s="464">
        <v>7322</v>
      </c>
      <c r="F112"/>
      <c r="G112"/>
    </row>
    <row r="113" spans="3:7" ht="14.25" customHeight="1" x14ac:dyDescent="0.5">
      <c r="C113" s="464" t="s">
        <v>4161</v>
      </c>
      <c r="D113" s="464">
        <v>13699</v>
      </c>
      <c r="F113"/>
      <c r="G113"/>
    </row>
    <row r="114" spans="3:7" ht="14.25" customHeight="1" x14ac:dyDescent="0.5">
      <c r="C114" s="464" t="s">
        <v>4161</v>
      </c>
      <c r="D114" s="464">
        <v>16366</v>
      </c>
      <c r="F114"/>
      <c r="G114"/>
    </row>
    <row r="115" spans="3:7" ht="14.25" customHeight="1" x14ac:dyDescent="0.5">
      <c r="C115" s="464" t="s">
        <v>4161</v>
      </c>
      <c r="D115" s="464">
        <v>17050.638999999999</v>
      </c>
      <c r="F115"/>
      <c r="G115"/>
    </row>
    <row r="116" spans="3:7" ht="14.25" customHeight="1" x14ac:dyDescent="0.5">
      <c r="C116" s="464" t="s">
        <v>4161</v>
      </c>
      <c r="D116" s="464">
        <v>14370.281000000001</v>
      </c>
      <c r="F116"/>
      <c r="G116"/>
    </row>
    <row r="117" spans="3:7" ht="14.25" customHeight="1" x14ac:dyDescent="0.5">
      <c r="C117" s="464" t="s">
        <v>4161</v>
      </c>
      <c r="D117" s="464">
        <v>9517.8230000000003</v>
      </c>
      <c r="F117"/>
      <c r="G117"/>
    </row>
    <row r="118" spans="3:7" ht="14.25" customHeight="1" x14ac:dyDescent="0.5">
      <c r="C118" s="464" t="s">
        <v>4161</v>
      </c>
      <c r="D118" s="464">
        <v>9338.732</v>
      </c>
      <c r="F118"/>
      <c r="G118"/>
    </row>
    <row r="119" spans="3:7" ht="14.25" customHeight="1" x14ac:dyDescent="0.5">
      <c r="C119" s="464" t="s">
        <v>4161</v>
      </c>
      <c r="D119" s="464">
        <v>14961.581</v>
      </c>
      <c r="F119"/>
      <c r="G119"/>
    </row>
    <row r="120" spans="3:7" ht="14.25" customHeight="1" x14ac:dyDescent="0.5">
      <c r="C120" s="464" t="s">
        <v>4161</v>
      </c>
      <c r="D120" s="464">
        <v>9424.6613620117951</v>
      </c>
      <c r="F120"/>
      <c r="G120"/>
    </row>
    <row r="121" spans="3:7" ht="14.25" customHeight="1" x14ac:dyDescent="0.5">
      <c r="C121" s="464" t="s">
        <v>4161</v>
      </c>
      <c r="D121" s="464">
        <v>7454.8916379882048</v>
      </c>
      <c r="F121"/>
      <c r="G121"/>
    </row>
    <row r="122" spans="3:7" ht="14.25" customHeight="1" x14ac:dyDescent="0.5">
      <c r="C122" s="464" t="s">
        <v>4161</v>
      </c>
      <c r="D122" s="464">
        <v>75679.346000000005</v>
      </c>
      <c r="F122"/>
      <c r="G122"/>
    </row>
    <row r="123" spans="3:7" ht="14.25" customHeight="1" x14ac:dyDescent="0.5">
      <c r="C123" s="464" t="s">
        <v>4161</v>
      </c>
      <c r="D123" s="464">
        <v>4752.2633620116976</v>
      </c>
      <c r="F123"/>
      <c r="G123"/>
    </row>
    <row r="124" spans="3:7" ht="14.25" customHeight="1" x14ac:dyDescent="0.5">
      <c r="C124" s="464" t="s">
        <v>4165</v>
      </c>
      <c r="D124" s="464">
        <v>17849.73663798815</v>
      </c>
      <c r="F124"/>
      <c r="G124"/>
    </row>
    <row r="125" spans="3:7" ht="14.25" customHeight="1" x14ac:dyDescent="0.5">
      <c r="C125" s="464" t="s">
        <v>4165</v>
      </c>
      <c r="D125" s="464">
        <v>70087.77736201181</v>
      </c>
      <c r="F125"/>
      <c r="G125"/>
    </row>
    <row r="126" spans="3:7" ht="14.25" customHeight="1" x14ac:dyDescent="0.5">
      <c r="C126" s="464" t="s">
        <v>4165</v>
      </c>
      <c r="D126" s="464">
        <v>10636.768637988192</v>
      </c>
      <c r="F126"/>
      <c r="G126"/>
    </row>
    <row r="127" spans="3:7" ht="14.25" customHeight="1" x14ac:dyDescent="0.5">
      <c r="C127" s="464" t="s">
        <v>4165</v>
      </c>
      <c r="D127" s="464">
        <v>13944.512000000001</v>
      </c>
      <c r="F127"/>
      <c r="G127"/>
    </row>
    <row r="128" spans="3:7" ht="14.25" customHeight="1" x14ac:dyDescent="0.5">
      <c r="C128" s="464" t="s">
        <v>4165</v>
      </c>
      <c r="D128" s="464">
        <v>4038.5419999999999</v>
      </c>
      <c r="F128"/>
      <c r="G128"/>
    </row>
    <row r="129" spans="3:7" ht="14.25" customHeight="1" x14ac:dyDescent="0.5">
      <c r="C129" s="464" t="s">
        <v>4166</v>
      </c>
      <c r="D129" s="464">
        <v>7925.7406379881959</v>
      </c>
      <c r="F129"/>
      <c r="G129"/>
    </row>
    <row r="130" spans="3:7" ht="14.25" customHeight="1" x14ac:dyDescent="0.5">
      <c r="C130" s="464" t="s">
        <v>4166</v>
      </c>
      <c r="D130" s="464">
        <v>16930.716</v>
      </c>
      <c r="F130"/>
      <c r="G130"/>
    </row>
    <row r="131" spans="3:7" ht="14.25" customHeight="1" x14ac:dyDescent="0.5">
      <c r="C131" s="464" t="s">
        <v>4166</v>
      </c>
      <c r="D131" s="464">
        <v>13264.344999999999</v>
      </c>
      <c r="F131"/>
      <c r="G131"/>
    </row>
    <row r="132" spans="3:7" ht="14.25" customHeight="1" x14ac:dyDescent="0.5">
      <c r="C132" s="464" t="s">
        <v>4166</v>
      </c>
      <c r="D132" s="464">
        <v>10844.099</v>
      </c>
      <c r="F132"/>
      <c r="G132"/>
    </row>
    <row r="133" spans="3:7" ht="14.25" customHeight="1" x14ac:dyDescent="0.5">
      <c r="C133" s="464" t="s">
        <v>4166</v>
      </c>
      <c r="D133" s="464">
        <v>8466.8580000000002</v>
      </c>
      <c r="F133"/>
      <c r="G133"/>
    </row>
    <row r="134" spans="3:7" ht="14.25" customHeight="1" x14ac:dyDescent="0.5">
      <c r="C134" s="464" t="s">
        <v>4166</v>
      </c>
      <c r="D134" s="464">
        <v>30155.057000000001</v>
      </c>
      <c r="F134"/>
      <c r="G134"/>
    </row>
    <row r="135" spans="3:7" ht="14.25" customHeight="1" x14ac:dyDescent="0.5">
      <c r="C135" s="464" t="s">
        <v>4166</v>
      </c>
      <c r="D135" s="464">
        <v>11366.152</v>
      </c>
      <c r="F135"/>
      <c r="G135"/>
    </row>
    <row r="136" spans="3:7" ht="14.25" customHeight="1" x14ac:dyDescent="0.5">
      <c r="C136" s="464" t="s">
        <v>4166</v>
      </c>
      <c r="D136" s="464">
        <v>80076.115999999995</v>
      </c>
      <c r="F136"/>
      <c r="G136"/>
    </row>
    <row r="137" spans="3:7" ht="14.25" customHeight="1" x14ac:dyDescent="0.5">
      <c r="C137" s="464" t="s">
        <v>4166</v>
      </c>
      <c r="D137" s="464">
        <v>14025.422</v>
      </c>
      <c r="F137"/>
      <c r="G137"/>
    </row>
    <row r="138" spans="3:7" ht="14.25" customHeight="1" x14ac:dyDescent="0.5">
      <c r="C138" s="464" t="s">
        <v>4166</v>
      </c>
      <c r="D138" s="464">
        <v>70962.237362011801</v>
      </c>
      <c r="F138"/>
      <c r="G138"/>
    </row>
    <row r="139" spans="3:7" ht="14.25" customHeight="1" x14ac:dyDescent="0.5">
      <c r="C139" s="464" t="s">
        <v>4166</v>
      </c>
      <c r="D139" s="464">
        <v>144.96963798819343</v>
      </c>
      <c r="F139"/>
      <c r="G139"/>
    </row>
    <row r="140" spans="3:7" ht="14.25" customHeight="1" x14ac:dyDescent="0.5">
      <c r="C140" s="464" t="s">
        <v>4166</v>
      </c>
      <c r="D140" s="464">
        <v>83568.47</v>
      </c>
      <c r="F140"/>
      <c r="G140"/>
    </row>
    <row r="141" spans="3:7" ht="14.25" customHeight="1" x14ac:dyDescent="0.5">
      <c r="C141" s="464" t="s">
        <v>4166</v>
      </c>
      <c r="D141" s="464">
        <v>14652.108</v>
      </c>
      <c r="F141"/>
      <c r="G141"/>
    </row>
    <row r="142" spans="3:7" ht="14.25" customHeight="1" x14ac:dyDescent="0.5">
      <c r="C142" s="464" t="s">
        <v>4166</v>
      </c>
      <c r="D142" s="464">
        <v>14149.516</v>
      </c>
      <c r="F142"/>
      <c r="G142"/>
    </row>
    <row r="143" spans="3:7" ht="14.25" customHeight="1" x14ac:dyDescent="0.5">
      <c r="C143" s="464" t="s">
        <v>4166</v>
      </c>
      <c r="D143" s="464">
        <v>56798.562362011493</v>
      </c>
      <c r="F143"/>
      <c r="G143"/>
    </row>
    <row r="146" spans="3:7" ht="14.25" customHeight="1" x14ac:dyDescent="0.5">
      <c r="C146" s="464" t="s">
        <v>4150</v>
      </c>
      <c r="D146" s="464">
        <v>202.86363798818275</v>
      </c>
      <c r="F146" s="464" t="s">
        <v>4150</v>
      </c>
      <c r="G146" s="464">
        <f>SUM(D146:D170)</f>
        <v>319208.61599999981</v>
      </c>
    </row>
    <row r="147" spans="3:7" ht="14.25" customHeight="1" x14ac:dyDescent="0.5">
      <c r="C147" s="464" t="s">
        <v>4150</v>
      </c>
      <c r="D147" s="464">
        <v>12718.289000000001</v>
      </c>
      <c r="F147"/>
      <c r="G147"/>
    </row>
    <row r="148" spans="3:7" ht="14.25" customHeight="1" x14ac:dyDescent="0.5">
      <c r="C148" s="464" t="s">
        <v>4150</v>
      </c>
      <c r="D148" s="464">
        <v>1127.114</v>
      </c>
      <c r="F148"/>
      <c r="G148"/>
    </row>
    <row r="149" spans="3:7" ht="14.25" customHeight="1" x14ac:dyDescent="0.5">
      <c r="C149" s="464" t="s">
        <v>4150</v>
      </c>
      <c r="D149" s="464">
        <v>13802.398999999999</v>
      </c>
      <c r="F149"/>
      <c r="G149"/>
    </row>
    <row r="150" spans="3:7" ht="14.25" customHeight="1" x14ac:dyDescent="0.5">
      <c r="C150" s="464" t="s">
        <v>4150</v>
      </c>
      <c r="D150" s="464">
        <v>16156.016362011849</v>
      </c>
      <c r="F150"/>
      <c r="G150"/>
    </row>
    <row r="151" spans="3:7" ht="14.25" customHeight="1" x14ac:dyDescent="0.5">
      <c r="C151" s="464" t="s">
        <v>4150</v>
      </c>
      <c r="D151" s="464">
        <v>626.87863798815124</v>
      </c>
      <c r="F151"/>
      <c r="G151"/>
    </row>
    <row r="152" spans="3:7" ht="14.25" customHeight="1" x14ac:dyDescent="0.5">
      <c r="C152" s="464" t="s">
        <v>4150</v>
      </c>
      <c r="D152" s="464">
        <v>13965.752</v>
      </c>
      <c r="F152"/>
      <c r="G152"/>
    </row>
    <row r="153" spans="3:7" ht="14.25" customHeight="1" x14ac:dyDescent="0.5">
      <c r="C153" s="464" t="s">
        <v>4150</v>
      </c>
      <c r="D153" s="464">
        <v>7637.6769999999997</v>
      </c>
      <c r="F153"/>
      <c r="G153"/>
    </row>
    <row r="154" spans="3:7" ht="14.25" customHeight="1" x14ac:dyDescent="0.5">
      <c r="C154" s="464" t="s">
        <v>4150</v>
      </c>
      <c r="D154" s="464">
        <v>13262.965</v>
      </c>
      <c r="F154"/>
      <c r="G154"/>
    </row>
    <row r="155" spans="3:7" ht="14.25" customHeight="1" x14ac:dyDescent="0.5">
      <c r="C155" s="464" t="s">
        <v>4150</v>
      </c>
      <c r="D155" s="464">
        <v>13339.352000000001</v>
      </c>
      <c r="F155"/>
      <c r="G155"/>
    </row>
    <row r="156" spans="3:7" ht="14.25" customHeight="1" x14ac:dyDescent="0.5">
      <c r="C156" s="464" t="s">
        <v>4150</v>
      </c>
      <c r="D156" s="464">
        <v>14085.428</v>
      </c>
      <c r="F156"/>
      <c r="G156"/>
    </row>
    <row r="157" spans="3:7" ht="14.25" customHeight="1" x14ac:dyDescent="0.5">
      <c r="C157" s="464" t="s">
        <v>4150</v>
      </c>
      <c r="D157" s="464">
        <v>14192.438</v>
      </c>
      <c r="F157"/>
      <c r="G157"/>
    </row>
    <row r="158" spans="3:7" ht="14.25" customHeight="1" x14ac:dyDescent="0.5">
      <c r="C158" s="464" t="s">
        <v>4150</v>
      </c>
      <c r="D158" s="464">
        <v>12466.263000000001</v>
      </c>
      <c r="F158"/>
      <c r="G158"/>
    </row>
    <row r="159" spans="3:7" ht="14.25" customHeight="1" x14ac:dyDescent="0.5">
      <c r="C159" s="464" t="s">
        <v>4150</v>
      </c>
      <c r="D159" s="464">
        <v>16447.667000000001</v>
      </c>
      <c r="F159"/>
      <c r="G159"/>
    </row>
    <row r="160" spans="3:7" ht="14.25" customHeight="1" x14ac:dyDescent="0.5">
      <c r="C160" s="464" t="s">
        <v>4150</v>
      </c>
      <c r="D160" s="464">
        <v>7714.7820000000002</v>
      </c>
      <c r="F160"/>
      <c r="G160"/>
    </row>
    <row r="161" spans="3:7" ht="14.25" customHeight="1" x14ac:dyDescent="0.5">
      <c r="C161" s="464" t="s">
        <v>4150</v>
      </c>
      <c r="D161" s="464">
        <v>16591.682000000001</v>
      </c>
      <c r="F161"/>
      <c r="G161"/>
    </row>
    <row r="162" spans="3:7" ht="14.25" customHeight="1" x14ac:dyDescent="0.5">
      <c r="C162" s="464" t="s">
        <v>4150</v>
      </c>
      <c r="D162" s="464">
        <v>35784.114999999998</v>
      </c>
      <c r="F162"/>
      <c r="G162"/>
    </row>
    <row r="163" spans="3:7" ht="14.25" customHeight="1" x14ac:dyDescent="0.5">
      <c r="C163" s="464" t="s">
        <v>4150</v>
      </c>
      <c r="D163" s="464">
        <v>13895.772999999999</v>
      </c>
      <c r="F163"/>
      <c r="G163"/>
    </row>
    <row r="164" spans="3:7" ht="14.25" customHeight="1" x14ac:dyDescent="0.5">
      <c r="C164" s="464" t="s">
        <v>4150</v>
      </c>
      <c r="D164" s="464">
        <v>7298.78</v>
      </c>
      <c r="F164"/>
      <c r="G164"/>
    </row>
    <row r="165" spans="3:7" ht="14.25" customHeight="1" x14ac:dyDescent="0.5">
      <c r="C165" s="464" t="s">
        <v>4150</v>
      </c>
      <c r="D165" s="464">
        <v>11750.425999999999</v>
      </c>
      <c r="F165"/>
      <c r="G165"/>
    </row>
    <row r="166" spans="3:7" ht="14.25" customHeight="1" x14ac:dyDescent="0.5">
      <c r="C166" s="464" t="s">
        <v>4150</v>
      </c>
      <c r="D166" s="464">
        <v>32050.25</v>
      </c>
      <c r="F166"/>
      <c r="G166"/>
    </row>
    <row r="167" spans="3:7" ht="14.25" customHeight="1" x14ac:dyDescent="0.5">
      <c r="C167" s="464" t="s">
        <v>4150</v>
      </c>
      <c r="D167" s="464">
        <v>234.47436201178061</v>
      </c>
      <c r="F167"/>
      <c r="G167"/>
    </row>
    <row r="168" spans="3:7" ht="14.25" customHeight="1" x14ac:dyDescent="0.5">
      <c r="C168" s="464" t="s">
        <v>4150</v>
      </c>
      <c r="D168" s="464">
        <v>13554.718637988219</v>
      </c>
      <c r="F168"/>
      <c r="G168"/>
    </row>
    <row r="169" spans="3:7" ht="14.25" customHeight="1" x14ac:dyDescent="0.5">
      <c r="C169" s="464" t="s">
        <v>4150</v>
      </c>
      <c r="D169" s="464">
        <v>17662.370999999999</v>
      </c>
      <c r="F169"/>
      <c r="G169"/>
    </row>
    <row r="170" spans="3:7" ht="14.25" customHeight="1" x14ac:dyDescent="0.5">
      <c r="C170" s="464" t="s">
        <v>4150</v>
      </c>
      <c r="D170" s="464">
        <v>12640.141362011695</v>
      </c>
      <c r="F170"/>
      <c r="G170"/>
    </row>
    <row r="173" spans="3:7" ht="14.25" customHeight="1" x14ac:dyDescent="0.5">
      <c r="C173" s="464" t="s">
        <v>4090</v>
      </c>
      <c r="D173" s="464">
        <v>17699.968000000001</v>
      </c>
      <c r="F173" s="464" t="s">
        <v>4090</v>
      </c>
      <c r="G173" s="464">
        <f ca="1">SUMIF(C173:D408,F173,D173:D408)</f>
        <v>108773.318362012</v>
      </c>
    </row>
    <row r="174" spans="3:7" ht="14.25" customHeight="1" x14ac:dyDescent="0.5">
      <c r="C174" s="464" t="s">
        <v>4090</v>
      </c>
      <c r="D174" s="464">
        <v>7287.6930000000002</v>
      </c>
      <c r="F174" s="464" t="s">
        <v>4092</v>
      </c>
      <c r="G174" s="464">
        <f t="shared" ref="G174:G189" ca="1" si="1">SUMIF(C174:D409,F174,D174:D409)</f>
        <v>131852.285</v>
      </c>
    </row>
    <row r="175" spans="3:7" ht="14.25" customHeight="1" x14ac:dyDescent="0.5">
      <c r="C175" s="464" t="s">
        <v>4090</v>
      </c>
      <c r="D175" s="464">
        <v>15728.97</v>
      </c>
      <c r="F175" s="464" t="s">
        <v>4094</v>
      </c>
      <c r="G175" s="464">
        <f t="shared" ca="1" si="1"/>
        <v>80184.873000000109</v>
      </c>
    </row>
    <row r="176" spans="3:7" ht="14.25" customHeight="1" x14ac:dyDescent="0.5">
      <c r="C176" s="464" t="s">
        <v>4090</v>
      </c>
      <c r="D176" s="464">
        <v>14597.396000000001</v>
      </c>
      <c r="F176" s="464" t="s">
        <v>4095</v>
      </c>
      <c r="G176" s="464">
        <f t="shared" ca="1" si="1"/>
        <v>454151.15699999989</v>
      </c>
    </row>
    <row r="177" spans="3:7" ht="14.25" customHeight="1" x14ac:dyDescent="0.5">
      <c r="C177" s="464" t="s">
        <v>4090</v>
      </c>
      <c r="D177" s="464">
        <v>15828.02</v>
      </c>
      <c r="F177" s="464" t="s">
        <v>4096</v>
      </c>
      <c r="G177" s="464">
        <f t="shared" ca="1" si="1"/>
        <v>163486.95499999999</v>
      </c>
    </row>
    <row r="178" spans="3:7" ht="14.25" customHeight="1" x14ac:dyDescent="0.5">
      <c r="C178" s="464" t="s">
        <v>4090</v>
      </c>
      <c r="D178" s="464">
        <v>10072.102999999999</v>
      </c>
      <c r="F178" s="464" t="s">
        <v>4098</v>
      </c>
      <c r="G178" s="464">
        <f t="shared" ca="1" si="1"/>
        <v>575547.24236201181</v>
      </c>
    </row>
    <row r="179" spans="3:7" ht="14.25" customHeight="1" x14ac:dyDescent="0.5">
      <c r="C179" s="464" t="s">
        <v>4090</v>
      </c>
      <c r="D179" s="464">
        <v>14437.315000000001</v>
      </c>
      <c r="F179" s="464" t="s">
        <v>4151</v>
      </c>
      <c r="G179" s="464">
        <f t="shared" ca="1" si="1"/>
        <v>246851.94600000003</v>
      </c>
    </row>
    <row r="180" spans="3:7" ht="14.25" customHeight="1" x14ac:dyDescent="0.5">
      <c r="C180" s="464" t="s">
        <v>4090</v>
      </c>
      <c r="D180" s="464">
        <v>13121.853362011991</v>
      </c>
      <c r="F180" s="464" t="s">
        <v>4153</v>
      </c>
      <c r="G180" s="464">
        <f t="shared" ca="1" si="1"/>
        <v>468490.19900000002</v>
      </c>
    </row>
    <row r="181" spans="3:7" ht="14.25" customHeight="1" x14ac:dyDescent="0.5">
      <c r="C181" s="464" t="s">
        <v>4092</v>
      </c>
      <c r="D181" s="464">
        <v>70323.067637988017</v>
      </c>
      <c r="F181" s="464" t="s">
        <v>4154</v>
      </c>
      <c r="G181" s="464">
        <f t="shared" ca="1" si="1"/>
        <v>175810.33900000001</v>
      </c>
    </row>
    <row r="182" spans="3:7" ht="14.25" customHeight="1" x14ac:dyDescent="0.5">
      <c r="C182" s="464" t="s">
        <v>4092</v>
      </c>
      <c r="D182" s="464">
        <v>61529.217362011987</v>
      </c>
      <c r="F182" s="464" t="s">
        <v>4157</v>
      </c>
      <c r="G182" s="464">
        <f t="shared" ca="1" si="1"/>
        <v>344855.77999999997</v>
      </c>
    </row>
    <row r="183" spans="3:7" ht="14.25" customHeight="1" x14ac:dyDescent="0.5">
      <c r="C183" s="464" t="s">
        <v>4094</v>
      </c>
      <c r="D183" s="464">
        <v>8212.5566379880383</v>
      </c>
      <c r="F183" s="464" t="s">
        <v>4159</v>
      </c>
      <c r="G183" s="464">
        <f t="shared" ca="1" si="1"/>
        <v>159980.68299999999</v>
      </c>
    </row>
    <row r="184" spans="3:7" ht="14.25" customHeight="1" x14ac:dyDescent="0.5">
      <c r="C184" s="464" t="s">
        <v>4094</v>
      </c>
      <c r="D184" s="464">
        <v>2764.28</v>
      </c>
      <c r="F184" s="464" t="s">
        <v>4160</v>
      </c>
      <c r="G184" s="464">
        <f t="shared" ca="1" si="1"/>
        <v>287676.06200000021</v>
      </c>
    </row>
    <row r="185" spans="3:7" ht="14.25" customHeight="1" x14ac:dyDescent="0.5">
      <c r="C185" s="464" t="s">
        <v>4094</v>
      </c>
      <c r="D185" s="464">
        <v>34413.487999999998</v>
      </c>
      <c r="F185" s="464" t="s">
        <v>4162</v>
      </c>
      <c r="G185" s="464">
        <f t="shared" ca="1" si="1"/>
        <v>293723.31600000011</v>
      </c>
    </row>
    <row r="186" spans="3:7" ht="14.25" customHeight="1" x14ac:dyDescent="0.5">
      <c r="C186" s="464" t="s">
        <v>4094</v>
      </c>
      <c r="D186" s="464">
        <v>13738.959000000001</v>
      </c>
      <c r="F186" s="464" t="s">
        <v>4163</v>
      </c>
      <c r="G186" s="464">
        <f t="shared" ca="1" si="1"/>
        <v>498913.04900000006</v>
      </c>
    </row>
    <row r="187" spans="3:7" ht="14.25" customHeight="1" x14ac:dyDescent="0.5">
      <c r="C187" s="464" t="s">
        <v>4094</v>
      </c>
      <c r="D187" s="464">
        <v>14353.27</v>
      </c>
      <c r="F187" s="464" t="s">
        <v>4164</v>
      </c>
      <c r="G187" s="464">
        <f t="shared" ca="1" si="1"/>
        <v>269320.22936201177</v>
      </c>
    </row>
    <row r="188" spans="3:7" ht="14.25" customHeight="1" x14ac:dyDescent="0.5">
      <c r="C188" s="464" t="s">
        <v>4094</v>
      </c>
      <c r="D188" s="464">
        <v>6702.3193620120765</v>
      </c>
      <c r="F188" s="464" t="s">
        <v>4167</v>
      </c>
      <c r="G188" s="464">
        <f t="shared" ca="1" si="1"/>
        <v>175368.0220000007</v>
      </c>
    </row>
    <row r="189" spans="3:7" ht="14.25" customHeight="1" x14ac:dyDescent="0.5">
      <c r="C189" s="464" t="s">
        <v>4095</v>
      </c>
      <c r="D189" s="464">
        <v>6701.4706379879244</v>
      </c>
      <c r="F189" s="464" t="s">
        <v>4168</v>
      </c>
      <c r="G189" s="464">
        <f t="shared" ca="1" si="1"/>
        <v>114480.15563798783</v>
      </c>
    </row>
    <row r="190" spans="3:7" ht="14.25" customHeight="1" x14ac:dyDescent="0.5">
      <c r="C190" s="464" t="s">
        <v>4095</v>
      </c>
      <c r="D190" s="464">
        <v>12463.313</v>
      </c>
      <c r="F190"/>
      <c r="G190"/>
    </row>
    <row r="191" spans="3:7" ht="14.25" customHeight="1" x14ac:dyDescent="0.5">
      <c r="C191" s="464" t="s">
        <v>4095</v>
      </c>
      <c r="D191" s="464">
        <v>13543.86</v>
      </c>
      <c r="F191"/>
      <c r="G191"/>
    </row>
    <row r="192" spans="3:7" ht="14.25" customHeight="1" x14ac:dyDescent="0.5">
      <c r="C192" s="464" t="s">
        <v>4095</v>
      </c>
      <c r="D192" s="464">
        <v>7809.9560000000001</v>
      </c>
      <c r="F192"/>
      <c r="G192"/>
    </row>
    <row r="193" spans="3:7" ht="14.25" customHeight="1" x14ac:dyDescent="0.5">
      <c r="C193" s="464" t="s">
        <v>4095</v>
      </c>
      <c r="D193" s="464">
        <v>15770.989</v>
      </c>
      <c r="F193"/>
      <c r="G193"/>
    </row>
    <row r="194" spans="3:7" ht="14.25" customHeight="1" x14ac:dyDescent="0.5">
      <c r="C194" s="464" t="s">
        <v>4095</v>
      </c>
      <c r="D194" s="464">
        <v>13612.897999999999</v>
      </c>
      <c r="F194"/>
      <c r="G194"/>
    </row>
    <row r="195" spans="3:7" ht="14.25" customHeight="1" x14ac:dyDescent="0.5">
      <c r="C195" s="464" t="s">
        <v>4095</v>
      </c>
      <c r="D195" s="464">
        <v>13746.965</v>
      </c>
      <c r="F195"/>
      <c r="G195"/>
    </row>
    <row r="196" spans="3:7" ht="14.25" customHeight="1" x14ac:dyDescent="0.5">
      <c r="C196" s="464" t="s">
        <v>4095</v>
      </c>
      <c r="D196" s="464">
        <v>19147.702000000001</v>
      </c>
      <c r="F196"/>
      <c r="G196"/>
    </row>
    <row r="197" spans="3:7" ht="14.25" customHeight="1" x14ac:dyDescent="0.5">
      <c r="C197" s="464" t="s">
        <v>4095</v>
      </c>
      <c r="D197" s="464">
        <v>10690.416999999999</v>
      </c>
      <c r="F197"/>
      <c r="G197"/>
    </row>
    <row r="198" spans="3:7" ht="14.25" customHeight="1" x14ac:dyDescent="0.5">
      <c r="C198" s="464" t="s">
        <v>4095</v>
      </c>
      <c r="D198" s="464">
        <v>6071.076</v>
      </c>
      <c r="F198"/>
      <c r="G198"/>
    </row>
    <row r="199" spans="3:7" ht="14.25" customHeight="1" x14ac:dyDescent="0.5">
      <c r="C199" s="464" t="s">
        <v>4095</v>
      </c>
      <c r="D199" s="464">
        <v>13199.688</v>
      </c>
      <c r="F199"/>
      <c r="G199"/>
    </row>
    <row r="200" spans="3:7" ht="14.25" customHeight="1" x14ac:dyDescent="0.5">
      <c r="C200" s="464" t="s">
        <v>4095</v>
      </c>
      <c r="D200" s="464">
        <v>8419.2659999999996</v>
      </c>
      <c r="F200"/>
      <c r="G200"/>
    </row>
    <row r="201" spans="3:7" ht="14.25" customHeight="1" x14ac:dyDescent="0.5">
      <c r="C201" s="464" t="s">
        <v>4095</v>
      </c>
      <c r="D201" s="464">
        <v>13006.083000000001</v>
      </c>
      <c r="F201"/>
      <c r="G201"/>
    </row>
    <row r="202" spans="3:7" ht="14.25" customHeight="1" x14ac:dyDescent="0.5">
      <c r="C202" s="464" t="s">
        <v>4095</v>
      </c>
      <c r="D202" s="464">
        <v>2764.317</v>
      </c>
      <c r="F202"/>
      <c r="G202"/>
    </row>
    <row r="203" spans="3:7" ht="14.25" customHeight="1" x14ac:dyDescent="0.5">
      <c r="C203" s="464" t="s">
        <v>4095</v>
      </c>
      <c r="D203" s="464">
        <v>14066.852000000001</v>
      </c>
      <c r="F203"/>
      <c r="G203"/>
    </row>
    <row r="204" spans="3:7" ht="14.25" customHeight="1" x14ac:dyDescent="0.5">
      <c r="C204" s="464" t="s">
        <v>4095</v>
      </c>
      <c r="D204" s="464">
        <v>11658.362999999999</v>
      </c>
      <c r="F204"/>
      <c r="G204"/>
    </row>
    <row r="205" spans="3:7" ht="14.25" customHeight="1" x14ac:dyDescent="0.5">
      <c r="C205" s="464" t="s">
        <v>4095</v>
      </c>
      <c r="D205" s="464">
        <v>14234.886</v>
      </c>
      <c r="F205"/>
      <c r="G205"/>
    </row>
    <row r="206" spans="3:7" ht="14.25" customHeight="1" x14ac:dyDescent="0.5">
      <c r="C206" s="464" t="s">
        <v>4095</v>
      </c>
      <c r="D206" s="464">
        <v>11655.362999999999</v>
      </c>
      <c r="F206"/>
      <c r="G206"/>
    </row>
    <row r="207" spans="3:7" ht="14.25" customHeight="1" x14ac:dyDescent="0.5">
      <c r="C207" s="464" t="s">
        <v>4095</v>
      </c>
      <c r="D207" s="464">
        <v>7228.4650000000001</v>
      </c>
      <c r="F207"/>
      <c r="G207"/>
    </row>
    <row r="208" spans="3:7" ht="14.25" customHeight="1" x14ac:dyDescent="0.5">
      <c r="C208" s="464" t="s">
        <v>4095</v>
      </c>
      <c r="D208" s="464">
        <v>12679.57</v>
      </c>
      <c r="F208"/>
      <c r="G208"/>
    </row>
    <row r="209" spans="3:7" ht="14.25" customHeight="1" x14ac:dyDescent="0.5">
      <c r="C209" s="464" t="s">
        <v>4095</v>
      </c>
      <c r="D209" s="464">
        <v>14133.865</v>
      </c>
      <c r="F209"/>
      <c r="G209"/>
    </row>
    <row r="210" spans="3:7" ht="14.25" customHeight="1" x14ac:dyDescent="0.5">
      <c r="C210" s="464" t="s">
        <v>4095</v>
      </c>
      <c r="D210" s="464">
        <v>780.15800000000002</v>
      </c>
      <c r="F210"/>
      <c r="G210"/>
    </row>
    <row r="211" spans="3:7" ht="14.25" customHeight="1" x14ac:dyDescent="0.5">
      <c r="C211" s="464" t="s">
        <v>4095</v>
      </c>
      <c r="D211" s="464">
        <v>33466.784</v>
      </c>
      <c r="F211"/>
      <c r="G211"/>
    </row>
    <row r="212" spans="3:7" ht="14.25" customHeight="1" x14ac:dyDescent="0.5">
      <c r="C212" s="464" t="s">
        <v>4095</v>
      </c>
      <c r="D212" s="464">
        <v>57160.587</v>
      </c>
      <c r="F212"/>
      <c r="G212"/>
    </row>
    <row r="213" spans="3:7" ht="14.25" customHeight="1" x14ac:dyDescent="0.5">
      <c r="C213" s="464" t="s">
        <v>4095</v>
      </c>
      <c r="D213" s="464">
        <v>13832.804</v>
      </c>
      <c r="F213"/>
      <c r="G213"/>
    </row>
    <row r="214" spans="3:7" ht="14.25" customHeight="1" x14ac:dyDescent="0.5">
      <c r="C214" s="464" t="s">
        <v>4095</v>
      </c>
      <c r="D214" s="464">
        <v>6064.2290000000003</v>
      </c>
      <c r="F214"/>
      <c r="G214"/>
    </row>
    <row r="215" spans="3:7" ht="14.25" customHeight="1" x14ac:dyDescent="0.5">
      <c r="C215" s="464" t="s">
        <v>4095</v>
      </c>
      <c r="D215" s="464">
        <v>32543.597000000002</v>
      </c>
      <c r="F215"/>
      <c r="G215"/>
    </row>
    <row r="216" spans="3:7" ht="14.25" customHeight="1" x14ac:dyDescent="0.5">
      <c r="C216" s="464" t="s">
        <v>4095</v>
      </c>
      <c r="D216" s="464">
        <v>14674.460999999999</v>
      </c>
      <c r="F216"/>
      <c r="G216"/>
    </row>
    <row r="217" spans="3:7" ht="14.25" customHeight="1" x14ac:dyDescent="0.5">
      <c r="C217" s="464" t="s">
        <v>4095</v>
      </c>
      <c r="D217" s="464">
        <v>18704.686000000002</v>
      </c>
      <c r="F217"/>
      <c r="G217"/>
    </row>
    <row r="218" spans="3:7" ht="14.25" customHeight="1" x14ac:dyDescent="0.5">
      <c r="C218" s="464" t="s">
        <v>4095</v>
      </c>
      <c r="D218" s="464">
        <v>13346.057000000001</v>
      </c>
      <c r="F218"/>
      <c r="G218"/>
    </row>
    <row r="219" spans="3:7" ht="14.25" customHeight="1" x14ac:dyDescent="0.5">
      <c r="C219" s="464" t="s">
        <v>4095</v>
      </c>
      <c r="D219" s="464">
        <v>7887.3980000000001</v>
      </c>
      <c r="F219"/>
      <c r="G219"/>
    </row>
    <row r="220" spans="3:7" ht="14.25" customHeight="1" x14ac:dyDescent="0.5">
      <c r="C220" s="464" t="s">
        <v>4095</v>
      </c>
      <c r="D220" s="464">
        <v>13085.031362011956</v>
      </c>
      <c r="F220"/>
      <c r="G220"/>
    </row>
    <row r="221" spans="3:7" ht="14.25" customHeight="1" x14ac:dyDescent="0.5">
      <c r="C221" s="464" t="s">
        <v>4096</v>
      </c>
      <c r="D221" s="464">
        <v>66929.291637988048</v>
      </c>
      <c r="F221"/>
      <c r="G221"/>
    </row>
    <row r="222" spans="3:7" ht="14.25" customHeight="1" x14ac:dyDescent="0.5">
      <c r="C222" s="464" t="s">
        <v>4096</v>
      </c>
      <c r="D222" s="464">
        <v>35429.222999999998</v>
      </c>
      <c r="F222"/>
      <c r="G222"/>
    </row>
    <row r="223" spans="3:7" ht="14.25" customHeight="1" x14ac:dyDescent="0.5">
      <c r="C223" s="464" t="s">
        <v>4096</v>
      </c>
      <c r="D223" s="464">
        <v>883.73099999999999</v>
      </c>
      <c r="F223"/>
      <c r="G223"/>
    </row>
    <row r="224" spans="3:7" ht="14.25" customHeight="1" x14ac:dyDescent="0.5">
      <c r="C224" s="464" t="s">
        <v>4096</v>
      </c>
      <c r="D224" s="464">
        <v>12428.218999999999</v>
      </c>
      <c r="F224"/>
      <c r="G224"/>
    </row>
    <row r="225" spans="3:7" ht="14.25" customHeight="1" x14ac:dyDescent="0.5">
      <c r="C225" s="464" t="s">
        <v>4096</v>
      </c>
      <c r="D225" s="464">
        <v>8110.5330000000004</v>
      </c>
      <c r="F225"/>
      <c r="G225"/>
    </row>
    <row r="226" spans="3:7" ht="14.25" customHeight="1" x14ac:dyDescent="0.5">
      <c r="C226" s="464" t="s">
        <v>4096</v>
      </c>
      <c r="D226" s="464">
        <v>14643.546</v>
      </c>
      <c r="F226"/>
      <c r="G226"/>
    </row>
    <row r="227" spans="3:7" ht="14.25" customHeight="1" x14ac:dyDescent="0.5">
      <c r="C227" s="464" t="s">
        <v>4096</v>
      </c>
      <c r="D227" s="464">
        <v>13357.062</v>
      </c>
      <c r="F227"/>
      <c r="G227"/>
    </row>
    <row r="228" spans="3:7" ht="14.25" customHeight="1" x14ac:dyDescent="0.5">
      <c r="C228" s="464" t="s">
        <v>4096</v>
      </c>
      <c r="D228" s="464">
        <v>11705.349362011943</v>
      </c>
      <c r="F228"/>
      <c r="G228"/>
    </row>
    <row r="229" spans="3:7" ht="14.25" customHeight="1" x14ac:dyDescent="0.5">
      <c r="C229" s="464" t="s">
        <v>4098</v>
      </c>
      <c r="D229" s="464">
        <v>13576.752</v>
      </c>
      <c r="F229"/>
      <c r="G229"/>
    </row>
    <row r="230" spans="3:7" ht="14.25" customHeight="1" x14ac:dyDescent="0.5">
      <c r="C230" s="464" t="s">
        <v>4098</v>
      </c>
      <c r="D230" s="464">
        <v>13983.834000000001</v>
      </c>
      <c r="F230"/>
      <c r="G230"/>
    </row>
    <row r="231" spans="3:7" ht="14.25" customHeight="1" x14ac:dyDescent="0.5">
      <c r="C231" s="464" t="s">
        <v>4098</v>
      </c>
      <c r="D231" s="464">
        <v>19156.883000000002</v>
      </c>
      <c r="F231"/>
      <c r="G231"/>
    </row>
    <row r="232" spans="3:7" ht="14.25" customHeight="1" x14ac:dyDescent="0.5">
      <c r="C232" s="464" t="s">
        <v>4098</v>
      </c>
      <c r="D232" s="464">
        <v>12167.466</v>
      </c>
      <c r="F232"/>
      <c r="G232"/>
    </row>
    <row r="233" spans="3:7" ht="14.25" customHeight="1" x14ac:dyDescent="0.5">
      <c r="C233" s="464" t="s">
        <v>4098</v>
      </c>
      <c r="D233" s="464">
        <v>6863.3909999999996</v>
      </c>
      <c r="F233"/>
      <c r="G233"/>
    </row>
    <row r="234" spans="3:7" ht="14.25" customHeight="1" x14ac:dyDescent="0.5">
      <c r="C234" s="464" t="s">
        <v>4098</v>
      </c>
      <c r="D234" s="464">
        <v>9933.0130000000008</v>
      </c>
      <c r="F234"/>
      <c r="G234"/>
    </row>
    <row r="235" spans="3:7" ht="14.25" customHeight="1" x14ac:dyDescent="0.5">
      <c r="C235" s="464" t="s">
        <v>4098</v>
      </c>
      <c r="D235" s="464">
        <v>44258.958362011843</v>
      </c>
      <c r="F235"/>
      <c r="G235"/>
    </row>
    <row r="236" spans="3:7" ht="14.25" customHeight="1" x14ac:dyDescent="0.5">
      <c r="C236" s="464" t="s">
        <v>4098</v>
      </c>
      <c r="D236" s="464">
        <v>30146.121637988159</v>
      </c>
      <c r="F236"/>
      <c r="G236"/>
    </row>
    <row r="237" spans="3:7" ht="14.25" customHeight="1" x14ac:dyDescent="0.5">
      <c r="C237" s="464" t="s">
        <v>4098</v>
      </c>
      <c r="D237" s="464">
        <v>82006.620999999999</v>
      </c>
      <c r="F237"/>
      <c r="G237"/>
    </row>
    <row r="238" spans="3:7" ht="14.25" customHeight="1" x14ac:dyDescent="0.5">
      <c r="C238" s="464" t="s">
        <v>4098</v>
      </c>
      <c r="D238" s="464">
        <v>8447.7119999999995</v>
      </c>
      <c r="F238"/>
      <c r="G238"/>
    </row>
    <row r="239" spans="3:7" ht="14.25" customHeight="1" x14ac:dyDescent="0.5">
      <c r="C239" s="464" t="s">
        <v>4098</v>
      </c>
      <c r="D239" s="464">
        <v>33156.720000000001</v>
      </c>
      <c r="F239"/>
      <c r="G239"/>
    </row>
    <row r="240" spans="3:7" ht="14.25" customHeight="1" x14ac:dyDescent="0.5">
      <c r="C240" s="464" t="s">
        <v>4098</v>
      </c>
      <c r="D240" s="464">
        <v>15298.242</v>
      </c>
      <c r="F240"/>
      <c r="G240"/>
    </row>
    <row r="241" spans="3:7" ht="14.25" customHeight="1" x14ac:dyDescent="0.5">
      <c r="C241" s="464" t="s">
        <v>4098</v>
      </c>
      <c r="D241" s="464">
        <v>6590.6580000000004</v>
      </c>
      <c r="F241"/>
      <c r="G241"/>
    </row>
    <row r="242" spans="3:7" ht="14.25" customHeight="1" x14ac:dyDescent="0.5">
      <c r="C242" s="464" t="s">
        <v>4098</v>
      </c>
      <c r="D242" s="464">
        <v>15385.119000000001</v>
      </c>
      <c r="F242"/>
      <c r="G242"/>
    </row>
    <row r="243" spans="3:7" ht="14.25" customHeight="1" x14ac:dyDescent="0.5">
      <c r="C243" s="464" t="s">
        <v>4098</v>
      </c>
      <c r="D243" s="464">
        <v>13763.79</v>
      </c>
      <c r="F243"/>
      <c r="G243"/>
    </row>
    <row r="244" spans="3:7" ht="14.25" customHeight="1" x14ac:dyDescent="0.5">
      <c r="C244" s="464" t="s">
        <v>4098</v>
      </c>
      <c r="D244" s="464">
        <v>13325.700999999999</v>
      </c>
      <c r="F244"/>
      <c r="G244"/>
    </row>
    <row r="245" spans="3:7" ht="14.25" customHeight="1" x14ac:dyDescent="0.5">
      <c r="C245" s="464" t="s">
        <v>4098</v>
      </c>
      <c r="D245" s="464">
        <v>13572.751</v>
      </c>
      <c r="F245"/>
      <c r="G245"/>
    </row>
    <row r="246" spans="3:7" ht="14.25" customHeight="1" x14ac:dyDescent="0.5">
      <c r="C246" s="464" t="s">
        <v>4098</v>
      </c>
      <c r="D246" s="464">
        <v>13474.732</v>
      </c>
      <c r="F246"/>
      <c r="G246"/>
    </row>
    <row r="247" spans="3:7" ht="14.25" customHeight="1" x14ac:dyDescent="0.5">
      <c r="C247" s="464" t="s">
        <v>4098</v>
      </c>
      <c r="D247" s="464">
        <v>3337.03836201183</v>
      </c>
      <c r="F247"/>
      <c r="G247"/>
    </row>
    <row r="248" spans="3:7" ht="14.25" customHeight="1" x14ac:dyDescent="0.5">
      <c r="C248" s="464" t="s">
        <v>4098</v>
      </c>
      <c r="D248" s="464">
        <v>12093.089637988171</v>
      </c>
      <c r="F248"/>
      <c r="G248"/>
    </row>
    <row r="249" spans="3:7" ht="14.25" customHeight="1" x14ac:dyDescent="0.5">
      <c r="C249" s="464" t="s">
        <v>4098</v>
      </c>
      <c r="D249" s="464">
        <v>6944.4080000000004</v>
      </c>
      <c r="F249"/>
      <c r="G249"/>
    </row>
    <row r="250" spans="3:7" ht="14.25" customHeight="1" x14ac:dyDescent="0.5">
      <c r="C250" s="464" t="s">
        <v>4098</v>
      </c>
      <c r="D250" s="464">
        <v>15526.147000000001</v>
      </c>
      <c r="F250"/>
      <c r="G250"/>
    </row>
    <row r="251" spans="3:7" ht="14.25" customHeight="1" x14ac:dyDescent="0.5">
      <c r="C251" s="464" t="s">
        <v>4098</v>
      </c>
      <c r="D251" s="464">
        <v>84757.182000000001</v>
      </c>
      <c r="F251"/>
      <c r="G251"/>
    </row>
    <row r="252" spans="3:7" ht="14.25" customHeight="1" x14ac:dyDescent="0.5">
      <c r="C252" s="464" t="s">
        <v>4098</v>
      </c>
      <c r="D252" s="464">
        <v>6384.7049999999999</v>
      </c>
      <c r="F252"/>
      <c r="G252"/>
    </row>
    <row r="253" spans="3:7" ht="14.25" customHeight="1" x14ac:dyDescent="0.5">
      <c r="C253" s="464" t="s">
        <v>4098</v>
      </c>
      <c r="D253" s="464">
        <v>14219.116</v>
      </c>
      <c r="F253"/>
      <c r="G253"/>
    </row>
    <row r="254" spans="3:7" ht="14.25" customHeight="1" x14ac:dyDescent="0.5">
      <c r="C254" s="464" t="s">
        <v>4098</v>
      </c>
      <c r="D254" s="464">
        <v>35750.749000000003</v>
      </c>
      <c r="F254"/>
      <c r="G254"/>
    </row>
    <row r="255" spans="3:7" ht="14.25" customHeight="1" x14ac:dyDescent="0.5">
      <c r="C255" s="464" t="s">
        <v>4098</v>
      </c>
      <c r="D255" s="464">
        <v>13078.325999999999</v>
      </c>
      <c r="F255"/>
      <c r="G255"/>
    </row>
    <row r="256" spans="3:7" ht="14.25" customHeight="1" x14ac:dyDescent="0.5">
      <c r="C256" s="464" t="s">
        <v>4098</v>
      </c>
      <c r="D256" s="464">
        <v>18348.016362011818</v>
      </c>
      <c r="F256"/>
      <c r="G256"/>
    </row>
    <row r="257" spans="3:7" ht="14.25" customHeight="1" x14ac:dyDescent="0.5">
      <c r="C257" s="464" t="s">
        <v>4151</v>
      </c>
      <c r="D257" s="464">
        <v>276.7866379883053</v>
      </c>
      <c r="F257"/>
      <c r="G257"/>
    </row>
    <row r="258" spans="3:7" ht="14.25" customHeight="1" x14ac:dyDescent="0.5">
      <c r="C258" s="464" t="s">
        <v>4151</v>
      </c>
      <c r="D258" s="464">
        <v>7821.3779999999997</v>
      </c>
      <c r="F258"/>
      <c r="G258"/>
    </row>
    <row r="259" spans="3:7" ht="14.25" customHeight="1" x14ac:dyDescent="0.5">
      <c r="C259" s="464" t="s">
        <v>4151</v>
      </c>
      <c r="D259" s="464">
        <v>72822.142999999996</v>
      </c>
      <c r="F259"/>
      <c r="G259"/>
    </row>
    <row r="260" spans="3:7" ht="14.25" customHeight="1" x14ac:dyDescent="0.5">
      <c r="C260" s="464" t="s">
        <v>4151</v>
      </c>
      <c r="D260" s="464">
        <v>77022.421000000002</v>
      </c>
      <c r="F260"/>
      <c r="G260"/>
    </row>
    <row r="261" spans="3:7" ht="14.25" customHeight="1" x14ac:dyDescent="0.5">
      <c r="C261" s="464" t="s">
        <v>4151</v>
      </c>
      <c r="D261" s="464">
        <v>8330.5329999999994</v>
      </c>
      <c r="F261"/>
      <c r="G261"/>
    </row>
    <row r="262" spans="3:7" ht="14.25" customHeight="1" x14ac:dyDescent="0.5">
      <c r="C262" s="464" t="s">
        <v>4151</v>
      </c>
      <c r="D262" s="464">
        <v>14070.718999999999</v>
      </c>
      <c r="F262"/>
      <c r="G262"/>
    </row>
    <row r="263" spans="3:7" ht="14.25" customHeight="1" x14ac:dyDescent="0.5">
      <c r="C263" s="464" t="s">
        <v>4151</v>
      </c>
      <c r="D263" s="464">
        <v>8441.4320000000007</v>
      </c>
      <c r="F263"/>
      <c r="G263"/>
    </row>
    <row r="264" spans="3:7" ht="14.25" customHeight="1" x14ac:dyDescent="0.5">
      <c r="C264" s="464" t="s">
        <v>4151</v>
      </c>
      <c r="D264" s="464">
        <v>12457.21</v>
      </c>
      <c r="F264"/>
      <c r="G264"/>
    </row>
    <row r="265" spans="3:7" ht="14.25" customHeight="1" x14ac:dyDescent="0.5">
      <c r="C265" s="464" t="s">
        <v>4151</v>
      </c>
      <c r="D265" s="464">
        <v>1658.4113620117751</v>
      </c>
      <c r="F265"/>
      <c r="G265"/>
    </row>
    <row r="266" spans="3:7" ht="14.25" customHeight="1" x14ac:dyDescent="0.5">
      <c r="C266" s="464" t="s">
        <v>4151</v>
      </c>
      <c r="D266" s="464">
        <v>11831.377637988226</v>
      </c>
      <c r="F266"/>
      <c r="G266"/>
    </row>
    <row r="267" spans="3:7" ht="14.25" customHeight="1" x14ac:dyDescent="0.5">
      <c r="C267" s="464" t="s">
        <v>4151</v>
      </c>
      <c r="D267" s="464">
        <v>11773.833000000001</v>
      </c>
      <c r="F267"/>
      <c r="G267"/>
    </row>
    <row r="268" spans="3:7" ht="14.25" customHeight="1" x14ac:dyDescent="0.5">
      <c r="C268" s="464" t="s">
        <v>4151</v>
      </c>
      <c r="D268" s="464">
        <v>13057.052</v>
      </c>
      <c r="F268"/>
      <c r="G268"/>
    </row>
    <row r="269" spans="3:7" ht="14.25" customHeight="1" x14ac:dyDescent="0.5">
      <c r="C269" s="464" t="s">
        <v>4151</v>
      </c>
      <c r="D269" s="464">
        <v>7288.649362011729</v>
      </c>
      <c r="F269"/>
      <c r="G269"/>
    </row>
    <row r="270" spans="3:7" ht="14.25" customHeight="1" x14ac:dyDescent="0.5">
      <c r="C270" s="464" t="s">
        <v>4153</v>
      </c>
      <c r="D270" s="464">
        <v>8337.0886379882759</v>
      </c>
      <c r="F270"/>
      <c r="G270"/>
    </row>
    <row r="271" spans="3:7" ht="14.25" customHeight="1" x14ac:dyDescent="0.5">
      <c r="C271" s="464" t="s">
        <v>4153</v>
      </c>
      <c r="D271" s="464">
        <v>7027.5609999999997</v>
      </c>
      <c r="F271"/>
      <c r="G271"/>
    </row>
    <row r="272" spans="3:7" ht="14.25" customHeight="1" x14ac:dyDescent="0.5">
      <c r="C272" s="464" t="s">
        <v>4153</v>
      </c>
      <c r="D272" s="464">
        <v>12947.56</v>
      </c>
      <c r="F272"/>
      <c r="G272"/>
    </row>
    <row r="273" spans="3:7" ht="14.25" customHeight="1" x14ac:dyDescent="0.5">
      <c r="C273" s="464" t="s">
        <v>4153</v>
      </c>
      <c r="D273" s="464">
        <v>74381.687999999995</v>
      </c>
      <c r="F273"/>
      <c r="G273"/>
    </row>
    <row r="274" spans="3:7" ht="14.25" customHeight="1" x14ac:dyDescent="0.5">
      <c r="C274" s="464" t="s">
        <v>4153</v>
      </c>
      <c r="D274" s="464">
        <v>29062.814362011792</v>
      </c>
      <c r="F274"/>
      <c r="G274"/>
    </row>
    <row r="275" spans="3:7" ht="14.25" customHeight="1" x14ac:dyDescent="0.5">
      <c r="C275" s="464" t="s">
        <v>4153</v>
      </c>
      <c r="D275" s="464">
        <v>54752.653637988202</v>
      </c>
      <c r="F275"/>
      <c r="G275"/>
    </row>
    <row r="276" spans="3:7" ht="14.25" customHeight="1" x14ac:dyDescent="0.5">
      <c r="C276" s="464" t="s">
        <v>4153</v>
      </c>
      <c r="D276" s="464">
        <v>61451.303</v>
      </c>
      <c r="F276"/>
      <c r="G276"/>
    </row>
    <row r="277" spans="3:7" ht="14.25" customHeight="1" x14ac:dyDescent="0.5">
      <c r="C277" s="464" t="s">
        <v>4153</v>
      </c>
      <c r="D277" s="464">
        <v>57513.500999999997</v>
      </c>
      <c r="F277"/>
      <c r="G277"/>
    </row>
    <row r="278" spans="3:7" ht="14.25" customHeight="1" x14ac:dyDescent="0.5">
      <c r="C278" s="464" t="s">
        <v>4153</v>
      </c>
      <c r="D278" s="464">
        <v>18081.499</v>
      </c>
      <c r="F278"/>
      <c r="G278"/>
    </row>
    <row r="279" spans="3:7" ht="14.25" customHeight="1" x14ac:dyDescent="0.5">
      <c r="C279" s="464" t="s">
        <v>4153</v>
      </c>
      <c r="D279" s="464">
        <v>13784.806</v>
      </c>
      <c r="F279"/>
      <c r="G279"/>
    </row>
    <row r="280" spans="3:7" ht="14.25" customHeight="1" x14ac:dyDescent="0.5">
      <c r="C280" s="464" t="s">
        <v>4153</v>
      </c>
      <c r="D280" s="464">
        <v>7059.8519999999999</v>
      </c>
      <c r="F280"/>
      <c r="G280"/>
    </row>
    <row r="281" spans="3:7" ht="14.25" customHeight="1" x14ac:dyDescent="0.5">
      <c r="C281" s="464" t="s">
        <v>4153</v>
      </c>
      <c r="D281" s="464">
        <v>6993.8363620118025</v>
      </c>
      <c r="F281"/>
      <c r="G281"/>
    </row>
    <row r="282" spans="3:7" ht="14.25" customHeight="1" x14ac:dyDescent="0.5">
      <c r="C282" s="464" t="s">
        <v>4153</v>
      </c>
      <c r="D282" s="464">
        <v>6291.121637988198</v>
      </c>
      <c r="F282"/>
      <c r="G282"/>
    </row>
    <row r="283" spans="3:7" ht="14.25" customHeight="1" x14ac:dyDescent="0.5">
      <c r="C283" s="464" t="s">
        <v>4153</v>
      </c>
      <c r="D283" s="464">
        <v>13591</v>
      </c>
      <c r="F283"/>
      <c r="G283"/>
    </row>
    <row r="284" spans="3:7" ht="14.25" customHeight="1" x14ac:dyDescent="0.5">
      <c r="C284" s="464" t="s">
        <v>4153</v>
      </c>
      <c r="D284" s="464">
        <v>12987</v>
      </c>
      <c r="F284"/>
      <c r="G284"/>
    </row>
    <row r="285" spans="3:7" ht="14.25" customHeight="1" x14ac:dyDescent="0.5">
      <c r="C285" s="464" t="s">
        <v>4153</v>
      </c>
      <c r="D285" s="464">
        <v>13386</v>
      </c>
      <c r="F285"/>
      <c r="G285"/>
    </row>
    <row r="286" spans="3:7" ht="14.25" customHeight="1" x14ac:dyDescent="0.5">
      <c r="C286" s="464" t="s">
        <v>4153</v>
      </c>
      <c r="D286" s="464">
        <v>13560</v>
      </c>
      <c r="F286"/>
      <c r="G286"/>
    </row>
    <row r="287" spans="3:7" ht="14.25" customHeight="1" x14ac:dyDescent="0.5">
      <c r="C287" s="464" t="s">
        <v>4153</v>
      </c>
      <c r="D287" s="464">
        <v>8191</v>
      </c>
      <c r="F287"/>
      <c r="G287"/>
    </row>
    <row r="288" spans="3:7" ht="14.25" customHeight="1" x14ac:dyDescent="0.5">
      <c r="C288" s="464" t="s">
        <v>4153</v>
      </c>
      <c r="D288" s="464">
        <v>14040</v>
      </c>
      <c r="F288"/>
      <c r="G288"/>
    </row>
    <row r="289" spans="3:7" ht="14.25" customHeight="1" x14ac:dyDescent="0.5">
      <c r="C289" s="464" t="s">
        <v>4153</v>
      </c>
      <c r="D289" s="464">
        <v>16886</v>
      </c>
      <c r="F289"/>
      <c r="G289"/>
    </row>
    <row r="290" spans="3:7" ht="14.25" customHeight="1" x14ac:dyDescent="0.5">
      <c r="C290" s="464" t="s">
        <v>4153</v>
      </c>
      <c r="D290" s="464">
        <v>18163.914362011768</v>
      </c>
      <c r="F290"/>
      <c r="G290"/>
    </row>
    <row r="291" spans="3:7" ht="14.25" customHeight="1" x14ac:dyDescent="0.5">
      <c r="C291" s="464" t="s">
        <v>4154</v>
      </c>
      <c r="D291" s="464">
        <v>54522.085637988232</v>
      </c>
      <c r="F291"/>
      <c r="G291"/>
    </row>
    <row r="292" spans="3:7" ht="14.25" customHeight="1" x14ac:dyDescent="0.5">
      <c r="C292" s="464" t="s">
        <v>4154</v>
      </c>
      <c r="D292" s="464">
        <v>77334.607362011797</v>
      </c>
      <c r="F292"/>
      <c r="G292"/>
    </row>
    <row r="293" spans="3:7" ht="14.25" customHeight="1" x14ac:dyDescent="0.5">
      <c r="C293" s="464" t="s">
        <v>4154</v>
      </c>
      <c r="D293" s="464">
        <v>10354.392637988203</v>
      </c>
      <c r="F293"/>
      <c r="G293"/>
    </row>
    <row r="294" spans="3:7" ht="14.25" customHeight="1" x14ac:dyDescent="0.5">
      <c r="C294" s="464" t="s">
        <v>4154</v>
      </c>
      <c r="D294" s="464">
        <v>14544</v>
      </c>
      <c r="F294"/>
      <c r="G294"/>
    </row>
    <row r="295" spans="3:7" ht="14.25" customHeight="1" x14ac:dyDescent="0.5">
      <c r="C295" s="464" t="s">
        <v>4154</v>
      </c>
      <c r="D295" s="464">
        <v>7916</v>
      </c>
      <c r="F295"/>
      <c r="G295"/>
    </row>
    <row r="296" spans="3:7" ht="14.25" customHeight="1" x14ac:dyDescent="0.5">
      <c r="C296" s="464" t="s">
        <v>4154</v>
      </c>
      <c r="D296" s="464">
        <v>11139.253362011776</v>
      </c>
      <c r="F296"/>
      <c r="G296"/>
    </row>
    <row r="297" spans="3:7" ht="14.25" customHeight="1" x14ac:dyDescent="0.5">
      <c r="C297" s="464" t="s">
        <v>4157</v>
      </c>
      <c r="D297" s="464">
        <v>30061.556637988244</v>
      </c>
      <c r="F297"/>
      <c r="G297"/>
    </row>
    <row r="298" spans="3:7" ht="14.25" customHeight="1" x14ac:dyDescent="0.5">
      <c r="C298" s="464" t="s">
        <v>4157</v>
      </c>
      <c r="D298" s="464">
        <v>31209.487000000001</v>
      </c>
      <c r="F298"/>
      <c r="G298"/>
    </row>
    <row r="299" spans="3:7" ht="14.25" customHeight="1" x14ac:dyDescent="0.5">
      <c r="C299" s="464" t="s">
        <v>4157</v>
      </c>
      <c r="D299" s="464">
        <v>70572.972362011817</v>
      </c>
      <c r="F299"/>
      <c r="G299"/>
    </row>
    <row r="300" spans="3:7" ht="14.25" customHeight="1" x14ac:dyDescent="0.5">
      <c r="C300" s="464" t="s">
        <v>4157</v>
      </c>
      <c r="D300" s="464">
        <v>15453.177637988178</v>
      </c>
      <c r="F300"/>
      <c r="G300"/>
    </row>
    <row r="301" spans="3:7" ht="14.25" customHeight="1" x14ac:dyDescent="0.5">
      <c r="C301" s="464" t="s">
        <v>4157</v>
      </c>
      <c r="D301" s="464">
        <v>83291.555999999997</v>
      </c>
      <c r="F301"/>
      <c r="G301"/>
    </row>
    <row r="302" spans="3:7" ht="14.25" customHeight="1" x14ac:dyDescent="0.5">
      <c r="C302" s="464" t="s">
        <v>4157</v>
      </c>
      <c r="D302" s="464">
        <v>14783.501</v>
      </c>
      <c r="F302"/>
      <c r="G302"/>
    </row>
    <row r="303" spans="3:7" ht="14.25" customHeight="1" x14ac:dyDescent="0.5">
      <c r="C303" s="464" t="s">
        <v>4157</v>
      </c>
      <c r="D303" s="464">
        <v>6267.3649999999998</v>
      </c>
      <c r="F303"/>
      <c r="G303"/>
    </row>
    <row r="304" spans="3:7" ht="14.25" customHeight="1" x14ac:dyDescent="0.5">
      <c r="C304" s="464" t="s">
        <v>4157</v>
      </c>
      <c r="D304" s="464">
        <v>12758.707</v>
      </c>
      <c r="F304"/>
      <c r="G304"/>
    </row>
    <row r="305" spans="3:7" ht="14.25" customHeight="1" x14ac:dyDescent="0.5">
      <c r="C305" s="464" t="s">
        <v>4157</v>
      </c>
      <c r="D305" s="464">
        <v>13910.23</v>
      </c>
      <c r="F305"/>
      <c r="G305"/>
    </row>
    <row r="306" spans="3:7" ht="14.25" customHeight="1" x14ac:dyDescent="0.5">
      <c r="C306" s="464" t="s">
        <v>4157</v>
      </c>
      <c r="D306" s="464">
        <v>13885.222</v>
      </c>
      <c r="F306"/>
      <c r="G306"/>
    </row>
    <row r="307" spans="3:7" ht="14.25" customHeight="1" x14ac:dyDescent="0.5">
      <c r="C307" s="464" t="s">
        <v>4157</v>
      </c>
      <c r="D307" s="464">
        <v>241.3803620118324</v>
      </c>
      <c r="F307"/>
      <c r="G307"/>
    </row>
    <row r="308" spans="3:7" ht="14.25" customHeight="1" x14ac:dyDescent="0.5">
      <c r="C308" s="464" t="s">
        <v>4157</v>
      </c>
      <c r="D308" s="464">
        <v>11875.303637988167</v>
      </c>
      <c r="F308"/>
      <c r="G308"/>
    </row>
    <row r="309" spans="3:7" ht="14.25" customHeight="1" x14ac:dyDescent="0.5">
      <c r="C309" s="464" t="s">
        <v>4157</v>
      </c>
      <c r="D309" s="464">
        <v>13416.08</v>
      </c>
      <c r="F309"/>
      <c r="G309"/>
    </row>
    <row r="310" spans="3:7" ht="14.25" customHeight="1" x14ac:dyDescent="0.5">
      <c r="C310" s="464" t="s">
        <v>4157</v>
      </c>
      <c r="D310" s="464">
        <v>8114.4669999999996</v>
      </c>
      <c r="F310"/>
      <c r="G310"/>
    </row>
    <row r="311" spans="3:7" ht="14.25" customHeight="1" x14ac:dyDescent="0.5">
      <c r="C311" s="464" t="s">
        <v>4157</v>
      </c>
      <c r="D311" s="464">
        <v>12481.795</v>
      </c>
      <c r="F311"/>
      <c r="G311"/>
    </row>
    <row r="312" spans="3:7" ht="14.25" customHeight="1" x14ac:dyDescent="0.5">
      <c r="C312" s="464" t="s">
        <v>4157</v>
      </c>
      <c r="D312" s="464">
        <v>703.21400000000006</v>
      </c>
      <c r="F312"/>
      <c r="G312"/>
    </row>
    <row r="313" spans="3:7" ht="14.25" customHeight="1" x14ac:dyDescent="0.5">
      <c r="C313" s="464" t="s">
        <v>4157</v>
      </c>
      <c r="D313" s="464">
        <v>5829.7653620118017</v>
      </c>
      <c r="F313"/>
      <c r="G313"/>
    </row>
    <row r="314" spans="3:7" ht="14.25" customHeight="1" x14ac:dyDescent="0.5">
      <c r="C314" s="464" t="s">
        <v>4159</v>
      </c>
      <c r="D314" s="464">
        <v>27063.637637988289</v>
      </c>
      <c r="F314"/>
      <c r="G314"/>
    </row>
    <row r="315" spans="3:7" ht="14.25" customHeight="1" x14ac:dyDescent="0.5">
      <c r="C315" s="464" t="s">
        <v>4159</v>
      </c>
      <c r="D315" s="464">
        <v>14047</v>
      </c>
      <c r="F315"/>
      <c r="G315"/>
    </row>
    <row r="316" spans="3:7" ht="14.25" customHeight="1" x14ac:dyDescent="0.5">
      <c r="C316" s="464" t="s">
        <v>4159</v>
      </c>
      <c r="D316" s="464">
        <v>18687</v>
      </c>
      <c r="F316"/>
      <c r="G316"/>
    </row>
    <row r="317" spans="3:7" ht="14.25" customHeight="1" x14ac:dyDescent="0.5">
      <c r="C317" s="464" t="s">
        <v>4159</v>
      </c>
      <c r="D317" s="464">
        <v>12382.019362011837</v>
      </c>
      <c r="F317"/>
      <c r="G317"/>
    </row>
    <row r="318" spans="3:7" ht="14.25" customHeight="1" x14ac:dyDescent="0.5">
      <c r="C318" s="464" t="s">
        <v>4159</v>
      </c>
      <c r="D318" s="464">
        <v>268.98063798816293</v>
      </c>
      <c r="F318"/>
      <c r="G318"/>
    </row>
    <row r="319" spans="3:7" ht="14.25" customHeight="1" x14ac:dyDescent="0.5">
      <c r="C319" s="464" t="s">
        <v>4159</v>
      </c>
      <c r="D319" s="464">
        <v>7857</v>
      </c>
      <c r="F319"/>
      <c r="G319"/>
    </row>
    <row r="320" spans="3:7" ht="14.25" customHeight="1" x14ac:dyDescent="0.5">
      <c r="C320" s="464" t="s">
        <v>4159</v>
      </c>
      <c r="D320" s="464">
        <v>72500</v>
      </c>
      <c r="F320"/>
      <c r="G320"/>
    </row>
    <row r="321" spans="3:7" ht="14.25" customHeight="1" x14ac:dyDescent="0.5">
      <c r="C321" s="464" t="s">
        <v>4159</v>
      </c>
      <c r="D321" s="464">
        <v>7175.0453620117041</v>
      </c>
      <c r="F321"/>
      <c r="G321"/>
    </row>
    <row r="322" spans="3:7" ht="14.25" customHeight="1" x14ac:dyDescent="0.5">
      <c r="C322" s="464" t="s">
        <v>4160</v>
      </c>
      <c r="D322" s="464">
        <v>7690.9546379882959</v>
      </c>
      <c r="F322"/>
      <c r="G322"/>
    </row>
    <row r="323" spans="3:7" ht="14.25" customHeight="1" x14ac:dyDescent="0.5">
      <c r="C323" s="464" t="s">
        <v>4160</v>
      </c>
      <c r="D323" s="464">
        <v>71950</v>
      </c>
      <c r="F323"/>
      <c r="G323"/>
    </row>
    <row r="324" spans="3:7" ht="14.25" customHeight="1" x14ac:dyDescent="0.5">
      <c r="C324" s="464" t="s">
        <v>4160</v>
      </c>
      <c r="D324" s="464">
        <v>8211.8603620118229</v>
      </c>
      <c r="F324"/>
      <c r="G324"/>
    </row>
    <row r="325" spans="3:7" ht="14.25" customHeight="1" x14ac:dyDescent="0.5">
      <c r="C325" s="464" t="s">
        <v>4160</v>
      </c>
      <c r="D325" s="464">
        <v>71188.139637988177</v>
      </c>
      <c r="F325"/>
      <c r="G325"/>
    </row>
    <row r="326" spans="3:7" ht="14.25" customHeight="1" x14ac:dyDescent="0.5">
      <c r="C326" s="464" t="s">
        <v>4160</v>
      </c>
      <c r="D326" s="464">
        <v>59530</v>
      </c>
      <c r="F326"/>
      <c r="G326"/>
    </row>
    <row r="327" spans="3:7" ht="14.25" customHeight="1" x14ac:dyDescent="0.5">
      <c r="C327" s="464" t="s">
        <v>4160</v>
      </c>
      <c r="D327" s="464">
        <v>44969.060362011835</v>
      </c>
      <c r="F327"/>
      <c r="G327"/>
    </row>
    <row r="328" spans="3:7" ht="14.25" customHeight="1" x14ac:dyDescent="0.5">
      <c r="C328" s="464" t="s">
        <v>4160</v>
      </c>
      <c r="D328" s="464">
        <v>24136.047000000079</v>
      </c>
      <c r="F328"/>
      <c r="G328"/>
    </row>
    <row r="329" spans="3:7" ht="14.25" customHeight="1" x14ac:dyDescent="0.5">
      <c r="C329" s="464" t="s">
        <v>4162</v>
      </c>
      <c r="D329" s="464">
        <v>58725.900637988299</v>
      </c>
      <c r="F329"/>
      <c r="G329"/>
    </row>
    <row r="330" spans="3:7" ht="14.25" customHeight="1" x14ac:dyDescent="0.5">
      <c r="C330" s="464" t="s">
        <v>4162</v>
      </c>
      <c r="D330" s="464">
        <v>5348.7439999999997</v>
      </c>
      <c r="F330"/>
      <c r="G330"/>
    </row>
    <row r="331" spans="3:7" ht="14.25" customHeight="1" x14ac:dyDescent="0.5">
      <c r="C331" s="464" t="s">
        <v>4162</v>
      </c>
      <c r="D331" s="464">
        <v>13836.578</v>
      </c>
      <c r="F331"/>
      <c r="G331"/>
    </row>
    <row r="332" spans="3:7" ht="14.25" customHeight="1" x14ac:dyDescent="0.5">
      <c r="C332" s="464" t="s">
        <v>4162</v>
      </c>
      <c r="D332" s="464">
        <v>39339.053999999996</v>
      </c>
      <c r="F332"/>
      <c r="G332"/>
    </row>
    <row r="333" spans="3:7" ht="14.25" customHeight="1" x14ac:dyDescent="0.5">
      <c r="C333" s="464" t="s">
        <v>4162</v>
      </c>
      <c r="D333" s="464">
        <v>14632.659362011807</v>
      </c>
      <c r="F333"/>
      <c r="G333"/>
    </row>
    <row r="334" spans="3:7" ht="14.25" customHeight="1" x14ac:dyDescent="0.5">
      <c r="C334" s="464" t="s">
        <v>4162</v>
      </c>
      <c r="D334" s="464">
        <v>68.391637988192088</v>
      </c>
      <c r="F334"/>
      <c r="G334"/>
    </row>
    <row r="335" spans="3:7" ht="14.25" customHeight="1" x14ac:dyDescent="0.5">
      <c r="C335" s="464" t="s">
        <v>4162</v>
      </c>
      <c r="D335" s="464">
        <v>12903.526</v>
      </c>
      <c r="F335"/>
      <c r="G335"/>
    </row>
    <row r="336" spans="3:7" ht="14.25" customHeight="1" x14ac:dyDescent="0.5">
      <c r="C336" s="464" t="s">
        <v>4162</v>
      </c>
      <c r="D336" s="464">
        <v>18556.937999999998</v>
      </c>
      <c r="F336"/>
      <c r="G336"/>
    </row>
    <row r="337" spans="3:7" ht="14.25" customHeight="1" x14ac:dyDescent="0.5">
      <c r="C337" s="464" t="s">
        <v>4162</v>
      </c>
      <c r="D337" s="464">
        <v>8178.3620000000001</v>
      </c>
      <c r="F337"/>
      <c r="G337"/>
    </row>
    <row r="338" spans="3:7" ht="14.25" customHeight="1" x14ac:dyDescent="0.5">
      <c r="C338" s="464" t="s">
        <v>4162</v>
      </c>
      <c r="D338" s="464">
        <v>11684.516</v>
      </c>
      <c r="F338"/>
      <c r="G338"/>
    </row>
    <row r="339" spans="3:7" ht="14.25" customHeight="1" x14ac:dyDescent="0.5">
      <c r="C339" s="464" t="s">
        <v>4162</v>
      </c>
      <c r="D339" s="464">
        <v>12382.949000000001</v>
      </c>
      <c r="F339"/>
      <c r="G339"/>
    </row>
    <row r="340" spans="3:7" ht="14.25" customHeight="1" x14ac:dyDescent="0.5">
      <c r="C340" s="464" t="s">
        <v>4162</v>
      </c>
      <c r="D340" s="464">
        <v>56330.277000000002</v>
      </c>
      <c r="F340"/>
      <c r="G340"/>
    </row>
    <row r="341" spans="3:7" ht="14.25" customHeight="1" x14ac:dyDescent="0.5">
      <c r="C341" s="464" t="s">
        <v>4162</v>
      </c>
      <c r="D341" s="464">
        <v>15182.218000000001</v>
      </c>
      <c r="F341"/>
      <c r="G341"/>
    </row>
    <row r="342" spans="3:7" ht="14.25" customHeight="1" x14ac:dyDescent="0.5">
      <c r="C342" s="464" t="s">
        <v>4162</v>
      </c>
      <c r="D342" s="464">
        <v>12259.294</v>
      </c>
      <c r="F342"/>
      <c r="G342"/>
    </row>
    <row r="343" spans="3:7" ht="14.25" customHeight="1" x14ac:dyDescent="0.5">
      <c r="C343" s="464" t="s">
        <v>4162</v>
      </c>
      <c r="D343" s="464">
        <v>5152.3410000000003</v>
      </c>
      <c r="F343"/>
      <c r="G343"/>
    </row>
    <row r="344" spans="3:7" ht="14.25" customHeight="1" x14ac:dyDescent="0.5">
      <c r="C344" s="464" t="s">
        <v>4162</v>
      </c>
      <c r="D344" s="464">
        <v>9141.5673620117905</v>
      </c>
      <c r="F344"/>
      <c r="G344"/>
    </row>
    <row r="345" spans="3:7" ht="14.25" customHeight="1" x14ac:dyDescent="0.5">
      <c r="C345" s="464" t="s">
        <v>4163</v>
      </c>
      <c r="D345" s="464">
        <v>3731.2906379882097</v>
      </c>
      <c r="F345"/>
      <c r="G345"/>
    </row>
    <row r="346" spans="3:7" ht="14.25" customHeight="1" x14ac:dyDescent="0.5">
      <c r="C346" s="464" t="s">
        <v>4163</v>
      </c>
      <c r="D346" s="464">
        <v>15055.308000000001</v>
      </c>
      <c r="F346"/>
      <c r="G346"/>
    </row>
    <row r="347" spans="3:7" ht="14.25" customHeight="1" x14ac:dyDescent="0.5">
      <c r="C347" s="464" t="s">
        <v>4163</v>
      </c>
      <c r="D347" s="464">
        <v>13872.557000000001</v>
      </c>
      <c r="F347"/>
      <c r="G347"/>
    </row>
    <row r="348" spans="3:7" ht="14.25" customHeight="1" x14ac:dyDescent="0.5">
      <c r="C348" s="464" t="s">
        <v>4163</v>
      </c>
      <c r="D348" s="464">
        <v>11777.832</v>
      </c>
      <c r="F348"/>
      <c r="G348"/>
    </row>
    <row r="349" spans="3:7" ht="14.25" customHeight="1" x14ac:dyDescent="0.5">
      <c r="C349" s="464" t="s">
        <v>4163</v>
      </c>
      <c r="D349" s="464">
        <v>10645.521000000001</v>
      </c>
      <c r="F349"/>
      <c r="G349"/>
    </row>
    <row r="350" spans="3:7" ht="14.25" customHeight="1" x14ac:dyDescent="0.5">
      <c r="C350" s="464" t="s">
        <v>4163</v>
      </c>
      <c r="D350" s="464">
        <v>7373.5119999999997</v>
      </c>
      <c r="F350"/>
      <c r="G350"/>
    </row>
    <row r="351" spans="3:7" ht="14.25" customHeight="1" x14ac:dyDescent="0.5">
      <c r="C351" s="464" t="s">
        <v>4163</v>
      </c>
      <c r="D351" s="464">
        <v>14317.286</v>
      </c>
      <c r="F351"/>
      <c r="G351"/>
    </row>
    <row r="352" spans="3:7" ht="14.25" customHeight="1" x14ac:dyDescent="0.5">
      <c r="C352" s="464" t="s">
        <v>4163</v>
      </c>
      <c r="D352" s="464">
        <v>15580.517</v>
      </c>
      <c r="F352"/>
      <c r="G352"/>
    </row>
    <row r="353" spans="3:7" ht="14.25" customHeight="1" x14ac:dyDescent="0.5">
      <c r="C353" s="464" t="s">
        <v>4163</v>
      </c>
      <c r="D353" s="464">
        <v>43707.398000000001</v>
      </c>
      <c r="F353"/>
      <c r="G353"/>
    </row>
    <row r="354" spans="3:7" ht="14.25" customHeight="1" x14ac:dyDescent="0.5">
      <c r="C354" s="464" t="s">
        <v>4163</v>
      </c>
      <c r="D354" s="464">
        <v>61242.724999999999</v>
      </c>
      <c r="F354"/>
      <c r="G354"/>
    </row>
    <row r="355" spans="3:7" ht="14.25" customHeight="1" x14ac:dyDescent="0.5">
      <c r="C355" s="464" t="s">
        <v>4163</v>
      </c>
      <c r="D355" s="464">
        <v>32896.637999999999</v>
      </c>
      <c r="F355"/>
      <c r="G355"/>
    </row>
    <row r="356" spans="3:7" ht="14.25" customHeight="1" x14ac:dyDescent="0.5">
      <c r="C356" s="464" t="s">
        <v>4163</v>
      </c>
      <c r="D356" s="464">
        <v>13176.643</v>
      </c>
      <c r="F356"/>
      <c r="G356"/>
    </row>
    <row r="357" spans="3:7" ht="14.25" customHeight="1" x14ac:dyDescent="0.5">
      <c r="C357" s="464" t="s">
        <v>4163</v>
      </c>
      <c r="D357" s="464">
        <v>3819.288</v>
      </c>
      <c r="F357"/>
      <c r="G357"/>
    </row>
    <row r="358" spans="3:7" ht="14.25" customHeight="1" x14ac:dyDescent="0.5">
      <c r="C358" s="464" t="s">
        <v>4163</v>
      </c>
      <c r="D358" s="464">
        <v>4579.3283620118273</v>
      </c>
      <c r="F358"/>
      <c r="G358"/>
    </row>
    <row r="359" spans="3:7" ht="14.25" customHeight="1" x14ac:dyDescent="0.5">
      <c r="C359" s="464" t="s">
        <v>4163</v>
      </c>
      <c r="D359" s="464">
        <v>9343.7836379881719</v>
      </c>
      <c r="F359"/>
      <c r="G359"/>
    </row>
    <row r="360" spans="3:7" ht="14.25" customHeight="1" x14ac:dyDescent="0.5">
      <c r="C360" s="464" t="s">
        <v>4163</v>
      </c>
      <c r="D360" s="464">
        <v>32120.19</v>
      </c>
      <c r="F360"/>
      <c r="G360"/>
    </row>
    <row r="361" spans="3:7" ht="14.25" customHeight="1" x14ac:dyDescent="0.5">
      <c r="C361" s="464" t="s">
        <v>4163</v>
      </c>
      <c r="D361" s="464">
        <v>15679.768</v>
      </c>
      <c r="F361"/>
      <c r="G361"/>
    </row>
    <row r="362" spans="3:7" ht="14.25" customHeight="1" x14ac:dyDescent="0.5">
      <c r="C362" s="464" t="s">
        <v>4163</v>
      </c>
      <c r="D362" s="464">
        <v>14762.489</v>
      </c>
      <c r="F362"/>
      <c r="G362"/>
    </row>
    <row r="363" spans="3:7" ht="14.25" customHeight="1" x14ac:dyDescent="0.5">
      <c r="C363" s="464" t="s">
        <v>4163</v>
      </c>
      <c r="D363" s="464">
        <v>7856.3890000000001</v>
      </c>
      <c r="F363"/>
      <c r="G363"/>
    </row>
    <row r="364" spans="3:7" ht="14.25" customHeight="1" x14ac:dyDescent="0.5">
      <c r="C364" s="464" t="s">
        <v>4163</v>
      </c>
      <c r="D364" s="464">
        <v>12224.717000000001</v>
      </c>
      <c r="F364"/>
      <c r="G364"/>
    </row>
    <row r="365" spans="3:7" ht="14.25" customHeight="1" x14ac:dyDescent="0.5">
      <c r="C365" s="464" t="s">
        <v>4163</v>
      </c>
      <c r="D365" s="464">
        <v>17381.285</v>
      </c>
      <c r="F365"/>
      <c r="G365"/>
    </row>
    <row r="366" spans="3:7" ht="14.25" customHeight="1" x14ac:dyDescent="0.5">
      <c r="C366" s="464" t="s">
        <v>4163</v>
      </c>
      <c r="D366" s="464">
        <v>65419.892999999996</v>
      </c>
      <c r="F366"/>
      <c r="G366"/>
    </row>
    <row r="367" spans="3:7" ht="14.25" customHeight="1" x14ac:dyDescent="0.5">
      <c r="C367" s="464" t="s">
        <v>4163</v>
      </c>
      <c r="D367" s="464">
        <v>8240.5059999999994</v>
      </c>
      <c r="F367"/>
      <c r="G367"/>
    </row>
    <row r="368" spans="3:7" ht="14.25" customHeight="1" x14ac:dyDescent="0.5">
      <c r="C368" s="464" t="s">
        <v>4163</v>
      </c>
      <c r="D368" s="464">
        <v>64108.184362011852</v>
      </c>
      <c r="F368"/>
      <c r="G368"/>
    </row>
    <row r="369" spans="3:7" ht="14.25" customHeight="1" x14ac:dyDescent="0.5">
      <c r="C369" s="464" t="s">
        <v>4164</v>
      </c>
      <c r="D369" s="464">
        <v>11765.191999999999</v>
      </c>
      <c r="F369"/>
      <c r="G369"/>
    </row>
    <row r="370" spans="3:7" ht="14.25" customHeight="1" x14ac:dyDescent="0.5">
      <c r="C370" s="464" t="s">
        <v>4164</v>
      </c>
      <c r="D370" s="464">
        <v>12144.231</v>
      </c>
      <c r="F370"/>
      <c r="G370"/>
    </row>
    <row r="371" spans="3:7" ht="14.25" customHeight="1" x14ac:dyDescent="0.5">
      <c r="C371" s="464" t="s">
        <v>4164</v>
      </c>
      <c r="D371" s="464">
        <v>11907.207</v>
      </c>
      <c r="F371"/>
      <c r="G371"/>
    </row>
    <row r="372" spans="3:7" ht="14.25" customHeight="1" x14ac:dyDescent="0.5">
      <c r="C372" s="464" t="s">
        <v>4164</v>
      </c>
      <c r="D372" s="464">
        <v>12300.246999999999</v>
      </c>
      <c r="F372"/>
      <c r="G372"/>
    </row>
    <row r="373" spans="3:7" ht="14.25" customHeight="1" x14ac:dyDescent="0.5">
      <c r="C373" s="464" t="s">
        <v>4164</v>
      </c>
      <c r="D373" s="464">
        <v>1356.1369999999999</v>
      </c>
      <c r="F373"/>
      <c r="G373"/>
    </row>
    <row r="374" spans="3:7" ht="14.25" customHeight="1" x14ac:dyDescent="0.5">
      <c r="C374" s="464" t="s">
        <v>4164</v>
      </c>
      <c r="D374" s="464">
        <v>12762.293</v>
      </c>
      <c r="F374"/>
      <c r="G374"/>
    </row>
    <row r="375" spans="3:7" ht="14.25" customHeight="1" x14ac:dyDescent="0.5">
      <c r="C375" s="464" t="s">
        <v>4164</v>
      </c>
      <c r="D375" s="464">
        <v>4161.3119999999999</v>
      </c>
      <c r="F375"/>
      <c r="G375"/>
    </row>
    <row r="376" spans="3:7" ht="14.25" customHeight="1" x14ac:dyDescent="0.5">
      <c r="C376" s="464" t="s">
        <v>4164</v>
      </c>
      <c r="D376" s="464">
        <v>13248.626</v>
      </c>
      <c r="F376"/>
      <c r="G376"/>
    </row>
    <row r="377" spans="3:7" ht="14.25" customHeight="1" x14ac:dyDescent="0.5">
      <c r="C377" s="464" t="s">
        <v>4164</v>
      </c>
      <c r="D377" s="464">
        <v>12918.76</v>
      </c>
      <c r="F377"/>
      <c r="G377"/>
    </row>
    <row r="378" spans="3:7" ht="14.25" customHeight="1" x14ac:dyDescent="0.5">
      <c r="C378" s="464" t="s">
        <v>4164</v>
      </c>
      <c r="D378" s="464">
        <v>13496.368</v>
      </c>
      <c r="F378"/>
      <c r="G378"/>
    </row>
    <row r="379" spans="3:7" ht="14.25" customHeight="1" x14ac:dyDescent="0.5">
      <c r="C379" s="464" t="s">
        <v>4164</v>
      </c>
      <c r="D379" s="464">
        <v>12471.263999999999</v>
      </c>
      <c r="F379"/>
      <c r="G379"/>
    </row>
    <row r="380" spans="3:7" ht="14.25" customHeight="1" x14ac:dyDescent="0.5">
      <c r="C380" s="464" t="s">
        <v>4164</v>
      </c>
      <c r="D380" s="464">
        <v>10728.087</v>
      </c>
      <c r="F380"/>
      <c r="G380"/>
    </row>
    <row r="381" spans="3:7" ht="14.25" customHeight="1" x14ac:dyDescent="0.5">
      <c r="C381" s="464" t="s">
        <v>4164</v>
      </c>
      <c r="D381" s="464">
        <v>9230.0253620118565</v>
      </c>
      <c r="F381"/>
      <c r="G381"/>
    </row>
    <row r="382" spans="3:7" ht="14.25" customHeight="1" x14ac:dyDescent="0.5">
      <c r="C382" s="464" t="s">
        <v>4164</v>
      </c>
      <c r="D382" s="464">
        <v>8398.7616379881438</v>
      </c>
      <c r="F382"/>
      <c r="G382"/>
    </row>
    <row r="383" spans="3:7" ht="14.25" customHeight="1" x14ac:dyDescent="0.5">
      <c r="C383" s="464" t="s">
        <v>4164</v>
      </c>
      <c r="D383" s="464">
        <v>1380.14</v>
      </c>
      <c r="F383"/>
      <c r="G383"/>
    </row>
    <row r="384" spans="3:7" ht="14.25" customHeight="1" x14ac:dyDescent="0.5">
      <c r="C384" s="464" t="s">
        <v>4164</v>
      </c>
      <c r="D384" s="464">
        <v>14447.464</v>
      </c>
      <c r="F384"/>
      <c r="G384"/>
    </row>
    <row r="385" spans="3:7" ht="14.25" customHeight="1" x14ac:dyDescent="0.5">
      <c r="C385" s="464" t="s">
        <v>4164</v>
      </c>
      <c r="D385" s="464">
        <v>15911.612999999999</v>
      </c>
      <c r="F385"/>
      <c r="G385"/>
    </row>
    <row r="386" spans="3:7" ht="14.25" customHeight="1" x14ac:dyDescent="0.5">
      <c r="C386" s="464" t="s">
        <v>4164</v>
      </c>
      <c r="D386" s="464">
        <v>34684.514999999999</v>
      </c>
      <c r="F386"/>
      <c r="G386"/>
    </row>
    <row r="387" spans="3:7" ht="14.25" customHeight="1" x14ac:dyDescent="0.5">
      <c r="C387" s="464" t="s">
        <v>4164</v>
      </c>
      <c r="D387" s="464">
        <v>641.67499999999995</v>
      </c>
      <c r="F387"/>
      <c r="G387"/>
    </row>
    <row r="388" spans="3:7" ht="14.25" customHeight="1" x14ac:dyDescent="0.5">
      <c r="C388" s="464" t="s">
        <v>4164</v>
      </c>
      <c r="D388" s="464">
        <v>13077.369000000001</v>
      </c>
      <c r="F388"/>
      <c r="G388"/>
    </row>
    <row r="389" spans="3:7" ht="14.25" customHeight="1" x14ac:dyDescent="0.5">
      <c r="C389" s="464" t="s">
        <v>4164</v>
      </c>
      <c r="D389" s="464">
        <v>35182.159</v>
      </c>
      <c r="F389"/>
      <c r="G389"/>
    </row>
    <row r="390" spans="3:7" ht="14.25" customHeight="1" x14ac:dyDescent="0.5">
      <c r="C390" s="464" t="s">
        <v>4164</v>
      </c>
      <c r="D390" s="464">
        <v>7106.7833620118035</v>
      </c>
      <c r="F390"/>
      <c r="G390"/>
    </row>
    <row r="391" spans="3:7" ht="14.25" customHeight="1" x14ac:dyDescent="0.5">
      <c r="C391" s="464" t="s">
        <v>4167</v>
      </c>
      <c r="D391" s="464">
        <v>2294.4776379885079</v>
      </c>
      <c r="F391"/>
      <c r="G391"/>
    </row>
    <row r="392" spans="3:7" ht="14.25" customHeight="1" x14ac:dyDescent="0.5">
      <c r="C392" s="464" t="s">
        <v>4167</v>
      </c>
      <c r="D392" s="464">
        <v>2057.33</v>
      </c>
      <c r="F392"/>
      <c r="G392"/>
    </row>
    <row r="393" spans="3:7" ht="14.25" customHeight="1" x14ac:dyDescent="0.5">
      <c r="C393" s="464" t="s">
        <v>4167</v>
      </c>
      <c r="D393" s="464">
        <v>12617.759</v>
      </c>
      <c r="F393"/>
      <c r="G393"/>
    </row>
    <row r="394" spans="3:7" ht="14.25" customHeight="1" x14ac:dyDescent="0.5">
      <c r="C394" s="464" t="s">
        <v>4167</v>
      </c>
      <c r="D394" s="464">
        <v>14355.72</v>
      </c>
      <c r="F394"/>
      <c r="G394"/>
    </row>
    <row r="395" spans="3:7" ht="14.25" customHeight="1" x14ac:dyDescent="0.5">
      <c r="C395" s="464" t="s">
        <v>4167</v>
      </c>
      <c r="D395" s="464">
        <v>11563.136</v>
      </c>
      <c r="F395"/>
      <c r="G395"/>
    </row>
    <row r="396" spans="3:7" ht="14.25" customHeight="1" x14ac:dyDescent="0.5">
      <c r="C396" s="464" t="s">
        <v>4167</v>
      </c>
      <c r="D396" s="464">
        <v>14609.591</v>
      </c>
      <c r="F396"/>
      <c r="G396"/>
    </row>
    <row r="397" spans="3:7" ht="14.25" customHeight="1" x14ac:dyDescent="0.5">
      <c r="C397" s="464" t="s">
        <v>4167</v>
      </c>
      <c r="D397" s="464">
        <v>11290.273999999999</v>
      </c>
      <c r="F397"/>
      <c r="G397"/>
    </row>
    <row r="398" spans="3:7" ht="14.25" customHeight="1" x14ac:dyDescent="0.5">
      <c r="C398" s="464" t="s">
        <v>4167</v>
      </c>
      <c r="D398" s="464">
        <v>1309.336</v>
      </c>
      <c r="F398"/>
      <c r="G398"/>
    </row>
    <row r="399" spans="3:7" ht="14.25" customHeight="1" x14ac:dyDescent="0.5">
      <c r="C399" s="464" t="s">
        <v>4167</v>
      </c>
      <c r="D399" s="464">
        <v>15694.040999999999</v>
      </c>
      <c r="F399"/>
      <c r="G399"/>
    </row>
    <row r="400" spans="3:7" ht="14.25" customHeight="1" x14ac:dyDescent="0.5">
      <c r="C400" s="464" t="s">
        <v>4167</v>
      </c>
      <c r="D400" s="464">
        <v>1650.2613620120701</v>
      </c>
      <c r="F400"/>
      <c r="G400"/>
    </row>
    <row r="401" spans="3:7" ht="14.25" customHeight="1" x14ac:dyDescent="0.5">
      <c r="C401" s="464" t="s">
        <v>4167</v>
      </c>
      <c r="D401" s="464">
        <v>15296.144637987929</v>
      </c>
      <c r="F401"/>
      <c r="G401"/>
    </row>
    <row r="402" spans="3:7" ht="14.25" customHeight="1" x14ac:dyDescent="0.5">
      <c r="C402" s="464" t="s">
        <v>4167</v>
      </c>
      <c r="D402" s="464">
        <v>72629.951362012172</v>
      </c>
      <c r="F402"/>
      <c r="G402"/>
    </row>
    <row r="403" spans="3:7" ht="14.25" customHeight="1" x14ac:dyDescent="0.5">
      <c r="C403" s="464" t="s">
        <v>4168</v>
      </c>
      <c r="D403" s="464">
        <v>5630.3586379878252</v>
      </c>
      <c r="F403"/>
      <c r="G403"/>
    </row>
    <row r="404" spans="3:7" ht="14.25" customHeight="1" x14ac:dyDescent="0.5">
      <c r="C404" s="464" t="s">
        <v>4168</v>
      </c>
      <c r="D404" s="464">
        <v>81358.739000000001</v>
      </c>
      <c r="F404"/>
      <c r="G404"/>
    </row>
    <row r="405" spans="3:7" ht="14.25" customHeight="1" x14ac:dyDescent="0.5">
      <c r="C405" s="464" t="s">
        <v>4168</v>
      </c>
      <c r="D405" s="464">
        <v>1000.5323620120616</v>
      </c>
      <c r="F405"/>
      <c r="G405"/>
    </row>
    <row r="406" spans="3:7" ht="14.25" customHeight="1" x14ac:dyDescent="0.5">
      <c r="C406" s="464" t="s">
        <v>4168</v>
      </c>
      <c r="D406" s="464">
        <v>11398.179637987938</v>
      </c>
      <c r="F406"/>
      <c r="G406"/>
    </row>
    <row r="407" spans="3:7" ht="14.25" customHeight="1" x14ac:dyDescent="0.5">
      <c r="C407" s="464" t="s">
        <v>4168</v>
      </c>
      <c r="D407" s="464">
        <v>1382.299</v>
      </c>
      <c r="F407"/>
      <c r="G407"/>
    </row>
    <row r="408" spans="3:7" ht="14.25" customHeight="1" x14ac:dyDescent="0.5">
      <c r="C408" s="464" t="s">
        <v>4168</v>
      </c>
      <c r="D408" s="464">
        <v>13710.047</v>
      </c>
      <c r="F408"/>
      <c r="G408"/>
    </row>
  </sheetData>
  <sortState ref="C2:D404">
    <sortCondition ref="C2:C40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327"/>
  <sheetViews>
    <sheetView zoomScale="115" zoomScaleNormal="115" workbookViewId="0">
      <pane ySplit="6" topLeftCell="A261" activePane="bottomLeft" state="frozen"/>
      <selection pane="bottomLeft" activeCell="B303" sqref="B303:H303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.5703125" style="132" bestFit="1" customWidth="1"/>
    <col min="16" max="16384" width="18.5703125" style="134"/>
  </cols>
  <sheetData>
    <row r="1" spans="1:15" x14ac:dyDescent="0.15">
      <c r="A1" s="130" t="s">
        <v>2536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2517</v>
      </c>
      <c r="B7" s="146"/>
      <c r="C7" s="152">
        <v>174988.95236201139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174988.95236201139</v>
      </c>
      <c r="O7" s="147">
        <f>+C288</f>
        <v>657816.92436201149</v>
      </c>
    </row>
    <row r="8" spans="1:15" x14ac:dyDescent="0.15">
      <c r="A8" s="154" t="s">
        <v>2518</v>
      </c>
      <c r="B8" s="151"/>
      <c r="C8" s="152">
        <v>472050.97199999914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174988.95236201139</v>
      </c>
      <c r="O8" s="152">
        <f t="shared" ref="O8:O10" si="0">O7+G8-I8-L8</f>
        <v>657816.92436201149</v>
      </c>
    </row>
    <row r="9" spans="1:15" x14ac:dyDescent="0.15">
      <c r="A9" s="157" t="s">
        <v>2519</v>
      </c>
      <c r="B9" s="151"/>
      <c r="C9" s="152">
        <v>10777.0000000009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:N10" si="1">+N8-I9-L9</f>
        <v>174988.95236201139</v>
      </c>
      <c r="O9" s="152">
        <f t="shared" si="0"/>
        <v>657816.92436201149</v>
      </c>
    </row>
    <row r="10" spans="1:15" x14ac:dyDescent="0.15">
      <c r="A10" s="154"/>
      <c r="B10" s="151"/>
      <c r="C10" s="152"/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227">
        <f t="shared" si="1"/>
        <v>174988.95236201139</v>
      </c>
      <c r="O10" s="152">
        <f t="shared" si="0"/>
        <v>657816.92436201149</v>
      </c>
    </row>
    <row r="11" spans="1:15" x14ac:dyDescent="0.15">
      <c r="A11" s="154"/>
      <c r="B11" s="151"/>
      <c r="C11" s="152"/>
      <c r="D11" s="323" t="s">
        <v>2552</v>
      </c>
      <c r="E11" s="154" t="s">
        <v>72</v>
      </c>
      <c r="F11" s="157" t="s">
        <v>2519</v>
      </c>
      <c r="G11" s="152">
        <v>175614.00599999999</v>
      </c>
      <c r="H11" s="323" t="s">
        <v>2552</v>
      </c>
      <c r="I11" s="152">
        <v>12426.912</v>
      </c>
      <c r="J11" s="154" t="s">
        <v>2517</v>
      </c>
      <c r="K11" s="157">
        <v>5800360895</v>
      </c>
      <c r="L11" s="227">
        <v>12363.02</v>
      </c>
      <c r="M11" s="154" t="s">
        <v>2517</v>
      </c>
      <c r="N11" s="227">
        <f t="shared" ref="N11:N77" si="2">+N10-I11-L11</f>
        <v>150199.02036201139</v>
      </c>
      <c r="O11" s="152">
        <f t="shared" ref="O11:O77" si="3">O10+G11-I11-L11</f>
        <v>808640.99836201151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2552</v>
      </c>
      <c r="I12" s="152"/>
      <c r="J12" s="154"/>
      <c r="K12" s="157">
        <v>5800360895</v>
      </c>
      <c r="L12" s="227">
        <v>13117.630999999999</v>
      </c>
      <c r="M12" s="154" t="s">
        <v>2517</v>
      </c>
      <c r="N12" s="227">
        <f t="shared" si="2"/>
        <v>137081.3893620114</v>
      </c>
      <c r="O12" s="152">
        <f t="shared" si="3"/>
        <v>795523.36736201146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2552</v>
      </c>
      <c r="I13" s="152"/>
      <c r="J13" s="157"/>
      <c r="K13" s="157">
        <v>5800360895</v>
      </c>
      <c r="L13" s="227">
        <v>13631.047</v>
      </c>
      <c r="M13" s="154" t="s">
        <v>2517</v>
      </c>
      <c r="N13" s="227">
        <f t="shared" si="2"/>
        <v>123450.34236201139</v>
      </c>
      <c r="O13" s="152">
        <f t="shared" si="3"/>
        <v>781892.32036201144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2552</v>
      </c>
      <c r="I14" s="152"/>
      <c r="J14" s="157"/>
      <c r="K14" s="157">
        <v>5800360895</v>
      </c>
      <c r="L14" s="227">
        <v>9166.4290000000001</v>
      </c>
      <c r="M14" s="154" t="s">
        <v>2517</v>
      </c>
      <c r="N14" s="227">
        <f t="shared" si="2"/>
        <v>114283.91336201139</v>
      </c>
      <c r="O14" s="152">
        <f t="shared" si="3"/>
        <v>772725.89136201143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2552</v>
      </c>
      <c r="I15" s="152"/>
      <c r="J15" s="157"/>
      <c r="K15" s="157">
        <v>5800360895</v>
      </c>
      <c r="L15" s="227">
        <v>3806.91</v>
      </c>
      <c r="M15" s="154" t="s">
        <v>2517</v>
      </c>
      <c r="N15" s="227">
        <f t="shared" si="2"/>
        <v>110477.00336201138</v>
      </c>
      <c r="O15" s="152">
        <f t="shared" si="3"/>
        <v>768918.9813620114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2552</v>
      </c>
      <c r="I16" s="152"/>
      <c r="J16" s="157"/>
      <c r="K16" s="157">
        <v>5800360895</v>
      </c>
      <c r="L16" s="227">
        <v>15503.415000000001</v>
      </c>
      <c r="M16" s="154" t="s">
        <v>2517</v>
      </c>
      <c r="N16" s="227">
        <f t="shared" si="2"/>
        <v>94973.588362011389</v>
      </c>
      <c r="O16" s="152">
        <f t="shared" si="3"/>
        <v>753415.56636201136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2565</v>
      </c>
      <c r="I17" s="152">
        <v>14870.589</v>
      </c>
      <c r="J17" s="154" t="s">
        <v>2517</v>
      </c>
      <c r="K17" s="157">
        <v>5800360895</v>
      </c>
      <c r="L17" s="227">
        <v>15352.556</v>
      </c>
      <c r="M17" s="154" t="s">
        <v>2517</v>
      </c>
      <c r="N17" s="227">
        <f t="shared" si="2"/>
        <v>64750.443362011385</v>
      </c>
      <c r="O17" s="152">
        <f t="shared" si="3"/>
        <v>723192.42136201134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2565</v>
      </c>
      <c r="I18" s="152"/>
      <c r="J18" s="157"/>
      <c r="K18" s="157">
        <v>5800360895</v>
      </c>
      <c r="L18" s="227">
        <v>14051.424000000001</v>
      </c>
      <c r="M18" s="154" t="s">
        <v>2517</v>
      </c>
      <c r="N18" s="227">
        <f t="shared" si="2"/>
        <v>50699.019362011386</v>
      </c>
      <c r="O18" s="152">
        <f t="shared" si="3"/>
        <v>709140.99736201135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2565</v>
      </c>
      <c r="I19" s="152"/>
      <c r="J19" s="157"/>
      <c r="K19" s="157">
        <v>5800360895</v>
      </c>
      <c r="L19" s="227">
        <v>12801.297</v>
      </c>
      <c r="M19" s="154" t="s">
        <v>2517</v>
      </c>
      <c r="N19" s="227">
        <f t="shared" si="2"/>
        <v>37897.722362011387</v>
      </c>
      <c r="O19" s="152">
        <f t="shared" si="3"/>
        <v>696339.70036201132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2565</v>
      </c>
      <c r="I20" s="152"/>
      <c r="J20" s="157"/>
      <c r="K20" s="157">
        <v>5800360895</v>
      </c>
      <c r="L20" s="227">
        <v>14271.446</v>
      </c>
      <c r="M20" s="154" t="s">
        <v>2517</v>
      </c>
      <c r="N20" s="227">
        <f t="shared" ref="N20:N28" si="4">+N19-I20-L20</f>
        <v>23626.276362011387</v>
      </c>
      <c r="O20" s="152">
        <f t="shared" ref="O20:O28" si="5">O19+G20-I20-L20</f>
        <v>682068.25436201133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2565</v>
      </c>
      <c r="I21" s="152"/>
      <c r="J21" s="154"/>
      <c r="K21" s="157">
        <v>5800360895</v>
      </c>
      <c r="L21" s="227">
        <v>10004.013999999999</v>
      </c>
      <c r="M21" s="154" t="s">
        <v>2517</v>
      </c>
      <c r="N21" s="227">
        <f t="shared" si="4"/>
        <v>13622.262362011388</v>
      </c>
      <c r="O21" s="152">
        <f t="shared" si="5"/>
        <v>672064.24036201136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2565</v>
      </c>
      <c r="I22" s="152"/>
      <c r="J22" s="154"/>
      <c r="K22" s="157">
        <v>5800360895</v>
      </c>
      <c r="L22" s="227">
        <v>13622.262362011388</v>
      </c>
      <c r="M22" s="154" t="s">
        <v>2517</v>
      </c>
      <c r="N22" s="227">
        <f t="shared" si="4"/>
        <v>0</v>
      </c>
      <c r="O22" s="152">
        <f t="shared" si="5"/>
        <v>658441.978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2565</v>
      </c>
      <c r="I23" s="152"/>
      <c r="J23" s="154"/>
      <c r="K23" s="157">
        <v>5800360895</v>
      </c>
      <c r="L23" s="227">
        <v>289.68263798861199</v>
      </c>
      <c r="M23" s="154" t="s">
        <v>2518</v>
      </c>
      <c r="N23" s="227">
        <f>C8+N22-I23-L23</f>
        <v>471761.28936201055</v>
      </c>
      <c r="O23" s="152">
        <f t="shared" si="5"/>
        <v>658152.29536201141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2565</v>
      </c>
      <c r="I24" s="152"/>
      <c r="J24" s="157"/>
      <c r="K24" s="157">
        <v>5800360895</v>
      </c>
      <c r="L24" s="227">
        <v>34262.625</v>
      </c>
      <c r="M24" s="154" t="s">
        <v>2518</v>
      </c>
      <c r="N24" s="227">
        <f t="shared" si="4"/>
        <v>437498.66436201055</v>
      </c>
      <c r="O24" s="152">
        <f t="shared" si="5"/>
        <v>623889.67036201141</v>
      </c>
    </row>
    <row r="25" spans="1:15" x14ac:dyDescent="0.15">
      <c r="A25" s="154"/>
      <c r="B25" s="151"/>
      <c r="C25" s="152"/>
      <c r="D25" s="323" t="s">
        <v>2571</v>
      </c>
      <c r="E25" s="154" t="s">
        <v>72</v>
      </c>
      <c r="F25" s="157" t="s">
        <v>2519</v>
      </c>
      <c r="G25" s="152">
        <v>43830.255999999994</v>
      </c>
      <c r="H25" s="323" t="s">
        <v>2571</v>
      </c>
      <c r="I25" s="152">
        <v>12980.303</v>
      </c>
      <c r="J25" s="154" t="s">
        <v>2518</v>
      </c>
      <c r="K25" s="157">
        <v>5800360895</v>
      </c>
      <c r="L25" s="227">
        <v>14712.983</v>
      </c>
      <c r="M25" s="154" t="s">
        <v>2518</v>
      </c>
      <c r="N25" s="227">
        <f t="shared" si="4"/>
        <v>409805.37836201052</v>
      </c>
      <c r="O25" s="152">
        <f t="shared" si="5"/>
        <v>640026.64036201139</v>
      </c>
    </row>
    <row r="26" spans="1:15" x14ac:dyDescent="0.15">
      <c r="A26" s="154"/>
      <c r="B26" s="151"/>
      <c r="C26" s="152"/>
      <c r="D26" s="323" t="s">
        <v>2571</v>
      </c>
      <c r="E26" s="154" t="s">
        <v>72</v>
      </c>
      <c r="F26" s="157" t="s">
        <v>2642</v>
      </c>
      <c r="G26" s="152">
        <v>175559.22200000001</v>
      </c>
      <c r="H26" s="323" t="s">
        <v>2571</v>
      </c>
      <c r="I26" s="152"/>
      <c r="J26" s="157"/>
      <c r="K26" s="157">
        <v>5800360895</v>
      </c>
      <c r="L26" s="227">
        <v>13244.684999999999</v>
      </c>
      <c r="M26" s="154" t="s">
        <v>2518</v>
      </c>
      <c r="N26" s="227">
        <f t="shared" si="4"/>
        <v>396560.69336201053</v>
      </c>
      <c r="O26" s="152">
        <f t="shared" si="5"/>
        <v>802341.17736201128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2571</v>
      </c>
      <c r="I27" s="152"/>
      <c r="J27" s="154"/>
      <c r="K27" s="157">
        <v>5800360895</v>
      </c>
      <c r="L27" s="227">
        <v>13489.735000000001</v>
      </c>
      <c r="M27" s="154" t="s">
        <v>2518</v>
      </c>
      <c r="N27" s="227">
        <f t="shared" si="4"/>
        <v>383070.95836201054</v>
      </c>
      <c r="O27" s="152">
        <f t="shared" si="5"/>
        <v>788851.44236201129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2571</v>
      </c>
      <c r="I28" s="152"/>
      <c r="J28" s="157"/>
      <c r="K28" s="157">
        <v>5800360895</v>
      </c>
      <c r="L28" s="227">
        <v>17813.611000000001</v>
      </c>
      <c r="M28" s="154" t="s">
        <v>2518</v>
      </c>
      <c r="N28" s="227">
        <f t="shared" si="4"/>
        <v>365257.34736201057</v>
      </c>
      <c r="O28" s="152">
        <f t="shared" si="5"/>
        <v>771037.83136201126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2571</v>
      </c>
      <c r="I29" s="152"/>
      <c r="J29" s="154"/>
      <c r="K29" s="157">
        <v>5800360895</v>
      </c>
      <c r="L29" s="227">
        <v>13424.721</v>
      </c>
      <c r="M29" s="154" t="s">
        <v>2518</v>
      </c>
      <c r="N29" s="227">
        <f t="shared" si="2"/>
        <v>351832.62636201055</v>
      </c>
      <c r="O29" s="152">
        <f t="shared" si="3"/>
        <v>757613.11036201124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2571</v>
      </c>
      <c r="I30" s="152"/>
      <c r="J30" s="154"/>
      <c r="K30" s="157">
        <v>5800360895</v>
      </c>
      <c r="L30" s="227">
        <v>8647.7530000000006</v>
      </c>
      <c r="M30" s="154" t="s">
        <v>2518</v>
      </c>
      <c r="N30" s="227">
        <f t="shared" si="2"/>
        <v>343184.87336201052</v>
      </c>
      <c r="O30" s="152">
        <f t="shared" si="3"/>
        <v>748965.35736201121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2571</v>
      </c>
      <c r="I31" s="152"/>
      <c r="J31" s="157"/>
      <c r="K31" s="157">
        <v>5800360895</v>
      </c>
      <c r="L31" s="227">
        <v>13357.16</v>
      </c>
      <c r="M31" s="154" t="s">
        <v>2518</v>
      </c>
      <c r="N31" s="227">
        <f t="shared" si="2"/>
        <v>329827.71336201055</v>
      </c>
      <c r="O31" s="152">
        <f t="shared" si="3"/>
        <v>735608.19736201118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2571</v>
      </c>
      <c r="I32" s="152"/>
      <c r="J32" s="154"/>
      <c r="K32" s="157">
        <v>5800360895</v>
      </c>
      <c r="L32" s="227">
        <v>604.50900000000001</v>
      </c>
      <c r="M32" s="154" t="s">
        <v>2518</v>
      </c>
      <c r="N32" s="227">
        <f t="shared" si="2"/>
        <v>329223.20436201053</v>
      </c>
      <c r="O32" s="152">
        <f t="shared" si="3"/>
        <v>735003.68836201122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2571</v>
      </c>
      <c r="I33" s="152"/>
      <c r="J33" s="157"/>
      <c r="K33" s="157">
        <v>5800360895</v>
      </c>
      <c r="L33" s="227">
        <v>2562.92</v>
      </c>
      <c r="M33" s="154" t="s">
        <v>2518</v>
      </c>
      <c r="N33" s="227">
        <f t="shared" si="2"/>
        <v>326660.28436201054</v>
      </c>
      <c r="O33" s="152">
        <f t="shared" si="3"/>
        <v>732440.76836201118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2571</v>
      </c>
      <c r="I34" s="152"/>
      <c r="J34" s="154"/>
      <c r="K34" s="157">
        <v>5800360895</v>
      </c>
      <c r="L34" s="227">
        <v>14921.891</v>
      </c>
      <c r="M34" s="154" t="s">
        <v>2518</v>
      </c>
      <c r="N34" s="227">
        <f t="shared" si="2"/>
        <v>311738.39336201054</v>
      </c>
      <c r="O34" s="152">
        <f t="shared" si="3"/>
        <v>717518.87736201123</v>
      </c>
    </row>
    <row r="35" spans="1:15" x14ac:dyDescent="0.15">
      <c r="A35" s="154"/>
      <c r="B35" s="151"/>
      <c r="C35" s="152"/>
      <c r="D35" s="323" t="s">
        <v>2574</v>
      </c>
      <c r="E35" s="154" t="s">
        <v>72</v>
      </c>
      <c r="F35" s="157" t="s">
        <v>2642</v>
      </c>
      <c r="G35" s="152">
        <v>175512.742</v>
      </c>
      <c r="H35" s="323" t="s">
        <v>2574</v>
      </c>
      <c r="I35" s="152">
        <v>11099.393</v>
      </c>
      <c r="J35" s="154" t="s">
        <v>2518</v>
      </c>
      <c r="K35" s="157">
        <v>5800360895</v>
      </c>
      <c r="L35" s="227">
        <v>12573.370999999999</v>
      </c>
      <c r="M35" s="154" t="s">
        <v>2518</v>
      </c>
      <c r="N35" s="227">
        <f t="shared" si="2"/>
        <v>288065.62936201057</v>
      </c>
      <c r="O35" s="152">
        <f t="shared" si="3"/>
        <v>869358.85536201112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2574</v>
      </c>
      <c r="I36" s="152"/>
      <c r="J36" s="154"/>
      <c r="K36" s="157">
        <v>5800360895</v>
      </c>
      <c r="L36" s="227">
        <v>13356.768</v>
      </c>
      <c r="M36" s="154" t="s">
        <v>2518</v>
      </c>
      <c r="N36" s="227">
        <f t="shared" si="2"/>
        <v>274708.86136201059</v>
      </c>
      <c r="O36" s="152">
        <f t="shared" si="3"/>
        <v>856002.08736201108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2574</v>
      </c>
      <c r="I37" s="152"/>
      <c r="J37" s="154"/>
      <c r="K37" s="157">
        <v>5800360895</v>
      </c>
      <c r="L37" s="227">
        <v>12388.277</v>
      </c>
      <c r="M37" s="154" t="s">
        <v>2518</v>
      </c>
      <c r="N37" s="227">
        <f t="shared" si="2"/>
        <v>262320.58436201059</v>
      </c>
      <c r="O37" s="152">
        <f t="shared" si="3"/>
        <v>843613.81036201108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2574</v>
      </c>
      <c r="I38" s="152"/>
      <c r="J38" s="154"/>
      <c r="K38" s="157">
        <v>5800360895</v>
      </c>
      <c r="L38" s="227">
        <v>15366.786</v>
      </c>
      <c r="M38" s="154" t="s">
        <v>2518</v>
      </c>
      <c r="N38" s="227">
        <f t="shared" si="2"/>
        <v>246953.7983620106</v>
      </c>
      <c r="O38" s="152">
        <f t="shared" si="3"/>
        <v>828247.02436201111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2574</v>
      </c>
      <c r="I39" s="152"/>
      <c r="J39" s="154"/>
      <c r="K39" s="157">
        <v>5800360895</v>
      </c>
      <c r="L39" s="227">
        <v>16544.527999999998</v>
      </c>
      <c r="M39" s="154" t="s">
        <v>2518</v>
      </c>
      <c r="N39" s="227">
        <f t="shared" si="2"/>
        <v>230409.2703620106</v>
      </c>
      <c r="O39" s="152">
        <f t="shared" si="3"/>
        <v>811702.49636201106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2574</v>
      </c>
      <c r="I40" s="152"/>
      <c r="J40" s="154"/>
      <c r="K40" s="157">
        <v>5800360895</v>
      </c>
      <c r="L40" s="227">
        <v>10905.823</v>
      </c>
      <c r="M40" s="154" t="s">
        <v>2518</v>
      </c>
      <c r="N40" s="227">
        <f t="shared" si="2"/>
        <v>219503.4473620106</v>
      </c>
      <c r="O40" s="152">
        <f t="shared" si="3"/>
        <v>800796.67336201109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2574</v>
      </c>
      <c r="I41" s="152"/>
      <c r="J41" s="154"/>
      <c r="K41" s="157">
        <v>5800360895</v>
      </c>
      <c r="L41" s="227">
        <v>2037.7249999999999</v>
      </c>
      <c r="M41" s="154" t="s">
        <v>2518</v>
      </c>
      <c r="N41" s="227">
        <f t="shared" si="2"/>
        <v>217465.72236201059</v>
      </c>
      <c r="O41" s="152">
        <f t="shared" si="3"/>
        <v>798758.94836201111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2574</v>
      </c>
      <c r="I42" s="152"/>
      <c r="J42" s="157"/>
      <c r="K42" s="157">
        <v>5800360895</v>
      </c>
      <c r="L42" s="227">
        <v>15441.759</v>
      </c>
      <c r="M42" s="154" t="s">
        <v>2518</v>
      </c>
      <c r="N42" s="227">
        <f t="shared" si="2"/>
        <v>202023.9633620106</v>
      </c>
      <c r="O42" s="152">
        <f t="shared" si="3"/>
        <v>783317.18936201115</v>
      </c>
    </row>
    <row r="43" spans="1:15" x14ac:dyDescent="0.15">
      <c r="A43" s="154"/>
      <c r="B43" s="151"/>
      <c r="C43" s="152"/>
      <c r="D43" s="323" t="s">
        <v>2578</v>
      </c>
      <c r="E43" s="154" t="s">
        <v>72</v>
      </c>
      <c r="F43" s="157" t="s">
        <v>2642</v>
      </c>
      <c r="G43" s="152">
        <v>21386.862999998993</v>
      </c>
      <c r="H43" s="323" t="s">
        <v>2578</v>
      </c>
      <c r="I43" s="152">
        <v>11943.241999999998</v>
      </c>
      <c r="J43" s="154" t="s">
        <v>2518</v>
      </c>
      <c r="K43" s="157">
        <v>5800360895</v>
      </c>
      <c r="L43" s="227">
        <v>12935.127</v>
      </c>
      <c r="M43" s="154" t="s">
        <v>2518</v>
      </c>
      <c r="N43" s="227">
        <f t="shared" si="2"/>
        <v>177145.5943620106</v>
      </c>
      <c r="O43" s="152">
        <f t="shared" si="3"/>
        <v>779825.68336201017</v>
      </c>
    </row>
    <row r="44" spans="1:15" x14ac:dyDescent="0.15">
      <c r="A44" s="154"/>
      <c r="B44" s="151"/>
      <c r="C44" s="152"/>
      <c r="D44" s="323" t="s">
        <v>2578</v>
      </c>
      <c r="E44" s="154" t="s">
        <v>72</v>
      </c>
      <c r="F44" s="157" t="s">
        <v>2643</v>
      </c>
      <c r="G44" s="152">
        <v>22433.218000001001</v>
      </c>
      <c r="H44" s="323" t="s">
        <v>2578</v>
      </c>
      <c r="I44" s="152"/>
      <c r="J44" s="157"/>
      <c r="K44" s="157">
        <v>5800360895</v>
      </c>
      <c r="L44" s="227">
        <v>12506.388000000001</v>
      </c>
      <c r="M44" s="154" t="s">
        <v>2518</v>
      </c>
      <c r="N44" s="227">
        <f t="shared" si="2"/>
        <v>164639.20636201059</v>
      </c>
      <c r="O44" s="152">
        <f t="shared" si="3"/>
        <v>789752.51336201117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2578</v>
      </c>
      <c r="I45" s="152"/>
      <c r="J45" s="157"/>
      <c r="K45" s="157">
        <v>5800360895</v>
      </c>
      <c r="L45" s="227">
        <v>17821.152999999998</v>
      </c>
      <c r="M45" s="154" t="s">
        <v>2518</v>
      </c>
      <c r="N45" s="227">
        <f t="shared" si="2"/>
        <v>146818.0533620106</v>
      </c>
      <c r="O45" s="152">
        <f t="shared" si="3"/>
        <v>771931.36036201112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2578</v>
      </c>
      <c r="I46" s="152"/>
      <c r="J46" s="157"/>
      <c r="K46" s="157">
        <v>5800360895</v>
      </c>
      <c r="L46" s="227">
        <v>38666.466</v>
      </c>
      <c r="M46" s="154" t="s">
        <v>2518</v>
      </c>
      <c r="N46" s="227">
        <f t="shared" si="2"/>
        <v>108151.5873620106</v>
      </c>
      <c r="O46" s="152">
        <f t="shared" si="3"/>
        <v>733264.89436201111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2578</v>
      </c>
      <c r="I47" s="152"/>
      <c r="J47" s="157"/>
      <c r="K47" s="157">
        <v>5800360895</v>
      </c>
      <c r="L47" s="227">
        <v>12620.319</v>
      </c>
      <c r="M47" s="154" t="s">
        <v>2518</v>
      </c>
      <c r="N47" s="227">
        <f t="shared" si="2"/>
        <v>95531.268362010596</v>
      </c>
      <c r="O47" s="152">
        <f t="shared" si="3"/>
        <v>720644.57536201109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2578</v>
      </c>
      <c r="I48" s="152"/>
      <c r="J48" s="154"/>
      <c r="K48" s="157">
        <v>5800360895</v>
      </c>
      <c r="L48" s="227">
        <v>9313.3320000000003</v>
      </c>
      <c r="M48" s="154" t="s">
        <v>2518</v>
      </c>
      <c r="N48" s="227">
        <f t="shared" si="2"/>
        <v>86217.936362010601</v>
      </c>
      <c r="O48" s="152">
        <f t="shared" si="3"/>
        <v>711331.24336201104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2578</v>
      </c>
      <c r="I49" s="152"/>
      <c r="J49" s="157"/>
      <c r="K49" s="157">
        <v>5800360895</v>
      </c>
      <c r="L49" s="227">
        <v>12248.788</v>
      </c>
      <c r="M49" s="154" t="s">
        <v>2518</v>
      </c>
      <c r="N49" s="227">
        <f t="shared" si="2"/>
        <v>73969.148362010601</v>
      </c>
      <c r="O49" s="152">
        <f t="shared" si="3"/>
        <v>699082.45536201098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2578</v>
      </c>
      <c r="I50" s="152"/>
      <c r="J50" s="157"/>
      <c r="K50" s="157">
        <v>5800360895</v>
      </c>
      <c r="L50" s="227">
        <v>10958.441999999999</v>
      </c>
      <c r="M50" s="154" t="s">
        <v>2518</v>
      </c>
      <c r="N50" s="227">
        <f t="shared" si="2"/>
        <v>63010.706362010606</v>
      </c>
      <c r="O50" s="152">
        <f t="shared" si="3"/>
        <v>688124.01336201094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2578</v>
      </c>
      <c r="I51" s="152"/>
      <c r="J51" s="157"/>
      <c r="K51" s="157">
        <v>5800360895</v>
      </c>
      <c r="L51" s="227">
        <v>12983.415999999999</v>
      </c>
      <c r="M51" s="154" t="s">
        <v>2518</v>
      </c>
      <c r="N51" s="227">
        <f t="shared" si="2"/>
        <v>50027.290362010608</v>
      </c>
      <c r="O51" s="152">
        <f t="shared" si="3"/>
        <v>675140.59736201097</v>
      </c>
    </row>
    <row r="52" spans="1:15" x14ac:dyDescent="0.15">
      <c r="A52" s="154"/>
      <c r="B52" s="151"/>
      <c r="C52" s="152"/>
      <c r="D52" s="323" t="s">
        <v>2580</v>
      </c>
      <c r="E52" s="154" t="s">
        <v>72</v>
      </c>
      <c r="F52" s="157" t="s">
        <v>2643</v>
      </c>
      <c r="G52" s="152">
        <v>131712.041</v>
      </c>
      <c r="H52" s="323" t="s">
        <v>2580</v>
      </c>
      <c r="I52" s="152">
        <v>13711.907999999999</v>
      </c>
      <c r="J52" s="154" t="s">
        <v>2518</v>
      </c>
      <c r="K52" s="157">
        <v>5800360895</v>
      </c>
      <c r="L52" s="227">
        <v>13257.656000000001</v>
      </c>
      <c r="M52" s="154" t="s">
        <v>2518</v>
      </c>
      <c r="N52" s="227">
        <f t="shared" si="2"/>
        <v>23057.72636201061</v>
      </c>
      <c r="O52" s="152">
        <f t="shared" si="3"/>
        <v>779883.07436201093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2580</v>
      </c>
      <c r="I53" s="152"/>
      <c r="J53" s="157"/>
      <c r="K53" s="157">
        <v>5800360895</v>
      </c>
      <c r="L53" s="227">
        <v>12753.707</v>
      </c>
      <c r="M53" s="154" t="s">
        <v>2518</v>
      </c>
      <c r="N53" s="227">
        <f t="shared" ref="N53:N58" si="6">+N52-I53-L53</f>
        <v>10304.019362010609</v>
      </c>
      <c r="O53" s="152">
        <f t="shared" ref="O53:O58" si="7">O52+G53-I53-L53</f>
        <v>767129.36736201087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2580</v>
      </c>
      <c r="I54" s="152"/>
      <c r="J54" s="157"/>
      <c r="K54" s="157">
        <v>5800360895</v>
      </c>
      <c r="L54" s="227">
        <v>10304.019362010609</v>
      </c>
      <c r="M54" s="154" t="s">
        <v>2518</v>
      </c>
      <c r="N54" s="227">
        <f t="shared" si="6"/>
        <v>0</v>
      </c>
      <c r="O54" s="152">
        <f t="shared" si="7"/>
        <v>756825.34800000023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2580</v>
      </c>
      <c r="I55" s="152"/>
      <c r="J55" s="157"/>
      <c r="K55" s="157">
        <v>5800360895</v>
      </c>
      <c r="L55" s="227">
        <v>5189.4096379893899</v>
      </c>
      <c r="M55" s="157" t="s">
        <v>2519</v>
      </c>
      <c r="N55" s="227">
        <f>C9+G11+G25+N54-I55-L55</f>
        <v>225031.8523620115</v>
      </c>
      <c r="O55" s="152">
        <f t="shared" si="7"/>
        <v>751635.93836201087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2580</v>
      </c>
      <c r="I56" s="152"/>
      <c r="J56" s="154"/>
      <c r="K56" s="157">
        <v>5800360895</v>
      </c>
      <c r="L56" s="227">
        <v>9666.02</v>
      </c>
      <c r="M56" s="157" t="s">
        <v>2519</v>
      </c>
      <c r="N56" s="227">
        <f t="shared" si="6"/>
        <v>215365.83236201151</v>
      </c>
      <c r="O56" s="152">
        <f t="shared" si="7"/>
        <v>741969.91836201085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2580</v>
      </c>
      <c r="I57" s="152"/>
      <c r="J57" s="157"/>
      <c r="K57" s="157">
        <v>5800360895</v>
      </c>
      <c r="L57" s="227">
        <v>14145.566000000001</v>
      </c>
      <c r="M57" s="157" t="s">
        <v>2519</v>
      </c>
      <c r="N57" s="227">
        <f t="shared" si="6"/>
        <v>201220.26636201152</v>
      </c>
      <c r="O57" s="152">
        <f t="shared" si="7"/>
        <v>727824.35236201086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2580</v>
      </c>
      <c r="I58" s="152"/>
      <c r="J58" s="157"/>
      <c r="K58" s="157">
        <v>5800360895</v>
      </c>
      <c r="L58" s="227">
        <v>13012.401</v>
      </c>
      <c r="M58" s="157" t="s">
        <v>2519</v>
      </c>
      <c r="N58" s="227">
        <f t="shared" si="6"/>
        <v>188207.86536201151</v>
      </c>
      <c r="O58" s="152">
        <f t="shared" si="7"/>
        <v>714811.95136201091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2580</v>
      </c>
      <c r="I59" s="152"/>
      <c r="J59" s="157"/>
      <c r="K59" s="157">
        <v>5800360895</v>
      </c>
      <c r="L59" s="227">
        <v>12493.665000000001</v>
      </c>
      <c r="M59" s="157" t="s">
        <v>2519</v>
      </c>
      <c r="N59" s="227">
        <f t="shared" si="2"/>
        <v>175714.2003620115</v>
      </c>
      <c r="O59" s="152">
        <f t="shared" si="3"/>
        <v>702318.28636201087</v>
      </c>
    </row>
    <row r="60" spans="1:15" x14ac:dyDescent="0.15">
      <c r="A60" s="154"/>
      <c r="B60" s="151"/>
      <c r="C60" s="152"/>
      <c r="D60" s="323" t="s">
        <v>2581</v>
      </c>
      <c r="E60" s="154" t="s">
        <v>72</v>
      </c>
      <c r="F60" s="157" t="s">
        <v>2643</v>
      </c>
      <c r="G60" s="152">
        <v>80539.188999998936</v>
      </c>
      <c r="H60" s="323" t="s">
        <v>2581</v>
      </c>
      <c r="I60" s="152">
        <v>13802.755000000001</v>
      </c>
      <c r="J60" s="157" t="s">
        <v>2519</v>
      </c>
      <c r="K60" s="157">
        <v>5800360895</v>
      </c>
      <c r="L60" s="227">
        <v>13298.778</v>
      </c>
      <c r="M60" s="157" t="s">
        <v>2519</v>
      </c>
      <c r="N60" s="227">
        <f t="shared" si="2"/>
        <v>148612.6673620115</v>
      </c>
      <c r="O60" s="152">
        <f t="shared" si="3"/>
        <v>755755.94236200978</v>
      </c>
    </row>
    <row r="61" spans="1:15" x14ac:dyDescent="0.15">
      <c r="A61" s="154"/>
      <c r="B61" s="151"/>
      <c r="C61" s="152"/>
      <c r="D61" s="323" t="s">
        <v>2581</v>
      </c>
      <c r="E61" s="154" t="s">
        <v>72</v>
      </c>
      <c r="F61" s="157" t="s">
        <v>2644</v>
      </c>
      <c r="G61" s="152">
        <v>7152.0100000010598</v>
      </c>
      <c r="H61" s="323" t="s">
        <v>2581</v>
      </c>
      <c r="I61" s="152"/>
      <c r="J61" s="157"/>
      <c r="K61" s="157">
        <v>5800360895</v>
      </c>
      <c r="L61" s="227">
        <v>34938.315999999999</v>
      </c>
      <c r="M61" s="157" t="s">
        <v>2519</v>
      </c>
      <c r="N61" s="227">
        <f t="shared" si="2"/>
        <v>113674.35136201151</v>
      </c>
      <c r="O61" s="152">
        <f t="shared" si="3"/>
        <v>727969.63636201085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2581</v>
      </c>
      <c r="I62" s="152"/>
      <c r="J62" s="157"/>
      <c r="K62" s="157">
        <v>5800360895</v>
      </c>
      <c r="L62" s="227">
        <v>13374.84</v>
      </c>
      <c r="M62" s="157" t="s">
        <v>2519</v>
      </c>
      <c r="N62" s="227">
        <f t="shared" si="2"/>
        <v>100299.51136201152</v>
      </c>
      <c r="O62" s="152">
        <f t="shared" si="3"/>
        <v>714594.79636201088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2581</v>
      </c>
      <c r="I63" s="152"/>
      <c r="J63" s="157"/>
      <c r="K63" s="157">
        <v>5800360895</v>
      </c>
      <c r="L63" s="227">
        <v>18264.803</v>
      </c>
      <c r="M63" s="157" t="s">
        <v>2519</v>
      </c>
      <c r="N63" s="227">
        <f t="shared" si="2"/>
        <v>82034.708362011515</v>
      </c>
      <c r="O63" s="152">
        <f t="shared" si="3"/>
        <v>696329.99336201092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2581</v>
      </c>
      <c r="I64" s="152"/>
      <c r="J64" s="157"/>
      <c r="K64" s="157">
        <v>5800360895</v>
      </c>
      <c r="L64" s="227">
        <v>12216.901</v>
      </c>
      <c r="M64" s="157" t="s">
        <v>2519</v>
      </c>
      <c r="N64" s="227">
        <f t="shared" si="2"/>
        <v>69817.807362011517</v>
      </c>
      <c r="O64" s="152">
        <f t="shared" si="3"/>
        <v>684113.09236201097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2581</v>
      </c>
      <c r="I65" s="152"/>
      <c r="J65" s="157"/>
      <c r="K65" s="157">
        <v>5800360895</v>
      </c>
      <c r="L65" s="227">
        <v>12093.04</v>
      </c>
      <c r="M65" s="157" t="s">
        <v>2519</v>
      </c>
      <c r="N65" s="227">
        <f t="shared" si="2"/>
        <v>57724.767362011517</v>
      </c>
      <c r="O65" s="152">
        <f t="shared" si="3"/>
        <v>672020.05236201093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2581</v>
      </c>
      <c r="I66" s="152"/>
      <c r="J66" s="157"/>
      <c r="K66" s="157">
        <v>5800360895</v>
      </c>
      <c r="L66" s="227">
        <v>6044.0230000000001</v>
      </c>
      <c r="M66" s="157" t="s">
        <v>2519</v>
      </c>
      <c r="N66" s="227">
        <f t="shared" si="2"/>
        <v>51680.744362011515</v>
      </c>
      <c r="O66" s="152">
        <f t="shared" si="3"/>
        <v>665976.02936201089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2581</v>
      </c>
      <c r="I67" s="152"/>
      <c r="J67" s="157"/>
      <c r="K67" s="157">
        <v>5800360895</v>
      </c>
      <c r="L67" s="227">
        <v>12986.86</v>
      </c>
      <c r="M67" s="157" t="s">
        <v>2519</v>
      </c>
      <c r="N67" s="227">
        <f t="shared" si="2"/>
        <v>38693.884362011515</v>
      </c>
      <c r="O67" s="152">
        <f t="shared" si="3"/>
        <v>652989.1693620109</v>
      </c>
    </row>
    <row r="68" spans="1:15" x14ac:dyDescent="0.15">
      <c r="A68" s="154"/>
      <c r="B68" s="151"/>
      <c r="C68" s="152"/>
      <c r="D68" s="323" t="s">
        <v>2582</v>
      </c>
      <c r="E68" s="154" t="s">
        <v>72</v>
      </c>
      <c r="F68" s="157" t="s">
        <v>2644</v>
      </c>
      <c r="G68" s="152">
        <v>131641.79199999999</v>
      </c>
      <c r="H68" s="323" t="s">
        <v>2582</v>
      </c>
      <c r="I68" s="152">
        <v>12773.739</v>
      </c>
      <c r="J68" s="157" t="s">
        <v>2519</v>
      </c>
      <c r="K68" s="157">
        <v>5800360895</v>
      </c>
      <c r="L68" s="227">
        <v>13984.388000000001</v>
      </c>
      <c r="M68" s="157" t="s">
        <v>2519</v>
      </c>
      <c r="N68" s="227">
        <f t="shared" si="2"/>
        <v>11935.757362011513</v>
      </c>
      <c r="O68" s="152">
        <f t="shared" si="3"/>
        <v>757872.83436201094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2582</v>
      </c>
      <c r="I69" s="152"/>
      <c r="J69" s="157"/>
      <c r="K69" s="157">
        <v>5800360895</v>
      </c>
      <c r="L69" s="227">
        <v>11935.757362011513</v>
      </c>
      <c r="M69" s="157" t="s">
        <v>2519</v>
      </c>
      <c r="N69" s="227">
        <f t="shared" ref="N69:N76" si="8">+N68-I69-L69</f>
        <v>0</v>
      </c>
      <c r="O69" s="152">
        <f t="shared" ref="O69:O76" si="9">O68+G69-I69-L69</f>
        <v>745937.07699999947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2582</v>
      </c>
      <c r="I70" s="152"/>
      <c r="J70" s="157"/>
      <c r="K70" s="157">
        <v>5800360895</v>
      </c>
      <c r="L70" s="227">
        <v>3337.1916379884901</v>
      </c>
      <c r="M70" s="157" t="s">
        <v>2642</v>
      </c>
      <c r="N70" s="227">
        <f>G26+G35+G43+N69-I70-L70</f>
        <v>369121.63536201051</v>
      </c>
      <c r="O70" s="152">
        <f t="shared" si="9"/>
        <v>742599.88536201103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2582</v>
      </c>
      <c r="I71" s="152"/>
      <c r="J71" s="157"/>
      <c r="K71" s="157">
        <v>5800360895</v>
      </c>
      <c r="L71" s="227">
        <v>14750.531999999999</v>
      </c>
      <c r="M71" s="157" t="s">
        <v>2642</v>
      </c>
      <c r="N71" s="227">
        <f t="shared" si="8"/>
        <v>354371.1033620105</v>
      </c>
      <c r="O71" s="152">
        <f t="shared" si="9"/>
        <v>727849.35336201102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2582</v>
      </c>
      <c r="I72" s="152"/>
      <c r="J72" s="157"/>
      <c r="K72" s="157">
        <v>5800360895</v>
      </c>
      <c r="L72" s="227">
        <v>9687.1849999999995</v>
      </c>
      <c r="M72" s="157" t="s">
        <v>2642</v>
      </c>
      <c r="N72" s="227">
        <f t="shared" si="8"/>
        <v>344683.9183620105</v>
      </c>
      <c r="O72" s="152">
        <f t="shared" si="9"/>
        <v>718162.16836201097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2582</v>
      </c>
      <c r="I73" s="152"/>
      <c r="J73" s="157"/>
      <c r="K73" s="157">
        <v>5800360895</v>
      </c>
      <c r="L73" s="227">
        <v>556.37900000000002</v>
      </c>
      <c r="M73" s="157" t="s">
        <v>2642</v>
      </c>
      <c r="N73" s="227">
        <f t="shared" si="8"/>
        <v>344127.53936201049</v>
      </c>
      <c r="O73" s="152">
        <f t="shared" si="9"/>
        <v>717605.78936201101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2582</v>
      </c>
      <c r="I74" s="152"/>
      <c r="J74" s="157"/>
      <c r="K74" s="157">
        <v>5800360895</v>
      </c>
      <c r="L74" s="227">
        <v>6875.3239999999996</v>
      </c>
      <c r="M74" s="157" t="s">
        <v>2642</v>
      </c>
      <c r="N74" s="227">
        <f t="shared" si="8"/>
        <v>337252.21536201047</v>
      </c>
      <c r="O74" s="152">
        <f t="shared" si="9"/>
        <v>710730.46536201099</v>
      </c>
    </row>
    <row r="75" spans="1:15" x14ac:dyDescent="0.15">
      <c r="A75" s="154"/>
      <c r="B75" s="151"/>
      <c r="C75" s="152"/>
      <c r="D75" s="323" t="s">
        <v>2584</v>
      </c>
      <c r="E75" s="154" t="s">
        <v>72</v>
      </c>
      <c r="F75" s="157" t="s">
        <v>2644</v>
      </c>
      <c r="G75" s="152">
        <v>43847.883000000002</v>
      </c>
      <c r="H75" s="323" t="s">
        <v>2584</v>
      </c>
      <c r="I75" s="152">
        <v>11294.709000000001</v>
      </c>
      <c r="J75" s="157" t="s">
        <v>2642</v>
      </c>
      <c r="K75" s="157">
        <v>5800360895</v>
      </c>
      <c r="L75" s="227">
        <v>13947.757</v>
      </c>
      <c r="M75" s="157" t="s">
        <v>2642</v>
      </c>
      <c r="N75" s="227">
        <f t="shared" si="8"/>
        <v>312009.74936201051</v>
      </c>
      <c r="O75" s="152">
        <f t="shared" si="9"/>
        <v>729335.88236201101</v>
      </c>
    </row>
    <row r="76" spans="1:15" x14ac:dyDescent="0.15">
      <c r="A76" s="154"/>
      <c r="B76" s="151"/>
      <c r="C76" s="152"/>
      <c r="D76" s="323" t="s">
        <v>2584</v>
      </c>
      <c r="E76" s="154" t="s">
        <v>72</v>
      </c>
      <c r="F76" s="157" t="s">
        <v>2645</v>
      </c>
      <c r="G76" s="152">
        <v>43910.997000000003</v>
      </c>
      <c r="H76" s="323" t="s">
        <v>2584</v>
      </c>
      <c r="I76" s="152"/>
      <c r="J76" s="157"/>
      <c r="K76" s="157">
        <v>5800360895</v>
      </c>
      <c r="L76" s="227">
        <v>14316.645</v>
      </c>
      <c r="M76" s="157" t="s">
        <v>2642</v>
      </c>
      <c r="N76" s="227">
        <f t="shared" si="8"/>
        <v>297693.10436201049</v>
      </c>
      <c r="O76" s="152">
        <f t="shared" si="9"/>
        <v>758930.23436201096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2584</v>
      </c>
      <c r="I77" s="152"/>
      <c r="J77" s="157"/>
      <c r="K77" s="157">
        <v>5800360895</v>
      </c>
      <c r="L77" s="227">
        <v>14892.47</v>
      </c>
      <c r="M77" s="157" t="s">
        <v>2642</v>
      </c>
      <c r="N77" s="227">
        <f t="shared" si="2"/>
        <v>282800.63436201052</v>
      </c>
      <c r="O77" s="152">
        <f t="shared" si="3"/>
        <v>744037.76436201099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2584</v>
      </c>
      <c r="I78" s="152"/>
      <c r="J78" s="157"/>
      <c r="K78" s="157">
        <v>5800360895</v>
      </c>
      <c r="L78" s="227">
        <v>13218.978999999999</v>
      </c>
      <c r="M78" s="157" t="s">
        <v>2642</v>
      </c>
      <c r="N78" s="227">
        <f t="shared" ref="N78:N144" si="10">+N77-I78-L78</f>
        <v>269581.65536201053</v>
      </c>
      <c r="O78" s="152">
        <f t="shared" ref="O78:O144" si="11">O77+G78-I78-L78</f>
        <v>730818.78536201094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2584</v>
      </c>
      <c r="I79" s="152"/>
      <c r="J79" s="157"/>
      <c r="K79" s="157">
        <v>5800360895</v>
      </c>
      <c r="L79" s="227">
        <v>11656.454</v>
      </c>
      <c r="M79" s="157" t="s">
        <v>2642</v>
      </c>
      <c r="N79" s="227">
        <f t="shared" si="10"/>
        <v>257925.20136201053</v>
      </c>
      <c r="O79" s="152">
        <f t="shared" si="11"/>
        <v>719162.33136201091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2584</v>
      </c>
      <c r="I80" s="152"/>
      <c r="J80" s="157"/>
      <c r="K80" s="157">
        <v>5800360895</v>
      </c>
      <c r="L80" s="227">
        <v>11008.651</v>
      </c>
      <c r="M80" s="157" t="s">
        <v>2642</v>
      </c>
      <c r="N80" s="227">
        <f t="shared" si="10"/>
        <v>246916.55036201052</v>
      </c>
      <c r="O80" s="152">
        <f t="shared" si="11"/>
        <v>708153.68036201096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2584</v>
      </c>
      <c r="I81" s="152"/>
      <c r="J81" s="157"/>
      <c r="K81" s="157">
        <v>5800360895</v>
      </c>
      <c r="L81" s="227">
        <v>14160.819</v>
      </c>
      <c r="M81" s="157" t="s">
        <v>2642</v>
      </c>
      <c r="N81" s="227">
        <f t="shared" si="10"/>
        <v>232755.73136201053</v>
      </c>
      <c r="O81" s="152">
        <f t="shared" si="11"/>
        <v>693992.86136201094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2584</v>
      </c>
      <c r="I82" s="152"/>
      <c r="J82" s="157"/>
      <c r="K82" s="157">
        <v>5800360895</v>
      </c>
      <c r="L82" s="227">
        <v>7058.4210000000003</v>
      </c>
      <c r="M82" s="157" t="s">
        <v>2642</v>
      </c>
      <c r="N82" s="227">
        <f t="shared" si="10"/>
        <v>225697.31036201052</v>
      </c>
      <c r="O82" s="152">
        <f t="shared" si="11"/>
        <v>686934.44036201097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2584</v>
      </c>
      <c r="I83" s="152"/>
      <c r="J83" s="157"/>
      <c r="K83" s="157">
        <v>5800360895</v>
      </c>
      <c r="L83" s="227">
        <v>15787.994000000001</v>
      </c>
      <c r="M83" s="157" t="s">
        <v>2642</v>
      </c>
      <c r="N83" s="227">
        <f t="shared" si="10"/>
        <v>209909.31636201052</v>
      </c>
      <c r="O83" s="152">
        <f t="shared" si="11"/>
        <v>671146.44636201102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2584</v>
      </c>
      <c r="I84" s="152"/>
      <c r="J84" s="157"/>
      <c r="K84" s="157">
        <v>5800360895</v>
      </c>
      <c r="L84" s="227">
        <v>36611.434000000001</v>
      </c>
      <c r="M84" s="157" t="s">
        <v>2642</v>
      </c>
      <c r="N84" s="227">
        <f t="shared" si="10"/>
        <v>173297.88236201051</v>
      </c>
      <c r="O84" s="152">
        <f t="shared" si="11"/>
        <v>634535.01236201101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2584</v>
      </c>
      <c r="I85" s="152"/>
      <c r="J85" s="157"/>
      <c r="K85" s="157">
        <v>5800360895</v>
      </c>
      <c r="L85" s="227">
        <v>12766.526</v>
      </c>
      <c r="M85" s="157" t="s">
        <v>2642</v>
      </c>
      <c r="N85" s="227">
        <f t="shared" si="10"/>
        <v>160531.3563620105</v>
      </c>
      <c r="O85" s="152">
        <f t="shared" si="11"/>
        <v>621768.48636201106</v>
      </c>
    </row>
    <row r="86" spans="1:15" x14ac:dyDescent="0.15">
      <c r="A86" s="154"/>
      <c r="B86" s="151"/>
      <c r="C86" s="152"/>
      <c r="D86" s="323" t="s">
        <v>2585</v>
      </c>
      <c r="E86" s="154" t="s">
        <v>72</v>
      </c>
      <c r="F86" s="157" t="s">
        <v>2645</v>
      </c>
      <c r="G86" s="152">
        <v>131664.37400000001</v>
      </c>
      <c r="H86" s="323" t="s">
        <v>2585</v>
      </c>
      <c r="I86" s="152">
        <v>13496.744000000001</v>
      </c>
      <c r="J86" s="157" t="s">
        <v>2642</v>
      </c>
      <c r="K86" s="157">
        <v>5800360895</v>
      </c>
      <c r="L86" s="227">
        <v>13861.233</v>
      </c>
      <c r="M86" s="157" t="s">
        <v>2642</v>
      </c>
      <c r="N86" s="227">
        <f t="shared" si="10"/>
        <v>133173.37936201048</v>
      </c>
      <c r="O86" s="152">
        <f t="shared" si="11"/>
        <v>726074.88336201105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2585</v>
      </c>
      <c r="I87" s="152"/>
      <c r="J87" s="157"/>
      <c r="K87" s="157">
        <v>5800360895</v>
      </c>
      <c r="L87" s="227">
        <v>10632.616</v>
      </c>
      <c r="M87" s="157" t="s">
        <v>2642</v>
      </c>
      <c r="N87" s="227">
        <f t="shared" si="10"/>
        <v>122540.76336201049</v>
      </c>
      <c r="O87" s="152">
        <f t="shared" si="11"/>
        <v>715442.26736201101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2585</v>
      </c>
      <c r="I88" s="152"/>
      <c r="J88" s="157"/>
      <c r="K88" s="157">
        <v>5800360895</v>
      </c>
      <c r="L88" s="227">
        <v>17474.161</v>
      </c>
      <c r="M88" s="157" t="s">
        <v>2642</v>
      </c>
      <c r="N88" s="227">
        <f t="shared" si="10"/>
        <v>105066.60236201048</v>
      </c>
      <c r="O88" s="152">
        <f t="shared" si="11"/>
        <v>697968.10636201105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2585</v>
      </c>
      <c r="I89" s="152"/>
      <c r="J89" s="157"/>
      <c r="K89" s="157">
        <v>5800360895</v>
      </c>
      <c r="L89" s="227">
        <v>8380.7919999999995</v>
      </c>
      <c r="M89" s="157" t="s">
        <v>2642</v>
      </c>
      <c r="N89" s="227">
        <f t="shared" si="10"/>
        <v>96685.810362010481</v>
      </c>
      <c r="O89" s="152">
        <f t="shared" si="11"/>
        <v>689587.31436201103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2585</v>
      </c>
      <c r="I90" s="152"/>
      <c r="J90" s="157"/>
      <c r="K90" s="157">
        <v>5800360895</v>
      </c>
      <c r="L90" s="227">
        <v>12998.406999999999</v>
      </c>
      <c r="M90" s="157" t="s">
        <v>2642</v>
      </c>
      <c r="N90" s="227">
        <f t="shared" si="10"/>
        <v>83687.403362010489</v>
      </c>
      <c r="O90" s="152">
        <f t="shared" si="11"/>
        <v>676588.90736201103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2585</v>
      </c>
      <c r="I91" s="152"/>
      <c r="J91" s="157"/>
      <c r="K91" s="157">
        <v>5800360895</v>
      </c>
      <c r="L91" s="227">
        <v>5882.0169999999998</v>
      </c>
      <c r="M91" s="157" t="s">
        <v>2642</v>
      </c>
      <c r="N91" s="227">
        <f t="shared" si="10"/>
        <v>77805.386362010497</v>
      </c>
      <c r="O91" s="152">
        <f t="shared" si="11"/>
        <v>670706.89036201104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2585</v>
      </c>
      <c r="I92" s="152"/>
      <c r="J92" s="157"/>
      <c r="K92" s="157">
        <v>5800360895</v>
      </c>
      <c r="L92" s="227">
        <v>13606.099</v>
      </c>
      <c r="M92" s="157" t="s">
        <v>2642</v>
      </c>
      <c r="N92" s="227">
        <f t="shared" si="10"/>
        <v>64199.287362010495</v>
      </c>
      <c r="O92" s="152">
        <f t="shared" si="11"/>
        <v>657100.79136201099</v>
      </c>
    </row>
    <row r="93" spans="1:15" x14ac:dyDescent="0.15">
      <c r="A93" s="154"/>
      <c r="B93" s="151"/>
      <c r="C93" s="152"/>
      <c r="D93" s="323" t="s">
        <v>2586</v>
      </c>
      <c r="E93" s="154" t="s">
        <v>72</v>
      </c>
      <c r="F93" s="157" t="s">
        <v>2645</v>
      </c>
      <c r="G93" s="152">
        <v>87716.160000000003</v>
      </c>
      <c r="H93" s="323" t="s">
        <v>2586</v>
      </c>
      <c r="I93" s="152">
        <v>14912.900999999998</v>
      </c>
      <c r="J93" s="157" t="s">
        <v>2642</v>
      </c>
      <c r="K93" s="157">
        <v>5800360895</v>
      </c>
      <c r="L93" s="227">
        <v>14241.33</v>
      </c>
      <c r="M93" s="157" t="s">
        <v>2642</v>
      </c>
      <c r="N93" s="227">
        <f t="shared" si="10"/>
        <v>35045.056362010495</v>
      </c>
      <c r="O93" s="152">
        <f t="shared" si="11"/>
        <v>715662.72036201111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2586</v>
      </c>
      <c r="I94" s="152"/>
      <c r="J94" s="157"/>
      <c r="K94" s="157">
        <v>5800360895</v>
      </c>
      <c r="L94" s="227">
        <v>12963.941999999999</v>
      </c>
      <c r="M94" s="157" t="s">
        <v>2642</v>
      </c>
      <c r="N94" s="227">
        <f t="shared" si="10"/>
        <v>22081.114362010496</v>
      </c>
      <c r="O94" s="152">
        <f t="shared" si="11"/>
        <v>702698.77836201107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2586</v>
      </c>
      <c r="I95" s="152"/>
      <c r="J95" s="157"/>
      <c r="K95" s="157">
        <v>5800360895</v>
      </c>
      <c r="L95" s="227">
        <v>14711.473</v>
      </c>
      <c r="M95" s="157" t="s">
        <v>2642</v>
      </c>
      <c r="N95" s="227">
        <f t="shared" ref="N95:N102" si="12">+N94-I95-L95</f>
        <v>7369.6413620104959</v>
      </c>
      <c r="O95" s="152">
        <f t="shared" ref="O95:O102" si="13">O94+G95-I95-L95</f>
        <v>687987.30536201107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2586</v>
      </c>
      <c r="I96" s="152"/>
      <c r="J96" s="157"/>
      <c r="K96" s="157">
        <v>5800360895</v>
      </c>
      <c r="L96" s="227">
        <v>7369.6413620104959</v>
      </c>
      <c r="M96" s="157" t="s">
        <v>2642</v>
      </c>
      <c r="N96" s="227">
        <f t="shared" si="12"/>
        <v>0</v>
      </c>
      <c r="O96" s="152">
        <f t="shared" si="13"/>
        <v>680617.66400000057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2586</v>
      </c>
      <c r="I97" s="152"/>
      <c r="J97" s="157"/>
      <c r="K97" s="157">
        <v>5800360895</v>
      </c>
      <c r="L97" s="227">
        <v>2111.2416379894998</v>
      </c>
      <c r="M97" s="157" t="s">
        <v>2643</v>
      </c>
      <c r="N97" s="227">
        <f>G44+G52+G60+N96-I97-L97</f>
        <v>232573.20636201045</v>
      </c>
      <c r="O97" s="152">
        <f t="shared" si="13"/>
        <v>678506.42236201104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2586</v>
      </c>
      <c r="I98" s="152"/>
      <c r="J98" s="157"/>
      <c r="K98" s="157">
        <v>5800360895</v>
      </c>
      <c r="L98" s="227">
        <v>15451.732</v>
      </c>
      <c r="M98" s="157" t="s">
        <v>2643</v>
      </c>
      <c r="N98" s="227">
        <f t="shared" si="12"/>
        <v>217121.47436201046</v>
      </c>
      <c r="O98" s="152">
        <f t="shared" si="13"/>
        <v>663054.69036201108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2586</v>
      </c>
      <c r="I99" s="152"/>
      <c r="J99" s="157"/>
      <c r="K99" s="157">
        <v>5800360895</v>
      </c>
      <c r="L99" s="227">
        <v>3445.6019999999999</v>
      </c>
      <c r="M99" s="157" t="s">
        <v>2643</v>
      </c>
      <c r="N99" s="227">
        <f t="shared" si="12"/>
        <v>213675.87236201044</v>
      </c>
      <c r="O99" s="152">
        <f t="shared" si="13"/>
        <v>659609.08836201113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2586</v>
      </c>
      <c r="I100" s="152"/>
      <c r="J100" s="157"/>
      <c r="K100" s="157">
        <v>5800360895</v>
      </c>
      <c r="L100" s="227">
        <v>13111.681</v>
      </c>
      <c r="M100" s="157" t="s">
        <v>2643</v>
      </c>
      <c r="N100" s="227">
        <f t="shared" si="12"/>
        <v>200564.19136201043</v>
      </c>
      <c r="O100" s="152">
        <f t="shared" si="13"/>
        <v>646497.40736201114</v>
      </c>
    </row>
    <row r="101" spans="1:15" x14ac:dyDescent="0.15">
      <c r="A101" s="154"/>
      <c r="B101" s="151"/>
      <c r="C101" s="152"/>
      <c r="D101" s="323" t="s">
        <v>2588</v>
      </c>
      <c r="E101" s="154" t="s">
        <v>72</v>
      </c>
      <c r="F101" s="157" t="s">
        <v>2645</v>
      </c>
      <c r="G101" s="152">
        <v>131679.052</v>
      </c>
      <c r="H101" s="323" t="s">
        <v>2588</v>
      </c>
      <c r="I101" s="152">
        <v>11362.469000000001</v>
      </c>
      <c r="J101" s="157" t="s">
        <v>2643</v>
      </c>
      <c r="K101" s="157">
        <v>5800360895</v>
      </c>
      <c r="L101" s="227">
        <v>42997.427000000003</v>
      </c>
      <c r="M101" s="157" t="s">
        <v>2643</v>
      </c>
      <c r="N101" s="227">
        <f t="shared" si="12"/>
        <v>146204.29536201042</v>
      </c>
      <c r="O101" s="152">
        <f t="shared" si="13"/>
        <v>723816.5633620111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2588</v>
      </c>
      <c r="I102" s="152"/>
      <c r="J102" s="157"/>
      <c r="K102" s="157">
        <v>5800360895</v>
      </c>
      <c r="L102" s="227">
        <v>13967.661</v>
      </c>
      <c r="M102" s="157" t="s">
        <v>2643</v>
      </c>
      <c r="N102" s="227">
        <f t="shared" si="12"/>
        <v>132236.63436201043</v>
      </c>
      <c r="O102" s="152">
        <f t="shared" si="13"/>
        <v>709848.90236201114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2588</v>
      </c>
      <c r="I103" s="152"/>
      <c r="J103" s="157"/>
      <c r="K103" s="157">
        <v>5800360895</v>
      </c>
      <c r="L103" s="227">
        <v>14168.743</v>
      </c>
      <c r="M103" s="157" t="s">
        <v>2643</v>
      </c>
      <c r="N103" s="227">
        <f t="shared" si="10"/>
        <v>118067.89136201043</v>
      </c>
      <c r="O103" s="152">
        <f t="shared" si="11"/>
        <v>695680.15936201112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2588</v>
      </c>
      <c r="I104" s="152"/>
      <c r="J104" s="157"/>
      <c r="K104" s="157">
        <v>5800360895</v>
      </c>
      <c r="L104" s="227">
        <v>11228.550999999999</v>
      </c>
      <c r="M104" s="157" t="s">
        <v>2643</v>
      </c>
      <c r="N104" s="227">
        <f t="shared" si="10"/>
        <v>106839.34036201044</v>
      </c>
      <c r="O104" s="152">
        <f t="shared" si="11"/>
        <v>684451.60836201115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2588</v>
      </c>
      <c r="I105" s="152"/>
      <c r="J105" s="157"/>
      <c r="K105" s="157">
        <v>5800360895</v>
      </c>
      <c r="L105" s="227">
        <v>17445.071</v>
      </c>
      <c r="M105" s="157" t="s">
        <v>2643</v>
      </c>
      <c r="N105" s="227">
        <f t="shared" si="10"/>
        <v>89394.26936201044</v>
      </c>
      <c r="O105" s="152">
        <f t="shared" si="11"/>
        <v>667006.53736201115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2588</v>
      </c>
      <c r="I106" s="152"/>
      <c r="J106" s="157"/>
      <c r="K106" s="157">
        <v>5800360895</v>
      </c>
      <c r="L106" s="227">
        <v>9208.732</v>
      </c>
      <c r="M106" s="157" t="s">
        <v>2643</v>
      </c>
      <c r="N106" s="227">
        <f t="shared" si="10"/>
        <v>80185.537362010436</v>
      </c>
      <c r="O106" s="152">
        <f t="shared" si="11"/>
        <v>657797.80536201119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2588</v>
      </c>
      <c r="I107" s="152"/>
      <c r="J107" s="157"/>
      <c r="K107" s="157">
        <v>5800360895</v>
      </c>
      <c r="L107" s="227">
        <v>12015.126</v>
      </c>
      <c r="M107" s="157" t="s">
        <v>2643</v>
      </c>
      <c r="N107" s="227">
        <f t="shared" si="10"/>
        <v>68170.411362010433</v>
      </c>
      <c r="O107" s="152">
        <f t="shared" si="11"/>
        <v>645782.67936201114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2588</v>
      </c>
      <c r="I108" s="152"/>
      <c r="J108" s="157"/>
      <c r="K108" s="157">
        <v>5800360895</v>
      </c>
      <c r="L108" s="227">
        <v>4461.1899999999996</v>
      </c>
      <c r="M108" s="157" t="s">
        <v>2643</v>
      </c>
      <c r="N108" s="227">
        <f t="shared" si="10"/>
        <v>63709.22136201043</v>
      </c>
      <c r="O108" s="152">
        <f t="shared" si="11"/>
        <v>641321.4893620112</v>
      </c>
    </row>
    <row r="109" spans="1:15" x14ac:dyDescent="0.15">
      <c r="A109" s="154"/>
      <c r="B109" s="151"/>
      <c r="C109" s="152"/>
      <c r="D109" s="323" t="s">
        <v>2589</v>
      </c>
      <c r="E109" s="154" t="s">
        <v>72</v>
      </c>
      <c r="F109" s="157" t="s">
        <v>2646</v>
      </c>
      <c r="G109" s="152">
        <v>87868.490999999995</v>
      </c>
      <c r="H109" s="323" t="s">
        <v>2589</v>
      </c>
      <c r="I109" s="152">
        <v>13245.316000000001</v>
      </c>
      <c r="J109" s="157" t="s">
        <v>2643</v>
      </c>
      <c r="K109" s="157">
        <v>5800360895</v>
      </c>
      <c r="L109" s="227">
        <v>13350.647000000001</v>
      </c>
      <c r="M109" s="157" t="s">
        <v>2643</v>
      </c>
      <c r="N109" s="227">
        <f t="shared" si="10"/>
        <v>37113.258362010427</v>
      </c>
      <c r="O109" s="152">
        <f t="shared" si="11"/>
        <v>702594.01736201125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2589</v>
      </c>
      <c r="I110" s="152"/>
      <c r="J110" s="157"/>
      <c r="K110" s="157">
        <v>5800360895</v>
      </c>
      <c r="L110" s="227">
        <v>12048.779</v>
      </c>
      <c r="M110" s="157" t="s">
        <v>2643</v>
      </c>
      <c r="N110" s="227">
        <f t="shared" si="10"/>
        <v>25064.479362010425</v>
      </c>
      <c r="O110" s="152">
        <f t="shared" si="11"/>
        <v>690545.23836201127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2589</v>
      </c>
      <c r="I111" s="152"/>
      <c r="J111" s="157"/>
      <c r="K111" s="157">
        <v>5800360895</v>
      </c>
      <c r="L111" s="227">
        <v>13087.674000000001</v>
      </c>
      <c r="M111" s="157" t="s">
        <v>2643</v>
      </c>
      <c r="N111" s="227">
        <f t="shared" si="10"/>
        <v>11976.805362010424</v>
      </c>
      <c r="O111" s="152">
        <f t="shared" si="11"/>
        <v>677457.56436201127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2589</v>
      </c>
      <c r="I112" s="152"/>
      <c r="J112" s="157"/>
      <c r="K112" s="157">
        <v>5800360895</v>
      </c>
      <c r="L112" s="227">
        <v>11976.805362010424</v>
      </c>
      <c r="M112" s="157" t="s">
        <v>2643</v>
      </c>
      <c r="N112" s="227">
        <f t="shared" ref="N112:N116" si="14">+N111-I112-L112</f>
        <v>0</v>
      </c>
      <c r="O112" s="152">
        <f t="shared" ref="O112:O116" si="15">O111+G112-I112-L112</f>
        <v>665480.75900000089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2589</v>
      </c>
      <c r="I113" s="152"/>
      <c r="J113" s="157"/>
      <c r="K113" s="157">
        <v>5800360895</v>
      </c>
      <c r="L113" s="227">
        <v>2265.9736379895799</v>
      </c>
      <c r="M113" s="157" t="s">
        <v>2644</v>
      </c>
      <c r="N113" s="227">
        <f>G61+G68+G75+N112-I113-L113</f>
        <v>180375.71136201147</v>
      </c>
      <c r="O113" s="152">
        <f t="shared" si="15"/>
        <v>663214.78536201129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2589</v>
      </c>
      <c r="I114" s="152"/>
      <c r="J114" s="157"/>
      <c r="K114" s="157">
        <v>5800360895</v>
      </c>
      <c r="L114" s="227">
        <v>9634.0239999999994</v>
      </c>
      <c r="M114" s="157" t="s">
        <v>2644</v>
      </c>
      <c r="N114" s="227">
        <f t="shared" si="14"/>
        <v>170741.68736201146</v>
      </c>
      <c r="O114" s="152">
        <f t="shared" si="15"/>
        <v>653580.76136201131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2589</v>
      </c>
      <c r="I115" s="152"/>
      <c r="J115" s="154"/>
      <c r="K115" s="157">
        <v>5800360895</v>
      </c>
      <c r="L115" s="227">
        <v>682.93100000000004</v>
      </c>
      <c r="M115" s="157" t="s">
        <v>2644</v>
      </c>
      <c r="N115" s="227">
        <f t="shared" si="14"/>
        <v>170058.75636201145</v>
      </c>
      <c r="O115" s="152">
        <f t="shared" si="15"/>
        <v>652897.83036201133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2589</v>
      </c>
      <c r="I116" s="152"/>
      <c r="J116" s="157"/>
      <c r="K116" s="157">
        <v>5800360895</v>
      </c>
      <c r="L116" s="227">
        <v>11918.791999999999</v>
      </c>
      <c r="M116" s="157" t="s">
        <v>2644</v>
      </c>
      <c r="N116" s="227">
        <f t="shared" si="14"/>
        <v>158139.96436201147</v>
      </c>
      <c r="O116" s="152">
        <f t="shared" si="15"/>
        <v>640979.03836201131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2589</v>
      </c>
      <c r="I117" s="152"/>
      <c r="J117" s="157"/>
      <c r="K117" s="157">
        <v>5800360895</v>
      </c>
      <c r="L117" s="227">
        <v>17148.261999999999</v>
      </c>
      <c r="M117" s="157" t="s">
        <v>2644</v>
      </c>
      <c r="N117" s="227">
        <f t="shared" si="10"/>
        <v>140991.70236201148</v>
      </c>
      <c r="O117" s="152">
        <f t="shared" si="11"/>
        <v>623830.77636201133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2589</v>
      </c>
      <c r="I118" s="152"/>
      <c r="J118" s="157"/>
      <c r="K118" s="157">
        <v>5800360895</v>
      </c>
      <c r="L118" s="227">
        <v>15649.066000000001</v>
      </c>
      <c r="M118" s="157" t="s">
        <v>2644</v>
      </c>
      <c r="N118" s="227">
        <f t="shared" si="10"/>
        <v>125342.63636201147</v>
      </c>
      <c r="O118" s="152">
        <f t="shared" si="11"/>
        <v>608181.71036201133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2589</v>
      </c>
      <c r="I119" s="152"/>
      <c r="J119" s="157"/>
      <c r="K119" s="157">
        <v>5800360895</v>
      </c>
      <c r="L119" s="227">
        <v>4605.665</v>
      </c>
      <c r="M119" s="157" t="s">
        <v>2644</v>
      </c>
      <c r="N119" s="227">
        <f t="shared" si="10"/>
        <v>120736.97136201148</v>
      </c>
      <c r="O119" s="152">
        <f t="shared" si="11"/>
        <v>603576.0453620113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2589</v>
      </c>
      <c r="I120" s="152"/>
      <c r="J120" s="157"/>
      <c r="K120" s="157">
        <v>5800360895</v>
      </c>
      <c r="L120" s="227">
        <v>14518.638999999999</v>
      </c>
      <c r="M120" s="157" t="s">
        <v>2644</v>
      </c>
      <c r="N120" s="227">
        <f t="shared" si="10"/>
        <v>106218.33236201148</v>
      </c>
      <c r="O120" s="152">
        <f t="shared" si="11"/>
        <v>589057.40636201133</v>
      </c>
    </row>
    <row r="121" spans="1:15" x14ac:dyDescent="0.15">
      <c r="A121" s="154"/>
      <c r="B121" s="151"/>
      <c r="C121" s="152"/>
      <c r="D121" s="323" t="s">
        <v>2594</v>
      </c>
      <c r="E121" s="154" t="s">
        <v>72</v>
      </c>
      <c r="F121" s="157" t="s">
        <v>2646</v>
      </c>
      <c r="G121" s="152">
        <v>131518.23000000001</v>
      </c>
      <c r="H121" s="323" t="s">
        <v>2594</v>
      </c>
      <c r="I121" s="152">
        <v>12979.955999999998</v>
      </c>
      <c r="J121" s="157" t="s">
        <v>2644</v>
      </c>
      <c r="K121" s="157">
        <v>5800360895</v>
      </c>
      <c r="L121" s="227">
        <v>15457</v>
      </c>
      <c r="M121" s="157" t="s">
        <v>2644</v>
      </c>
      <c r="N121" s="227">
        <f t="shared" si="10"/>
        <v>77781.376362011477</v>
      </c>
      <c r="O121" s="152">
        <f t="shared" si="11"/>
        <v>692138.68036201131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2594</v>
      </c>
      <c r="I122" s="152"/>
      <c r="J122" s="157"/>
      <c r="K122" s="157">
        <v>5800360895</v>
      </c>
      <c r="L122" s="227">
        <v>36040</v>
      </c>
      <c r="M122" s="157" t="s">
        <v>2644</v>
      </c>
      <c r="N122" s="227">
        <f t="shared" si="10"/>
        <v>41741.376362011477</v>
      </c>
      <c r="O122" s="152">
        <f t="shared" si="11"/>
        <v>656098.68036201131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2594</v>
      </c>
      <c r="I123" s="152"/>
      <c r="J123" s="157"/>
      <c r="K123" s="157">
        <v>5800360895</v>
      </c>
      <c r="L123" s="227">
        <v>12515</v>
      </c>
      <c r="M123" s="157" t="s">
        <v>2644</v>
      </c>
      <c r="N123" s="227">
        <f t="shared" si="10"/>
        <v>29226.376362011477</v>
      </c>
      <c r="O123" s="152">
        <f t="shared" si="11"/>
        <v>643583.68036201131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2594</v>
      </c>
      <c r="I124" s="152"/>
      <c r="J124" s="157"/>
      <c r="K124" s="157">
        <v>5800360895</v>
      </c>
      <c r="L124" s="227">
        <v>12383</v>
      </c>
      <c r="M124" s="157" t="s">
        <v>2644</v>
      </c>
      <c r="N124" s="227">
        <f t="shared" ref="N124:N129" si="16">+N123-I124-L124</f>
        <v>16843.376362011477</v>
      </c>
      <c r="O124" s="152">
        <f t="shared" ref="O124:O129" si="17">O123+G124-I124-L124</f>
        <v>631200.68036201131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2594</v>
      </c>
      <c r="I125" s="152"/>
      <c r="J125" s="157"/>
      <c r="K125" s="157">
        <v>5800360895</v>
      </c>
      <c r="L125" s="227">
        <v>16843.376362011477</v>
      </c>
      <c r="M125" s="157" t="s">
        <v>2644</v>
      </c>
      <c r="N125" s="227">
        <f t="shared" si="16"/>
        <v>0</v>
      </c>
      <c r="O125" s="152">
        <f t="shared" si="17"/>
        <v>614357.30399999977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2594</v>
      </c>
      <c r="I126" s="152"/>
      <c r="J126" s="157"/>
      <c r="K126" s="157">
        <v>5800360895</v>
      </c>
      <c r="L126" s="227">
        <v>1396.6236379885199</v>
      </c>
      <c r="M126" s="157" t="s">
        <v>2645</v>
      </c>
      <c r="N126" s="227">
        <f>G76+G86+G93+G101+N125-I126-L126</f>
        <v>393573.95936201146</v>
      </c>
      <c r="O126" s="152">
        <f t="shared" si="17"/>
        <v>612960.68036201131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2594</v>
      </c>
      <c r="I127" s="152"/>
      <c r="J127" s="154"/>
      <c r="K127" s="157">
        <v>5800360895</v>
      </c>
      <c r="L127" s="227">
        <v>11903</v>
      </c>
      <c r="M127" s="157" t="s">
        <v>2645</v>
      </c>
      <c r="N127" s="227">
        <f t="shared" si="16"/>
        <v>381670.95936201146</v>
      </c>
      <c r="O127" s="152">
        <f t="shared" si="17"/>
        <v>601057.68036201131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2594</v>
      </c>
      <c r="I128" s="152"/>
      <c r="J128" s="157"/>
      <c r="K128" s="157">
        <v>5800360895</v>
      </c>
      <c r="L128" s="227">
        <v>7090.1239999999998</v>
      </c>
      <c r="M128" s="157" t="s">
        <v>2645</v>
      </c>
      <c r="N128" s="227">
        <f t="shared" si="16"/>
        <v>374580.83536201145</v>
      </c>
      <c r="O128" s="152">
        <f t="shared" si="17"/>
        <v>593967.55636201135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2594</v>
      </c>
      <c r="I129" s="152"/>
      <c r="J129" s="157"/>
      <c r="K129" s="157">
        <v>5800360895</v>
      </c>
      <c r="L129" s="227">
        <v>13917.355</v>
      </c>
      <c r="M129" s="157" t="s">
        <v>2645</v>
      </c>
      <c r="N129" s="227">
        <f t="shared" si="16"/>
        <v>360663.48036201147</v>
      </c>
      <c r="O129" s="152">
        <f t="shared" si="17"/>
        <v>580050.20136201137</v>
      </c>
    </row>
    <row r="130" spans="1:15" x14ac:dyDescent="0.15">
      <c r="A130" s="154"/>
      <c r="B130" s="151"/>
      <c r="C130" s="152"/>
      <c r="D130" s="323" t="s">
        <v>2595</v>
      </c>
      <c r="E130" s="154" t="s">
        <v>72</v>
      </c>
      <c r="F130" s="157" t="s">
        <v>2646</v>
      </c>
      <c r="G130" s="152">
        <v>87810.183000000005</v>
      </c>
      <c r="H130" s="323" t="s">
        <v>2595</v>
      </c>
      <c r="I130" s="152">
        <v>10456.369000000001</v>
      </c>
      <c r="J130" s="157" t="s">
        <v>2645</v>
      </c>
      <c r="K130" s="157">
        <v>5800360895</v>
      </c>
      <c r="L130" s="227">
        <v>15986.478999999999</v>
      </c>
      <c r="M130" s="157" t="s">
        <v>2645</v>
      </c>
      <c r="N130" s="227">
        <f t="shared" si="10"/>
        <v>334220.63236201147</v>
      </c>
      <c r="O130" s="152">
        <f t="shared" si="11"/>
        <v>641417.53636201133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2595</v>
      </c>
      <c r="I131" s="152"/>
      <c r="J131" s="157"/>
      <c r="K131" s="157">
        <v>5800360895</v>
      </c>
      <c r="L131" s="227">
        <v>14912.043</v>
      </c>
      <c r="M131" s="157" t="s">
        <v>2645</v>
      </c>
      <c r="N131" s="227">
        <f t="shared" si="10"/>
        <v>319308.58936201147</v>
      </c>
      <c r="O131" s="152">
        <f t="shared" si="11"/>
        <v>626505.49336201139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2595</v>
      </c>
      <c r="I132" s="152"/>
      <c r="J132" s="157"/>
      <c r="K132" s="157">
        <v>5800360895</v>
      </c>
      <c r="L132" s="227">
        <v>9786.9660000000003</v>
      </c>
      <c r="M132" s="157" t="s">
        <v>2645</v>
      </c>
      <c r="N132" s="227">
        <f t="shared" si="10"/>
        <v>309521.62336201145</v>
      </c>
      <c r="O132" s="152">
        <f t="shared" si="11"/>
        <v>616718.52736201137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2595</v>
      </c>
      <c r="I133" s="152"/>
      <c r="J133" s="157"/>
      <c r="K133" s="157">
        <v>5800360895</v>
      </c>
      <c r="L133" s="227">
        <v>2400</v>
      </c>
      <c r="M133" s="157" t="s">
        <v>2645</v>
      </c>
      <c r="N133" s="227">
        <f t="shared" si="10"/>
        <v>307121.62336201145</v>
      </c>
      <c r="O133" s="152">
        <f t="shared" si="11"/>
        <v>614318.52736201137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2595</v>
      </c>
      <c r="I134" s="152"/>
      <c r="J134" s="157"/>
      <c r="K134" s="157">
        <v>5800360895</v>
      </c>
      <c r="L134" s="227">
        <v>5766</v>
      </c>
      <c r="M134" s="157" t="s">
        <v>2645</v>
      </c>
      <c r="N134" s="227">
        <f t="shared" si="10"/>
        <v>301355.62336201145</v>
      </c>
      <c r="O134" s="152">
        <f t="shared" si="11"/>
        <v>608552.52736201137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2595</v>
      </c>
      <c r="I135" s="152"/>
      <c r="J135" s="157"/>
      <c r="K135" s="157">
        <v>5800360895</v>
      </c>
      <c r="L135" s="227">
        <v>15950</v>
      </c>
      <c r="M135" s="157" t="s">
        <v>2645</v>
      </c>
      <c r="N135" s="227">
        <f t="shared" si="10"/>
        <v>285405.62336201145</v>
      </c>
      <c r="O135" s="152">
        <f t="shared" si="11"/>
        <v>592602.52736201137</v>
      </c>
    </row>
    <row r="136" spans="1:15" x14ac:dyDescent="0.15">
      <c r="A136" s="154"/>
      <c r="B136" s="151"/>
      <c r="C136" s="152"/>
      <c r="D136" s="323" t="s">
        <v>2596</v>
      </c>
      <c r="E136" s="154" t="s">
        <v>72</v>
      </c>
      <c r="F136" s="157" t="s">
        <v>2647</v>
      </c>
      <c r="G136" s="152">
        <v>131825.995</v>
      </c>
      <c r="H136" s="323" t="s">
        <v>2596</v>
      </c>
      <c r="I136" s="152">
        <v>8868.9030000000002</v>
      </c>
      <c r="J136" s="157" t="s">
        <v>2645</v>
      </c>
      <c r="K136" s="157">
        <v>5800360895</v>
      </c>
      <c r="L136" s="227">
        <v>14745.482</v>
      </c>
      <c r="M136" s="157" t="s">
        <v>2645</v>
      </c>
      <c r="N136" s="227">
        <f t="shared" si="10"/>
        <v>261791.23836201147</v>
      </c>
      <c r="O136" s="152">
        <f t="shared" si="11"/>
        <v>700814.13736201136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2596</v>
      </c>
      <c r="I137" s="152"/>
      <c r="J137" s="157"/>
      <c r="K137" s="157">
        <v>5800360895</v>
      </c>
      <c r="L137" s="227">
        <v>14994.558000000001</v>
      </c>
      <c r="M137" s="157" t="s">
        <v>2645</v>
      </c>
      <c r="N137" s="227">
        <f t="shared" si="10"/>
        <v>246796.68036201148</v>
      </c>
      <c r="O137" s="152">
        <f t="shared" si="11"/>
        <v>685819.5793620114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2596</v>
      </c>
      <c r="I138" s="152"/>
      <c r="J138" s="157"/>
      <c r="K138" s="157">
        <v>5800360895</v>
      </c>
      <c r="L138" s="227">
        <v>13424.081</v>
      </c>
      <c r="M138" s="157" t="s">
        <v>2645</v>
      </c>
      <c r="N138" s="227">
        <f t="shared" si="10"/>
        <v>233372.59936201148</v>
      </c>
      <c r="O138" s="152">
        <f t="shared" si="11"/>
        <v>672395.49836201139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2596</v>
      </c>
      <c r="I139" s="152"/>
      <c r="J139" s="157"/>
      <c r="K139" s="157">
        <v>5800360895</v>
      </c>
      <c r="L139" s="227">
        <v>13817.2</v>
      </c>
      <c r="M139" s="157" t="s">
        <v>2645</v>
      </c>
      <c r="N139" s="227">
        <f t="shared" si="10"/>
        <v>219555.39936201146</v>
      </c>
      <c r="O139" s="152">
        <f t="shared" si="11"/>
        <v>658578.29836201144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2596</v>
      </c>
      <c r="I140" s="152"/>
      <c r="J140" s="157"/>
      <c r="K140" s="157">
        <v>5800360895</v>
      </c>
      <c r="L140" s="227">
        <v>11537.507</v>
      </c>
      <c r="M140" s="157" t="s">
        <v>2645</v>
      </c>
      <c r="N140" s="227">
        <f t="shared" si="10"/>
        <v>208017.89236201145</v>
      </c>
      <c r="O140" s="152">
        <f t="shared" si="11"/>
        <v>647040.79136201146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2596</v>
      </c>
      <c r="I141" s="152"/>
      <c r="J141" s="157"/>
      <c r="K141" s="157">
        <v>5800360895</v>
      </c>
      <c r="L141" s="227">
        <v>13697.164000000001</v>
      </c>
      <c r="M141" s="157" t="s">
        <v>2645</v>
      </c>
      <c r="N141" s="227">
        <f t="shared" si="10"/>
        <v>194320.72836201146</v>
      </c>
      <c r="O141" s="152">
        <f t="shared" si="11"/>
        <v>633343.62736201147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2596</v>
      </c>
      <c r="I142" s="152"/>
      <c r="J142" s="157"/>
      <c r="K142" s="157">
        <v>5800360895</v>
      </c>
      <c r="L142" s="227">
        <v>3057.69</v>
      </c>
      <c r="M142" s="157" t="s">
        <v>2645</v>
      </c>
      <c r="N142" s="227">
        <f t="shared" si="10"/>
        <v>191263.03836201146</v>
      </c>
      <c r="O142" s="152">
        <f t="shared" si="11"/>
        <v>630285.93736201152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2596</v>
      </c>
      <c r="I143" s="152"/>
      <c r="J143" s="157"/>
      <c r="K143" s="157">
        <v>5800360895</v>
      </c>
      <c r="L143" s="227">
        <v>12809.701999999999</v>
      </c>
      <c r="M143" s="157" t="s">
        <v>2645</v>
      </c>
      <c r="N143" s="227">
        <f t="shared" si="10"/>
        <v>178453.33636201147</v>
      </c>
      <c r="O143" s="152">
        <f t="shared" si="11"/>
        <v>617476.23536201147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2596</v>
      </c>
      <c r="I144" s="152"/>
      <c r="J144" s="157"/>
      <c r="K144" s="157">
        <v>5800360895</v>
      </c>
      <c r="L144" s="227">
        <v>31556.800999999999</v>
      </c>
      <c r="M144" s="157" t="s">
        <v>2645</v>
      </c>
      <c r="N144" s="227">
        <f t="shared" si="10"/>
        <v>146896.53536201146</v>
      </c>
      <c r="O144" s="152">
        <f t="shared" si="11"/>
        <v>585919.4343620115</v>
      </c>
    </row>
    <row r="145" spans="1:15" x14ac:dyDescent="0.15">
      <c r="A145" s="154"/>
      <c r="B145" s="151"/>
      <c r="C145" s="152"/>
      <c r="D145" s="323" t="s">
        <v>2597</v>
      </c>
      <c r="E145" s="154" t="s">
        <v>72</v>
      </c>
      <c r="F145" s="157" t="s">
        <v>2647</v>
      </c>
      <c r="G145" s="152">
        <v>87861.15400000001</v>
      </c>
      <c r="H145" s="323" t="s">
        <v>2597</v>
      </c>
      <c r="I145" s="152">
        <v>14006.161</v>
      </c>
      <c r="J145" s="157" t="s">
        <v>2645</v>
      </c>
      <c r="K145" s="157">
        <v>5800360895</v>
      </c>
      <c r="L145" s="227">
        <v>14587.041999999999</v>
      </c>
      <c r="M145" s="157" t="s">
        <v>2645</v>
      </c>
      <c r="N145" s="227">
        <f t="shared" ref="N145:N212" si="18">+N144-I145-L145</f>
        <v>118303.33236201147</v>
      </c>
      <c r="O145" s="152">
        <f t="shared" ref="O145:O212" si="19">O144+G145-I145-L145</f>
        <v>645187.3853620115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2597</v>
      </c>
      <c r="I146" s="152"/>
      <c r="J146" s="157"/>
      <c r="K146" s="157">
        <v>5800360895</v>
      </c>
      <c r="L146" s="227">
        <v>10489.873</v>
      </c>
      <c r="M146" s="157" t="s">
        <v>2645</v>
      </c>
      <c r="N146" s="227">
        <f t="shared" si="18"/>
        <v>107813.45936201146</v>
      </c>
      <c r="O146" s="152">
        <f t="shared" si="19"/>
        <v>634697.51236201148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2597</v>
      </c>
      <c r="I147" s="152"/>
      <c r="J147" s="157"/>
      <c r="K147" s="157">
        <v>5800360895</v>
      </c>
      <c r="L147" s="227">
        <v>17416.468000000001</v>
      </c>
      <c r="M147" s="157" t="s">
        <v>2645</v>
      </c>
      <c r="N147" s="227">
        <f t="shared" si="18"/>
        <v>90396.991362011468</v>
      </c>
      <c r="O147" s="152">
        <f t="shared" si="19"/>
        <v>617281.04436201148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2597</v>
      </c>
      <c r="I148" s="152"/>
      <c r="J148" s="157"/>
      <c r="K148" s="157">
        <v>5800360895</v>
      </c>
      <c r="L148" s="227">
        <v>11778.611999999999</v>
      </c>
      <c r="M148" s="157" t="s">
        <v>2645</v>
      </c>
      <c r="N148" s="227">
        <f t="shared" si="18"/>
        <v>78618.379362011474</v>
      </c>
      <c r="O148" s="152">
        <f t="shared" si="19"/>
        <v>605502.43236201152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2597</v>
      </c>
      <c r="I149" s="152"/>
      <c r="J149" s="157"/>
      <c r="K149" s="157">
        <v>5800360895</v>
      </c>
      <c r="L149" s="227">
        <v>9682.0370000000003</v>
      </c>
      <c r="M149" s="157" t="s">
        <v>2645</v>
      </c>
      <c r="N149" s="227">
        <f t="shared" si="18"/>
        <v>68936.342362011477</v>
      </c>
      <c r="O149" s="152">
        <f t="shared" si="19"/>
        <v>595820.39536201151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2597</v>
      </c>
      <c r="I150" s="152"/>
      <c r="J150" s="157"/>
      <c r="K150" s="157">
        <v>5800360895</v>
      </c>
      <c r="L150" s="227">
        <v>859.82600000000002</v>
      </c>
      <c r="M150" s="157" t="s">
        <v>2645</v>
      </c>
      <c r="N150" s="227">
        <f t="shared" si="18"/>
        <v>68076.516362011476</v>
      </c>
      <c r="O150" s="152">
        <f t="shared" si="19"/>
        <v>594960.56936201151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2597</v>
      </c>
      <c r="I151" s="152"/>
      <c r="J151" s="157"/>
      <c r="K151" s="157">
        <v>5800360895</v>
      </c>
      <c r="L151" s="227">
        <v>1351.7260000000001</v>
      </c>
      <c r="M151" s="157" t="s">
        <v>2645</v>
      </c>
      <c r="N151" s="227">
        <f t="shared" si="18"/>
        <v>66724.790362011481</v>
      </c>
      <c r="O151" s="152">
        <f t="shared" si="19"/>
        <v>593608.84336201148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2597</v>
      </c>
      <c r="I152" s="152"/>
      <c r="J152" s="157"/>
      <c r="K152" s="157">
        <v>5800360895</v>
      </c>
      <c r="L152" s="227">
        <v>13345.294</v>
      </c>
      <c r="M152" s="157" t="s">
        <v>2645</v>
      </c>
      <c r="N152" s="227">
        <f t="shared" si="18"/>
        <v>53379.49636201148</v>
      </c>
      <c r="O152" s="152">
        <f t="shared" si="19"/>
        <v>580263.54936201149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2597</v>
      </c>
      <c r="I153" s="152"/>
      <c r="J153" s="157"/>
      <c r="K153" s="157">
        <v>5800360895</v>
      </c>
      <c r="L153" s="227">
        <v>3383.3139999999999</v>
      </c>
      <c r="M153" s="157" t="s">
        <v>2645</v>
      </c>
      <c r="N153" s="227">
        <f t="shared" si="18"/>
        <v>49996.182362011481</v>
      </c>
      <c r="O153" s="152">
        <f t="shared" si="19"/>
        <v>576880.23536201147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2597</v>
      </c>
      <c r="I154" s="152"/>
      <c r="J154" s="157"/>
      <c r="K154" s="157">
        <v>5800360895</v>
      </c>
      <c r="L154" s="227">
        <v>13056.352999999999</v>
      </c>
      <c r="M154" s="157" t="s">
        <v>2645</v>
      </c>
      <c r="N154" s="227">
        <f t="shared" si="18"/>
        <v>36939.829362011486</v>
      </c>
      <c r="O154" s="152">
        <f t="shared" si="19"/>
        <v>563823.88236201147</v>
      </c>
    </row>
    <row r="155" spans="1:15" x14ac:dyDescent="0.15">
      <c r="A155" s="154"/>
      <c r="B155" s="151"/>
      <c r="C155" s="152"/>
      <c r="D155" s="323" t="s">
        <v>2602</v>
      </c>
      <c r="E155" s="154" t="s">
        <v>72</v>
      </c>
      <c r="F155" s="157" t="s">
        <v>2648</v>
      </c>
      <c r="G155" s="152">
        <v>87903.024999999994</v>
      </c>
      <c r="H155" s="323" t="s">
        <v>2602</v>
      </c>
      <c r="I155" s="152">
        <v>20947.463</v>
      </c>
      <c r="J155" s="157" t="s">
        <v>2645</v>
      </c>
      <c r="K155" s="157">
        <v>5800360895</v>
      </c>
      <c r="L155" s="227">
        <v>14693.339</v>
      </c>
      <c r="M155" s="157" t="s">
        <v>2645</v>
      </c>
      <c r="N155" s="227">
        <f t="shared" si="18"/>
        <v>1299.0273620114858</v>
      </c>
      <c r="O155" s="152">
        <f t="shared" si="19"/>
        <v>616086.10536201147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2602</v>
      </c>
      <c r="I156" s="152"/>
      <c r="J156" s="157"/>
      <c r="K156" s="157">
        <v>5800360895</v>
      </c>
      <c r="L156" s="227">
        <v>1299.0273620114858</v>
      </c>
      <c r="M156" s="157" t="s">
        <v>2645</v>
      </c>
      <c r="N156" s="227">
        <f t="shared" si="18"/>
        <v>0</v>
      </c>
      <c r="O156" s="152">
        <f t="shared" si="19"/>
        <v>614787.07799999998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2602</v>
      </c>
      <c r="I157" s="152"/>
      <c r="J157" s="157"/>
      <c r="K157" s="157">
        <v>5800360895</v>
      </c>
      <c r="L157" s="227">
        <v>11868.3036379885</v>
      </c>
      <c r="M157" s="157" t="s">
        <v>2646</v>
      </c>
      <c r="N157" s="227">
        <f>G109+G121+G130+N156-I157-L157</f>
        <v>295328.60036201152</v>
      </c>
      <c r="O157" s="152">
        <f t="shared" ref="O157:O161" si="20">O156+G157-I157-L157</f>
        <v>602918.77436201146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2602</v>
      </c>
      <c r="I158" s="152"/>
      <c r="J158" s="157"/>
      <c r="K158" s="157">
        <v>5800360895</v>
      </c>
      <c r="L158" s="227">
        <v>12050.861000000001</v>
      </c>
      <c r="M158" s="157" t="s">
        <v>2646</v>
      </c>
      <c r="N158" s="227">
        <f t="shared" ref="N158:N161" si="21">+N157-I158-L158</f>
        <v>283277.73936201155</v>
      </c>
      <c r="O158" s="152">
        <f t="shared" si="20"/>
        <v>590867.91336201143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2602</v>
      </c>
      <c r="I159" s="152"/>
      <c r="J159" s="157"/>
      <c r="K159" s="157">
        <v>5800360895</v>
      </c>
      <c r="L159" s="227">
        <v>15600.532999999999</v>
      </c>
      <c r="M159" s="157" t="s">
        <v>2646</v>
      </c>
      <c r="N159" s="227">
        <f t="shared" si="21"/>
        <v>267677.20636201155</v>
      </c>
      <c r="O159" s="152">
        <f t="shared" si="20"/>
        <v>575267.38036201138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2602</v>
      </c>
      <c r="I160" s="152"/>
      <c r="J160" s="157"/>
      <c r="K160" s="157">
        <v>5800360895</v>
      </c>
      <c r="L160" s="227">
        <v>15350.204</v>
      </c>
      <c r="M160" s="157" t="s">
        <v>2646</v>
      </c>
      <c r="N160" s="227">
        <f t="shared" si="21"/>
        <v>252327.00236201155</v>
      </c>
      <c r="O160" s="152">
        <f t="shared" si="20"/>
        <v>559917.17636201135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2602</v>
      </c>
      <c r="I161" s="152"/>
      <c r="J161" s="157"/>
      <c r="K161" s="157">
        <v>5800360895</v>
      </c>
      <c r="L161" s="227">
        <v>11123.641</v>
      </c>
      <c r="M161" s="157" t="s">
        <v>2646</v>
      </c>
      <c r="N161" s="227">
        <f t="shared" si="21"/>
        <v>241203.36136201155</v>
      </c>
      <c r="O161" s="152">
        <f t="shared" si="20"/>
        <v>548793.5353620114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2602</v>
      </c>
      <c r="I162" s="152"/>
      <c r="J162" s="157"/>
      <c r="K162" s="157">
        <v>5800360895</v>
      </c>
      <c r="L162" s="227">
        <v>14121.537</v>
      </c>
      <c r="M162" s="157" t="s">
        <v>2646</v>
      </c>
      <c r="N162" s="227">
        <f t="shared" si="18"/>
        <v>227081.82436201154</v>
      </c>
      <c r="O162" s="152">
        <f t="shared" si="19"/>
        <v>534671.99836201139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2602</v>
      </c>
      <c r="I163" s="152"/>
      <c r="J163" s="157"/>
      <c r="K163" s="157">
        <v>5800360895</v>
      </c>
      <c r="L163" s="227">
        <v>13660.911</v>
      </c>
      <c r="M163" s="157" t="s">
        <v>2646</v>
      </c>
      <c r="N163" s="227">
        <f t="shared" si="18"/>
        <v>213420.91336201155</v>
      </c>
      <c r="O163" s="152">
        <f t="shared" si="19"/>
        <v>521011.08736201137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2602</v>
      </c>
      <c r="I164" s="152"/>
      <c r="J164" s="157"/>
      <c r="K164" s="157">
        <v>5800360895</v>
      </c>
      <c r="L164" s="227">
        <v>38258.942999999999</v>
      </c>
      <c r="M164" s="157" t="s">
        <v>2646</v>
      </c>
      <c r="N164" s="227">
        <f t="shared" si="18"/>
        <v>175161.97036201155</v>
      </c>
      <c r="O164" s="152">
        <f t="shared" si="19"/>
        <v>482752.14436201134</v>
      </c>
    </row>
    <row r="165" spans="1:15" x14ac:dyDescent="0.15">
      <c r="A165" s="154"/>
      <c r="B165" s="151"/>
      <c r="C165" s="152"/>
      <c r="D165" s="323" t="s">
        <v>2604</v>
      </c>
      <c r="E165" s="154" t="s">
        <v>72</v>
      </c>
      <c r="F165" s="157" t="s">
        <v>2648</v>
      </c>
      <c r="G165" s="152">
        <v>43958.399999999994</v>
      </c>
      <c r="H165" s="323" t="s">
        <v>2604</v>
      </c>
      <c r="I165" s="152">
        <v>15894.716</v>
      </c>
      <c r="J165" s="157" t="s">
        <v>2646</v>
      </c>
      <c r="K165" s="157">
        <v>5800360895</v>
      </c>
      <c r="L165" s="227">
        <v>15136.534</v>
      </c>
      <c r="M165" s="157" t="s">
        <v>2646</v>
      </c>
      <c r="N165" s="227">
        <f t="shared" si="18"/>
        <v>144130.72036201158</v>
      </c>
      <c r="O165" s="152">
        <f t="shared" si="19"/>
        <v>495679.29436201137</v>
      </c>
    </row>
    <row r="166" spans="1:15" x14ac:dyDescent="0.15">
      <c r="A166" s="154"/>
      <c r="B166" s="151"/>
      <c r="C166" s="152"/>
      <c r="D166" s="323" t="s">
        <v>2604</v>
      </c>
      <c r="E166" s="154" t="s">
        <v>72</v>
      </c>
      <c r="F166" s="157" t="s">
        <v>2649</v>
      </c>
      <c r="G166" s="152">
        <v>87903.285000000003</v>
      </c>
      <c r="H166" s="323" t="s">
        <v>2604</v>
      </c>
      <c r="I166" s="152"/>
      <c r="J166" s="157"/>
      <c r="K166" s="157">
        <v>5800360895</v>
      </c>
      <c r="L166" s="227">
        <v>14789.499</v>
      </c>
      <c r="M166" s="157" t="s">
        <v>2646</v>
      </c>
      <c r="N166" s="227">
        <f t="shared" si="18"/>
        <v>129341.22136201158</v>
      </c>
      <c r="O166" s="152">
        <f t="shared" si="19"/>
        <v>568793.08036201145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2604</v>
      </c>
      <c r="I167" s="152"/>
      <c r="J167" s="157"/>
      <c r="K167" s="157">
        <v>5800360895</v>
      </c>
      <c r="L167" s="227">
        <v>12787.296</v>
      </c>
      <c r="M167" s="157" t="s">
        <v>2646</v>
      </c>
      <c r="N167" s="227">
        <f t="shared" si="18"/>
        <v>116553.92536201158</v>
      </c>
      <c r="O167" s="152">
        <f t="shared" si="19"/>
        <v>556005.78436201147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2604</v>
      </c>
      <c r="I168" s="152"/>
      <c r="J168" s="157"/>
      <c r="K168" s="157">
        <v>5800360895</v>
      </c>
      <c r="L168" s="227">
        <v>17231.745999999999</v>
      </c>
      <c r="M168" s="157" t="s">
        <v>2646</v>
      </c>
      <c r="N168" s="227">
        <f t="shared" si="18"/>
        <v>99322.179362011579</v>
      </c>
      <c r="O168" s="152">
        <f t="shared" si="19"/>
        <v>538774.03836201143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2604</v>
      </c>
      <c r="I169" s="152"/>
      <c r="J169" s="157"/>
      <c r="K169" s="157">
        <v>5800360895</v>
      </c>
      <c r="L169" s="227">
        <v>9059.9179999999997</v>
      </c>
      <c r="M169" s="157" t="s">
        <v>2646</v>
      </c>
      <c r="N169" s="227">
        <f t="shared" si="18"/>
        <v>90262.261362011574</v>
      </c>
      <c r="O169" s="152">
        <f t="shared" si="19"/>
        <v>529714.12036201148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2604</v>
      </c>
      <c r="I170" s="152"/>
      <c r="J170" s="157"/>
      <c r="K170" s="157">
        <v>5800360895</v>
      </c>
      <c r="L170" s="227">
        <v>12666.576999999999</v>
      </c>
      <c r="M170" s="157" t="s">
        <v>2646</v>
      </c>
      <c r="N170" s="227">
        <f t="shared" si="18"/>
        <v>77595.684362011569</v>
      </c>
      <c r="O170" s="152">
        <f t="shared" si="19"/>
        <v>517047.54336201149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2604</v>
      </c>
      <c r="I171" s="152"/>
      <c r="J171" s="157"/>
      <c r="K171" s="157">
        <v>5800360895</v>
      </c>
      <c r="L171" s="227">
        <v>7639.1260000000002</v>
      </c>
      <c r="M171" s="157" t="s">
        <v>2646</v>
      </c>
      <c r="N171" s="227">
        <f t="shared" si="18"/>
        <v>69956.558362011565</v>
      </c>
      <c r="O171" s="152">
        <f t="shared" si="19"/>
        <v>509408.4173620115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2604</v>
      </c>
      <c r="I172" s="152"/>
      <c r="J172" s="157"/>
      <c r="K172" s="157">
        <v>5800360895</v>
      </c>
      <c r="L172" s="227">
        <v>15104.341</v>
      </c>
      <c r="M172" s="157" t="s">
        <v>2646</v>
      </c>
      <c r="N172" s="227">
        <f t="shared" si="18"/>
        <v>54852.217362011565</v>
      </c>
      <c r="O172" s="152">
        <f t="shared" si="19"/>
        <v>494304.07636201149</v>
      </c>
    </row>
    <row r="173" spans="1:15" x14ac:dyDescent="0.15">
      <c r="A173" s="154"/>
      <c r="B173" s="151"/>
      <c r="C173" s="152"/>
      <c r="D173" s="323" t="s">
        <v>2605</v>
      </c>
      <c r="E173" s="154" t="s">
        <v>72</v>
      </c>
      <c r="F173" s="157" t="s">
        <v>2649</v>
      </c>
      <c r="G173" s="152">
        <v>165582.21799999903</v>
      </c>
      <c r="H173" s="323" t="s">
        <v>2605</v>
      </c>
      <c r="I173" s="152">
        <v>12832.545999999998</v>
      </c>
      <c r="J173" s="157" t="s">
        <v>2646</v>
      </c>
      <c r="K173" s="157">
        <v>5800360895</v>
      </c>
      <c r="L173" s="227">
        <v>13505.678</v>
      </c>
      <c r="M173" s="157" t="s">
        <v>2646</v>
      </c>
      <c r="N173" s="227">
        <f t="shared" si="18"/>
        <v>28513.993362011563</v>
      </c>
      <c r="O173" s="152">
        <f t="shared" si="19"/>
        <v>633548.07036201062</v>
      </c>
    </row>
    <row r="174" spans="1:15" x14ac:dyDescent="0.15">
      <c r="A174" s="154"/>
      <c r="B174" s="151"/>
      <c r="C174" s="152"/>
      <c r="D174" s="323" t="s">
        <v>2605</v>
      </c>
      <c r="E174" s="154" t="s">
        <v>72</v>
      </c>
      <c r="F174" s="157" t="s">
        <v>2650</v>
      </c>
      <c r="G174" s="152">
        <v>54307.380000001001</v>
      </c>
      <c r="H174" s="323" t="s">
        <v>2605</v>
      </c>
      <c r="I174" s="152"/>
      <c r="J174" s="157"/>
      <c r="K174" s="157">
        <v>5800360895</v>
      </c>
      <c r="L174" s="227">
        <v>14435.62</v>
      </c>
      <c r="M174" s="157" t="s">
        <v>2646</v>
      </c>
      <c r="N174" s="227">
        <f t="shared" si="18"/>
        <v>14078.373362011562</v>
      </c>
      <c r="O174" s="152">
        <f t="shared" si="19"/>
        <v>673419.83036201168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2605</v>
      </c>
      <c r="I175" s="152"/>
      <c r="J175" s="157"/>
      <c r="K175" s="157">
        <v>5800360895</v>
      </c>
      <c r="L175" s="227">
        <v>14078.373362011562</v>
      </c>
      <c r="M175" s="157" t="s">
        <v>2646</v>
      </c>
      <c r="N175" s="227">
        <f t="shared" ref="N175:N179" si="22">+N174-I175-L175</f>
        <v>0</v>
      </c>
      <c r="O175" s="152">
        <f t="shared" ref="O175:O179" si="23">O174+G175-I175-L175</f>
        <v>659341.45700000017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2605</v>
      </c>
      <c r="I176" s="152"/>
      <c r="J176" s="157"/>
      <c r="K176" s="157">
        <v>5800360895</v>
      </c>
      <c r="L176" s="227">
        <v>385.27463798843701</v>
      </c>
      <c r="M176" s="157" t="s">
        <v>2647</v>
      </c>
      <c r="N176" s="227">
        <f>G136+G145+N175-I176-L176</f>
        <v>219301.87436201156</v>
      </c>
      <c r="O176" s="152">
        <f t="shared" si="23"/>
        <v>658956.18236201175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2605</v>
      </c>
      <c r="I177" s="152"/>
      <c r="J177" s="157"/>
      <c r="K177" s="157">
        <v>5800360895</v>
      </c>
      <c r="L177" s="227">
        <v>12069.223</v>
      </c>
      <c r="M177" s="157" t="s">
        <v>2647</v>
      </c>
      <c r="N177" s="227">
        <f t="shared" si="22"/>
        <v>207232.65136201156</v>
      </c>
      <c r="O177" s="152">
        <f t="shared" si="23"/>
        <v>646886.95936201175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2605</v>
      </c>
      <c r="I178" s="152"/>
      <c r="J178" s="157"/>
      <c r="K178" s="157">
        <v>5800360895</v>
      </c>
      <c r="L178" s="227">
        <v>15208.915000000001</v>
      </c>
      <c r="M178" s="157" t="s">
        <v>2647</v>
      </c>
      <c r="N178" s="227">
        <f t="shared" si="22"/>
        <v>192023.73636201155</v>
      </c>
      <c r="O178" s="152">
        <f t="shared" si="23"/>
        <v>631678.04436201171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2605</v>
      </c>
      <c r="I179" s="152"/>
      <c r="J179" s="157"/>
      <c r="K179" s="157">
        <v>5800360895</v>
      </c>
      <c r="L179" s="227">
        <v>4676.0519999999997</v>
      </c>
      <c r="M179" s="157" t="s">
        <v>2647</v>
      </c>
      <c r="N179" s="227">
        <f t="shared" si="22"/>
        <v>187347.68436201155</v>
      </c>
      <c r="O179" s="152">
        <f t="shared" si="23"/>
        <v>627001.99236201169</v>
      </c>
    </row>
    <row r="180" spans="1:15" ht="12" customHeight="1" x14ac:dyDescent="0.15">
      <c r="A180" s="154"/>
      <c r="B180" s="151"/>
      <c r="C180" s="152"/>
      <c r="D180" s="323"/>
      <c r="E180" s="154"/>
      <c r="F180" s="157"/>
      <c r="G180" s="152"/>
      <c r="H180" s="323" t="s">
        <v>2605</v>
      </c>
      <c r="I180" s="152"/>
      <c r="J180" s="157"/>
      <c r="K180" s="157">
        <v>5800360895</v>
      </c>
      <c r="L180" s="227">
        <v>13802.200999999999</v>
      </c>
      <c r="M180" s="157" t="s">
        <v>2647</v>
      </c>
      <c r="N180" s="227">
        <f t="shared" si="18"/>
        <v>173545.48336201155</v>
      </c>
      <c r="O180" s="152">
        <f t="shared" si="19"/>
        <v>613199.79136201169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2605</v>
      </c>
      <c r="I181" s="152"/>
      <c r="J181" s="157"/>
      <c r="K181" s="157">
        <v>5800360895</v>
      </c>
      <c r="L181" s="227">
        <v>16102.734</v>
      </c>
      <c r="M181" s="157" t="s">
        <v>2647</v>
      </c>
      <c r="N181" s="227">
        <f t="shared" si="18"/>
        <v>157442.74936201156</v>
      </c>
      <c r="O181" s="152">
        <f t="shared" si="19"/>
        <v>597097.05736201163</v>
      </c>
    </row>
    <row r="182" spans="1:15" x14ac:dyDescent="0.15">
      <c r="A182" s="154"/>
      <c r="B182" s="151"/>
      <c r="C182" s="152"/>
      <c r="D182" s="323" t="s">
        <v>2606</v>
      </c>
      <c r="E182" s="154" t="s">
        <v>72</v>
      </c>
      <c r="F182" s="157" t="s">
        <v>2650</v>
      </c>
      <c r="G182" s="152">
        <v>87948.101999999999</v>
      </c>
      <c r="H182" s="323" t="s">
        <v>2606</v>
      </c>
      <c r="I182" s="152">
        <v>10994.279999999999</v>
      </c>
      <c r="J182" s="157" t="s">
        <v>2647</v>
      </c>
      <c r="K182" s="157">
        <v>5800360895</v>
      </c>
      <c r="L182" s="227">
        <v>35684.464999999997</v>
      </c>
      <c r="M182" s="157" t="s">
        <v>2647</v>
      </c>
      <c r="N182" s="227">
        <f t="shared" si="18"/>
        <v>110764.00436201156</v>
      </c>
      <c r="O182" s="152">
        <f t="shared" si="19"/>
        <v>638366.41436201159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2606</v>
      </c>
      <c r="I183" s="152"/>
      <c r="J183" s="157"/>
      <c r="K183" s="157">
        <v>5800360895</v>
      </c>
      <c r="L183" s="227">
        <v>13235.365</v>
      </c>
      <c r="M183" s="157" t="s">
        <v>2647</v>
      </c>
      <c r="N183" s="227">
        <f t="shared" si="18"/>
        <v>97528.639362011556</v>
      </c>
      <c r="O183" s="152">
        <f t="shared" si="19"/>
        <v>625131.0493620116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2606</v>
      </c>
      <c r="I184" s="152"/>
      <c r="J184" s="157"/>
      <c r="K184" s="157">
        <v>5800360895</v>
      </c>
      <c r="L184" s="227">
        <v>17247.991999999998</v>
      </c>
      <c r="M184" s="157" t="s">
        <v>2647</v>
      </c>
      <c r="N184" s="227">
        <f t="shared" si="18"/>
        <v>80280.647362011558</v>
      </c>
      <c r="O184" s="152">
        <f t="shared" si="19"/>
        <v>607883.05736201163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2606</v>
      </c>
      <c r="I185" s="152"/>
      <c r="J185" s="157"/>
      <c r="K185" s="157">
        <v>5800360895</v>
      </c>
      <c r="L185" s="227">
        <v>12093.902</v>
      </c>
      <c r="M185" s="157" t="s">
        <v>2647</v>
      </c>
      <c r="N185" s="227">
        <f t="shared" si="18"/>
        <v>68186.745362011556</v>
      </c>
      <c r="O185" s="152">
        <f t="shared" si="19"/>
        <v>595789.15536201163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2606</v>
      </c>
      <c r="I186" s="152"/>
      <c r="J186" s="157"/>
      <c r="K186" s="157">
        <v>5800360895</v>
      </c>
      <c r="L186" s="227">
        <v>11260.858</v>
      </c>
      <c r="M186" s="157" t="s">
        <v>2647</v>
      </c>
      <c r="N186" s="227">
        <f t="shared" si="18"/>
        <v>56925.887362011556</v>
      </c>
      <c r="O186" s="152">
        <f t="shared" si="19"/>
        <v>584528.29736201162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2606</v>
      </c>
      <c r="I187" s="152"/>
      <c r="J187" s="157"/>
      <c r="K187" s="157">
        <v>5800360895</v>
      </c>
      <c r="L187" s="227">
        <v>6151.3760000000002</v>
      </c>
      <c r="M187" s="157" t="s">
        <v>2647</v>
      </c>
      <c r="N187" s="227">
        <f t="shared" si="18"/>
        <v>50774.511362011559</v>
      </c>
      <c r="O187" s="152">
        <f t="shared" si="19"/>
        <v>578376.92136201158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2606</v>
      </c>
      <c r="I188" s="152"/>
      <c r="J188" s="157"/>
      <c r="K188" s="157">
        <v>5800360895</v>
      </c>
      <c r="L188" s="227">
        <v>16039.374</v>
      </c>
      <c r="M188" s="157" t="s">
        <v>2647</v>
      </c>
      <c r="N188" s="227">
        <f t="shared" si="18"/>
        <v>34735.137362011563</v>
      </c>
      <c r="O188" s="152">
        <f t="shared" si="19"/>
        <v>562337.54736201162</v>
      </c>
    </row>
    <row r="189" spans="1:15" x14ac:dyDescent="0.15">
      <c r="A189" s="154"/>
      <c r="B189" s="151"/>
      <c r="C189" s="152"/>
      <c r="D189" s="323" t="s">
        <v>2607</v>
      </c>
      <c r="E189" s="154" t="s">
        <v>72</v>
      </c>
      <c r="F189" s="157" t="s">
        <v>2650</v>
      </c>
      <c r="G189" s="152">
        <v>175916.74100000001</v>
      </c>
      <c r="H189" s="323" t="s">
        <v>2607</v>
      </c>
      <c r="I189" s="152">
        <v>6988.576</v>
      </c>
      <c r="J189" s="157" t="s">
        <v>2647</v>
      </c>
      <c r="K189" s="157">
        <v>5800360895</v>
      </c>
      <c r="L189" s="227">
        <v>11254</v>
      </c>
      <c r="M189" s="157" t="s">
        <v>2647</v>
      </c>
      <c r="N189" s="227">
        <f t="shared" si="18"/>
        <v>16492.561362011562</v>
      </c>
      <c r="O189" s="152">
        <f t="shared" si="19"/>
        <v>720011.71236201166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2607</v>
      </c>
      <c r="I190" s="152"/>
      <c r="J190" s="157"/>
      <c r="K190" s="157">
        <v>5800360895</v>
      </c>
      <c r="L190" s="227">
        <v>15960</v>
      </c>
      <c r="M190" s="157" t="s">
        <v>2647</v>
      </c>
      <c r="N190" s="227">
        <f t="shared" si="18"/>
        <v>532.56136201156187</v>
      </c>
      <c r="O190" s="152">
        <f t="shared" si="19"/>
        <v>704051.71236201166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2607</v>
      </c>
      <c r="I191" s="152"/>
      <c r="J191" s="157"/>
      <c r="K191" s="157">
        <v>5800360895</v>
      </c>
      <c r="L191" s="227">
        <v>532.56136201156187</v>
      </c>
      <c r="M191" s="157" t="s">
        <v>2647</v>
      </c>
      <c r="N191" s="227">
        <f t="shared" ref="N191:N200" si="24">+N190-I191-L191</f>
        <v>0</v>
      </c>
      <c r="O191" s="152">
        <f t="shared" ref="O191:O200" si="25">O190+G191-I191-L191</f>
        <v>703519.15100000007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2607</v>
      </c>
      <c r="I192" s="152"/>
      <c r="J192" s="157"/>
      <c r="K192" s="157">
        <v>5800360895</v>
      </c>
      <c r="L192" s="227">
        <v>8795.43863798844</v>
      </c>
      <c r="M192" s="157" t="s">
        <v>2648</v>
      </c>
      <c r="N192" s="227">
        <f>G155+G165+N191-I192-L192</f>
        <v>123065.98636201155</v>
      </c>
      <c r="O192" s="152">
        <f t="shared" si="25"/>
        <v>694723.71236201166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2607</v>
      </c>
      <c r="I193" s="152"/>
      <c r="J193" s="157"/>
      <c r="K193" s="157">
        <v>5800360895</v>
      </c>
      <c r="L193" s="227">
        <v>6566.3360000000002</v>
      </c>
      <c r="M193" s="157" t="s">
        <v>2648</v>
      </c>
      <c r="N193" s="227">
        <f t="shared" si="24"/>
        <v>116499.65036201155</v>
      </c>
      <c r="O193" s="152">
        <f t="shared" si="25"/>
        <v>688157.37636201165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2607</v>
      </c>
      <c r="I194" s="152"/>
      <c r="J194" s="157"/>
      <c r="K194" s="157">
        <v>5800360895</v>
      </c>
      <c r="L194" s="227">
        <v>14359.174999999999</v>
      </c>
      <c r="M194" s="157" t="s">
        <v>2648</v>
      </c>
      <c r="N194" s="227">
        <f t="shared" si="24"/>
        <v>102140.47536201155</v>
      </c>
      <c r="O194" s="152">
        <f t="shared" si="25"/>
        <v>673798.2013620116</v>
      </c>
    </row>
    <row r="195" spans="1:15" x14ac:dyDescent="0.15">
      <c r="A195" s="154"/>
      <c r="B195" s="151"/>
      <c r="C195" s="152"/>
      <c r="D195" s="323" t="s">
        <v>2608</v>
      </c>
      <c r="E195" s="154" t="s">
        <v>72</v>
      </c>
      <c r="F195" s="157" t="s">
        <v>2651</v>
      </c>
      <c r="G195" s="152">
        <v>131927.81700000001</v>
      </c>
      <c r="H195" s="323" t="s">
        <v>2608</v>
      </c>
      <c r="I195" s="152">
        <v>10054.962</v>
      </c>
      <c r="J195" s="157" t="s">
        <v>2648</v>
      </c>
      <c r="K195" s="157">
        <v>5800360895</v>
      </c>
      <c r="L195" s="227">
        <v>13941.173000000001</v>
      </c>
      <c r="M195" s="157" t="s">
        <v>2648</v>
      </c>
      <c r="N195" s="227">
        <f t="shared" si="24"/>
        <v>78144.340362011557</v>
      </c>
      <c r="O195" s="152">
        <f t="shared" si="25"/>
        <v>781729.88336201175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2608</v>
      </c>
      <c r="I196" s="152"/>
      <c r="J196" s="157"/>
      <c r="K196" s="157">
        <v>5800360895</v>
      </c>
      <c r="L196" s="227">
        <v>16728.608</v>
      </c>
      <c r="M196" s="157" t="s">
        <v>2648</v>
      </c>
      <c r="N196" s="227">
        <f t="shared" si="24"/>
        <v>61415.732362011557</v>
      </c>
      <c r="O196" s="152">
        <f t="shared" si="25"/>
        <v>765001.27536201174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2608</v>
      </c>
      <c r="I197" s="152"/>
      <c r="J197" s="157"/>
      <c r="K197" s="157">
        <v>5800360895</v>
      </c>
      <c r="L197" s="227">
        <v>11177.733</v>
      </c>
      <c r="M197" s="157" t="s">
        <v>2648</v>
      </c>
      <c r="N197" s="227">
        <f t="shared" si="24"/>
        <v>50237.999362011557</v>
      </c>
      <c r="O197" s="152">
        <f t="shared" si="25"/>
        <v>753823.54236201174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2608</v>
      </c>
      <c r="I198" s="152"/>
      <c r="J198" s="157"/>
      <c r="K198" s="157">
        <v>5800360895</v>
      </c>
      <c r="L198" s="227">
        <v>12092.548000000001</v>
      </c>
      <c r="M198" s="157" t="s">
        <v>2648</v>
      </c>
      <c r="N198" s="227">
        <f t="shared" si="24"/>
        <v>38145.451362011554</v>
      </c>
      <c r="O198" s="152">
        <f t="shared" si="25"/>
        <v>741730.99436201178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2608</v>
      </c>
      <c r="I199" s="152"/>
      <c r="J199" s="157"/>
      <c r="K199" s="157">
        <v>5800360895</v>
      </c>
      <c r="L199" s="227">
        <v>12887.387000000001</v>
      </c>
      <c r="M199" s="157" t="s">
        <v>2648</v>
      </c>
      <c r="N199" s="227">
        <f t="shared" si="24"/>
        <v>25258.064362011552</v>
      </c>
      <c r="O199" s="152">
        <f t="shared" si="25"/>
        <v>728843.6073620118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2608</v>
      </c>
      <c r="I200" s="152"/>
      <c r="J200" s="157"/>
      <c r="K200" s="157">
        <v>5800360895</v>
      </c>
      <c r="L200" s="227">
        <v>15605.834999999999</v>
      </c>
      <c r="M200" s="157" t="s">
        <v>2648</v>
      </c>
      <c r="N200" s="227">
        <f t="shared" si="24"/>
        <v>9652.2293620115524</v>
      </c>
      <c r="O200" s="152">
        <f t="shared" si="25"/>
        <v>713237.77236201183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2608</v>
      </c>
      <c r="I201" s="152"/>
      <c r="J201" s="157"/>
      <c r="K201" s="157">
        <v>5800360895</v>
      </c>
      <c r="L201" s="227">
        <v>9652.2293620115524</v>
      </c>
      <c r="M201" s="157" t="s">
        <v>2648</v>
      </c>
      <c r="N201" s="227">
        <f t="shared" si="18"/>
        <v>0</v>
      </c>
      <c r="O201" s="152">
        <f t="shared" si="19"/>
        <v>703585.5430000003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2608</v>
      </c>
      <c r="I202" s="152"/>
      <c r="J202" s="157"/>
      <c r="K202" s="157">
        <v>5800360895</v>
      </c>
      <c r="L202" s="227">
        <v>2754.2546379884502</v>
      </c>
      <c r="M202" s="157" t="s">
        <v>2649</v>
      </c>
      <c r="N202" s="227">
        <f>G166+G173+N201-I202-L202</f>
        <v>250731.24836201058</v>
      </c>
      <c r="O202" s="152">
        <f t="shared" ref="O202:O204" si="26">O201+G202-I202-L202</f>
        <v>700831.2883620119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2608</v>
      </c>
      <c r="I203" s="152"/>
      <c r="J203" s="157"/>
      <c r="K203" s="157">
        <v>5800360895</v>
      </c>
      <c r="L203" s="227">
        <v>13827.196</v>
      </c>
      <c r="M203" s="157" t="s">
        <v>2649</v>
      </c>
      <c r="N203" s="227">
        <f t="shared" ref="N203:N204" si="27">+N202-I203-L203</f>
        <v>236904.05236201058</v>
      </c>
      <c r="O203" s="152">
        <f t="shared" si="26"/>
        <v>687004.0923620119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2608</v>
      </c>
      <c r="I204" s="152"/>
      <c r="J204" s="157"/>
      <c r="K204" s="157">
        <v>5800360895</v>
      </c>
      <c r="L204" s="227">
        <v>2395.5140000000001</v>
      </c>
      <c r="M204" s="157" t="s">
        <v>2649</v>
      </c>
      <c r="N204" s="227">
        <f t="shared" si="27"/>
        <v>234508.53836201059</v>
      </c>
      <c r="O204" s="152">
        <f t="shared" si="26"/>
        <v>684608.57836201193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2608</v>
      </c>
      <c r="I205" s="152"/>
      <c r="J205" s="157"/>
      <c r="K205" s="157">
        <v>5800360895</v>
      </c>
      <c r="L205" s="227">
        <v>36542.589</v>
      </c>
      <c r="M205" s="157" t="s">
        <v>2649</v>
      </c>
      <c r="N205" s="227">
        <f t="shared" si="18"/>
        <v>197965.94936201058</v>
      </c>
      <c r="O205" s="152">
        <f t="shared" si="19"/>
        <v>648065.9893620119</v>
      </c>
    </row>
    <row r="206" spans="1:15" x14ac:dyDescent="0.15">
      <c r="A206" s="154"/>
      <c r="B206" s="151"/>
      <c r="C206" s="152"/>
      <c r="D206" s="323" t="s">
        <v>2609</v>
      </c>
      <c r="E206" s="154" t="s">
        <v>72</v>
      </c>
      <c r="F206" s="157" t="s">
        <v>2651</v>
      </c>
      <c r="G206" s="152">
        <v>175743.12599999999</v>
      </c>
      <c r="H206" s="323" t="s">
        <v>2609</v>
      </c>
      <c r="I206" s="152">
        <v>9232.9880000000012</v>
      </c>
      <c r="J206" s="157" t="s">
        <v>2649</v>
      </c>
      <c r="K206" s="157">
        <v>5800360895</v>
      </c>
      <c r="L206" s="227">
        <v>16902.246999999999</v>
      </c>
      <c r="M206" s="157" t="s">
        <v>2649</v>
      </c>
      <c r="N206" s="227">
        <f t="shared" si="18"/>
        <v>171830.71436201056</v>
      </c>
      <c r="O206" s="152">
        <f t="shared" si="19"/>
        <v>797673.88036201184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2609</v>
      </c>
      <c r="I207" s="152"/>
      <c r="J207" s="157"/>
      <c r="K207" s="157">
        <v>5800360895</v>
      </c>
      <c r="L207" s="227">
        <v>14214.709000000001</v>
      </c>
      <c r="M207" s="157" t="s">
        <v>2649</v>
      </c>
      <c r="N207" s="227">
        <f t="shared" si="18"/>
        <v>157616.00536201056</v>
      </c>
      <c r="O207" s="152">
        <f t="shared" si="19"/>
        <v>783459.17136201181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2609</v>
      </c>
      <c r="I208" s="152"/>
      <c r="J208" s="157"/>
      <c r="K208" s="157">
        <v>5800360895</v>
      </c>
      <c r="L208" s="227">
        <v>13009.123</v>
      </c>
      <c r="M208" s="157" t="s">
        <v>2649</v>
      </c>
      <c r="N208" s="227">
        <f t="shared" si="18"/>
        <v>144606.88236201057</v>
      </c>
      <c r="O208" s="152">
        <f t="shared" si="19"/>
        <v>770450.04836201179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2609</v>
      </c>
      <c r="I209" s="152"/>
      <c r="J209" s="157"/>
      <c r="K209" s="157">
        <v>5800360895</v>
      </c>
      <c r="L209" s="227">
        <v>17991.681</v>
      </c>
      <c r="M209" s="157" t="s">
        <v>2649</v>
      </c>
      <c r="N209" s="227">
        <f t="shared" si="18"/>
        <v>126615.20136201057</v>
      </c>
      <c r="O209" s="152">
        <f t="shared" si="19"/>
        <v>752458.36736201181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2609</v>
      </c>
      <c r="I210" s="152"/>
      <c r="J210" s="157"/>
      <c r="K210" s="157">
        <v>5800360895</v>
      </c>
      <c r="L210" s="227">
        <v>13314.523999999999</v>
      </c>
      <c r="M210" s="157" t="s">
        <v>2649</v>
      </c>
      <c r="N210" s="227">
        <f t="shared" si="18"/>
        <v>113300.67736201057</v>
      </c>
      <c r="O210" s="152">
        <f t="shared" si="19"/>
        <v>739143.84336201183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2609</v>
      </c>
      <c r="I211" s="152"/>
      <c r="J211" s="157"/>
      <c r="K211" s="157">
        <v>5800360895</v>
      </c>
      <c r="L211" s="227">
        <v>10033.206</v>
      </c>
      <c r="M211" s="157" t="s">
        <v>2649</v>
      </c>
      <c r="N211" s="227">
        <f t="shared" si="18"/>
        <v>103267.47136201056</v>
      </c>
      <c r="O211" s="152">
        <f t="shared" si="19"/>
        <v>729110.63736201182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2609</v>
      </c>
      <c r="I212" s="152"/>
      <c r="J212" s="157"/>
      <c r="K212" s="157">
        <v>5800360895</v>
      </c>
      <c r="L212" s="227">
        <v>10992.076999999999</v>
      </c>
      <c r="M212" s="157" t="s">
        <v>2649</v>
      </c>
      <c r="N212" s="227">
        <f t="shared" si="18"/>
        <v>92275.394362010557</v>
      </c>
      <c r="O212" s="152">
        <f t="shared" si="19"/>
        <v>718118.56036201178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2609</v>
      </c>
      <c r="I213" s="152"/>
      <c r="J213" s="157"/>
      <c r="K213" s="157">
        <v>5800360895</v>
      </c>
      <c r="L213" s="227">
        <v>1889.4659999999999</v>
      </c>
      <c r="M213" s="157" t="s">
        <v>2649</v>
      </c>
      <c r="N213" s="227">
        <f t="shared" ref="N213:N277" si="28">+N212-I213-L213</f>
        <v>90385.928362010556</v>
      </c>
      <c r="O213" s="152">
        <f t="shared" ref="O213:O277" si="29">O212+G213-I213-L213</f>
        <v>716229.09436201176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2609</v>
      </c>
      <c r="I214" s="152"/>
      <c r="J214" s="157"/>
      <c r="K214" s="157">
        <v>5800360895</v>
      </c>
      <c r="L214" s="227">
        <v>15957.047</v>
      </c>
      <c r="M214" s="157" t="s">
        <v>2649</v>
      </c>
      <c r="N214" s="227">
        <f t="shared" si="28"/>
        <v>74428.88136201055</v>
      </c>
      <c r="O214" s="152">
        <f t="shared" si="29"/>
        <v>700272.04736201174</v>
      </c>
    </row>
    <row r="215" spans="1:15" x14ac:dyDescent="0.15">
      <c r="A215" s="154"/>
      <c r="B215" s="151"/>
      <c r="C215" s="152"/>
      <c r="D215" s="323" t="s">
        <v>2611</v>
      </c>
      <c r="E215" s="154" t="s">
        <v>72</v>
      </c>
      <c r="F215" s="157" t="s">
        <v>2651</v>
      </c>
      <c r="G215" s="152">
        <v>131826.45099999994</v>
      </c>
      <c r="H215" s="323" t="s">
        <v>2611</v>
      </c>
      <c r="I215" s="152">
        <v>12132.293000000001</v>
      </c>
      <c r="J215" s="157" t="s">
        <v>2649</v>
      </c>
      <c r="K215" s="157">
        <v>5800360895</v>
      </c>
      <c r="L215" s="227">
        <v>15640.755999999999</v>
      </c>
      <c r="M215" s="157" t="s">
        <v>2649</v>
      </c>
      <c r="N215" s="227">
        <f t="shared" si="28"/>
        <v>46655.832362010544</v>
      </c>
      <c r="O215" s="152">
        <f t="shared" si="29"/>
        <v>804325.44936201174</v>
      </c>
    </row>
    <row r="216" spans="1:15" x14ac:dyDescent="0.15">
      <c r="A216" s="154"/>
      <c r="B216" s="151"/>
      <c r="C216" s="152"/>
      <c r="D216" s="323" t="s">
        <v>2611</v>
      </c>
      <c r="E216" s="154" t="s">
        <v>72</v>
      </c>
      <c r="F216" s="157" t="s">
        <v>2652</v>
      </c>
      <c r="G216" s="152">
        <v>307621.98200000002</v>
      </c>
      <c r="H216" s="323" t="s">
        <v>2611</v>
      </c>
      <c r="I216" s="152"/>
      <c r="J216" s="157"/>
      <c r="K216" s="157">
        <v>5800360895</v>
      </c>
      <c r="L216" s="227">
        <v>13343.057000000001</v>
      </c>
      <c r="M216" s="157" t="s">
        <v>2649</v>
      </c>
      <c r="N216" s="227">
        <f t="shared" si="28"/>
        <v>33312.775362010543</v>
      </c>
      <c r="O216" s="152">
        <f t="shared" si="29"/>
        <v>1098604.3743620117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2611</v>
      </c>
      <c r="I217" s="152"/>
      <c r="J217" s="157"/>
      <c r="K217" s="157">
        <v>5800360895</v>
      </c>
      <c r="L217" s="227">
        <v>13857.213</v>
      </c>
      <c r="M217" s="157" t="s">
        <v>2649</v>
      </c>
      <c r="N217" s="227">
        <f t="shared" si="28"/>
        <v>19455.562362010543</v>
      </c>
      <c r="O217" s="152">
        <f t="shared" si="29"/>
        <v>1084747.1613620117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2611</v>
      </c>
      <c r="I218" s="152"/>
      <c r="J218" s="157"/>
      <c r="K218" s="157">
        <v>5800360895</v>
      </c>
      <c r="L218" s="227">
        <v>12325.748</v>
      </c>
      <c r="M218" s="157" t="s">
        <v>2649</v>
      </c>
      <c r="N218" s="227">
        <f t="shared" si="28"/>
        <v>7129.8143620105438</v>
      </c>
      <c r="O218" s="152">
        <f t="shared" si="29"/>
        <v>1072421.4133620118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2611</v>
      </c>
      <c r="I219" s="152"/>
      <c r="J219" s="157"/>
      <c r="K219" s="157">
        <v>5800360895</v>
      </c>
      <c r="L219" s="227">
        <v>716.85500000000002</v>
      </c>
      <c r="M219" s="157" t="s">
        <v>2649</v>
      </c>
      <c r="N219" s="227">
        <f t="shared" si="28"/>
        <v>6412.9593620105443</v>
      </c>
      <c r="O219" s="152">
        <f t="shared" si="29"/>
        <v>1071704.5583620118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2611</v>
      </c>
      <c r="I220" s="152"/>
      <c r="J220" s="157"/>
      <c r="K220" s="157">
        <v>5800360895</v>
      </c>
      <c r="L220" s="227">
        <v>6412.9593620105443</v>
      </c>
      <c r="M220" s="157" t="s">
        <v>2649</v>
      </c>
      <c r="N220" s="227">
        <f t="shared" ref="N220:N226" si="30">+N219-I220-L220</f>
        <v>0</v>
      </c>
      <c r="O220" s="152">
        <f t="shared" ref="O220:O226" si="31">O219+G220-I220-L220</f>
        <v>1065291.5990000013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2611</v>
      </c>
      <c r="I221" s="152"/>
      <c r="J221" s="157"/>
      <c r="K221" s="157">
        <v>5800360895</v>
      </c>
      <c r="L221" s="227">
        <v>8448.0266379894601</v>
      </c>
      <c r="M221" s="157" t="s">
        <v>2650</v>
      </c>
      <c r="N221" s="227">
        <f>G174+G182+G189+N220-I221-L221</f>
        <v>309724.1963620116</v>
      </c>
      <c r="O221" s="152">
        <f t="shared" si="31"/>
        <v>1056843.5723620118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2611</v>
      </c>
      <c r="I222" s="152"/>
      <c r="J222" s="157"/>
      <c r="K222" s="157">
        <v>5800360895</v>
      </c>
      <c r="L222" s="227">
        <v>1229.751</v>
      </c>
      <c r="M222" s="157" t="s">
        <v>2650</v>
      </c>
      <c r="N222" s="227">
        <f t="shared" si="30"/>
        <v>308494.44536201161</v>
      </c>
      <c r="O222" s="152">
        <f t="shared" si="31"/>
        <v>1055613.8213620118</v>
      </c>
    </row>
    <row r="223" spans="1:15" x14ac:dyDescent="0.15">
      <c r="A223" s="154"/>
      <c r="B223" s="151"/>
      <c r="C223" s="152"/>
      <c r="D223" s="323" t="s">
        <v>2613</v>
      </c>
      <c r="E223" s="154" t="s">
        <v>72</v>
      </c>
      <c r="F223" s="157" t="s">
        <v>2652</v>
      </c>
      <c r="G223" s="152">
        <v>198129.12699999899</v>
      </c>
      <c r="H223" s="323" t="s">
        <v>2613</v>
      </c>
      <c r="I223" s="152">
        <v>15289.741</v>
      </c>
      <c r="J223" s="157" t="s">
        <v>2650</v>
      </c>
      <c r="K223" s="157">
        <v>5800360895</v>
      </c>
      <c r="L223" s="227">
        <v>38979.476999999999</v>
      </c>
      <c r="M223" s="157" t="s">
        <v>2650</v>
      </c>
      <c r="N223" s="227">
        <f t="shared" si="30"/>
        <v>254225.22736201162</v>
      </c>
      <c r="O223" s="152">
        <f t="shared" si="31"/>
        <v>1199473.7303620109</v>
      </c>
    </row>
    <row r="224" spans="1:15" x14ac:dyDescent="0.15">
      <c r="A224" s="154"/>
      <c r="B224" s="151"/>
      <c r="C224" s="152"/>
      <c r="D224" s="323" t="s">
        <v>2613</v>
      </c>
      <c r="E224" s="154" t="s">
        <v>72</v>
      </c>
      <c r="F224" s="157" t="s">
        <v>2653</v>
      </c>
      <c r="G224" s="152">
        <v>241177.75900000101</v>
      </c>
      <c r="H224" s="323" t="s">
        <v>2613</v>
      </c>
      <c r="I224" s="152"/>
      <c r="J224" s="157"/>
      <c r="K224" s="157">
        <v>5800360895</v>
      </c>
      <c r="L224" s="227">
        <v>15515.714</v>
      </c>
      <c r="M224" s="157" t="s">
        <v>2650</v>
      </c>
      <c r="N224" s="227">
        <f t="shared" si="30"/>
        <v>238709.51336201161</v>
      </c>
      <c r="O224" s="152">
        <f t="shared" si="31"/>
        <v>1425135.775362012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2613</v>
      </c>
      <c r="I225" s="152"/>
      <c r="J225" s="157"/>
      <c r="K225" s="157">
        <v>5800360895</v>
      </c>
      <c r="L225" s="227">
        <v>13982.161</v>
      </c>
      <c r="M225" s="157" t="s">
        <v>2650</v>
      </c>
      <c r="N225" s="227">
        <f t="shared" si="30"/>
        <v>224727.35236201162</v>
      </c>
      <c r="O225" s="152">
        <f t="shared" si="31"/>
        <v>1411153.6143620119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2613</v>
      </c>
      <c r="I226" s="152"/>
      <c r="J226" s="157"/>
      <c r="K226" s="157">
        <v>5800360895</v>
      </c>
      <c r="L226" s="227">
        <v>15585.785</v>
      </c>
      <c r="M226" s="157" t="s">
        <v>2650</v>
      </c>
      <c r="N226" s="227">
        <f t="shared" si="30"/>
        <v>209141.56736201161</v>
      </c>
      <c r="O226" s="152">
        <f t="shared" si="31"/>
        <v>1395567.829362012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2613</v>
      </c>
      <c r="I227" s="152"/>
      <c r="J227" s="157"/>
      <c r="K227" s="157">
        <v>5800360895</v>
      </c>
      <c r="L227" s="227">
        <v>13241.41</v>
      </c>
      <c r="M227" s="157" t="s">
        <v>2650</v>
      </c>
      <c r="N227" s="227">
        <f t="shared" si="28"/>
        <v>195900.15736201161</v>
      </c>
      <c r="O227" s="152">
        <f t="shared" si="29"/>
        <v>1382326.4193620121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2613</v>
      </c>
      <c r="I228" s="152"/>
      <c r="J228" s="157"/>
      <c r="K228" s="157">
        <v>5800360895</v>
      </c>
      <c r="L228" s="227">
        <v>18008.238000000001</v>
      </c>
      <c r="M228" s="157" t="s">
        <v>2650</v>
      </c>
      <c r="N228" s="227">
        <f t="shared" si="28"/>
        <v>177891.9193620116</v>
      </c>
      <c r="O228" s="152">
        <f t="shared" si="29"/>
        <v>1364318.1813620122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2613</v>
      </c>
      <c r="I229" s="152"/>
      <c r="J229" s="157"/>
      <c r="K229" s="157">
        <v>5800360895</v>
      </c>
      <c r="L229" s="227">
        <v>9467.5879999999997</v>
      </c>
      <c r="M229" s="157" t="s">
        <v>2650</v>
      </c>
      <c r="N229" s="227">
        <f t="shared" si="28"/>
        <v>168424.33136201161</v>
      </c>
      <c r="O229" s="152">
        <f t="shared" si="29"/>
        <v>1354850.5933620122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2613</v>
      </c>
      <c r="I230" s="152"/>
      <c r="J230" s="157"/>
      <c r="K230" s="157">
        <v>5800360895</v>
      </c>
      <c r="L230" s="227">
        <v>14971.846</v>
      </c>
      <c r="M230" s="157" t="s">
        <v>2650</v>
      </c>
      <c r="N230" s="227">
        <f t="shared" si="28"/>
        <v>153452.48536201162</v>
      </c>
      <c r="O230" s="152">
        <f t="shared" si="29"/>
        <v>1339878.7473620123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2613</v>
      </c>
      <c r="I231" s="152"/>
      <c r="J231" s="157"/>
      <c r="K231" s="157">
        <v>5800360895</v>
      </c>
      <c r="L231" s="227">
        <v>861.30100000000004</v>
      </c>
      <c r="M231" s="157" t="s">
        <v>2650</v>
      </c>
      <c r="N231" s="227">
        <f t="shared" si="28"/>
        <v>152591.18436201161</v>
      </c>
      <c r="O231" s="152">
        <f t="shared" si="29"/>
        <v>1339017.4463620123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2613</v>
      </c>
      <c r="I232" s="152"/>
      <c r="J232" s="157"/>
      <c r="K232" s="157">
        <v>5800360895</v>
      </c>
      <c r="L232" s="227">
        <v>15756.21</v>
      </c>
      <c r="M232" s="157" t="s">
        <v>2650</v>
      </c>
      <c r="N232" s="227">
        <f t="shared" si="28"/>
        <v>136834.97436201162</v>
      </c>
      <c r="O232" s="152">
        <f t="shared" si="29"/>
        <v>1323261.2363620123</v>
      </c>
    </row>
    <row r="233" spans="1:15" x14ac:dyDescent="0.15">
      <c r="A233" s="154"/>
      <c r="B233" s="151"/>
      <c r="C233" s="152"/>
      <c r="D233" s="323" t="s">
        <v>2614</v>
      </c>
      <c r="E233" s="154" t="s">
        <v>72</v>
      </c>
      <c r="F233" s="157" t="s">
        <v>2653</v>
      </c>
      <c r="G233" s="152">
        <v>439509.70299999998</v>
      </c>
      <c r="H233" s="323" t="s">
        <v>2614</v>
      </c>
      <c r="I233" s="152">
        <v>10302.575000000001</v>
      </c>
      <c r="J233" s="157" t="s">
        <v>2650</v>
      </c>
      <c r="K233" s="157">
        <v>5800360895</v>
      </c>
      <c r="L233" s="227">
        <v>12518</v>
      </c>
      <c r="M233" s="157" t="s">
        <v>2650</v>
      </c>
      <c r="N233" s="227">
        <f t="shared" si="28"/>
        <v>114014.39936201162</v>
      </c>
      <c r="O233" s="152">
        <f t="shared" si="29"/>
        <v>1739950.3643620124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2614</v>
      </c>
      <c r="I234" s="152"/>
      <c r="J234" s="157"/>
      <c r="K234" s="157">
        <v>5800360895</v>
      </c>
      <c r="L234" s="227">
        <v>14743</v>
      </c>
      <c r="M234" s="157" t="s">
        <v>2650</v>
      </c>
      <c r="N234" s="227">
        <f t="shared" si="28"/>
        <v>99271.399362011623</v>
      </c>
      <c r="O234" s="152">
        <f t="shared" si="29"/>
        <v>1725207.3643620124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2614</v>
      </c>
      <c r="I235" s="152"/>
      <c r="J235" s="157"/>
      <c r="K235" s="157">
        <v>5800360895</v>
      </c>
      <c r="L235" s="227">
        <v>13015</v>
      </c>
      <c r="M235" s="157" t="s">
        <v>2650</v>
      </c>
      <c r="N235" s="227">
        <f t="shared" si="28"/>
        <v>86256.399362011623</v>
      </c>
      <c r="O235" s="152">
        <f t="shared" si="29"/>
        <v>1712192.3643620124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2614</v>
      </c>
      <c r="I236" s="152"/>
      <c r="J236" s="157"/>
      <c r="K236" s="157">
        <v>5800360895</v>
      </c>
      <c r="L236" s="227">
        <v>16151</v>
      </c>
      <c r="M236" s="157" t="s">
        <v>2650</v>
      </c>
      <c r="N236" s="227">
        <f t="shared" si="28"/>
        <v>70105.399362011623</v>
      </c>
      <c r="O236" s="152">
        <f t="shared" si="29"/>
        <v>1696041.3643620124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2614</v>
      </c>
      <c r="I237" s="152"/>
      <c r="J237" s="157"/>
      <c r="K237" s="157">
        <v>5800360895</v>
      </c>
      <c r="L237" s="227">
        <v>8105</v>
      </c>
      <c r="M237" s="157" t="s">
        <v>2650</v>
      </c>
      <c r="N237" s="227">
        <f t="shared" si="28"/>
        <v>62000.399362011623</v>
      </c>
      <c r="O237" s="152">
        <f t="shared" si="29"/>
        <v>1687936.3643620124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2614</v>
      </c>
      <c r="I238" s="152"/>
      <c r="J238" s="157"/>
      <c r="K238" s="157">
        <v>5800360895</v>
      </c>
      <c r="L238" s="227">
        <v>561.71500000000003</v>
      </c>
      <c r="M238" s="157" t="s">
        <v>2650</v>
      </c>
      <c r="N238" s="227">
        <f t="shared" si="28"/>
        <v>61438.684362011627</v>
      </c>
      <c r="O238" s="152">
        <f t="shared" si="29"/>
        <v>1687374.6493620123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2614</v>
      </c>
      <c r="I239" s="152"/>
      <c r="J239" s="157"/>
      <c r="K239" s="157">
        <v>5800360895</v>
      </c>
      <c r="L239" s="227">
        <v>16469.648000000001</v>
      </c>
      <c r="M239" s="157" t="s">
        <v>2650</v>
      </c>
      <c r="N239" s="227">
        <f t="shared" si="28"/>
        <v>44969.036362011626</v>
      </c>
      <c r="O239" s="152">
        <f t="shared" si="29"/>
        <v>1670905.0013620122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2614</v>
      </c>
      <c r="I240" s="152"/>
      <c r="J240" s="157"/>
      <c r="K240" s="157">
        <v>5800360895</v>
      </c>
      <c r="L240" s="227">
        <v>4570.6819999999998</v>
      </c>
      <c r="M240" s="157" t="s">
        <v>2650</v>
      </c>
      <c r="N240" s="227">
        <f t="shared" si="28"/>
        <v>40398.354362011625</v>
      </c>
      <c r="O240" s="152">
        <f t="shared" si="29"/>
        <v>1666334.3193620122</v>
      </c>
    </row>
    <row r="241" spans="1:15" x14ac:dyDescent="0.15">
      <c r="A241" s="154"/>
      <c r="B241" s="151"/>
      <c r="C241" s="152"/>
      <c r="D241" s="323" t="s">
        <v>2615</v>
      </c>
      <c r="E241" s="154" t="s">
        <v>72</v>
      </c>
      <c r="F241" s="157" t="s">
        <v>2653</v>
      </c>
      <c r="G241" s="152">
        <v>43961.392999999996</v>
      </c>
      <c r="H241" s="323" t="s">
        <v>2615</v>
      </c>
      <c r="I241" s="152">
        <v>12210.807000000001</v>
      </c>
      <c r="J241" s="157" t="s">
        <v>2650</v>
      </c>
      <c r="K241" s="157">
        <v>5800360895</v>
      </c>
      <c r="L241" s="227">
        <v>15084.35</v>
      </c>
      <c r="M241" s="157" t="s">
        <v>2650</v>
      </c>
      <c r="N241" s="227">
        <f t="shared" si="28"/>
        <v>13103.197362011624</v>
      </c>
      <c r="O241" s="152">
        <f t="shared" si="29"/>
        <v>1683000.555362012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2615</v>
      </c>
      <c r="I242" s="152"/>
      <c r="J242" s="157"/>
      <c r="K242" s="157">
        <v>5800360895</v>
      </c>
      <c r="L242" s="227">
        <v>13103.197362011624</v>
      </c>
      <c r="M242" s="157" t="s">
        <v>2650</v>
      </c>
      <c r="N242" s="227">
        <f t="shared" si="28"/>
        <v>0</v>
      </c>
      <c r="O242" s="152">
        <f t="shared" si="29"/>
        <v>1669897.3580000005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2615</v>
      </c>
      <c r="I243" s="152"/>
      <c r="J243" s="157"/>
      <c r="K243" s="157">
        <v>5800360906</v>
      </c>
      <c r="L243" s="227">
        <v>22998.493637988398</v>
      </c>
      <c r="M243" s="157" t="s">
        <v>2651</v>
      </c>
      <c r="N243" s="227">
        <f>G195+G206+G215+N242-I243-L243</f>
        <v>416498.90036201151</v>
      </c>
      <c r="O243" s="152">
        <f t="shared" si="29"/>
        <v>1646898.8643620121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2615</v>
      </c>
      <c r="I244" s="152"/>
      <c r="J244" s="157"/>
      <c r="K244" s="157">
        <v>5800360906</v>
      </c>
      <c r="L244" s="227">
        <v>13075.369000000001</v>
      </c>
      <c r="M244" s="157" t="s">
        <v>2651</v>
      </c>
      <c r="N244" s="227">
        <f t="shared" si="28"/>
        <v>403423.5313620115</v>
      </c>
      <c r="O244" s="152">
        <f t="shared" si="29"/>
        <v>1633823.4953620122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2615</v>
      </c>
      <c r="I245" s="152"/>
      <c r="J245" s="157"/>
      <c r="K245" s="157">
        <v>5800360906</v>
      </c>
      <c r="L245" s="227">
        <v>17517.116000000002</v>
      </c>
      <c r="M245" s="157" t="s">
        <v>2651</v>
      </c>
      <c r="N245" s="227">
        <f t="shared" si="28"/>
        <v>385906.41536201152</v>
      </c>
      <c r="O245" s="152">
        <f t="shared" si="29"/>
        <v>1616306.3793620123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2615</v>
      </c>
      <c r="I246" s="152"/>
      <c r="J246" s="157"/>
      <c r="K246" s="157">
        <v>5800360906</v>
      </c>
      <c r="L246" s="227">
        <v>13689.058000000001</v>
      </c>
      <c r="M246" s="157" t="s">
        <v>2651</v>
      </c>
      <c r="N246" s="227">
        <f t="shared" si="28"/>
        <v>372217.35736201151</v>
      </c>
      <c r="O246" s="152">
        <f t="shared" si="29"/>
        <v>1602617.3213620123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2615</v>
      </c>
      <c r="I247" s="152"/>
      <c r="J247" s="157"/>
      <c r="K247" s="157">
        <v>5800360906</v>
      </c>
      <c r="L247" s="227">
        <v>12715.550999999999</v>
      </c>
      <c r="M247" s="157" t="s">
        <v>2651</v>
      </c>
      <c r="N247" s="227">
        <f t="shared" si="28"/>
        <v>359501.80636201153</v>
      </c>
      <c r="O247" s="152">
        <f t="shared" si="29"/>
        <v>1589901.7703620123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2615</v>
      </c>
      <c r="I248" s="152"/>
      <c r="J248" s="157"/>
      <c r="K248" s="157">
        <v>5800360906</v>
      </c>
      <c r="L248" s="227">
        <v>16233.767</v>
      </c>
      <c r="M248" s="157" t="s">
        <v>2651</v>
      </c>
      <c r="N248" s="227">
        <f t="shared" si="28"/>
        <v>343268.03936201154</v>
      </c>
      <c r="O248" s="152">
        <f t="shared" si="29"/>
        <v>1573668.0033620123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2615</v>
      </c>
      <c r="I249" s="152"/>
      <c r="J249" s="157"/>
      <c r="K249" s="157">
        <v>5800360906</v>
      </c>
      <c r="L249" s="227">
        <v>14833.477000000001</v>
      </c>
      <c r="M249" s="157" t="s">
        <v>2651</v>
      </c>
      <c r="N249" s="227">
        <f t="shared" si="28"/>
        <v>328434.56236201152</v>
      </c>
      <c r="O249" s="152">
        <f t="shared" si="29"/>
        <v>1558834.5263620124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2615</v>
      </c>
      <c r="I250" s="152"/>
      <c r="J250" s="157"/>
      <c r="K250" s="157">
        <v>5800360906</v>
      </c>
      <c r="L250" s="227">
        <v>1936.018</v>
      </c>
      <c r="M250" s="157" t="s">
        <v>2651</v>
      </c>
      <c r="N250" s="227">
        <f t="shared" si="28"/>
        <v>326498.54436201154</v>
      </c>
      <c r="O250" s="152">
        <f t="shared" si="29"/>
        <v>1556898.5083620124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2615</v>
      </c>
      <c r="I251" s="152"/>
      <c r="J251" s="157"/>
      <c r="K251" s="157">
        <v>5800360906</v>
      </c>
      <c r="L251" s="227">
        <v>13913.944</v>
      </c>
      <c r="M251" s="157" t="s">
        <v>2651</v>
      </c>
      <c r="N251" s="227">
        <f t="shared" si="28"/>
        <v>312584.60036201152</v>
      </c>
      <c r="O251" s="152">
        <f t="shared" si="29"/>
        <v>1542984.5643620125</v>
      </c>
    </row>
    <row r="252" spans="1:15" x14ac:dyDescent="0.15">
      <c r="A252" s="154"/>
      <c r="B252" s="151"/>
      <c r="C252" s="152"/>
      <c r="D252" s="323" t="s">
        <v>2617</v>
      </c>
      <c r="E252" s="154" t="s">
        <v>72</v>
      </c>
      <c r="F252" s="157" t="s">
        <v>2654</v>
      </c>
      <c r="G252" s="152">
        <v>87888.85</v>
      </c>
      <c r="H252" s="323" t="s">
        <v>2617</v>
      </c>
      <c r="I252" s="152">
        <v>11296.036</v>
      </c>
      <c r="J252" s="157" t="s">
        <v>2651</v>
      </c>
      <c r="K252" s="157">
        <v>5800360906</v>
      </c>
      <c r="L252" s="227">
        <v>13221.406999999999</v>
      </c>
      <c r="M252" s="157" t="s">
        <v>2651</v>
      </c>
      <c r="N252" s="227">
        <f t="shared" si="28"/>
        <v>288067.15736201149</v>
      </c>
      <c r="O252" s="152">
        <f t="shared" si="29"/>
        <v>1606355.9713620127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2617</v>
      </c>
      <c r="I253" s="152"/>
      <c r="J253" s="157"/>
      <c r="K253" s="157">
        <v>5800360906</v>
      </c>
      <c r="L253" s="227">
        <v>15524.135</v>
      </c>
      <c r="M253" s="157" t="s">
        <v>2651</v>
      </c>
      <c r="N253" s="227">
        <f t="shared" si="28"/>
        <v>272543.02236201148</v>
      </c>
      <c r="O253" s="152">
        <f t="shared" si="29"/>
        <v>1590831.8363620127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2617</v>
      </c>
      <c r="I254" s="152"/>
      <c r="J254" s="157"/>
      <c r="K254" s="157">
        <v>5800360906</v>
      </c>
      <c r="L254" s="227">
        <v>8992.56</v>
      </c>
      <c r="M254" s="157" t="s">
        <v>2651</v>
      </c>
      <c r="N254" s="227">
        <f t="shared" si="28"/>
        <v>263550.46236201149</v>
      </c>
      <c r="O254" s="152">
        <f t="shared" si="29"/>
        <v>1581839.2763620126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2617</v>
      </c>
      <c r="I255" s="152"/>
      <c r="J255" s="157"/>
      <c r="K255" s="157">
        <v>5800360906</v>
      </c>
      <c r="L255" s="227">
        <v>16319.691000000001</v>
      </c>
      <c r="M255" s="157" t="s">
        <v>2651</v>
      </c>
      <c r="N255" s="227">
        <f t="shared" si="28"/>
        <v>247230.7713620115</v>
      </c>
      <c r="O255" s="152">
        <f t="shared" si="29"/>
        <v>1565519.5853620125</v>
      </c>
    </row>
    <row r="256" spans="1:15" x14ac:dyDescent="0.15">
      <c r="A256" s="154"/>
      <c r="B256" s="151"/>
      <c r="C256" s="152"/>
      <c r="D256" s="323" t="s">
        <v>2618</v>
      </c>
      <c r="E256" s="154" t="s">
        <v>72</v>
      </c>
      <c r="F256" s="157" t="s">
        <v>2654</v>
      </c>
      <c r="G256" s="152">
        <v>80012.659999999014</v>
      </c>
      <c r="H256" s="323" t="s">
        <v>2618</v>
      </c>
      <c r="I256" s="152">
        <v>11959.607</v>
      </c>
      <c r="J256" s="157" t="s">
        <v>2651</v>
      </c>
      <c r="K256" s="157">
        <v>5800360906</v>
      </c>
      <c r="L256" s="227">
        <v>14237.557000000001</v>
      </c>
      <c r="M256" s="157" t="s">
        <v>2651</v>
      </c>
      <c r="N256" s="227">
        <f t="shared" si="28"/>
        <v>221033.60736201151</v>
      </c>
      <c r="O256" s="152">
        <f t="shared" si="29"/>
        <v>1619335.0813620114</v>
      </c>
    </row>
    <row r="257" spans="1:15" x14ac:dyDescent="0.15">
      <c r="A257" s="154"/>
      <c r="B257" s="151"/>
      <c r="C257" s="152"/>
      <c r="D257" s="323" t="s">
        <v>2618</v>
      </c>
      <c r="E257" s="154" t="s">
        <v>72</v>
      </c>
      <c r="F257" s="157" t="s">
        <v>2655</v>
      </c>
      <c r="G257" s="152">
        <v>51795.967000001001</v>
      </c>
      <c r="H257" s="323" t="s">
        <v>2618</v>
      </c>
      <c r="I257" s="152"/>
      <c r="J257" s="157"/>
      <c r="K257" s="157">
        <v>5800360906</v>
      </c>
      <c r="L257" s="227">
        <v>14322.548000000001</v>
      </c>
      <c r="M257" s="157" t="s">
        <v>2651</v>
      </c>
      <c r="N257" s="227">
        <f t="shared" si="28"/>
        <v>206711.0593620115</v>
      </c>
      <c r="O257" s="152">
        <f t="shared" si="29"/>
        <v>1656808.5003620125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2618</v>
      </c>
      <c r="I258" s="152"/>
      <c r="J258" s="157"/>
      <c r="K258" s="157">
        <v>5800360906</v>
      </c>
      <c r="L258" s="227">
        <v>14066.574000000001</v>
      </c>
      <c r="M258" s="157" t="s">
        <v>2651</v>
      </c>
      <c r="N258" s="227">
        <f t="shared" si="28"/>
        <v>192644.4853620115</v>
      </c>
      <c r="O258" s="152">
        <f t="shared" si="29"/>
        <v>1642741.9263620125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2618</v>
      </c>
      <c r="I259" s="152"/>
      <c r="J259" s="157"/>
      <c r="K259" s="157">
        <v>5800360906</v>
      </c>
      <c r="L259" s="227">
        <v>13785.602999999999</v>
      </c>
      <c r="M259" s="157" t="s">
        <v>2651</v>
      </c>
      <c r="N259" s="227">
        <f t="shared" si="28"/>
        <v>178858.8823620115</v>
      </c>
      <c r="O259" s="152">
        <f t="shared" si="29"/>
        <v>1628956.3233620126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2618</v>
      </c>
      <c r="I260" s="152"/>
      <c r="J260" s="157"/>
      <c r="K260" s="157">
        <v>5800360906</v>
      </c>
      <c r="L260" s="227">
        <v>12311.752</v>
      </c>
      <c r="M260" s="157" t="s">
        <v>2651</v>
      </c>
      <c r="N260" s="227">
        <f t="shared" si="28"/>
        <v>166547.13036201149</v>
      </c>
      <c r="O260" s="152">
        <f t="shared" si="29"/>
        <v>1616644.5713620125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2618</v>
      </c>
      <c r="I261" s="152"/>
      <c r="J261" s="157"/>
      <c r="K261" s="157">
        <v>5800360906</v>
      </c>
      <c r="L261" s="227">
        <v>13355.227999999999</v>
      </c>
      <c r="M261" s="157" t="s">
        <v>2651</v>
      </c>
      <c r="N261" s="227">
        <f t="shared" si="28"/>
        <v>153191.90236201149</v>
      </c>
      <c r="O261" s="152">
        <f t="shared" si="29"/>
        <v>1603289.3433620126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2618</v>
      </c>
      <c r="I262" s="152"/>
      <c r="J262" s="157"/>
      <c r="K262" s="157">
        <v>5800360906</v>
      </c>
      <c r="L262" s="227">
        <v>14077.861000000001</v>
      </c>
      <c r="M262" s="157" t="s">
        <v>2651</v>
      </c>
      <c r="N262" s="227">
        <f t="shared" si="28"/>
        <v>139114.04136201149</v>
      </c>
      <c r="O262" s="152">
        <f t="shared" si="29"/>
        <v>1589211.4823620126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2618</v>
      </c>
      <c r="I263" s="152"/>
      <c r="J263" s="157"/>
      <c r="K263" s="157">
        <v>5800360906</v>
      </c>
      <c r="L263" s="227">
        <v>36451.516000000003</v>
      </c>
      <c r="M263" s="157" t="s">
        <v>2651</v>
      </c>
      <c r="N263" s="227">
        <f t="shared" si="28"/>
        <v>102662.52536201148</v>
      </c>
      <c r="O263" s="152">
        <f t="shared" si="29"/>
        <v>1552759.9663620126</v>
      </c>
    </row>
    <row r="264" spans="1:15" hidden="1" x14ac:dyDescent="0.15">
      <c r="A264" s="154"/>
      <c r="B264" s="151"/>
      <c r="C264" s="152"/>
      <c r="D264" s="323"/>
      <c r="E264" s="154"/>
      <c r="F264" s="157"/>
      <c r="G264" s="152"/>
      <c r="H264" s="323"/>
      <c r="I264" s="152"/>
      <c r="J264" s="157"/>
      <c r="K264" s="157"/>
      <c r="L264" s="227"/>
      <c r="M264" s="157"/>
      <c r="N264" s="227">
        <f t="shared" si="28"/>
        <v>102662.52536201148</v>
      </c>
      <c r="O264" s="152">
        <f t="shared" si="29"/>
        <v>1552759.9663620126</v>
      </c>
    </row>
    <row r="265" spans="1:15" hidden="1" x14ac:dyDescent="0.15">
      <c r="A265" s="154"/>
      <c r="B265" s="151"/>
      <c r="C265" s="152"/>
      <c r="D265" s="323"/>
      <c r="E265" s="154"/>
      <c r="F265" s="157"/>
      <c r="G265" s="152"/>
      <c r="H265" s="323"/>
      <c r="I265" s="152"/>
      <c r="J265" s="157"/>
      <c r="K265" s="157"/>
      <c r="L265" s="227"/>
      <c r="M265" s="157"/>
      <c r="N265" s="227">
        <f t="shared" si="28"/>
        <v>102662.52536201148</v>
      </c>
      <c r="O265" s="152">
        <f t="shared" si="29"/>
        <v>1552759.9663620126</v>
      </c>
    </row>
    <row r="266" spans="1:15" hidden="1" x14ac:dyDescent="0.15">
      <c r="A266" s="154"/>
      <c r="B266" s="151"/>
      <c r="C266" s="152"/>
      <c r="D266" s="323"/>
      <c r="E266" s="154"/>
      <c r="F266" s="157"/>
      <c r="G266" s="152"/>
      <c r="H266" s="323"/>
      <c r="I266" s="152"/>
      <c r="J266" s="157"/>
      <c r="K266" s="157"/>
      <c r="L266" s="227"/>
      <c r="M266" s="157"/>
      <c r="N266" s="227">
        <f t="shared" si="28"/>
        <v>102662.52536201148</v>
      </c>
      <c r="O266" s="152">
        <f t="shared" si="29"/>
        <v>1552759.9663620126</v>
      </c>
    </row>
    <row r="267" spans="1:15" hidden="1" x14ac:dyDescent="0.15">
      <c r="A267" s="154"/>
      <c r="B267" s="151"/>
      <c r="C267" s="152"/>
      <c r="D267" s="323"/>
      <c r="E267" s="154"/>
      <c r="F267" s="157"/>
      <c r="G267" s="152"/>
      <c r="H267" s="323"/>
      <c r="I267" s="152"/>
      <c r="J267" s="157"/>
      <c r="K267" s="157"/>
      <c r="L267" s="227"/>
      <c r="M267" s="157"/>
      <c r="N267" s="227">
        <f t="shared" si="28"/>
        <v>102662.52536201148</v>
      </c>
      <c r="O267" s="152">
        <f t="shared" si="29"/>
        <v>1552759.9663620126</v>
      </c>
    </row>
    <row r="268" spans="1:15" hidden="1" x14ac:dyDescent="0.15">
      <c r="A268" s="154"/>
      <c r="B268" s="151"/>
      <c r="C268" s="152"/>
      <c r="D268" s="323"/>
      <c r="E268" s="154"/>
      <c r="F268" s="157"/>
      <c r="G268" s="152"/>
      <c r="H268" s="323"/>
      <c r="I268" s="152"/>
      <c r="J268" s="157"/>
      <c r="K268" s="157"/>
      <c r="L268" s="227"/>
      <c r="M268" s="157"/>
      <c r="N268" s="227">
        <f t="shared" si="28"/>
        <v>102662.52536201148</v>
      </c>
      <c r="O268" s="152">
        <f t="shared" si="29"/>
        <v>1552759.9663620126</v>
      </c>
    </row>
    <row r="269" spans="1:15" hidden="1" x14ac:dyDescent="0.15">
      <c r="A269" s="154"/>
      <c r="B269" s="151"/>
      <c r="C269" s="152"/>
      <c r="D269" s="323"/>
      <c r="E269" s="154"/>
      <c r="F269" s="157"/>
      <c r="G269" s="152"/>
      <c r="H269" s="323"/>
      <c r="I269" s="152"/>
      <c r="J269" s="157"/>
      <c r="K269" s="157"/>
      <c r="L269" s="227"/>
      <c r="M269" s="157"/>
      <c r="N269" s="227">
        <f t="shared" si="28"/>
        <v>102662.52536201148</v>
      </c>
      <c r="O269" s="152">
        <f t="shared" si="29"/>
        <v>1552759.9663620126</v>
      </c>
    </row>
    <row r="270" spans="1:15" hidden="1" x14ac:dyDescent="0.15">
      <c r="A270" s="154"/>
      <c r="B270" s="151"/>
      <c r="C270" s="152"/>
      <c r="D270" s="323"/>
      <c r="E270" s="154"/>
      <c r="F270" s="157"/>
      <c r="G270" s="152"/>
      <c r="H270" s="323"/>
      <c r="I270" s="152"/>
      <c r="J270" s="157"/>
      <c r="K270" s="157"/>
      <c r="L270" s="227"/>
      <c r="M270" s="157"/>
      <c r="N270" s="227">
        <f t="shared" si="28"/>
        <v>102662.52536201148</v>
      </c>
      <c r="O270" s="152">
        <f t="shared" si="29"/>
        <v>1552759.9663620126</v>
      </c>
    </row>
    <row r="271" spans="1:15" hidden="1" x14ac:dyDescent="0.15">
      <c r="A271" s="154"/>
      <c r="B271" s="151"/>
      <c r="C271" s="152"/>
      <c r="D271" s="323"/>
      <c r="E271" s="154"/>
      <c r="F271" s="157"/>
      <c r="G271" s="152"/>
      <c r="H271" s="323"/>
      <c r="I271" s="152"/>
      <c r="J271" s="157"/>
      <c r="K271" s="157"/>
      <c r="L271" s="227"/>
      <c r="M271" s="157"/>
      <c r="N271" s="227">
        <f t="shared" si="28"/>
        <v>102662.52536201148</v>
      </c>
      <c r="O271" s="152">
        <f t="shared" si="29"/>
        <v>1552759.9663620126</v>
      </c>
    </row>
    <row r="272" spans="1:15" hidden="1" x14ac:dyDescent="0.15">
      <c r="A272" s="154"/>
      <c r="B272" s="151"/>
      <c r="C272" s="152"/>
      <c r="D272" s="323"/>
      <c r="E272" s="154"/>
      <c r="F272" s="157"/>
      <c r="G272" s="152"/>
      <c r="H272" s="323"/>
      <c r="I272" s="152"/>
      <c r="J272" s="157"/>
      <c r="K272" s="157"/>
      <c r="L272" s="227"/>
      <c r="M272" s="157"/>
      <c r="N272" s="227">
        <f t="shared" si="28"/>
        <v>102662.52536201148</v>
      </c>
      <c r="O272" s="152">
        <f t="shared" si="29"/>
        <v>1552759.9663620126</v>
      </c>
    </row>
    <row r="273" spans="1:15" hidden="1" x14ac:dyDescent="0.15">
      <c r="A273" s="154"/>
      <c r="B273" s="151"/>
      <c r="C273" s="152"/>
      <c r="D273" s="323"/>
      <c r="E273" s="154"/>
      <c r="F273" s="157"/>
      <c r="G273" s="152"/>
      <c r="H273" s="323"/>
      <c r="I273" s="152"/>
      <c r="J273" s="157"/>
      <c r="K273" s="157"/>
      <c r="L273" s="227"/>
      <c r="M273" s="157"/>
      <c r="N273" s="227">
        <f t="shared" si="28"/>
        <v>102662.52536201148</v>
      </c>
      <c r="O273" s="152">
        <f t="shared" si="29"/>
        <v>1552759.9663620126</v>
      </c>
    </row>
    <row r="274" spans="1:15" hidden="1" x14ac:dyDescent="0.15">
      <c r="A274" s="154"/>
      <c r="B274" s="151"/>
      <c r="C274" s="152"/>
      <c r="D274" s="323"/>
      <c r="E274" s="154"/>
      <c r="F274" s="157"/>
      <c r="G274" s="152"/>
      <c r="H274" s="323"/>
      <c r="I274" s="152"/>
      <c r="J274" s="157"/>
      <c r="K274" s="157"/>
      <c r="L274" s="227"/>
      <c r="M274" s="157"/>
      <c r="N274" s="227">
        <f t="shared" si="28"/>
        <v>102662.52536201148</v>
      </c>
      <c r="O274" s="152">
        <f t="shared" si="29"/>
        <v>1552759.9663620126</v>
      </c>
    </row>
    <row r="275" spans="1:15" hidden="1" x14ac:dyDescent="0.15">
      <c r="A275" s="154"/>
      <c r="B275" s="151"/>
      <c r="C275" s="152"/>
      <c r="D275" s="323"/>
      <c r="E275" s="154"/>
      <c r="F275" s="157"/>
      <c r="G275" s="152"/>
      <c r="H275" s="323"/>
      <c r="I275" s="152"/>
      <c r="J275" s="157"/>
      <c r="K275" s="157"/>
      <c r="L275" s="227"/>
      <c r="M275" s="157"/>
      <c r="N275" s="227">
        <f t="shared" si="28"/>
        <v>102662.52536201148</v>
      </c>
      <c r="O275" s="152">
        <f t="shared" si="29"/>
        <v>1552759.9663620126</v>
      </c>
    </row>
    <row r="276" spans="1:15" hidden="1" x14ac:dyDescent="0.15">
      <c r="A276" s="154"/>
      <c r="B276" s="151"/>
      <c r="C276" s="152"/>
      <c r="D276" s="323"/>
      <c r="E276" s="154"/>
      <c r="F276" s="157"/>
      <c r="G276" s="152"/>
      <c r="H276" s="323"/>
      <c r="I276" s="152"/>
      <c r="J276" s="157"/>
      <c r="K276" s="157"/>
      <c r="L276" s="227"/>
      <c r="M276" s="157"/>
      <c r="N276" s="227">
        <f t="shared" si="28"/>
        <v>102662.52536201148</v>
      </c>
      <c r="O276" s="152">
        <f t="shared" si="29"/>
        <v>1552759.9663620126</v>
      </c>
    </row>
    <row r="277" spans="1:15" hidden="1" x14ac:dyDescent="0.15">
      <c r="A277" s="154"/>
      <c r="B277" s="151"/>
      <c r="C277" s="152"/>
      <c r="D277" s="323"/>
      <c r="E277" s="154"/>
      <c r="F277" s="157"/>
      <c r="G277" s="152"/>
      <c r="H277" s="323"/>
      <c r="I277" s="152"/>
      <c r="J277" s="157"/>
      <c r="K277" s="157"/>
      <c r="L277" s="227"/>
      <c r="M277" s="157"/>
      <c r="N277" s="227">
        <f t="shared" si="28"/>
        <v>102662.52536201148</v>
      </c>
      <c r="O277" s="152">
        <f t="shared" si="29"/>
        <v>1552759.9663620126</v>
      </c>
    </row>
    <row r="278" spans="1:15" hidden="1" x14ac:dyDescent="0.15">
      <c r="A278" s="154"/>
      <c r="B278" s="151"/>
      <c r="C278" s="152"/>
      <c r="D278" s="323"/>
      <c r="E278" s="154"/>
      <c r="F278" s="157"/>
      <c r="G278" s="152"/>
      <c r="H278" s="323"/>
      <c r="I278" s="152"/>
      <c r="J278" s="157"/>
      <c r="K278" s="157"/>
      <c r="L278" s="227"/>
      <c r="M278" s="157"/>
      <c r="N278" s="227">
        <f t="shared" ref="N278:N287" si="32">+N277-I278-L278</f>
        <v>102662.52536201148</v>
      </c>
      <c r="O278" s="152">
        <f t="shared" ref="O278:O287" si="33">O277+G278-I278-L278</f>
        <v>1552759.9663620126</v>
      </c>
    </row>
    <row r="279" spans="1:15" hidden="1" x14ac:dyDescent="0.15">
      <c r="A279" s="154"/>
      <c r="B279" s="151"/>
      <c r="C279" s="152"/>
      <c r="D279" s="323"/>
      <c r="E279" s="154"/>
      <c r="F279" s="157"/>
      <c r="G279" s="152"/>
      <c r="H279" s="323"/>
      <c r="I279" s="152"/>
      <c r="J279" s="157"/>
      <c r="K279" s="157"/>
      <c r="L279" s="227"/>
      <c r="M279" s="157"/>
      <c r="N279" s="227">
        <f t="shared" si="32"/>
        <v>102662.52536201148</v>
      </c>
      <c r="O279" s="152">
        <f t="shared" si="33"/>
        <v>1552759.9663620126</v>
      </c>
    </row>
    <row r="280" spans="1:15" hidden="1" x14ac:dyDescent="0.15">
      <c r="A280" s="154"/>
      <c r="B280" s="151"/>
      <c r="C280" s="152"/>
      <c r="D280" s="323"/>
      <c r="E280" s="155"/>
      <c r="F280" s="157"/>
      <c r="G280" s="152"/>
      <c r="H280" s="323"/>
      <c r="I280" s="152"/>
      <c r="J280" s="157"/>
      <c r="K280" s="154"/>
      <c r="L280" s="227"/>
      <c r="M280" s="157"/>
      <c r="N280" s="227">
        <f t="shared" si="32"/>
        <v>102662.52536201148</v>
      </c>
      <c r="O280" s="152">
        <f t="shared" si="33"/>
        <v>1552759.9663620126</v>
      </c>
    </row>
    <row r="281" spans="1:15" hidden="1" x14ac:dyDescent="0.15">
      <c r="A281" s="154"/>
      <c r="B281" s="151"/>
      <c r="C281" s="152"/>
      <c r="D281" s="323"/>
      <c r="E281" s="154"/>
      <c r="F281" s="157"/>
      <c r="G281" s="152"/>
      <c r="H281" s="323"/>
      <c r="I281" s="152"/>
      <c r="J281" s="157"/>
      <c r="K281" s="154"/>
      <c r="L281" s="227"/>
      <c r="M281" s="157"/>
      <c r="N281" s="227">
        <f t="shared" si="32"/>
        <v>102662.52536201148</v>
      </c>
      <c r="O281" s="152">
        <f t="shared" si="33"/>
        <v>1552759.9663620126</v>
      </c>
    </row>
    <row r="282" spans="1:15" hidden="1" x14ac:dyDescent="0.15">
      <c r="A282" s="154"/>
      <c r="B282" s="151"/>
      <c r="C282" s="152"/>
      <c r="D282" s="323"/>
      <c r="E282" s="154"/>
      <c r="F282" s="157"/>
      <c r="G282" s="152"/>
      <c r="H282" s="323"/>
      <c r="I282" s="152"/>
      <c r="J282" s="154"/>
      <c r="K282" s="154"/>
      <c r="L282" s="227"/>
      <c r="M282" s="157"/>
      <c r="N282" s="227">
        <f t="shared" si="32"/>
        <v>102662.52536201148</v>
      </c>
      <c r="O282" s="152">
        <f t="shared" si="33"/>
        <v>1552759.9663620126</v>
      </c>
    </row>
    <row r="283" spans="1:15" hidden="1" x14ac:dyDescent="0.15">
      <c r="A283" s="154"/>
      <c r="B283" s="151"/>
      <c r="C283" s="151"/>
      <c r="D283" s="323"/>
      <c r="E283" s="154"/>
      <c r="F283" s="157"/>
      <c r="G283" s="152"/>
      <c r="H283" s="323"/>
      <c r="I283" s="152"/>
      <c r="J283" s="154"/>
      <c r="K283" s="154"/>
      <c r="L283" s="227"/>
      <c r="M283" s="157"/>
      <c r="N283" s="227">
        <f t="shared" si="32"/>
        <v>102662.52536201148</v>
      </c>
      <c r="O283" s="152">
        <f t="shared" si="33"/>
        <v>1552759.9663620126</v>
      </c>
    </row>
    <row r="284" spans="1:15" hidden="1" x14ac:dyDescent="0.15">
      <c r="A284" s="154"/>
      <c r="B284" s="151"/>
      <c r="C284" s="151"/>
      <c r="D284" s="323"/>
      <c r="E284" s="155"/>
      <c r="F284" s="157"/>
      <c r="G284" s="152"/>
      <c r="H284" s="323"/>
      <c r="I284" s="152"/>
      <c r="J284" s="154"/>
      <c r="K284" s="154"/>
      <c r="L284" s="227"/>
      <c r="M284" s="157"/>
      <c r="N284" s="227">
        <f t="shared" si="32"/>
        <v>102662.52536201148</v>
      </c>
      <c r="O284" s="152">
        <f t="shared" si="33"/>
        <v>1552759.9663620126</v>
      </c>
    </row>
    <row r="285" spans="1:15" hidden="1" x14ac:dyDescent="0.15">
      <c r="A285" s="154"/>
      <c r="B285" s="151"/>
      <c r="C285" s="151"/>
      <c r="D285" s="323"/>
      <c r="E285" s="154"/>
      <c r="F285" s="160"/>
      <c r="G285" s="152"/>
      <c r="H285" s="323"/>
      <c r="I285" s="152"/>
      <c r="J285" s="157"/>
      <c r="K285" s="154"/>
      <c r="L285" s="227"/>
      <c r="M285" s="157"/>
      <c r="N285" s="227">
        <f t="shared" si="32"/>
        <v>102662.52536201148</v>
      </c>
      <c r="O285" s="152">
        <f t="shared" si="33"/>
        <v>1552759.9663620126</v>
      </c>
    </row>
    <row r="286" spans="1:15" hidden="1" x14ac:dyDescent="0.15">
      <c r="A286" s="154"/>
      <c r="B286" s="151"/>
      <c r="C286" s="151"/>
      <c r="D286" s="323"/>
      <c r="E286" s="154"/>
      <c r="F286" s="160"/>
      <c r="G286" s="152"/>
      <c r="H286" s="323"/>
      <c r="I286" s="152"/>
      <c r="J286" s="150"/>
      <c r="K286" s="154"/>
      <c r="L286" s="227"/>
      <c r="M286" s="157"/>
      <c r="N286" s="227">
        <f t="shared" si="32"/>
        <v>102662.52536201148</v>
      </c>
      <c r="O286" s="152">
        <f t="shared" si="33"/>
        <v>1552759.9663620126</v>
      </c>
    </row>
    <row r="287" spans="1:15" x14ac:dyDescent="0.15">
      <c r="A287" s="173"/>
      <c r="B287" s="173"/>
      <c r="C287" s="174"/>
      <c r="D287" s="323"/>
      <c r="E287" s="173"/>
      <c r="F287" s="173"/>
      <c r="G287" s="174"/>
      <c r="H287" s="323"/>
      <c r="I287" s="174"/>
      <c r="J287" s="173"/>
      <c r="K287" s="154"/>
      <c r="L287" s="228"/>
      <c r="M287" s="173"/>
      <c r="N287" s="227">
        <f t="shared" si="32"/>
        <v>102662.52536201148</v>
      </c>
      <c r="O287" s="152">
        <f t="shared" si="33"/>
        <v>1552759.9663620126</v>
      </c>
    </row>
    <row r="288" spans="1:15" x14ac:dyDescent="0.15">
      <c r="A288" s="177"/>
      <c r="B288" s="177"/>
      <c r="C288" s="178">
        <f>SUM(C7:C286)</f>
        <v>657816.92436201149</v>
      </c>
      <c r="D288" s="177"/>
      <c r="E288" s="177"/>
      <c r="F288" s="177"/>
      <c r="G288" s="178">
        <f>SUM(G7:G287)</f>
        <v>4524197.8439999996</v>
      </c>
      <c r="H288" s="179"/>
      <c r="I288" s="178">
        <f>SUM(I7:I287)</f>
        <v>374368.95900000003</v>
      </c>
      <c r="J288" s="177"/>
      <c r="K288" s="177"/>
      <c r="L288" s="178">
        <f>SUM(L7:L287)</f>
        <v>3254885.8430000008</v>
      </c>
      <c r="M288" s="177"/>
      <c r="N288" s="180"/>
      <c r="O288" s="181">
        <f>C288+G288-I288-L288</f>
        <v>1552759.9663620102</v>
      </c>
    </row>
    <row r="289" spans="1:15" x14ac:dyDescent="0.15">
      <c r="A289" s="182"/>
      <c r="B289" s="465"/>
      <c r="C289" s="465"/>
      <c r="D289" s="465"/>
      <c r="E289" s="183"/>
      <c r="F289" s="284"/>
      <c r="G289" s="185">
        <f>+G288-'[1]รับ 0615'!$D$171</f>
        <v>0</v>
      </c>
      <c r="H289" s="186"/>
      <c r="I289" s="187"/>
      <c r="J289" s="188"/>
      <c r="K289" s="189" t="s">
        <v>139</v>
      </c>
      <c r="L289" s="190">
        <f>+L288+I288</f>
        <v>3629254.8020000011</v>
      </c>
      <c r="M289" s="197"/>
      <c r="N289" s="230">
        <f>+N287</f>
        <v>102662.52536201148</v>
      </c>
      <c r="O289" s="195" t="s">
        <v>2651</v>
      </c>
    </row>
    <row r="290" spans="1:15" x14ac:dyDescent="0.15">
      <c r="A290" s="188" t="s">
        <v>2651</v>
      </c>
      <c r="B290" s="131" t="s">
        <v>2656</v>
      </c>
      <c r="E290" s="183" t="s">
        <v>55</v>
      </c>
      <c r="F290" s="405">
        <v>50263284.950000003</v>
      </c>
      <c r="G290" s="219" t="s">
        <v>56</v>
      </c>
      <c r="H290" s="186">
        <v>42185</v>
      </c>
      <c r="I290" s="187" t="s">
        <v>71</v>
      </c>
      <c r="J290" s="210">
        <v>313579.22563798836</v>
      </c>
      <c r="N290" s="230">
        <v>505751.10899999901</v>
      </c>
      <c r="O290" s="334" t="s">
        <v>2652</v>
      </c>
    </row>
    <row r="291" spans="1:15" ht="12" thickBot="1" x14ac:dyDescent="0.2">
      <c r="A291" s="133"/>
      <c r="B291" s="406"/>
      <c r="C291" s="406"/>
      <c r="D291" s="406"/>
      <c r="E291" s="183"/>
      <c r="F291" s="407"/>
      <c r="G291" s="219"/>
      <c r="H291" s="186"/>
      <c r="I291" s="217" t="s">
        <v>856</v>
      </c>
      <c r="J291" s="211">
        <f>SUM(J290)</f>
        <v>313579.22563798836</v>
      </c>
      <c r="N291" s="230">
        <v>724648.85500000091</v>
      </c>
      <c r="O291" s="334" t="s">
        <v>2653</v>
      </c>
    </row>
    <row r="292" spans="1:15" ht="12" thickTop="1" x14ac:dyDescent="0.15">
      <c r="A292" s="193" t="s">
        <v>2517</v>
      </c>
      <c r="B292" s="131" t="s">
        <v>2535</v>
      </c>
      <c r="E292" s="183" t="s">
        <v>55</v>
      </c>
      <c r="F292" s="408">
        <v>103502239.51000001</v>
      </c>
      <c r="G292" s="219" t="s">
        <v>56</v>
      </c>
      <c r="H292" s="186">
        <v>42153</v>
      </c>
      <c r="I292" s="187" t="s">
        <v>71</v>
      </c>
      <c r="J292" s="210">
        <v>147691.45136201137</v>
      </c>
      <c r="K292" s="297"/>
      <c r="N292" s="230">
        <v>167901.50999999908</v>
      </c>
      <c r="O292" s="195" t="s">
        <v>2654</v>
      </c>
    </row>
    <row r="293" spans="1:15" x14ac:dyDescent="0.15">
      <c r="A293" s="193" t="s">
        <v>2518</v>
      </c>
      <c r="B293" s="131" t="s">
        <v>2657</v>
      </c>
      <c r="E293" s="183" t="s">
        <v>55</v>
      </c>
      <c r="F293" s="409">
        <v>100878562.66</v>
      </c>
      <c r="G293" s="219" t="s">
        <v>56</v>
      </c>
      <c r="H293" s="186">
        <v>42157</v>
      </c>
      <c r="I293" s="187" t="s">
        <v>71</v>
      </c>
      <c r="J293" s="210">
        <v>422316.12599999923</v>
      </c>
      <c r="K293" s="333"/>
      <c r="N293" s="230">
        <v>51795.967000001001</v>
      </c>
      <c r="O293" s="195" t="s">
        <v>2655</v>
      </c>
    </row>
    <row r="294" spans="1:15" x14ac:dyDescent="0.15">
      <c r="A294" s="193" t="s">
        <v>2519</v>
      </c>
      <c r="B294" s="131" t="s">
        <v>2658</v>
      </c>
      <c r="E294" s="183" t="s">
        <v>55</v>
      </c>
      <c r="F294" s="408">
        <v>149984188.46000001</v>
      </c>
      <c r="G294" s="219" t="s">
        <v>56</v>
      </c>
      <c r="H294" s="186">
        <v>42158</v>
      </c>
      <c r="I294" s="187" t="s">
        <v>71</v>
      </c>
      <c r="J294" s="210">
        <v>203644.76800000091</v>
      </c>
      <c r="N294" s="230"/>
      <c r="O294" s="195"/>
    </row>
    <row r="295" spans="1:15" x14ac:dyDescent="0.15">
      <c r="A295" s="193" t="s">
        <v>2642</v>
      </c>
      <c r="B295" s="131" t="s">
        <v>2659</v>
      </c>
      <c r="E295" s="183" t="s">
        <v>55</v>
      </c>
      <c r="F295" s="408">
        <v>140182376.53999999</v>
      </c>
      <c r="G295" s="219" t="s">
        <v>56</v>
      </c>
      <c r="H295" s="186">
        <v>42163</v>
      </c>
      <c r="I295" s="187" t="s">
        <v>71</v>
      </c>
      <c r="J295" s="210">
        <v>332754.47299999901</v>
      </c>
      <c r="K295" s="333"/>
      <c r="N295" s="230"/>
      <c r="O295" s="195"/>
    </row>
    <row r="296" spans="1:15" x14ac:dyDescent="0.15">
      <c r="A296" s="193" t="s">
        <v>2643</v>
      </c>
      <c r="B296" s="131" t="s">
        <v>2667</v>
      </c>
      <c r="E296" s="183" t="s">
        <v>55</v>
      </c>
      <c r="F296" s="405">
        <v>69978987.859999999</v>
      </c>
      <c r="G296" s="219" t="s">
        <v>56</v>
      </c>
      <c r="H296" s="186">
        <v>42163</v>
      </c>
      <c r="I296" s="187" t="s">
        <v>71</v>
      </c>
      <c r="J296" s="210">
        <v>210076.66299999991</v>
      </c>
      <c r="N296" s="206" t="s">
        <v>33</v>
      </c>
      <c r="O296" s="207">
        <f>SUM(N289:N295)</f>
        <v>1552759.9663620116</v>
      </c>
    </row>
    <row r="297" spans="1:15" x14ac:dyDescent="0.15">
      <c r="A297" s="193" t="s">
        <v>2644</v>
      </c>
      <c r="B297" s="131" t="s">
        <v>2660</v>
      </c>
      <c r="E297" s="183" t="s">
        <v>55</v>
      </c>
      <c r="F297" s="405">
        <v>117566205.65000001</v>
      </c>
      <c r="G297" s="219" t="s">
        <v>56</v>
      </c>
      <c r="H297" s="186">
        <v>42166</v>
      </c>
      <c r="I297" s="187" t="s">
        <v>71</v>
      </c>
      <c r="J297" s="210">
        <v>169661.72900000104</v>
      </c>
      <c r="K297" s="193"/>
      <c r="O297" s="190">
        <f>+O288-O296</f>
        <v>0</v>
      </c>
    </row>
    <row r="298" spans="1:15" s="132" customFormat="1" x14ac:dyDescent="0.15">
      <c r="A298" s="193" t="s">
        <v>2645</v>
      </c>
      <c r="B298" s="131" t="s">
        <v>2661</v>
      </c>
      <c r="D298" s="133"/>
      <c r="E298" s="183" t="s">
        <v>55</v>
      </c>
      <c r="F298" s="405">
        <v>112621479.01000001</v>
      </c>
      <c r="G298" s="219" t="s">
        <v>56</v>
      </c>
      <c r="H298" s="186">
        <v>42170</v>
      </c>
      <c r="I298" s="187" t="s">
        <v>71</v>
      </c>
      <c r="J298" s="210">
        <v>340691.68700000003</v>
      </c>
      <c r="K298" s="193"/>
      <c r="M298" s="134"/>
    </row>
    <row r="299" spans="1:15" s="132" customFormat="1" x14ac:dyDescent="0.15">
      <c r="A299" s="193" t="s">
        <v>2646</v>
      </c>
      <c r="B299" s="131" t="s">
        <v>2662</v>
      </c>
      <c r="D299" s="133"/>
      <c r="E299" s="183" t="s">
        <v>55</v>
      </c>
      <c r="F299" s="405">
        <v>31286803.329999998</v>
      </c>
      <c r="G299" s="219" t="s">
        <v>56</v>
      </c>
      <c r="H299" s="186">
        <v>42172</v>
      </c>
      <c r="I299" s="187" t="s">
        <v>71</v>
      </c>
      <c r="J299" s="210">
        <v>278469.64200000011</v>
      </c>
      <c r="K299" s="133"/>
      <c r="M299" s="134"/>
    </row>
    <row r="300" spans="1:15" s="132" customFormat="1" x14ac:dyDescent="0.15">
      <c r="A300" s="193" t="s">
        <v>2647</v>
      </c>
      <c r="B300" s="131" t="s">
        <v>2663</v>
      </c>
      <c r="D300" s="133"/>
      <c r="E300" s="183" t="s">
        <v>55</v>
      </c>
      <c r="F300" s="405">
        <v>107587612.51000001</v>
      </c>
      <c r="G300" s="219" t="s">
        <v>56</v>
      </c>
      <c r="H300" s="186">
        <v>42174</v>
      </c>
      <c r="I300" s="187" t="s">
        <v>71</v>
      </c>
      <c r="J300" s="210">
        <v>201704.29300000001</v>
      </c>
      <c r="K300" s="193"/>
      <c r="M300" s="134"/>
    </row>
    <row r="301" spans="1:15" s="132" customFormat="1" x14ac:dyDescent="0.15">
      <c r="A301" s="193" t="s">
        <v>2648</v>
      </c>
      <c r="B301" s="131" t="s">
        <v>2664</v>
      </c>
      <c r="D301" s="133"/>
      <c r="E301" s="183" t="s">
        <v>55</v>
      </c>
      <c r="F301" s="405">
        <v>111448168.95</v>
      </c>
      <c r="G301" s="219" t="s">
        <v>56</v>
      </c>
      <c r="H301" s="186">
        <v>42177</v>
      </c>
      <c r="I301" s="187" t="s">
        <v>71</v>
      </c>
      <c r="J301" s="210">
        <v>121806.46299999997</v>
      </c>
      <c r="K301" s="193"/>
      <c r="M301" s="134"/>
    </row>
    <row r="302" spans="1:15" s="132" customFormat="1" x14ac:dyDescent="0.15">
      <c r="A302" s="193" t="s">
        <v>2649</v>
      </c>
      <c r="B302" s="131" t="s">
        <v>2665</v>
      </c>
      <c r="D302" s="133"/>
      <c r="E302" s="183" t="s">
        <v>55</v>
      </c>
      <c r="F302" s="405">
        <v>70378295.590000004</v>
      </c>
      <c r="G302" s="219" t="s">
        <v>56</v>
      </c>
      <c r="H302" s="186">
        <v>42177</v>
      </c>
      <c r="I302" s="187" t="s">
        <v>71</v>
      </c>
      <c r="J302" s="210">
        <v>232120.22199999896</v>
      </c>
      <c r="K302" s="193"/>
      <c r="M302" s="134"/>
    </row>
    <row r="303" spans="1:15" s="132" customFormat="1" x14ac:dyDescent="0.15">
      <c r="A303" s="193" t="s">
        <v>2650</v>
      </c>
      <c r="B303" s="131" t="s">
        <v>2666</v>
      </c>
      <c r="D303" s="133"/>
      <c r="E303" s="183" t="s">
        <v>55</v>
      </c>
      <c r="F303" s="405">
        <v>131540924.22</v>
      </c>
      <c r="G303" s="219" t="s">
        <v>56</v>
      </c>
      <c r="H303" s="186">
        <v>42180</v>
      </c>
      <c r="I303" s="187" t="s">
        <v>71</v>
      </c>
      <c r="J303" s="210">
        <v>280369.10000000108</v>
      </c>
      <c r="K303" s="193"/>
      <c r="M303" s="134"/>
    </row>
    <row r="304" spans="1:15" s="132" customFormat="1" ht="12" thickBot="1" x14ac:dyDescent="0.2">
      <c r="A304" s="133"/>
      <c r="B304" s="406"/>
      <c r="C304" s="406"/>
      <c r="D304" s="406"/>
      <c r="E304" s="183"/>
      <c r="F304" s="407"/>
      <c r="G304" s="219"/>
      <c r="H304" s="186"/>
      <c r="I304" s="217" t="s">
        <v>106</v>
      </c>
      <c r="J304" s="211">
        <f>SUM(J292:J303)</f>
        <v>2941306.6173620117</v>
      </c>
      <c r="K304" s="133"/>
      <c r="M304" s="134"/>
    </row>
    <row r="305" spans="1:15" s="132" customFormat="1" ht="12" thickTop="1" x14ac:dyDescent="0.15">
      <c r="A305" s="133"/>
      <c r="B305" s="133" t="s">
        <v>9</v>
      </c>
      <c r="C305" s="220" t="s">
        <v>2311</v>
      </c>
      <c r="D305" s="133" t="s">
        <v>570</v>
      </c>
      <c r="E305" s="133" t="s">
        <v>571</v>
      </c>
      <c r="F305" s="133" t="s">
        <v>16</v>
      </c>
      <c r="G305" s="134"/>
      <c r="H305" s="134"/>
      <c r="I305" s="187"/>
      <c r="J305" s="210"/>
      <c r="K305" s="193"/>
      <c r="M305" s="134"/>
    </row>
    <row r="306" spans="1:15" s="132" customFormat="1" x14ac:dyDescent="0.15">
      <c r="A306" s="188" t="s">
        <v>2651</v>
      </c>
      <c r="B306" s="210">
        <v>313579</v>
      </c>
      <c r="C306" s="221">
        <v>0.2</v>
      </c>
      <c r="D306" s="235">
        <f>+B306*C306</f>
        <v>62715.8</v>
      </c>
      <c r="E306" s="235">
        <f t="shared" ref="E306" si="34">+D306*0.1</f>
        <v>6271.5800000000008</v>
      </c>
      <c r="F306" s="236">
        <f t="shared" ref="F306" si="35">SUM(D306:E306)</f>
        <v>68987.38</v>
      </c>
      <c r="G306" s="134"/>
      <c r="H306" s="134"/>
      <c r="J306" s="205"/>
      <c r="K306" s="193"/>
      <c r="M306" s="134"/>
    </row>
    <row r="307" spans="1:15" s="132" customFormat="1" ht="12" thickBot="1" x14ac:dyDescent="0.2">
      <c r="A307" s="133"/>
      <c r="B307" s="211">
        <f>SUM(B306)</f>
        <v>313579</v>
      </c>
      <c r="C307" s="221"/>
      <c r="D307" s="242">
        <f>SUM(D306)</f>
        <v>62715.8</v>
      </c>
      <c r="E307" s="242">
        <f t="shared" ref="E307:F307" si="36">SUM(E306)</f>
        <v>6271.5800000000008</v>
      </c>
      <c r="F307" s="242">
        <f t="shared" si="36"/>
        <v>68987.38</v>
      </c>
      <c r="G307" s="186"/>
      <c r="H307" s="133"/>
      <c r="J307" s="205"/>
      <c r="K307" s="193"/>
      <c r="M307" s="134"/>
    </row>
    <row r="308" spans="1:15" s="132" customFormat="1" ht="12" thickTop="1" x14ac:dyDescent="0.15">
      <c r="A308" s="193" t="s">
        <v>2517</v>
      </c>
      <c r="B308" s="210">
        <v>147691</v>
      </c>
      <c r="C308" s="221">
        <v>0.2</v>
      </c>
      <c r="D308" s="235">
        <f t="shared" ref="D308:D310" si="37">+B308*C308</f>
        <v>29538.2</v>
      </c>
      <c r="E308" s="235">
        <f t="shared" ref="E308:E310" si="38">+D308*0.1</f>
        <v>2953.82</v>
      </c>
      <c r="F308" s="236">
        <f t="shared" ref="F308:F310" si="39">SUM(D308:E308)</f>
        <v>32492.02</v>
      </c>
      <c r="G308" s="133"/>
      <c r="H308" s="133"/>
      <c r="J308" s="205"/>
      <c r="K308" s="193"/>
      <c r="M308" s="134"/>
    </row>
    <row r="309" spans="1:15" s="133" customFormat="1" x14ac:dyDescent="0.15">
      <c r="A309" s="193" t="s">
        <v>2518</v>
      </c>
      <c r="B309" s="210">
        <v>422316</v>
      </c>
      <c r="C309" s="221">
        <v>0.2</v>
      </c>
      <c r="D309" s="235">
        <f t="shared" si="37"/>
        <v>84463.200000000012</v>
      </c>
      <c r="E309" s="235">
        <f t="shared" si="38"/>
        <v>8446.3200000000015</v>
      </c>
      <c r="F309" s="236">
        <f t="shared" si="39"/>
        <v>92909.520000000019</v>
      </c>
      <c r="G309" s="134"/>
      <c r="H309" s="134"/>
      <c r="I309" s="132"/>
      <c r="J309" s="205"/>
      <c r="L309" s="132"/>
      <c r="M309" s="134"/>
      <c r="N309" s="132"/>
      <c r="O309" s="132"/>
    </row>
    <row r="310" spans="1:15" s="132" customFormat="1" x14ac:dyDescent="0.15">
      <c r="A310" s="193" t="s">
        <v>2519</v>
      </c>
      <c r="B310" s="210">
        <v>203645</v>
      </c>
      <c r="C310" s="221">
        <v>0.2</v>
      </c>
      <c r="D310" s="235">
        <f t="shared" si="37"/>
        <v>40729</v>
      </c>
      <c r="E310" s="235">
        <f t="shared" si="38"/>
        <v>4072.9</v>
      </c>
      <c r="F310" s="236">
        <f t="shared" si="39"/>
        <v>44801.9</v>
      </c>
      <c r="G310" s="186"/>
      <c r="H310" s="186"/>
      <c r="J310" s="205"/>
      <c r="K310" s="133"/>
      <c r="M310" s="134"/>
    </row>
    <row r="311" spans="1:15" s="132" customFormat="1" x14ac:dyDescent="0.15">
      <c r="A311" s="193" t="s">
        <v>2642</v>
      </c>
      <c r="B311" s="210">
        <v>332754</v>
      </c>
      <c r="C311" s="221">
        <v>0.2</v>
      </c>
      <c r="D311" s="235">
        <f t="shared" ref="D311:D319" si="40">+B311*C311</f>
        <v>66550.8</v>
      </c>
      <c r="E311" s="235">
        <f t="shared" ref="E311:E319" si="41">+D311*0.1</f>
        <v>6655.0800000000008</v>
      </c>
      <c r="F311" s="236">
        <f t="shared" ref="F311:F319" si="42">SUM(D311:E311)</f>
        <v>73205.88</v>
      </c>
      <c r="G311" s="186"/>
      <c r="H311" s="186"/>
      <c r="J311" s="205"/>
      <c r="K311" s="133"/>
      <c r="M311" s="134"/>
    </row>
    <row r="312" spans="1:15" s="132" customFormat="1" x14ac:dyDescent="0.15">
      <c r="A312" s="193" t="s">
        <v>2643</v>
      </c>
      <c r="B312" s="210">
        <v>210077</v>
      </c>
      <c r="C312" s="221">
        <v>0.2</v>
      </c>
      <c r="D312" s="235">
        <f t="shared" si="40"/>
        <v>42015.4</v>
      </c>
      <c r="E312" s="235">
        <f t="shared" si="41"/>
        <v>4201.54</v>
      </c>
      <c r="F312" s="236">
        <f t="shared" si="42"/>
        <v>46216.94</v>
      </c>
      <c r="G312" s="186"/>
      <c r="H312" s="186"/>
      <c r="J312" s="134"/>
      <c r="K312" s="133"/>
      <c r="M312" s="134"/>
    </row>
    <row r="313" spans="1:15" s="132" customFormat="1" x14ac:dyDescent="0.15">
      <c r="A313" s="193" t="s">
        <v>2644</v>
      </c>
      <c r="B313" s="210">
        <v>169662</v>
      </c>
      <c r="C313" s="221">
        <v>0.2</v>
      </c>
      <c r="D313" s="235">
        <f t="shared" si="40"/>
        <v>33932.400000000001</v>
      </c>
      <c r="E313" s="235">
        <f t="shared" si="41"/>
        <v>3393.2400000000002</v>
      </c>
      <c r="F313" s="236">
        <f t="shared" si="42"/>
        <v>37325.64</v>
      </c>
      <c r="G313" s="186"/>
      <c r="H313" s="186"/>
      <c r="J313" s="134"/>
      <c r="K313" s="133"/>
      <c r="M313" s="134"/>
    </row>
    <row r="314" spans="1:15" s="132" customFormat="1" x14ac:dyDescent="0.15">
      <c r="A314" s="193" t="s">
        <v>2645</v>
      </c>
      <c r="B314" s="210">
        <v>340692</v>
      </c>
      <c r="C314" s="221">
        <v>0.2</v>
      </c>
      <c r="D314" s="235">
        <f t="shared" si="40"/>
        <v>68138.400000000009</v>
      </c>
      <c r="E314" s="235">
        <f t="shared" si="41"/>
        <v>6813.8400000000011</v>
      </c>
      <c r="F314" s="236">
        <f t="shared" si="42"/>
        <v>74952.240000000005</v>
      </c>
      <c r="G314" s="186"/>
      <c r="H314" s="186"/>
      <c r="J314" s="134"/>
      <c r="K314" s="133"/>
      <c r="M314" s="134"/>
    </row>
    <row r="315" spans="1:15" s="132" customFormat="1" x14ac:dyDescent="0.15">
      <c r="A315" s="193" t="s">
        <v>2646</v>
      </c>
      <c r="B315" s="210">
        <v>278470</v>
      </c>
      <c r="C315" s="221">
        <v>0.2</v>
      </c>
      <c r="D315" s="235">
        <f t="shared" si="40"/>
        <v>55694</v>
      </c>
      <c r="E315" s="235">
        <f t="shared" si="41"/>
        <v>5569.4000000000005</v>
      </c>
      <c r="F315" s="236">
        <f t="shared" si="42"/>
        <v>61263.4</v>
      </c>
      <c r="G315" s="186"/>
      <c r="H315" s="186"/>
      <c r="J315" s="134"/>
      <c r="K315" s="133"/>
      <c r="M315" s="134"/>
    </row>
    <row r="316" spans="1:15" s="132" customFormat="1" x14ac:dyDescent="0.15">
      <c r="A316" s="193" t="s">
        <v>2647</v>
      </c>
      <c r="B316" s="210">
        <v>201704</v>
      </c>
      <c r="C316" s="221">
        <v>0.2</v>
      </c>
      <c r="D316" s="235">
        <f t="shared" si="40"/>
        <v>40340.800000000003</v>
      </c>
      <c r="E316" s="235">
        <f t="shared" si="41"/>
        <v>4034.0800000000004</v>
      </c>
      <c r="F316" s="236">
        <f t="shared" si="42"/>
        <v>44374.880000000005</v>
      </c>
      <c r="G316" s="186"/>
      <c r="H316" s="186"/>
      <c r="J316" s="210"/>
      <c r="K316" s="133"/>
      <c r="M316" s="134"/>
    </row>
    <row r="317" spans="1:15" s="132" customFormat="1" x14ac:dyDescent="0.15">
      <c r="A317" s="193" t="s">
        <v>2648</v>
      </c>
      <c r="B317" s="210">
        <v>121806</v>
      </c>
      <c r="C317" s="221">
        <v>0.2</v>
      </c>
      <c r="D317" s="235">
        <f t="shared" si="40"/>
        <v>24361.200000000001</v>
      </c>
      <c r="E317" s="235">
        <f t="shared" si="41"/>
        <v>2436.1200000000003</v>
      </c>
      <c r="F317" s="236">
        <f t="shared" si="42"/>
        <v>26797.32</v>
      </c>
      <c r="G317" s="186"/>
      <c r="H317" s="186"/>
      <c r="J317" s="134"/>
      <c r="K317" s="133"/>
      <c r="M317" s="134"/>
    </row>
    <row r="318" spans="1:15" s="132" customFormat="1" x14ac:dyDescent="0.15">
      <c r="A318" s="193" t="s">
        <v>2649</v>
      </c>
      <c r="B318" s="210">
        <v>232120</v>
      </c>
      <c r="C318" s="221">
        <v>0.2</v>
      </c>
      <c r="D318" s="235">
        <f t="shared" si="40"/>
        <v>46424</v>
      </c>
      <c r="E318" s="235">
        <f t="shared" si="41"/>
        <v>4642.4000000000005</v>
      </c>
      <c r="F318" s="236">
        <f t="shared" si="42"/>
        <v>51066.400000000001</v>
      </c>
      <c r="G318" s="186"/>
      <c r="H318" s="186"/>
      <c r="J318" s="134"/>
      <c r="K318" s="133"/>
      <c r="M318" s="134"/>
    </row>
    <row r="319" spans="1:15" s="132" customFormat="1" x14ac:dyDescent="0.15">
      <c r="A319" s="193" t="s">
        <v>2650</v>
      </c>
      <c r="B319" s="210">
        <v>280369</v>
      </c>
      <c r="C319" s="221">
        <v>0.2</v>
      </c>
      <c r="D319" s="235">
        <f t="shared" si="40"/>
        <v>56073.8</v>
      </c>
      <c r="E319" s="235">
        <f t="shared" si="41"/>
        <v>5607.380000000001</v>
      </c>
      <c r="F319" s="236">
        <f t="shared" si="42"/>
        <v>61681.180000000008</v>
      </c>
      <c r="G319" s="186"/>
      <c r="H319" s="186"/>
      <c r="J319" s="134"/>
      <c r="K319" s="133"/>
      <c r="M319" s="134"/>
    </row>
    <row r="320" spans="1:15" s="132" customFormat="1" ht="12" thickBot="1" x14ac:dyDescent="0.2">
      <c r="A320" s="133"/>
      <c r="B320" s="211">
        <f>SUM(B308:B319)</f>
        <v>2941306</v>
      </c>
      <c r="C320" s="221"/>
      <c r="D320" s="242">
        <f>SUM(D308:D319)</f>
        <v>588261.20000000019</v>
      </c>
      <c r="E320" s="242">
        <f t="shared" ref="E320:F320" si="43">SUM(E308:E319)</f>
        <v>58826.12000000001</v>
      </c>
      <c r="F320" s="242">
        <f t="shared" si="43"/>
        <v>647087.32000000007</v>
      </c>
      <c r="G320" s="186"/>
      <c r="H320" s="186"/>
      <c r="J320" s="134"/>
      <c r="K320" s="133"/>
      <c r="M320" s="134"/>
    </row>
    <row r="321" spans="1:13" s="132" customFormat="1" ht="12" thickTop="1" x14ac:dyDescent="0.15">
      <c r="A321" s="193"/>
      <c r="B321" s="131"/>
      <c r="D321" s="133"/>
      <c r="E321" s="183"/>
      <c r="F321" s="408"/>
      <c r="G321" s="219"/>
      <c r="H321" s="186"/>
      <c r="J321" s="134"/>
      <c r="K321" s="133"/>
      <c r="M321" s="134"/>
    </row>
    <row r="322" spans="1:13" s="132" customFormat="1" x14ac:dyDescent="0.15">
      <c r="A322" s="134"/>
      <c r="B322" s="131"/>
      <c r="D322" s="133"/>
      <c r="E322" s="133"/>
      <c r="F322" s="134"/>
      <c r="H322" s="133"/>
      <c r="I322" s="187"/>
      <c r="J322" s="134"/>
      <c r="K322" s="133"/>
      <c r="M322" s="134"/>
    </row>
    <row r="323" spans="1:13" s="132" customFormat="1" x14ac:dyDescent="0.15">
      <c r="A323" s="134"/>
      <c r="B323" s="131"/>
      <c r="D323" s="133"/>
      <c r="E323" s="133"/>
      <c r="F323" s="134"/>
      <c r="H323" s="133"/>
      <c r="J323" s="134"/>
      <c r="K323" s="133"/>
      <c r="M323" s="134"/>
    </row>
    <row r="324" spans="1:13" s="132" customFormat="1" x14ac:dyDescent="0.15">
      <c r="A324" s="134"/>
      <c r="B324" s="131"/>
      <c r="D324" s="133"/>
      <c r="E324" s="133"/>
      <c r="F324" s="134"/>
      <c r="H324" s="133"/>
      <c r="J324" s="134"/>
      <c r="K324" s="133"/>
      <c r="M324" s="134"/>
    </row>
    <row r="325" spans="1:13" s="132" customFormat="1" x14ac:dyDescent="0.15">
      <c r="A325" s="134"/>
      <c r="B325" s="131"/>
      <c r="D325" s="133"/>
      <c r="E325" s="133"/>
      <c r="F325" s="134"/>
      <c r="H325" s="133"/>
      <c r="J325" s="134"/>
      <c r="K325" s="133"/>
      <c r="M325" s="134"/>
    </row>
    <row r="326" spans="1:13" s="132" customFormat="1" x14ac:dyDescent="0.15">
      <c r="A326" s="134"/>
      <c r="B326" s="131"/>
      <c r="D326" s="133"/>
      <c r="E326" s="133"/>
      <c r="F326" s="134"/>
      <c r="H326" s="133"/>
      <c r="J326" s="134"/>
      <c r="K326" s="133"/>
      <c r="M326" s="134"/>
    </row>
    <row r="327" spans="1:13" s="132" customFormat="1" x14ac:dyDescent="0.15">
      <c r="A327" s="134"/>
      <c r="B327" s="131"/>
      <c r="D327" s="133"/>
      <c r="E327" s="133"/>
      <c r="F327" s="134"/>
      <c r="H327" s="133"/>
      <c r="J327" s="134"/>
      <c r="K327" s="133"/>
      <c r="M327" s="134"/>
    </row>
  </sheetData>
  <mergeCells count="7">
    <mergeCell ref="B289:D289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318"/>
  <sheetViews>
    <sheetView zoomScale="115" zoomScaleNormal="115" workbookViewId="0">
      <pane ySplit="6" topLeftCell="A276" activePane="bottomLeft" state="frozen"/>
      <selection pane="bottomLeft" activeCell="B293" sqref="B293:H294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2475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2456</v>
      </c>
      <c r="B7" s="146"/>
      <c r="C7" s="152">
        <v>179421.09936201136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179421.09936201136</v>
      </c>
      <c r="O7" s="147">
        <f>+C277</f>
        <v>530690.41536201129</v>
      </c>
    </row>
    <row r="8" spans="1:15" x14ac:dyDescent="0.15">
      <c r="A8" s="154" t="s">
        <v>2457</v>
      </c>
      <c r="B8" s="151"/>
      <c r="C8" s="152">
        <v>219560.67199999999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179421.09936201136</v>
      </c>
      <c r="O8" s="152">
        <f t="shared" ref="O8:O10" si="0">O7+G8-I8-L8</f>
        <v>530690.41536201129</v>
      </c>
    </row>
    <row r="9" spans="1:15" x14ac:dyDescent="0.15">
      <c r="A9" s="157" t="s">
        <v>2458</v>
      </c>
      <c r="B9" s="151"/>
      <c r="C9" s="152">
        <v>87799.335000000006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:N10" si="1">+N8-I9-L9</f>
        <v>179421.09936201136</v>
      </c>
      <c r="O9" s="152">
        <f t="shared" si="0"/>
        <v>530690.41536201129</v>
      </c>
    </row>
    <row r="10" spans="1:15" x14ac:dyDescent="0.15">
      <c r="A10" s="154" t="s">
        <v>2459</v>
      </c>
      <c r="B10" s="151"/>
      <c r="C10" s="152">
        <v>43909.309000000001</v>
      </c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227">
        <f t="shared" si="1"/>
        <v>179421.09936201136</v>
      </c>
      <c r="O10" s="152">
        <f t="shared" si="0"/>
        <v>530690.41536201129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/>
      <c r="I11" s="152"/>
      <c r="J11" s="157"/>
      <c r="K11" s="157"/>
      <c r="L11" s="227"/>
      <c r="M11" s="154"/>
      <c r="N11" s="227">
        <f t="shared" ref="N11:N78" si="2">+N10-I11-L11</f>
        <v>179421.09936201136</v>
      </c>
      <c r="O11" s="152">
        <f t="shared" ref="O11:O78" si="3">O10+G11-I11-L11</f>
        <v>530690.41536201129</v>
      </c>
    </row>
    <row r="12" spans="1:15" x14ac:dyDescent="0.15">
      <c r="A12" s="154"/>
      <c r="B12" s="151"/>
      <c r="C12" s="152"/>
      <c r="D12" s="323" t="s">
        <v>2476</v>
      </c>
      <c r="E12" s="154" t="s">
        <v>72</v>
      </c>
      <c r="F12" s="157" t="s">
        <v>2459</v>
      </c>
      <c r="G12" s="152">
        <v>87772.921000000002</v>
      </c>
      <c r="H12" s="323" t="s">
        <v>2476</v>
      </c>
      <c r="I12" s="152">
        <v>15550.003000000001</v>
      </c>
      <c r="J12" s="154" t="s">
        <v>2456</v>
      </c>
      <c r="K12" s="157">
        <v>5800360884</v>
      </c>
      <c r="L12" s="227">
        <v>14704.916999999999</v>
      </c>
      <c r="M12" s="154" t="s">
        <v>2456</v>
      </c>
      <c r="N12" s="227">
        <f t="shared" si="2"/>
        <v>149166.17936201137</v>
      </c>
      <c r="O12" s="152">
        <f t="shared" si="3"/>
        <v>588208.41636201122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2476</v>
      </c>
      <c r="I13" s="152"/>
      <c r="J13" s="157"/>
      <c r="K13" s="157">
        <v>5800360884</v>
      </c>
      <c r="L13" s="227">
        <v>12541.163</v>
      </c>
      <c r="M13" s="154" t="s">
        <v>2456</v>
      </c>
      <c r="N13" s="227">
        <f t="shared" si="2"/>
        <v>136625.01636201137</v>
      </c>
      <c r="O13" s="152">
        <f t="shared" si="3"/>
        <v>575667.25336201116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2476</v>
      </c>
      <c r="I14" s="152"/>
      <c r="J14" s="157"/>
      <c r="K14" s="157">
        <v>5800360884</v>
      </c>
      <c r="L14" s="227">
        <v>14974.135</v>
      </c>
      <c r="M14" s="154" t="s">
        <v>2456</v>
      </c>
      <c r="N14" s="227">
        <f t="shared" si="2"/>
        <v>121650.88136201138</v>
      </c>
      <c r="O14" s="152">
        <f t="shared" si="3"/>
        <v>560693.11836201116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2476</v>
      </c>
      <c r="I15" s="152"/>
      <c r="J15" s="157"/>
      <c r="K15" s="157">
        <v>5800360884</v>
      </c>
      <c r="L15" s="227">
        <v>17404.103999999999</v>
      </c>
      <c r="M15" s="154" t="s">
        <v>2456</v>
      </c>
      <c r="N15" s="227">
        <f t="shared" si="2"/>
        <v>104246.77736201137</v>
      </c>
      <c r="O15" s="152">
        <f t="shared" si="3"/>
        <v>543289.0143620111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2476</v>
      </c>
      <c r="I16" s="152"/>
      <c r="J16" s="157"/>
      <c r="K16" s="157">
        <v>5800360884</v>
      </c>
      <c r="L16" s="227">
        <v>12421.066000000001</v>
      </c>
      <c r="M16" s="154" t="s">
        <v>2456</v>
      </c>
      <c r="N16" s="227">
        <f t="shared" si="2"/>
        <v>91825.711362011367</v>
      </c>
      <c r="O16" s="152">
        <f t="shared" si="3"/>
        <v>530867.94836201111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2476</v>
      </c>
      <c r="I17" s="152"/>
      <c r="J17" s="157"/>
      <c r="K17" s="157">
        <v>5800360884</v>
      </c>
      <c r="L17" s="227">
        <v>13094.611999999999</v>
      </c>
      <c r="M17" s="154" t="s">
        <v>2456</v>
      </c>
      <c r="N17" s="227">
        <f t="shared" si="2"/>
        <v>78731.099362011373</v>
      </c>
      <c r="O17" s="152">
        <f t="shared" si="3"/>
        <v>517773.33636201109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2476</v>
      </c>
      <c r="I18" s="152"/>
      <c r="J18" s="157"/>
      <c r="K18" s="157">
        <v>5800360884</v>
      </c>
      <c r="L18" s="227">
        <v>8474.8680000000004</v>
      </c>
      <c r="M18" s="154" t="s">
        <v>2456</v>
      </c>
      <c r="N18" s="227">
        <f t="shared" si="2"/>
        <v>70256.231362011371</v>
      </c>
      <c r="O18" s="152">
        <f t="shared" si="3"/>
        <v>509298.46836201107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2476</v>
      </c>
      <c r="I19" s="152"/>
      <c r="J19" s="157"/>
      <c r="K19" s="157">
        <v>5800360884</v>
      </c>
      <c r="L19" s="227">
        <v>5863.24</v>
      </c>
      <c r="M19" s="154" t="s">
        <v>2456</v>
      </c>
      <c r="N19" s="227">
        <f t="shared" si="2"/>
        <v>64392.991362011373</v>
      </c>
      <c r="O19" s="152">
        <f t="shared" si="3"/>
        <v>503435.22836201108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2476</v>
      </c>
      <c r="I20" s="152"/>
      <c r="J20" s="157"/>
      <c r="K20" s="157">
        <v>5800360884</v>
      </c>
      <c r="L20" s="227">
        <v>15125.721</v>
      </c>
      <c r="M20" s="154" t="s">
        <v>2456</v>
      </c>
      <c r="N20" s="227">
        <f t="shared" si="2"/>
        <v>49267.270362011375</v>
      </c>
      <c r="O20" s="152">
        <f t="shared" si="3"/>
        <v>488309.50736201106</v>
      </c>
    </row>
    <row r="21" spans="1:15" x14ac:dyDescent="0.15">
      <c r="A21" s="154"/>
      <c r="B21" s="151"/>
      <c r="C21" s="152"/>
      <c r="D21" s="323" t="s">
        <v>2477</v>
      </c>
      <c r="E21" s="154" t="s">
        <v>72</v>
      </c>
      <c r="F21" s="157" t="s">
        <v>2507</v>
      </c>
      <c r="G21" s="152">
        <v>175570.636</v>
      </c>
      <c r="H21" s="323" t="s">
        <v>2477</v>
      </c>
      <c r="I21" s="152">
        <v>9347.9639999999999</v>
      </c>
      <c r="J21" s="154" t="s">
        <v>2456</v>
      </c>
      <c r="K21" s="157">
        <v>5800360884</v>
      </c>
      <c r="L21" s="227">
        <v>14558.138999999999</v>
      </c>
      <c r="M21" s="154" t="s">
        <v>2456</v>
      </c>
      <c r="N21" s="227">
        <f t="shared" si="2"/>
        <v>25361.167362011376</v>
      </c>
      <c r="O21" s="152">
        <f t="shared" si="3"/>
        <v>639974.04036201106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2477</v>
      </c>
      <c r="I22" s="152"/>
      <c r="J22" s="154"/>
      <c r="K22" s="157">
        <v>5800360884</v>
      </c>
      <c r="L22" s="227">
        <v>13383.853999999999</v>
      </c>
      <c r="M22" s="154" t="s">
        <v>2456</v>
      </c>
      <c r="N22" s="227">
        <f t="shared" ref="N22:N27" si="4">+N21-I22-L22</f>
        <v>11977.313362011377</v>
      </c>
      <c r="O22" s="152">
        <f t="shared" ref="O22:O27" si="5">O21+G22-I22-L22</f>
        <v>626590.18636201101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2477</v>
      </c>
      <c r="I23" s="152"/>
      <c r="J23" s="157"/>
      <c r="K23" s="157">
        <v>5800360884</v>
      </c>
      <c r="L23" s="227">
        <v>11977.313362011377</v>
      </c>
      <c r="M23" s="154" t="s">
        <v>2456</v>
      </c>
      <c r="N23" s="227">
        <f t="shared" si="4"/>
        <v>0</v>
      </c>
      <c r="O23" s="152">
        <f t="shared" si="5"/>
        <v>614612.87299999967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2477</v>
      </c>
      <c r="I24" s="152"/>
      <c r="J24" s="157"/>
      <c r="K24" s="157">
        <v>5800360903</v>
      </c>
      <c r="L24" s="227">
        <v>1935.21863798862</v>
      </c>
      <c r="M24" s="154" t="s">
        <v>2457</v>
      </c>
      <c r="N24" s="227">
        <f>C8+N23-I24-L24</f>
        <v>217625.45336201138</v>
      </c>
      <c r="O24" s="152">
        <f t="shared" si="5"/>
        <v>612677.654362011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2477</v>
      </c>
      <c r="I25" s="152"/>
      <c r="J25" s="157"/>
      <c r="K25" s="157">
        <v>5800360903</v>
      </c>
      <c r="L25" s="227">
        <v>15682.455</v>
      </c>
      <c r="M25" s="154" t="s">
        <v>2457</v>
      </c>
      <c r="N25" s="227">
        <f t="shared" si="4"/>
        <v>201942.99836201139</v>
      </c>
      <c r="O25" s="152">
        <f t="shared" si="5"/>
        <v>596995.19936201104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2477</v>
      </c>
      <c r="I26" s="152"/>
      <c r="J26" s="154"/>
      <c r="K26" s="157">
        <v>5800360903</v>
      </c>
      <c r="L26" s="227">
        <v>12978.101000000001</v>
      </c>
      <c r="M26" s="154" t="s">
        <v>2457</v>
      </c>
      <c r="N26" s="227">
        <f t="shared" si="4"/>
        <v>188964.8973620114</v>
      </c>
      <c r="O26" s="152">
        <f t="shared" si="5"/>
        <v>584017.09836201102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2477</v>
      </c>
      <c r="I27" s="152"/>
      <c r="J27" s="157"/>
      <c r="K27" s="157">
        <v>5800360903</v>
      </c>
      <c r="L27" s="227">
        <v>8844.6170000000002</v>
      </c>
      <c r="M27" s="154" t="s">
        <v>2457</v>
      </c>
      <c r="N27" s="227">
        <f t="shared" si="4"/>
        <v>180120.2803620114</v>
      </c>
      <c r="O27" s="152">
        <f t="shared" si="5"/>
        <v>575172.48136201105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2477</v>
      </c>
      <c r="I28" s="152"/>
      <c r="J28" s="154"/>
      <c r="K28" s="157">
        <v>5800360903</v>
      </c>
      <c r="L28" s="227">
        <v>16401.352999999999</v>
      </c>
      <c r="M28" s="154" t="s">
        <v>2457</v>
      </c>
      <c r="N28" s="227">
        <f t="shared" si="2"/>
        <v>163718.9273620114</v>
      </c>
      <c r="O28" s="152">
        <f t="shared" si="3"/>
        <v>558771.12836201105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2477</v>
      </c>
      <c r="I29" s="152"/>
      <c r="J29" s="154"/>
      <c r="K29" s="157">
        <v>5800360903</v>
      </c>
      <c r="L29" s="227">
        <v>34675.375</v>
      </c>
      <c r="M29" s="154" t="s">
        <v>2457</v>
      </c>
      <c r="N29" s="227">
        <f t="shared" si="2"/>
        <v>129043.5523620114</v>
      </c>
      <c r="O29" s="152">
        <f t="shared" si="3"/>
        <v>524095.75336201105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2477</v>
      </c>
      <c r="I30" s="152"/>
      <c r="J30" s="157"/>
      <c r="K30" s="157">
        <v>5800360903</v>
      </c>
      <c r="L30" s="227">
        <v>13812.191000000001</v>
      </c>
      <c r="M30" s="154" t="s">
        <v>2457</v>
      </c>
      <c r="N30" s="227">
        <f t="shared" si="2"/>
        <v>115231.36136201139</v>
      </c>
      <c r="O30" s="152">
        <f t="shared" si="3"/>
        <v>510283.56236201106</v>
      </c>
    </row>
    <row r="31" spans="1:15" x14ac:dyDescent="0.15">
      <c r="A31" s="154"/>
      <c r="B31" s="151"/>
      <c r="C31" s="152"/>
      <c r="D31" s="323" t="s">
        <v>2478</v>
      </c>
      <c r="E31" s="154" t="s">
        <v>72</v>
      </c>
      <c r="F31" s="157" t="s">
        <v>2507</v>
      </c>
      <c r="G31" s="152">
        <v>131545.587</v>
      </c>
      <c r="H31" s="323" t="s">
        <v>2478</v>
      </c>
      <c r="I31" s="152">
        <v>10766.117</v>
      </c>
      <c r="J31" s="154" t="s">
        <v>2457</v>
      </c>
      <c r="K31" s="157">
        <v>5800360903</v>
      </c>
      <c r="L31" s="227">
        <v>13189.691000000001</v>
      </c>
      <c r="M31" s="154" t="s">
        <v>2457</v>
      </c>
      <c r="N31" s="227">
        <f t="shared" si="2"/>
        <v>91275.553362011386</v>
      </c>
      <c r="O31" s="152">
        <f t="shared" si="3"/>
        <v>617873.34136201115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2478</v>
      </c>
      <c r="I32" s="152"/>
      <c r="J32" s="157"/>
      <c r="K32" s="157">
        <v>5800360903</v>
      </c>
      <c r="L32" s="227">
        <v>17469.457999999999</v>
      </c>
      <c r="M32" s="154" t="s">
        <v>2457</v>
      </c>
      <c r="N32" s="227">
        <f t="shared" si="2"/>
        <v>73806.095362011387</v>
      </c>
      <c r="O32" s="152">
        <f t="shared" si="3"/>
        <v>600403.88336201117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2478</v>
      </c>
      <c r="I33" s="152"/>
      <c r="J33" s="154"/>
      <c r="K33" s="157">
        <v>5800360903</v>
      </c>
      <c r="L33" s="227">
        <v>15172.9</v>
      </c>
      <c r="M33" s="154" t="s">
        <v>2457</v>
      </c>
      <c r="N33" s="227">
        <f t="shared" si="2"/>
        <v>58633.195362011385</v>
      </c>
      <c r="O33" s="152">
        <f t="shared" si="3"/>
        <v>585230.98336201115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2478</v>
      </c>
      <c r="I34" s="152"/>
      <c r="J34" s="157"/>
      <c r="K34" s="157">
        <v>5800360903</v>
      </c>
      <c r="L34" s="227">
        <v>11963.325000000001</v>
      </c>
      <c r="M34" s="154" t="s">
        <v>2457</v>
      </c>
      <c r="N34" s="227">
        <f t="shared" si="2"/>
        <v>46669.870362011381</v>
      </c>
      <c r="O34" s="152">
        <f t="shared" si="3"/>
        <v>573267.65836201119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2478</v>
      </c>
      <c r="I35" s="152"/>
      <c r="J35" s="154"/>
      <c r="K35" s="157">
        <v>5800360903</v>
      </c>
      <c r="L35" s="227">
        <v>9667.768</v>
      </c>
      <c r="M35" s="154" t="s">
        <v>2457</v>
      </c>
      <c r="N35" s="227">
        <f t="shared" ref="N35:N36" si="6">+N34-I35-L35</f>
        <v>37002.102362011385</v>
      </c>
      <c r="O35" s="152">
        <f t="shared" ref="O35:O36" si="7">O34+G35-I35-L35</f>
        <v>563599.89036201115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2478</v>
      </c>
      <c r="I36" s="152"/>
      <c r="J36" s="154"/>
      <c r="K36" s="157">
        <v>5800360903</v>
      </c>
      <c r="L36" s="227">
        <v>476.75799999999998</v>
      </c>
      <c r="M36" s="154" t="s">
        <v>2457</v>
      </c>
      <c r="N36" s="227">
        <f t="shared" si="6"/>
        <v>36525.344362011383</v>
      </c>
      <c r="O36" s="152">
        <f t="shared" si="7"/>
        <v>563123.13236201112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2478</v>
      </c>
      <c r="I37" s="152"/>
      <c r="J37" s="154"/>
      <c r="K37" s="157">
        <v>5800360903</v>
      </c>
      <c r="L37" s="227">
        <v>13730.038</v>
      </c>
      <c r="M37" s="154" t="s">
        <v>2457</v>
      </c>
      <c r="N37" s="227">
        <f t="shared" ref="N37:N43" si="8">+N36-I37-L37</f>
        <v>22795.306362011383</v>
      </c>
      <c r="O37" s="152">
        <f t="shared" ref="O37:O43" si="9">O36+G37-I37-L37</f>
        <v>549393.09436201118</v>
      </c>
    </row>
    <row r="38" spans="1:15" x14ac:dyDescent="0.15">
      <c r="A38" s="154"/>
      <c r="B38" s="151"/>
      <c r="C38" s="152"/>
      <c r="D38" s="323" t="s">
        <v>2479</v>
      </c>
      <c r="E38" s="154" t="s">
        <v>72</v>
      </c>
      <c r="F38" s="157" t="s">
        <v>2507</v>
      </c>
      <c r="G38" s="152">
        <v>175711.163</v>
      </c>
      <c r="H38" s="323" t="s">
        <v>2479</v>
      </c>
      <c r="I38" s="152">
        <v>9943.9370000000017</v>
      </c>
      <c r="J38" s="154" t="s">
        <v>2457</v>
      </c>
      <c r="K38" s="157">
        <v>5800360903</v>
      </c>
      <c r="L38" s="227">
        <v>12851.369362011381</v>
      </c>
      <c r="M38" s="154" t="s">
        <v>2457</v>
      </c>
      <c r="N38" s="227">
        <f t="shared" si="8"/>
        <v>0</v>
      </c>
      <c r="O38" s="152">
        <f t="shared" si="9"/>
        <v>702308.95099999965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2479</v>
      </c>
      <c r="I39" s="152"/>
      <c r="J39" s="154"/>
      <c r="K39" s="157">
        <v>5800360884</v>
      </c>
      <c r="L39" s="227">
        <v>912.57063798861998</v>
      </c>
      <c r="M39" s="157" t="s">
        <v>2458</v>
      </c>
      <c r="N39" s="227">
        <f>C9+N38-I39-L39</f>
        <v>86886.764362011381</v>
      </c>
      <c r="O39" s="152">
        <f t="shared" si="9"/>
        <v>701396.38036201103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2479</v>
      </c>
      <c r="I40" s="152"/>
      <c r="J40" s="154"/>
      <c r="K40" s="157">
        <v>5800360884</v>
      </c>
      <c r="L40" s="227">
        <v>13089.255999999999</v>
      </c>
      <c r="M40" s="157" t="s">
        <v>2458</v>
      </c>
      <c r="N40" s="227">
        <f t="shared" si="8"/>
        <v>73797.508362011387</v>
      </c>
      <c r="O40" s="152">
        <f t="shared" si="9"/>
        <v>688307.12436201097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2479</v>
      </c>
      <c r="I41" s="152"/>
      <c r="J41" s="157"/>
      <c r="K41" s="157">
        <v>5800360884</v>
      </c>
      <c r="L41" s="227">
        <v>13054.221</v>
      </c>
      <c r="M41" s="157" t="s">
        <v>2458</v>
      </c>
      <c r="N41" s="227">
        <f t="shared" si="8"/>
        <v>60743.28736201139</v>
      </c>
      <c r="O41" s="152">
        <f t="shared" si="9"/>
        <v>675252.90336201095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2479</v>
      </c>
      <c r="I42" s="152"/>
      <c r="J42" s="157"/>
      <c r="K42" s="157">
        <v>5800360884</v>
      </c>
      <c r="L42" s="227">
        <v>14492.678</v>
      </c>
      <c r="M42" s="157" t="s">
        <v>2458</v>
      </c>
      <c r="N42" s="227">
        <f t="shared" si="8"/>
        <v>46250.60936201139</v>
      </c>
      <c r="O42" s="152">
        <f t="shared" si="9"/>
        <v>660760.225362011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2479</v>
      </c>
      <c r="I43" s="152"/>
      <c r="J43" s="157"/>
      <c r="K43" s="157">
        <v>5800360884</v>
      </c>
      <c r="L43" s="227">
        <v>4181.2349999999997</v>
      </c>
      <c r="M43" s="157" t="s">
        <v>2458</v>
      </c>
      <c r="N43" s="227">
        <f t="shared" si="8"/>
        <v>42069.374362011389</v>
      </c>
      <c r="O43" s="152">
        <f t="shared" si="9"/>
        <v>656578.99036201101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2479</v>
      </c>
      <c r="I44" s="152"/>
      <c r="J44" s="157"/>
      <c r="K44" s="157">
        <v>5800360884</v>
      </c>
      <c r="L44" s="227">
        <v>8437.5450000000001</v>
      </c>
      <c r="M44" s="157" t="s">
        <v>2458</v>
      </c>
      <c r="N44" s="227">
        <f t="shared" si="2"/>
        <v>33631.829362011391</v>
      </c>
      <c r="O44" s="152">
        <f t="shared" si="3"/>
        <v>648141.44536201097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2479</v>
      </c>
      <c r="I45" s="152"/>
      <c r="J45" s="157"/>
      <c r="K45" s="157">
        <v>5800360884</v>
      </c>
      <c r="L45" s="227">
        <v>14511.64</v>
      </c>
      <c r="M45" s="157" t="s">
        <v>2458</v>
      </c>
      <c r="N45" s="227">
        <f t="shared" si="2"/>
        <v>19120.189362011391</v>
      </c>
      <c r="O45" s="152">
        <f t="shared" si="3"/>
        <v>633629.80536201096</v>
      </c>
    </row>
    <row r="46" spans="1:15" x14ac:dyDescent="0.15">
      <c r="A46" s="154"/>
      <c r="B46" s="151"/>
      <c r="C46" s="152"/>
      <c r="D46" s="323" t="s">
        <v>2480</v>
      </c>
      <c r="E46" s="154" t="s">
        <v>72</v>
      </c>
      <c r="F46" s="157" t="s">
        <v>2507</v>
      </c>
      <c r="G46" s="152">
        <v>43747.012000000046</v>
      </c>
      <c r="H46" s="323" t="s">
        <v>2480</v>
      </c>
      <c r="I46" s="152">
        <v>12328.127</v>
      </c>
      <c r="J46" s="157" t="s">
        <v>2458</v>
      </c>
      <c r="K46" s="157">
        <v>5800360884</v>
      </c>
      <c r="L46" s="227">
        <v>6792.0623620113911</v>
      </c>
      <c r="M46" s="157" t="s">
        <v>2458</v>
      </c>
      <c r="N46" s="227">
        <f t="shared" ref="N46:N51" si="10">+N45-I46-L46</f>
        <v>0</v>
      </c>
      <c r="O46" s="152">
        <f t="shared" ref="O46:O51" si="11">O45+G46-I46-L46</f>
        <v>658256.62799999956</v>
      </c>
    </row>
    <row r="47" spans="1:15" x14ac:dyDescent="0.15">
      <c r="A47" s="154"/>
      <c r="B47" s="151"/>
      <c r="C47" s="152"/>
      <c r="D47" s="323" t="s">
        <v>2480</v>
      </c>
      <c r="E47" s="154" t="s">
        <v>72</v>
      </c>
      <c r="F47" s="157" t="s">
        <v>2508</v>
      </c>
      <c r="G47" s="152">
        <v>175455.22899999999</v>
      </c>
      <c r="H47" s="323" t="s">
        <v>2480</v>
      </c>
      <c r="I47" s="152"/>
      <c r="J47" s="154"/>
      <c r="K47" s="157">
        <v>5800360884</v>
      </c>
      <c r="L47" s="227">
        <v>6506.84463798861</v>
      </c>
      <c r="M47" s="154" t="s">
        <v>2459</v>
      </c>
      <c r="N47" s="227">
        <f>C10+G12+N46-I47-L47</f>
        <v>125175.3853620114</v>
      </c>
      <c r="O47" s="152">
        <f t="shared" si="11"/>
        <v>827205.01236201101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2480</v>
      </c>
      <c r="I48" s="152"/>
      <c r="J48" s="157"/>
      <c r="K48" s="157">
        <v>5800360884</v>
      </c>
      <c r="L48" s="227">
        <v>13187.974</v>
      </c>
      <c r="M48" s="154" t="s">
        <v>2459</v>
      </c>
      <c r="N48" s="227">
        <f t="shared" si="10"/>
        <v>111987.41136201139</v>
      </c>
      <c r="O48" s="152">
        <f t="shared" si="11"/>
        <v>814017.03836201096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2480</v>
      </c>
      <c r="I49" s="152"/>
      <c r="J49" s="157"/>
      <c r="K49" s="157">
        <v>5800360884</v>
      </c>
      <c r="L49" s="227">
        <v>13209.960999999999</v>
      </c>
      <c r="M49" s="154" t="s">
        <v>2459</v>
      </c>
      <c r="N49" s="227">
        <f t="shared" si="10"/>
        <v>98777.450362011397</v>
      </c>
      <c r="O49" s="152">
        <f t="shared" si="11"/>
        <v>800807.07736201095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2480</v>
      </c>
      <c r="I50" s="152"/>
      <c r="J50" s="157"/>
      <c r="K50" s="157">
        <v>5800360884</v>
      </c>
      <c r="L50" s="227">
        <v>15597.508</v>
      </c>
      <c r="M50" s="154" t="s">
        <v>2459</v>
      </c>
      <c r="N50" s="227">
        <f t="shared" si="10"/>
        <v>83179.942362011396</v>
      </c>
      <c r="O50" s="152">
        <f t="shared" si="11"/>
        <v>785209.56936201092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2480</v>
      </c>
      <c r="I51" s="152"/>
      <c r="J51" s="154"/>
      <c r="K51" s="157">
        <v>5800360884</v>
      </c>
      <c r="L51" s="227">
        <v>11602.939</v>
      </c>
      <c r="M51" s="154" t="s">
        <v>2459</v>
      </c>
      <c r="N51" s="227">
        <f t="shared" si="10"/>
        <v>71577.003362011397</v>
      </c>
      <c r="O51" s="152">
        <f t="shared" si="11"/>
        <v>773606.63036201091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2480</v>
      </c>
      <c r="I52" s="152"/>
      <c r="J52" s="157"/>
      <c r="K52" s="157">
        <v>5800360884</v>
      </c>
      <c r="L52" s="227">
        <v>15036.375</v>
      </c>
      <c r="M52" s="154" t="s">
        <v>2459</v>
      </c>
      <c r="N52" s="227">
        <f t="shared" si="2"/>
        <v>56540.628362011397</v>
      </c>
      <c r="O52" s="152">
        <f t="shared" si="3"/>
        <v>758570.25536201091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2480</v>
      </c>
      <c r="I53" s="152"/>
      <c r="J53" s="157"/>
      <c r="K53" s="157">
        <v>5800360884</v>
      </c>
      <c r="L53" s="227">
        <v>13349.231</v>
      </c>
      <c r="M53" s="154" t="s">
        <v>2459</v>
      </c>
      <c r="N53" s="227">
        <f t="shared" si="2"/>
        <v>43191.397362011397</v>
      </c>
      <c r="O53" s="152">
        <f t="shared" si="3"/>
        <v>745221.02436201088</v>
      </c>
    </row>
    <row r="54" spans="1:15" x14ac:dyDescent="0.15">
      <c r="A54" s="154"/>
      <c r="B54" s="151"/>
      <c r="C54" s="152"/>
      <c r="D54" s="323" t="s">
        <v>2481</v>
      </c>
      <c r="E54" s="154" t="s">
        <v>72</v>
      </c>
      <c r="F54" s="157" t="s">
        <v>2508</v>
      </c>
      <c r="G54" s="152">
        <v>175525.72899999999</v>
      </c>
      <c r="H54" s="323" t="s">
        <v>2481</v>
      </c>
      <c r="I54" s="152">
        <v>13227.156999999999</v>
      </c>
      <c r="J54" s="154" t="s">
        <v>2459</v>
      </c>
      <c r="K54" s="157">
        <v>5800360884</v>
      </c>
      <c r="L54" s="227">
        <v>13095.611999999999</v>
      </c>
      <c r="M54" s="154" t="s">
        <v>2459</v>
      </c>
      <c r="N54" s="227">
        <f t="shared" si="2"/>
        <v>16868.628362011397</v>
      </c>
      <c r="O54" s="152">
        <f t="shared" si="3"/>
        <v>894423.98436201096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2481</v>
      </c>
      <c r="I55" s="152"/>
      <c r="J55" s="157"/>
      <c r="K55" s="157">
        <v>5800360884</v>
      </c>
      <c r="L55" s="227">
        <v>16868.628362011397</v>
      </c>
      <c r="M55" s="154" t="s">
        <v>2459</v>
      </c>
      <c r="N55" s="227">
        <f t="shared" ref="N55:N61" si="12">+N54-I55-L55</f>
        <v>0</v>
      </c>
      <c r="O55" s="152">
        <f t="shared" ref="O55:O61" si="13">O54+G55-I55-L55</f>
        <v>877555.35599999956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2481</v>
      </c>
      <c r="I56" s="152"/>
      <c r="J56" s="157"/>
      <c r="K56" s="157">
        <v>5800360884</v>
      </c>
      <c r="L56" s="227">
        <v>18149.7496379886</v>
      </c>
      <c r="M56" s="157" t="s">
        <v>2507</v>
      </c>
      <c r="N56" s="227">
        <f>G21+G31+G38+G46+N55-I56-L56</f>
        <v>508424.64836201142</v>
      </c>
      <c r="O56" s="152">
        <f t="shared" si="13"/>
        <v>859405.60636201093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2481</v>
      </c>
      <c r="I57" s="152"/>
      <c r="J57" s="157"/>
      <c r="K57" s="157">
        <v>5800360884</v>
      </c>
      <c r="L57" s="227">
        <v>13058.582</v>
      </c>
      <c r="M57" s="157" t="s">
        <v>2507</v>
      </c>
      <c r="N57" s="227">
        <f t="shared" si="12"/>
        <v>495366.06636201142</v>
      </c>
      <c r="O57" s="152">
        <f t="shared" si="13"/>
        <v>846347.02436201088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2481</v>
      </c>
      <c r="I58" s="152"/>
      <c r="J58" s="157"/>
      <c r="K58" s="157">
        <v>5800360884</v>
      </c>
      <c r="L58" s="227">
        <v>18349.87</v>
      </c>
      <c r="M58" s="157" t="s">
        <v>2507</v>
      </c>
      <c r="N58" s="227">
        <f t="shared" si="12"/>
        <v>477016.19636201143</v>
      </c>
      <c r="O58" s="152">
        <f t="shared" si="13"/>
        <v>827997.15436201089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2481</v>
      </c>
      <c r="I59" s="152"/>
      <c r="J59" s="157"/>
      <c r="K59" s="157">
        <v>5800360884</v>
      </c>
      <c r="L59" s="227">
        <v>11524.339</v>
      </c>
      <c r="M59" s="157" t="s">
        <v>2507</v>
      </c>
      <c r="N59" s="227">
        <f t="shared" si="12"/>
        <v>465491.85736201145</v>
      </c>
      <c r="O59" s="152">
        <f t="shared" si="13"/>
        <v>816472.81536201085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2481</v>
      </c>
      <c r="I60" s="152"/>
      <c r="J60" s="157"/>
      <c r="K60" s="157">
        <v>5800360884</v>
      </c>
      <c r="L60" s="227">
        <v>8235.6740000000009</v>
      </c>
      <c r="M60" s="157" t="s">
        <v>2507</v>
      </c>
      <c r="N60" s="227">
        <f t="shared" si="12"/>
        <v>457256.18336201145</v>
      </c>
      <c r="O60" s="152">
        <f t="shared" si="13"/>
        <v>808237.14136201085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2481</v>
      </c>
      <c r="I61" s="152"/>
      <c r="J61" s="157"/>
      <c r="K61" s="157">
        <v>5800360884</v>
      </c>
      <c r="L61" s="227">
        <v>14646.647000000001</v>
      </c>
      <c r="M61" s="157" t="s">
        <v>2507</v>
      </c>
      <c r="N61" s="227">
        <f t="shared" si="12"/>
        <v>442609.53636201145</v>
      </c>
      <c r="O61" s="152">
        <f t="shared" si="13"/>
        <v>793590.49436201085</v>
      </c>
    </row>
    <row r="62" spans="1:15" x14ac:dyDescent="0.15">
      <c r="A62" s="154"/>
      <c r="B62" s="151"/>
      <c r="C62" s="152"/>
      <c r="D62" s="323" t="s">
        <v>2482</v>
      </c>
      <c r="E62" s="154" t="s">
        <v>72</v>
      </c>
      <c r="F62" s="157" t="s">
        <v>2508</v>
      </c>
      <c r="G62" s="152">
        <v>77710.868999999191</v>
      </c>
      <c r="H62" s="323" t="s">
        <v>2482</v>
      </c>
      <c r="I62" s="152">
        <v>10283.785</v>
      </c>
      <c r="J62" s="157" t="s">
        <v>2507</v>
      </c>
      <c r="K62" s="157">
        <v>5800360884</v>
      </c>
      <c r="L62" s="227">
        <v>12829.494000000001</v>
      </c>
      <c r="M62" s="157" t="s">
        <v>2507</v>
      </c>
      <c r="N62" s="227">
        <f t="shared" si="2"/>
        <v>419496.25736201147</v>
      </c>
      <c r="O62" s="152">
        <f t="shared" si="3"/>
        <v>848188.08436201012</v>
      </c>
    </row>
    <row r="63" spans="1:15" x14ac:dyDescent="0.15">
      <c r="A63" s="154"/>
      <c r="B63" s="151"/>
      <c r="C63" s="152"/>
      <c r="D63" s="323" t="s">
        <v>2482</v>
      </c>
      <c r="E63" s="154" t="s">
        <v>72</v>
      </c>
      <c r="F63" s="157" t="s">
        <v>2509</v>
      </c>
      <c r="G63" s="152">
        <v>97645.865000000806</v>
      </c>
      <c r="H63" s="323" t="s">
        <v>2482</v>
      </c>
      <c r="I63" s="152"/>
      <c r="J63" s="157"/>
      <c r="K63" s="157">
        <v>5800360884</v>
      </c>
      <c r="L63" s="227">
        <v>12134.846</v>
      </c>
      <c r="M63" s="157" t="s">
        <v>2507</v>
      </c>
      <c r="N63" s="227">
        <f t="shared" si="2"/>
        <v>407361.41136201145</v>
      </c>
      <c r="O63" s="152">
        <f t="shared" si="3"/>
        <v>933699.10336201091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2482</v>
      </c>
      <c r="I64" s="152"/>
      <c r="J64" s="157"/>
      <c r="K64" s="157">
        <v>5800360884</v>
      </c>
      <c r="L64" s="227">
        <v>12618.601000000001</v>
      </c>
      <c r="M64" s="157" t="s">
        <v>2507</v>
      </c>
      <c r="N64" s="227">
        <f t="shared" si="2"/>
        <v>394742.81036201143</v>
      </c>
      <c r="O64" s="152">
        <f t="shared" si="3"/>
        <v>921080.50236201088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2482</v>
      </c>
      <c r="I65" s="152"/>
      <c r="J65" s="157"/>
      <c r="K65" s="157">
        <v>5800360884</v>
      </c>
      <c r="L65" s="227">
        <v>12003.912</v>
      </c>
      <c r="M65" s="157" t="s">
        <v>2507</v>
      </c>
      <c r="N65" s="227">
        <f t="shared" si="2"/>
        <v>382738.89836201142</v>
      </c>
      <c r="O65" s="152">
        <f t="shared" si="3"/>
        <v>909076.59036201087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2482</v>
      </c>
      <c r="I66" s="152"/>
      <c r="J66" s="157"/>
      <c r="K66" s="157">
        <v>5800360884</v>
      </c>
      <c r="L66" s="227">
        <v>12229.798000000001</v>
      </c>
      <c r="M66" s="157" t="s">
        <v>2507</v>
      </c>
      <c r="N66" s="227">
        <f t="shared" si="2"/>
        <v>370509.10036201141</v>
      </c>
      <c r="O66" s="152">
        <f t="shared" si="3"/>
        <v>896846.79236201092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2482</v>
      </c>
      <c r="I67" s="152"/>
      <c r="J67" s="157"/>
      <c r="K67" s="157">
        <v>5800360884</v>
      </c>
      <c r="L67" s="227">
        <v>10001.928</v>
      </c>
      <c r="M67" s="157" t="s">
        <v>2507</v>
      </c>
      <c r="N67" s="227">
        <f t="shared" si="2"/>
        <v>360507.17236201139</v>
      </c>
      <c r="O67" s="152">
        <f t="shared" si="3"/>
        <v>886844.86436201097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2482</v>
      </c>
      <c r="I68" s="152"/>
      <c r="J68" s="157"/>
      <c r="K68" s="157">
        <v>5800360884</v>
      </c>
      <c r="L68" s="227">
        <v>15230.276</v>
      </c>
      <c r="M68" s="157" t="s">
        <v>2507</v>
      </c>
      <c r="N68" s="227">
        <f t="shared" si="2"/>
        <v>345276.89636201138</v>
      </c>
      <c r="O68" s="152">
        <f t="shared" si="3"/>
        <v>871614.58836201101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2482</v>
      </c>
      <c r="I69" s="152"/>
      <c r="J69" s="157"/>
      <c r="K69" s="157">
        <v>5800360884</v>
      </c>
      <c r="L69" s="227">
        <v>12929.442999999999</v>
      </c>
      <c r="M69" s="157" t="s">
        <v>2507</v>
      </c>
      <c r="N69" s="227">
        <f t="shared" si="2"/>
        <v>332347.45336201135</v>
      </c>
      <c r="O69" s="152">
        <f t="shared" si="3"/>
        <v>858685.14536201104</v>
      </c>
    </row>
    <row r="70" spans="1:15" x14ac:dyDescent="0.15">
      <c r="A70" s="154"/>
      <c r="B70" s="151"/>
      <c r="C70" s="152"/>
      <c r="D70" s="323" t="s">
        <v>2483</v>
      </c>
      <c r="E70" s="154" t="s">
        <v>72</v>
      </c>
      <c r="F70" s="157" t="s">
        <v>2509</v>
      </c>
      <c r="G70" s="152">
        <v>87726.434999999998</v>
      </c>
      <c r="H70" s="323" t="s">
        <v>2483</v>
      </c>
      <c r="I70" s="152">
        <v>12591.275</v>
      </c>
      <c r="J70" s="157" t="s">
        <v>2507</v>
      </c>
      <c r="K70" s="157">
        <v>5800360884</v>
      </c>
      <c r="L70" s="227">
        <v>36035.383999999998</v>
      </c>
      <c r="M70" s="157" t="s">
        <v>2507</v>
      </c>
      <c r="N70" s="227">
        <f t="shared" si="2"/>
        <v>283720.79436201131</v>
      </c>
      <c r="O70" s="152">
        <f t="shared" si="3"/>
        <v>897784.92136201099</v>
      </c>
    </row>
    <row r="71" spans="1:15" x14ac:dyDescent="0.15">
      <c r="A71" s="154"/>
      <c r="B71" s="151"/>
      <c r="C71" s="152"/>
      <c r="D71" s="323" t="s">
        <v>2483</v>
      </c>
      <c r="E71" s="154" t="s">
        <v>72</v>
      </c>
      <c r="F71" s="157" t="s">
        <v>2510</v>
      </c>
      <c r="G71" s="152">
        <v>87803.28</v>
      </c>
      <c r="H71" s="323" t="s">
        <v>2483</v>
      </c>
      <c r="I71" s="152"/>
      <c r="J71" s="157"/>
      <c r="K71" s="157">
        <v>5800360884</v>
      </c>
      <c r="L71" s="227">
        <v>13125.675999999999</v>
      </c>
      <c r="M71" s="157" t="s">
        <v>2507</v>
      </c>
      <c r="N71" s="227">
        <f t="shared" si="2"/>
        <v>270595.11836201133</v>
      </c>
      <c r="O71" s="152">
        <f t="shared" si="3"/>
        <v>972462.52536201105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2483</v>
      </c>
      <c r="I72" s="152"/>
      <c r="J72" s="157"/>
      <c r="K72" s="157">
        <v>5800360884</v>
      </c>
      <c r="L72" s="227">
        <v>11798.215</v>
      </c>
      <c r="M72" s="157" t="s">
        <v>2507</v>
      </c>
      <c r="N72" s="227">
        <f t="shared" si="2"/>
        <v>258796.90336201133</v>
      </c>
      <c r="O72" s="152">
        <f t="shared" si="3"/>
        <v>960664.31036201108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2483</v>
      </c>
      <c r="I73" s="152"/>
      <c r="J73" s="157"/>
      <c r="K73" s="157">
        <v>5800360884</v>
      </c>
      <c r="L73" s="227">
        <v>17766.794000000002</v>
      </c>
      <c r="M73" s="157" t="s">
        <v>2507</v>
      </c>
      <c r="N73" s="227">
        <f t="shared" si="2"/>
        <v>241030.10936201134</v>
      </c>
      <c r="O73" s="152">
        <f t="shared" si="3"/>
        <v>942897.51636201108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2483</v>
      </c>
      <c r="I74" s="152"/>
      <c r="J74" s="157"/>
      <c r="K74" s="157">
        <v>5800360884</v>
      </c>
      <c r="L74" s="227">
        <v>10712.655000000001</v>
      </c>
      <c r="M74" s="157" t="s">
        <v>2507</v>
      </c>
      <c r="N74" s="227">
        <f t="shared" si="2"/>
        <v>230317.45436201134</v>
      </c>
      <c r="O74" s="152">
        <f t="shared" si="3"/>
        <v>932184.86136201106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2483</v>
      </c>
      <c r="I75" s="152"/>
      <c r="J75" s="157"/>
      <c r="K75" s="157">
        <v>5800360884</v>
      </c>
      <c r="L75" s="227">
        <v>8343.616</v>
      </c>
      <c r="M75" s="157" t="s">
        <v>2507</v>
      </c>
      <c r="N75" s="227">
        <f t="shared" si="2"/>
        <v>221973.83836201133</v>
      </c>
      <c r="O75" s="152">
        <f t="shared" si="3"/>
        <v>923841.24536201102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2483</v>
      </c>
      <c r="I76" s="152"/>
      <c r="J76" s="157"/>
      <c r="K76" s="157">
        <v>5800360884</v>
      </c>
      <c r="L76" s="227">
        <v>2372.3159999999998</v>
      </c>
      <c r="M76" s="157" t="s">
        <v>2507</v>
      </c>
      <c r="N76" s="227">
        <f t="shared" si="2"/>
        <v>219601.52236201134</v>
      </c>
      <c r="O76" s="152">
        <f t="shared" si="3"/>
        <v>921468.92936201103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2484</v>
      </c>
      <c r="I77" s="152">
        <v>13182.003000000001</v>
      </c>
      <c r="J77" s="157" t="s">
        <v>2507</v>
      </c>
      <c r="K77" s="157">
        <v>5800360884</v>
      </c>
      <c r="L77" s="227">
        <v>12575.736000000001</v>
      </c>
      <c r="M77" s="157" t="s">
        <v>2507</v>
      </c>
      <c r="N77" s="227">
        <f t="shared" si="2"/>
        <v>193843.78336201134</v>
      </c>
      <c r="O77" s="152">
        <f t="shared" si="3"/>
        <v>895711.19036201097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2484</v>
      </c>
      <c r="I78" s="152"/>
      <c r="J78" s="157"/>
      <c r="K78" s="157">
        <v>5800360884</v>
      </c>
      <c r="L78" s="227">
        <v>13543.717000000001</v>
      </c>
      <c r="M78" s="157" t="s">
        <v>2507</v>
      </c>
      <c r="N78" s="227">
        <f t="shared" si="2"/>
        <v>180300.06636201133</v>
      </c>
      <c r="O78" s="152">
        <f t="shared" si="3"/>
        <v>882167.47336201102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2484</v>
      </c>
      <c r="I79" s="152"/>
      <c r="J79" s="157"/>
      <c r="K79" s="157">
        <v>5800360884</v>
      </c>
      <c r="L79" s="227">
        <v>13923.101000000001</v>
      </c>
      <c r="M79" s="157" t="s">
        <v>2507</v>
      </c>
      <c r="N79" s="227">
        <f t="shared" ref="N79:N143" si="14">+N78-I79-L79</f>
        <v>166376.96536201134</v>
      </c>
      <c r="O79" s="152">
        <f t="shared" ref="O79:O143" si="15">O78+G79-I79-L79</f>
        <v>868244.372362011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2484</v>
      </c>
      <c r="I80" s="152"/>
      <c r="J80" s="157"/>
      <c r="K80" s="157">
        <v>5800360884</v>
      </c>
      <c r="L80" s="227">
        <v>14424.609</v>
      </c>
      <c r="M80" s="157" t="s">
        <v>2507</v>
      </c>
      <c r="N80" s="227">
        <f t="shared" si="14"/>
        <v>151952.35636201134</v>
      </c>
      <c r="O80" s="152">
        <f t="shared" si="15"/>
        <v>853819.76336201094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2484</v>
      </c>
      <c r="I81" s="152"/>
      <c r="J81" s="157"/>
      <c r="K81" s="157">
        <v>5800360884</v>
      </c>
      <c r="L81" s="227">
        <v>15723.924999999999</v>
      </c>
      <c r="M81" s="157" t="s">
        <v>2507</v>
      </c>
      <c r="N81" s="227">
        <f t="shared" si="14"/>
        <v>136228.43136201135</v>
      </c>
      <c r="O81" s="152">
        <f t="shared" si="15"/>
        <v>838095.83836201089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2484</v>
      </c>
      <c r="I82" s="152"/>
      <c r="J82" s="157"/>
      <c r="K82" s="157">
        <v>5800360884</v>
      </c>
      <c r="L82" s="227">
        <v>10087.216</v>
      </c>
      <c r="M82" s="157" t="s">
        <v>2507</v>
      </c>
      <c r="N82" s="227">
        <f t="shared" si="14"/>
        <v>126141.21536201135</v>
      </c>
      <c r="O82" s="152">
        <f t="shared" si="15"/>
        <v>828008.62236201088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2484</v>
      </c>
      <c r="I83" s="152"/>
      <c r="J83" s="157"/>
      <c r="K83" s="157">
        <v>5800360884</v>
      </c>
      <c r="L83" s="227">
        <v>14544.623</v>
      </c>
      <c r="M83" s="157" t="s">
        <v>2507</v>
      </c>
      <c r="N83" s="227">
        <f t="shared" si="14"/>
        <v>111596.59236201135</v>
      </c>
      <c r="O83" s="152">
        <f t="shared" si="15"/>
        <v>813463.99936201086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2484</v>
      </c>
      <c r="I84" s="152"/>
      <c r="J84" s="157"/>
      <c r="K84" s="157">
        <v>5800360884</v>
      </c>
      <c r="L84" s="227">
        <v>2523.7199999999998</v>
      </c>
      <c r="M84" s="157" t="s">
        <v>2507</v>
      </c>
      <c r="N84" s="227">
        <f t="shared" si="14"/>
        <v>109072.87236201135</v>
      </c>
      <c r="O84" s="152">
        <f t="shared" si="15"/>
        <v>810940.27936201089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2484</v>
      </c>
      <c r="I85" s="152"/>
      <c r="J85" s="157"/>
      <c r="K85" s="157">
        <v>5800360884</v>
      </c>
      <c r="L85" s="227">
        <v>14447.672</v>
      </c>
      <c r="M85" s="157" t="s">
        <v>2507</v>
      </c>
      <c r="N85" s="227">
        <f t="shared" si="14"/>
        <v>94625.200362011339</v>
      </c>
      <c r="O85" s="152">
        <f t="shared" si="15"/>
        <v>796492.60736201087</v>
      </c>
    </row>
    <row r="86" spans="1:15" x14ac:dyDescent="0.15">
      <c r="A86" s="154"/>
      <c r="B86" s="151"/>
      <c r="C86" s="152"/>
      <c r="D86" s="323" t="s">
        <v>2485</v>
      </c>
      <c r="E86" s="154" t="s">
        <v>72</v>
      </c>
      <c r="F86" s="157" t="s">
        <v>2510</v>
      </c>
      <c r="G86" s="152">
        <v>87752.425000000003</v>
      </c>
      <c r="H86" s="323" t="s">
        <v>2485</v>
      </c>
      <c r="I86" s="152">
        <v>9882.9880000000012</v>
      </c>
      <c r="J86" s="157" t="s">
        <v>2507</v>
      </c>
      <c r="K86" s="157">
        <v>5800360884</v>
      </c>
      <c r="L86" s="227">
        <v>34232.639000000003</v>
      </c>
      <c r="M86" s="157" t="s">
        <v>2507</v>
      </c>
      <c r="N86" s="227">
        <f t="shared" si="14"/>
        <v>50509.573362011339</v>
      </c>
      <c r="O86" s="152">
        <f t="shared" si="15"/>
        <v>840129.40536201093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2485</v>
      </c>
      <c r="I87" s="152"/>
      <c r="J87" s="157"/>
      <c r="K87" s="157">
        <v>5800360884</v>
      </c>
      <c r="L87" s="227">
        <v>14064.867</v>
      </c>
      <c r="M87" s="157" t="s">
        <v>2507</v>
      </c>
      <c r="N87" s="227">
        <f t="shared" si="14"/>
        <v>36444.70636201134</v>
      </c>
      <c r="O87" s="152">
        <f t="shared" si="15"/>
        <v>826064.53836201096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2485</v>
      </c>
      <c r="I88" s="152"/>
      <c r="J88" s="157"/>
      <c r="K88" s="157">
        <v>5800360884</v>
      </c>
      <c r="L88" s="227">
        <v>17518.116000000002</v>
      </c>
      <c r="M88" s="157" t="s">
        <v>2507</v>
      </c>
      <c r="N88" s="227">
        <f t="shared" si="14"/>
        <v>18926.590362011339</v>
      </c>
      <c r="O88" s="152">
        <f t="shared" si="15"/>
        <v>808546.42236201093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2485</v>
      </c>
      <c r="I89" s="152"/>
      <c r="J89" s="157"/>
      <c r="K89" s="157">
        <v>5800360884</v>
      </c>
      <c r="L89" s="227">
        <v>12885.465</v>
      </c>
      <c r="M89" s="157" t="s">
        <v>2507</v>
      </c>
      <c r="N89" s="227">
        <f t="shared" ref="N89:N94" si="16">+N88-I89-L89</f>
        <v>6041.1253620113384</v>
      </c>
      <c r="O89" s="152">
        <f t="shared" ref="O89:O94" si="17">O88+G89-I89-L89</f>
        <v>795660.95736201096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2485</v>
      </c>
      <c r="I90" s="152"/>
      <c r="J90" s="157"/>
      <c r="K90" s="157">
        <v>5800360884</v>
      </c>
      <c r="L90" s="227">
        <v>6041.1253620113384</v>
      </c>
      <c r="M90" s="157" t="s">
        <v>2507</v>
      </c>
      <c r="N90" s="227">
        <f t="shared" si="16"/>
        <v>0</v>
      </c>
      <c r="O90" s="152">
        <f t="shared" si="17"/>
        <v>789619.83199999959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2485</v>
      </c>
      <c r="I91" s="152"/>
      <c r="J91" s="157"/>
      <c r="K91" s="157">
        <v>5800360903</v>
      </c>
      <c r="L91" s="227">
        <v>6565.4816379886597</v>
      </c>
      <c r="M91" s="157" t="s">
        <v>2508</v>
      </c>
      <c r="N91" s="227">
        <f>G47+G54+G62+N90-I91-L91</f>
        <v>422126.34536201053</v>
      </c>
      <c r="O91" s="152">
        <f t="shared" si="17"/>
        <v>783054.35036201088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2485</v>
      </c>
      <c r="I92" s="152"/>
      <c r="J92" s="157"/>
      <c r="K92" s="157">
        <v>5800360903</v>
      </c>
      <c r="L92" s="227">
        <v>1889.0419999999999</v>
      </c>
      <c r="M92" s="157" t="s">
        <v>2508</v>
      </c>
      <c r="N92" s="227">
        <f t="shared" si="16"/>
        <v>420237.30336201051</v>
      </c>
      <c r="O92" s="152">
        <f t="shared" si="17"/>
        <v>781165.30836201087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2485</v>
      </c>
      <c r="I93" s="152"/>
      <c r="J93" s="157"/>
      <c r="K93" s="157">
        <v>5800360903</v>
      </c>
      <c r="L93" s="227">
        <v>12416.703</v>
      </c>
      <c r="M93" s="157" t="s">
        <v>2508</v>
      </c>
      <c r="N93" s="227">
        <f t="shared" si="16"/>
        <v>407820.60036201053</v>
      </c>
      <c r="O93" s="152">
        <f t="shared" si="17"/>
        <v>768748.60536201089</v>
      </c>
    </row>
    <row r="94" spans="1:15" x14ac:dyDescent="0.15">
      <c r="A94" s="154"/>
      <c r="B94" s="151"/>
      <c r="C94" s="152"/>
      <c r="D94" s="323" t="s">
        <v>2486</v>
      </c>
      <c r="E94" s="154" t="s">
        <v>72</v>
      </c>
      <c r="F94" s="157" t="s">
        <v>2511</v>
      </c>
      <c r="G94" s="152">
        <v>87833.673999999999</v>
      </c>
      <c r="H94" s="323" t="s">
        <v>2486</v>
      </c>
      <c r="I94" s="152">
        <v>12981.416999999999</v>
      </c>
      <c r="J94" s="157" t="s">
        <v>2508</v>
      </c>
      <c r="K94" s="157">
        <v>5800360903</v>
      </c>
      <c r="L94" s="227">
        <v>13361.224</v>
      </c>
      <c r="M94" s="157" t="s">
        <v>2508</v>
      </c>
      <c r="N94" s="227">
        <f t="shared" si="16"/>
        <v>381477.95936201053</v>
      </c>
      <c r="O94" s="152">
        <f t="shared" si="17"/>
        <v>830239.63836201082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2486</v>
      </c>
      <c r="I95" s="152"/>
      <c r="J95" s="157"/>
      <c r="K95" s="157">
        <v>5800360903</v>
      </c>
      <c r="L95" s="227">
        <v>14474.659</v>
      </c>
      <c r="M95" s="157" t="s">
        <v>2508</v>
      </c>
      <c r="N95" s="227">
        <f t="shared" si="14"/>
        <v>367003.30036201054</v>
      </c>
      <c r="O95" s="152">
        <f t="shared" si="15"/>
        <v>815764.97936201084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2486</v>
      </c>
      <c r="I96" s="152"/>
      <c r="J96" s="157"/>
      <c r="K96" s="157">
        <v>5800360903</v>
      </c>
      <c r="L96" s="227">
        <v>12253.786</v>
      </c>
      <c r="M96" s="157" t="s">
        <v>2508</v>
      </c>
      <c r="N96" s="227">
        <f t="shared" si="14"/>
        <v>354749.51436201052</v>
      </c>
      <c r="O96" s="152">
        <f t="shared" si="15"/>
        <v>803511.19336201088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2486</v>
      </c>
      <c r="I97" s="152"/>
      <c r="J97" s="157"/>
      <c r="K97" s="157">
        <v>5800360903</v>
      </c>
      <c r="L97" s="227">
        <v>13075.369000000001</v>
      </c>
      <c r="M97" s="157" t="s">
        <v>2508</v>
      </c>
      <c r="N97" s="227">
        <f t="shared" si="14"/>
        <v>341674.14536201052</v>
      </c>
      <c r="O97" s="152">
        <f t="shared" si="15"/>
        <v>790435.82436201093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2486</v>
      </c>
      <c r="I98" s="152"/>
      <c r="J98" s="157"/>
      <c r="K98" s="157">
        <v>5800360903</v>
      </c>
      <c r="L98" s="227">
        <v>8907.4830000000002</v>
      </c>
      <c r="M98" s="157" t="s">
        <v>2508</v>
      </c>
      <c r="N98" s="227">
        <f t="shared" si="14"/>
        <v>332766.66236201051</v>
      </c>
      <c r="O98" s="152">
        <f t="shared" si="15"/>
        <v>781528.34136201092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2486</v>
      </c>
      <c r="I99" s="152"/>
      <c r="J99" s="157"/>
      <c r="K99" s="157">
        <v>5800360903</v>
      </c>
      <c r="L99" s="227">
        <v>13153.329</v>
      </c>
      <c r="M99" s="157" t="s">
        <v>2508</v>
      </c>
      <c r="N99" s="227">
        <f t="shared" si="14"/>
        <v>319613.33336201048</v>
      </c>
      <c r="O99" s="152">
        <f t="shared" si="15"/>
        <v>768375.01236201089</v>
      </c>
    </row>
    <row r="100" spans="1:15" x14ac:dyDescent="0.15">
      <c r="A100" s="154"/>
      <c r="B100" s="151"/>
      <c r="C100" s="152"/>
      <c r="D100" s="323" t="s">
        <v>2487</v>
      </c>
      <c r="E100" s="154" t="s">
        <v>72</v>
      </c>
      <c r="F100" s="157" t="s">
        <v>2511</v>
      </c>
      <c r="G100" s="152">
        <v>87691.857999999993</v>
      </c>
      <c r="H100" s="323" t="s">
        <v>2487</v>
      </c>
      <c r="I100" s="152">
        <v>10962.471000000001</v>
      </c>
      <c r="J100" s="157" t="s">
        <v>2508</v>
      </c>
      <c r="K100" s="157">
        <v>5800360903</v>
      </c>
      <c r="L100" s="227">
        <v>14079.41</v>
      </c>
      <c r="M100" s="157" t="s">
        <v>2508</v>
      </c>
      <c r="N100" s="227">
        <f t="shared" si="14"/>
        <v>294571.45236201049</v>
      </c>
      <c r="O100" s="152">
        <f t="shared" si="15"/>
        <v>831024.98936201085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2487</v>
      </c>
      <c r="I101" s="152"/>
      <c r="J101" s="157"/>
      <c r="K101" s="157">
        <v>5800360903</v>
      </c>
      <c r="L101" s="227">
        <v>12580.195</v>
      </c>
      <c r="M101" s="157" t="s">
        <v>2508</v>
      </c>
      <c r="N101" s="227">
        <f t="shared" si="14"/>
        <v>281991.25736201048</v>
      </c>
      <c r="O101" s="152">
        <f t="shared" si="15"/>
        <v>818444.7943620109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2487</v>
      </c>
      <c r="I102" s="152"/>
      <c r="J102" s="157"/>
      <c r="K102" s="157">
        <v>5800360903</v>
      </c>
      <c r="L102" s="227">
        <v>13385.848</v>
      </c>
      <c r="M102" s="157" t="s">
        <v>2508</v>
      </c>
      <c r="N102" s="227">
        <f t="shared" si="14"/>
        <v>268605.40936201048</v>
      </c>
      <c r="O102" s="152">
        <f t="shared" si="15"/>
        <v>805058.9463620109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2487</v>
      </c>
      <c r="I103" s="152"/>
      <c r="J103" s="157"/>
      <c r="K103" s="157">
        <v>5800360903</v>
      </c>
      <c r="L103" s="227">
        <v>12640.243</v>
      </c>
      <c r="M103" s="157" t="s">
        <v>2508</v>
      </c>
      <c r="N103" s="227">
        <f t="shared" si="14"/>
        <v>255965.1663620105</v>
      </c>
      <c r="O103" s="152">
        <f t="shared" si="15"/>
        <v>792418.70336201089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2487</v>
      </c>
      <c r="I104" s="152"/>
      <c r="J104" s="157"/>
      <c r="K104" s="157">
        <v>5800360903</v>
      </c>
      <c r="L104" s="227">
        <v>8668.0239999999994</v>
      </c>
      <c r="M104" s="157" t="s">
        <v>2508</v>
      </c>
      <c r="N104" s="227">
        <f t="shared" si="14"/>
        <v>247297.14236201049</v>
      </c>
      <c r="O104" s="152">
        <f t="shared" si="15"/>
        <v>783750.67936201091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2487</v>
      </c>
      <c r="I105" s="152"/>
      <c r="J105" s="157"/>
      <c r="K105" s="157">
        <v>5800360903</v>
      </c>
      <c r="L105" s="227">
        <v>15364.406000000001</v>
      </c>
      <c r="M105" s="157" t="s">
        <v>2508</v>
      </c>
      <c r="N105" s="227">
        <f t="shared" si="14"/>
        <v>231932.7363620105</v>
      </c>
      <c r="O105" s="152">
        <f t="shared" si="15"/>
        <v>768386.27336201095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2487</v>
      </c>
      <c r="I106" s="152"/>
      <c r="J106" s="157"/>
      <c r="K106" s="157">
        <v>5800360903</v>
      </c>
      <c r="L106" s="227">
        <v>14103.686</v>
      </c>
      <c r="M106" s="157" t="s">
        <v>2508</v>
      </c>
      <c r="N106" s="227">
        <f t="shared" si="14"/>
        <v>217829.05036201052</v>
      </c>
      <c r="O106" s="152">
        <f t="shared" si="15"/>
        <v>754282.58736201096</v>
      </c>
    </row>
    <row r="107" spans="1:15" x14ac:dyDescent="0.15">
      <c r="A107" s="154"/>
      <c r="B107" s="151"/>
      <c r="C107" s="152"/>
      <c r="D107" s="323" t="s">
        <v>2488</v>
      </c>
      <c r="E107" s="154" t="s">
        <v>72</v>
      </c>
      <c r="F107" s="157" t="s">
        <v>2511</v>
      </c>
      <c r="G107" s="152">
        <v>87732.945999999996</v>
      </c>
      <c r="H107" s="323" t="s">
        <v>2488</v>
      </c>
      <c r="I107" s="152">
        <v>12373.616000000002</v>
      </c>
      <c r="J107" s="157" t="s">
        <v>2508</v>
      </c>
      <c r="K107" s="157">
        <v>5800360903</v>
      </c>
      <c r="L107" s="227">
        <v>40738.258000000002</v>
      </c>
      <c r="M107" s="157" t="s">
        <v>2508</v>
      </c>
      <c r="N107" s="227">
        <f t="shared" si="14"/>
        <v>164717.1763620105</v>
      </c>
      <c r="O107" s="152">
        <f t="shared" si="15"/>
        <v>788903.65936201089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2488</v>
      </c>
      <c r="I108" s="152"/>
      <c r="J108" s="157"/>
      <c r="K108" s="157">
        <v>5800360903</v>
      </c>
      <c r="L108" s="227">
        <v>14109.86</v>
      </c>
      <c r="M108" s="157" t="s">
        <v>2508</v>
      </c>
      <c r="N108" s="227">
        <f t="shared" si="14"/>
        <v>150607.31636201049</v>
      </c>
      <c r="O108" s="152">
        <f t="shared" si="15"/>
        <v>774793.7993620109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2488</v>
      </c>
      <c r="I109" s="152"/>
      <c r="J109" s="157"/>
      <c r="K109" s="157">
        <v>5800360903</v>
      </c>
      <c r="L109" s="227">
        <v>17061.457999999999</v>
      </c>
      <c r="M109" s="157" t="s">
        <v>2508</v>
      </c>
      <c r="N109" s="227">
        <f t="shared" si="14"/>
        <v>133545.85836201051</v>
      </c>
      <c r="O109" s="152">
        <f t="shared" si="15"/>
        <v>757732.34136201092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2488</v>
      </c>
      <c r="I110" s="152"/>
      <c r="J110" s="154"/>
      <c r="K110" s="157">
        <v>5800360903</v>
      </c>
      <c r="L110" s="227">
        <v>12442.522000000001</v>
      </c>
      <c r="M110" s="157" t="s">
        <v>2508</v>
      </c>
      <c r="N110" s="227">
        <f t="shared" si="14"/>
        <v>121103.33636201051</v>
      </c>
      <c r="O110" s="152">
        <f t="shared" si="15"/>
        <v>745289.81936201092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2488</v>
      </c>
      <c r="I111" s="152"/>
      <c r="J111" s="157"/>
      <c r="K111" s="157">
        <v>5800360903</v>
      </c>
      <c r="L111" s="227">
        <v>8138.65</v>
      </c>
      <c r="M111" s="157" t="s">
        <v>2508</v>
      </c>
      <c r="N111" s="227">
        <f t="shared" si="14"/>
        <v>112964.68636201051</v>
      </c>
      <c r="O111" s="152">
        <f t="shared" si="15"/>
        <v>737151.1693620109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2488</v>
      </c>
      <c r="I112" s="152"/>
      <c r="J112" s="157"/>
      <c r="K112" s="157">
        <v>5800360903</v>
      </c>
      <c r="L112" s="227">
        <v>11539.634</v>
      </c>
      <c r="M112" s="157" t="s">
        <v>2508</v>
      </c>
      <c r="N112" s="227">
        <f t="shared" si="14"/>
        <v>101425.05236201051</v>
      </c>
      <c r="O112" s="152">
        <f t="shared" si="15"/>
        <v>725611.53536201094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2488</v>
      </c>
      <c r="I113" s="152"/>
      <c r="J113" s="157"/>
      <c r="K113" s="157">
        <v>5800360903</v>
      </c>
      <c r="L113" s="227">
        <v>12891.537</v>
      </c>
      <c r="M113" s="157" t="s">
        <v>2508</v>
      </c>
      <c r="N113" s="227">
        <f t="shared" si="14"/>
        <v>88533.515362010512</v>
      </c>
      <c r="O113" s="152">
        <f t="shared" si="15"/>
        <v>712719.99836201093</v>
      </c>
    </row>
    <row r="114" spans="1:15" x14ac:dyDescent="0.15">
      <c r="A114" s="154"/>
      <c r="B114" s="151"/>
      <c r="C114" s="152"/>
      <c r="D114" s="323" t="s">
        <v>2489</v>
      </c>
      <c r="E114" s="154" t="s">
        <v>72</v>
      </c>
      <c r="F114" s="157" t="s">
        <v>2512</v>
      </c>
      <c r="G114" s="152">
        <v>87919.686000000002</v>
      </c>
      <c r="H114" s="323" t="s">
        <v>2489</v>
      </c>
      <c r="I114" s="152">
        <v>13179.287</v>
      </c>
      <c r="J114" s="157" t="s">
        <v>2508</v>
      </c>
      <c r="K114" s="157">
        <v>5800360903</v>
      </c>
      <c r="L114" s="227">
        <v>13510.915999999999</v>
      </c>
      <c r="M114" s="157" t="s">
        <v>2508</v>
      </c>
      <c r="N114" s="227">
        <f t="shared" si="14"/>
        <v>61843.312362010518</v>
      </c>
      <c r="O114" s="152">
        <f t="shared" si="15"/>
        <v>773949.48136201093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2489</v>
      </c>
      <c r="I115" s="152"/>
      <c r="J115" s="157"/>
      <c r="K115" s="157">
        <v>5800360903</v>
      </c>
      <c r="L115" s="227">
        <v>13682.725</v>
      </c>
      <c r="M115" s="157" t="s">
        <v>2508</v>
      </c>
      <c r="N115" s="227">
        <f t="shared" si="14"/>
        <v>48160.587362010519</v>
      </c>
      <c r="O115" s="152">
        <f t="shared" si="15"/>
        <v>760266.75636201096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2489</v>
      </c>
      <c r="I116" s="152"/>
      <c r="J116" s="157"/>
      <c r="K116" s="157">
        <v>5800360903</v>
      </c>
      <c r="L116" s="227">
        <v>16814.227999999999</v>
      </c>
      <c r="M116" s="157" t="s">
        <v>2508</v>
      </c>
      <c r="N116" s="227">
        <f t="shared" si="14"/>
        <v>31346.35936201052</v>
      </c>
      <c r="O116" s="152">
        <f t="shared" si="15"/>
        <v>743452.52836201095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2489</v>
      </c>
      <c r="I117" s="152"/>
      <c r="J117" s="157"/>
      <c r="K117" s="157">
        <v>5800360903</v>
      </c>
      <c r="L117" s="227">
        <v>15360.851000000001</v>
      </c>
      <c r="M117" s="157" t="s">
        <v>2508</v>
      </c>
      <c r="N117" s="227">
        <f t="shared" si="14"/>
        <v>15985.50836201052</v>
      </c>
      <c r="O117" s="152">
        <f t="shared" si="15"/>
        <v>728091.67736201093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2489</v>
      </c>
      <c r="I118" s="152"/>
      <c r="J118" s="157"/>
      <c r="K118" s="157">
        <v>5800360903</v>
      </c>
      <c r="L118" s="227">
        <v>9187.7430000000004</v>
      </c>
      <c r="M118" s="157" t="s">
        <v>2508</v>
      </c>
      <c r="N118" s="227">
        <f t="shared" si="14"/>
        <v>6797.7653620105193</v>
      </c>
      <c r="O118" s="152">
        <f t="shared" si="15"/>
        <v>718903.93436201091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2489</v>
      </c>
      <c r="I119" s="152"/>
      <c r="J119" s="157"/>
      <c r="K119" s="157">
        <v>5800360903</v>
      </c>
      <c r="L119" s="227">
        <v>6797.7653620105193</v>
      </c>
      <c r="M119" s="157" t="s">
        <v>2508</v>
      </c>
      <c r="N119" s="227">
        <f t="shared" ref="N119:N124" si="18">+N118-I119-L119</f>
        <v>0</v>
      </c>
      <c r="O119" s="152">
        <f t="shared" ref="O119:O124" si="19">O118+G119-I119-L119</f>
        <v>712106.16900000034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2489</v>
      </c>
      <c r="I120" s="152"/>
      <c r="J120" s="157"/>
      <c r="K120" s="157">
        <v>5800360884</v>
      </c>
      <c r="L120" s="227">
        <v>10204.253637989499</v>
      </c>
      <c r="M120" s="157" t="s">
        <v>2509</v>
      </c>
      <c r="N120" s="227">
        <f>G63+G70+N119-I120-L120</f>
        <v>175168.04636201132</v>
      </c>
      <c r="O120" s="152">
        <f t="shared" si="19"/>
        <v>701901.91536201083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2489</v>
      </c>
      <c r="I121" s="152"/>
      <c r="J121" s="154"/>
      <c r="K121" s="157">
        <v>5800360884</v>
      </c>
      <c r="L121" s="227">
        <v>2161.587</v>
      </c>
      <c r="M121" s="157" t="s">
        <v>2509</v>
      </c>
      <c r="N121" s="227">
        <f t="shared" si="18"/>
        <v>173006.45936201132</v>
      </c>
      <c r="O121" s="152">
        <f t="shared" si="19"/>
        <v>699740.32836201077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2489</v>
      </c>
      <c r="I122" s="152"/>
      <c r="J122" s="157"/>
      <c r="K122" s="157">
        <v>5800360884</v>
      </c>
      <c r="L122" s="227">
        <v>32963.199999999997</v>
      </c>
      <c r="M122" s="157" t="s">
        <v>2509</v>
      </c>
      <c r="N122" s="227">
        <f t="shared" si="18"/>
        <v>140043.25936201133</v>
      </c>
      <c r="O122" s="152">
        <f t="shared" si="19"/>
        <v>666777.12836201082</v>
      </c>
    </row>
    <row r="123" spans="1:15" x14ac:dyDescent="0.15">
      <c r="A123" s="154"/>
      <c r="B123" s="151"/>
      <c r="C123" s="152"/>
      <c r="D123" s="323" t="s">
        <v>2490</v>
      </c>
      <c r="E123" s="154" t="s">
        <v>72</v>
      </c>
      <c r="F123" s="157" t="s">
        <v>2513</v>
      </c>
      <c r="G123" s="152">
        <v>87885.695000000007</v>
      </c>
      <c r="H123" s="323" t="s">
        <v>2490</v>
      </c>
      <c r="I123" s="152">
        <v>11107.194</v>
      </c>
      <c r="J123" s="157" t="s">
        <v>2509</v>
      </c>
      <c r="K123" s="157">
        <v>5800360884</v>
      </c>
      <c r="L123" s="227">
        <v>13619.9</v>
      </c>
      <c r="M123" s="157" t="s">
        <v>2509</v>
      </c>
      <c r="N123" s="227">
        <f t="shared" si="18"/>
        <v>115316.16536201134</v>
      </c>
      <c r="O123" s="152">
        <f t="shared" si="19"/>
        <v>729935.72936201072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2490</v>
      </c>
      <c r="I124" s="152"/>
      <c r="J124" s="157"/>
      <c r="K124" s="157">
        <v>5800360884</v>
      </c>
      <c r="L124" s="227">
        <v>17843.04</v>
      </c>
      <c r="M124" s="157" t="s">
        <v>2509</v>
      </c>
      <c r="N124" s="227">
        <f t="shared" si="18"/>
        <v>97473.125362011342</v>
      </c>
      <c r="O124" s="152">
        <f t="shared" si="19"/>
        <v>712092.68936201069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2490</v>
      </c>
      <c r="I125" s="152"/>
      <c r="J125" s="157"/>
      <c r="K125" s="157">
        <v>5800360884</v>
      </c>
      <c r="L125" s="227">
        <v>11629.892</v>
      </c>
      <c r="M125" s="157" t="s">
        <v>2509</v>
      </c>
      <c r="N125" s="227">
        <f t="shared" si="14"/>
        <v>85843.23336201135</v>
      </c>
      <c r="O125" s="152">
        <f t="shared" si="15"/>
        <v>700462.79736201069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2490</v>
      </c>
      <c r="I126" s="152"/>
      <c r="J126" s="157"/>
      <c r="K126" s="157">
        <v>5800360884</v>
      </c>
      <c r="L126" s="227">
        <v>11959.058999999999</v>
      </c>
      <c r="M126" s="157" t="s">
        <v>2509</v>
      </c>
      <c r="N126" s="227">
        <f t="shared" si="14"/>
        <v>73884.174362011356</v>
      </c>
      <c r="O126" s="152">
        <f t="shared" si="15"/>
        <v>688503.73836201068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2490</v>
      </c>
      <c r="I127" s="152"/>
      <c r="J127" s="157"/>
      <c r="K127" s="157">
        <v>5800360884</v>
      </c>
      <c r="L127" s="227">
        <v>9232.6779999999999</v>
      </c>
      <c r="M127" s="157" t="s">
        <v>2509</v>
      </c>
      <c r="N127" s="227">
        <f t="shared" si="14"/>
        <v>64651.496362011356</v>
      </c>
      <c r="O127" s="152">
        <f t="shared" si="15"/>
        <v>679271.06036201073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2490</v>
      </c>
      <c r="I128" s="152"/>
      <c r="J128" s="157"/>
      <c r="K128" s="157">
        <v>5800360884</v>
      </c>
      <c r="L128" s="227">
        <v>12575.959000000001</v>
      </c>
      <c r="M128" s="157" t="s">
        <v>2509</v>
      </c>
      <c r="N128" s="227">
        <f t="shared" si="14"/>
        <v>52075.537362011353</v>
      </c>
      <c r="O128" s="152">
        <f t="shared" si="15"/>
        <v>666695.1013620107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2490</v>
      </c>
      <c r="I129" s="152"/>
      <c r="J129" s="157"/>
      <c r="K129" s="157">
        <v>5800360884</v>
      </c>
      <c r="L129" s="227">
        <v>3729.8359999999998</v>
      </c>
      <c r="M129" s="157" t="s">
        <v>2509</v>
      </c>
      <c r="N129" s="227">
        <f t="shared" si="14"/>
        <v>48345.70136201135</v>
      </c>
      <c r="O129" s="152">
        <f t="shared" si="15"/>
        <v>662965.26536201069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2490</v>
      </c>
      <c r="I130" s="152"/>
      <c r="J130" s="157"/>
      <c r="K130" s="157">
        <v>5800360884</v>
      </c>
      <c r="L130" s="227">
        <v>15714.454</v>
      </c>
      <c r="M130" s="157" t="s">
        <v>2509</v>
      </c>
      <c r="N130" s="227">
        <f t="shared" si="14"/>
        <v>32631.247362011352</v>
      </c>
      <c r="O130" s="152">
        <f t="shared" si="15"/>
        <v>647250.81136201066</v>
      </c>
    </row>
    <row r="131" spans="1:15" x14ac:dyDescent="0.15">
      <c r="A131" s="154"/>
      <c r="B131" s="151"/>
      <c r="C131" s="152"/>
      <c r="D131" s="323" t="s">
        <v>2491</v>
      </c>
      <c r="E131" s="154" t="s">
        <v>72</v>
      </c>
      <c r="F131" s="157" t="s">
        <v>2513</v>
      </c>
      <c r="G131" s="152">
        <v>87756.744999999995</v>
      </c>
      <c r="H131" s="323" t="s">
        <v>2491</v>
      </c>
      <c r="I131" s="152">
        <v>10029.200000000001</v>
      </c>
      <c r="J131" s="157" t="s">
        <v>2509</v>
      </c>
      <c r="K131" s="157">
        <v>5800360884</v>
      </c>
      <c r="L131" s="227">
        <v>15218.626</v>
      </c>
      <c r="M131" s="157" t="s">
        <v>2509</v>
      </c>
      <c r="N131" s="227">
        <f t="shared" si="14"/>
        <v>7383.4213620113514</v>
      </c>
      <c r="O131" s="152">
        <f t="shared" si="15"/>
        <v>709759.73036201065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2491</v>
      </c>
      <c r="I132" s="152"/>
      <c r="J132" s="157"/>
      <c r="K132" s="157">
        <v>5800360884</v>
      </c>
      <c r="L132" s="227">
        <v>7383.4213620113514</v>
      </c>
      <c r="M132" s="157" t="s">
        <v>2509</v>
      </c>
      <c r="N132" s="227">
        <f t="shared" ref="N132:N137" si="20">+N131-I132-L132</f>
        <v>0</v>
      </c>
      <c r="O132" s="152">
        <f t="shared" ref="O132:O137" si="21">O131+G132-I132-L132</f>
        <v>702376.30899999931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2491</v>
      </c>
      <c r="I133" s="152"/>
      <c r="J133" s="157"/>
      <c r="K133" s="157">
        <v>5800360903</v>
      </c>
      <c r="L133" s="227">
        <v>4862.3006379886501</v>
      </c>
      <c r="M133" s="157" t="s">
        <v>2510</v>
      </c>
      <c r="N133" s="227">
        <f>G71+G86+N132-I133-L133</f>
        <v>170693.40436201135</v>
      </c>
      <c r="O133" s="152">
        <f t="shared" si="21"/>
        <v>697514.0083620107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2491</v>
      </c>
      <c r="I134" s="152"/>
      <c r="J134" s="157"/>
      <c r="K134" s="157">
        <v>5800360903</v>
      </c>
      <c r="L134" s="227">
        <v>14874.521000000001</v>
      </c>
      <c r="M134" s="157" t="s">
        <v>2510</v>
      </c>
      <c r="N134" s="227">
        <f t="shared" si="20"/>
        <v>155818.88336201134</v>
      </c>
      <c r="O134" s="152">
        <f t="shared" si="21"/>
        <v>682639.48736201075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2491</v>
      </c>
      <c r="I135" s="152"/>
      <c r="J135" s="157"/>
      <c r="K135" s="157">
        <v>5800360903</v>
      </c>
      <c r="L135" s="227">
        <v>14798.498</v>
      </c>
      <c r="M135" s="157" t="s">
        <v>2510</v>
      </c>
      <c r="N135" s="227">
        <f t="shared" si="20"/>
        <v>141020.38536201135</v>
      </c>
      <c r="O135" s="152">
        <f t="shared" si="21"/>
        <v>667840.98936201073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2491</v>
      </c>
      <c r="I136" s="152"/>
      <c r="J136" s="157"/>
      <c r="K136" s="157">
        <v>5800360903</v>
      </c>
      <c r="L136" s="227">
        <v>16011.867</v>
      </c>
      <c r="M136" s="157" t="s">
        <v>2510</v>
      </c>
      <c r="N136" s="227">
        <f t="shared" si="20"/>
        <v>125008.51836201135</v>
      </c>
      <c r="O136" s="152">
        <f t="shared" si="21"/>
        <v>651829.12236201076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2491</v>
      </c>
      <c r="I137" s="152"/>
      <c r="J137" s="157"/>
      <c r="K137" s="157">
        <v>5800360903</v>
      </c>
      <c r="L137" s="227">
        <v>10435.172</v>
      </c>
      <c r="M137" s="157" t="s">
        <v>2510</v>
      </c>
      <c r="N137" s="227">
        <f t="shared" si="20"/>
        <v>114573.34636201135</v>
      </c>
      <c r="O137" s="152">
        <f t="shared" si="21"/>
        <v>641393.95036201074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2491</v>
      </c>
      <c r="I138" s="152"/>
      <c r="J138" s="157"/>
      <c r="K138" s="157">
        <v>5800360903</v>
      </c>
      <c r="L138" s="227">
        <v>16080.844999999999</v>
      </c>
      <c r="M138" s="157" t="s">
        <v>2510</v>
      </c>
      <c r="N138" s="227">
        <f t="shared" si="14"/>
        <v>98492.501362011346</v>
      </c>
      <c r="O138" s="152">
        <f t="shared" si="15"/>
        <v>625313.10536201077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2491</v>
      </c>
      <c r="I139" s="152"/>
      <c r="J139" s="157"/>
      <c r="K139" s="157">
        <v>5800360903</v>
      </c>
      <c r="L139" s="227">
        <v>1239.3720000000001</v>
      </c>
      <c r="M139" s="157" t="s">
        <v>2510</v>
      </c>
      <c r="N139" s="227">
        <f t="shared" si="14"/>
        <v>97253.129362011343</v>
      </c>
      <c r="O139" s="152">
        <f t="shared" si="15"/>
        <v>624073.7333620108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2491</v>
      </c>
      <c r="I140" s="152"/>
      <c r="J140" s="157"/>
      <c r="K140" s="157">
        <v>5800360903</v>
      </c>
      <c r="L140" s="227">
        <v>16246.761</v>
      </c>
      <c r="M140" s="157" t="s">
        <v>2510</v>
      </c>
      <c r="N140" s="227">
        <f t="shared" si="14"/>
        <v>81006.368362011344</v>
      </c>
      <c r="O140" s="152">
        <f t="shared" si="15"/>
        <v>607826.97236201074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2491</v>
      </c>
      <c r="I141" s="152"/>
      <c r="J141" s="157"/>
      <c r="K141" s="157">
        <v>5800360903</v>
      </c>
      <c r="L141" s="227">
        <v>37221.125</v>
      </c>
      <c r="M141" s="157" t="s">
        <v>2510</v>
      </c>
      <c r="N141" s="227">
        <f t="shared" si="14"/>
        <v>43785.243362011344</v>
      </c>
      <c r="O141" s="152">
        <f t="shared" si="15"/>
        <v>570605.84736201074</v>
      </c>
    </row>
    <row r="142" spans="1:15" x14ac:dyDescent="0.15">
      <c r="A142" s="154"/>
      <c r="B142" s="151"/>
      <c r="C142" s="152"/>
      <c r="D142" s="323" t="s">
        <v>2492</v>
      </c>
      <c r="E142" s="154" t="s">
        <v>72</v>
      </c>
      <c r="F142" s="157" t="s">
        <v>2513</v>
      </c>
      <c r="G142" s="152">
        <v>87688.077000000005</v>
      </c>
      <c r="H142" s="323" t="s">
        <v>2492</v>
      </c>
      <c r="I142" s="152">
        <v>8964.7279999999992</v>
      </c>
      <c r="J142" s="157" t="s">
        <v>2510</v>
      </c>
      <c r="K142" s="157">
        <v>5800360903</v>
      </c>
      <c r="L142" s="227">
        <v>13434.168</v>
      </c>
      <c r="M142" s="157" t="s">
        <v>2510</v>
      </c>
      <c r="N142" s="227">
        <f t="shared" si="14"/>
        <v>21386.347362011344</v>
      </c>
      <c r="O142" s="152">
        <f t="shared" si="15"/>
        <v>635895.02836201084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2492</v>
      </c>
      <c r="I143" s="152"/>
      <c r="J143" s="157"/>
      <c r="K143" s="157">
        <v>5800360903</v>
      </c>
      <c r="L143" s="227">
        <v>18161.042000000001</v>
      </c>
      <c r="M143" s="157" t="s">
        <v>2510</v>
      </c>
      <c r="N143" s="227">
        <f t="shared" si="14"/>
        <v>3225.3053620113424</v>
      </c>
      <c r="O143" s="152">
        <f t="shared" si="15"/>
        <v>617733.98636201082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2492</v>
      </c>
      <c r="I144" s="152"/>
      <c r="J144" s="157"/>
      <c r="K144" s="157">
        <v>5800360903</v>
      </c>
      <c r="L144" s="227">
        <v>3225.3053620113424</v>
      </c>
      <c r="M144" s="157" t="s">
        <v>2510</v>
      </c>
      <c r="N144" s="227">
        <f t="shared" ref="N144:N149" si="22">+N143-I144-L144</f>
        <v>0</v>
      </c>
      <c r="O144" s="152">
        <f t="shared" ref="O144:O149" si="23">O143+G144-I144-L144</f>
        <v>614508.68099999952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2492</v>
      </c>
      <c r="I145" s="152"/>
      <c r="J145" s="157"/>
      <c r="K145" s="157">
        <v>5800360903</v>
      </c>
      <c r="L145" s="227">
        <v>8681.9346379886592</v>
      </c>
      <c r="M145" s="157" t="s">
        <v>2511</v>
      </c>
      <c r="N145" s="227">
        <f>G94+G100+G107+N144-I145-L145</f>
        <v>254576.54336201135</v>
      </c>
      <c r="O145" s="152">
        <f t="shared" si="23"/>
        <v>605826.74636201083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2492</v>
      </c>
      <c r="I146" s="152"/>
      <c r="J146" s="157"/>
      <c r="K146" s="157">
        <v>5800360903</v>
      </c>
      <c r="L146" s="227">
        <v>12987.456</v>
      </c>
      <c r="M146" s="157" t="s">
        <v>2511</v>
      </c>
      <c r="N146" s="227">
        <f t="shared" si="22"/>
        <v>241589.08736201134</v>
      </c>
      <c r="O146" s="152">
        <f t="shared" si="23"/>
        <v>592839.29036201083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2492</v>
      </c>
      <c r="I147" s="152"/>
      <c r="J147" s="157"/>
      <c r="K147" s="157">
        <v>5800360903</v>
      </c>
      <c r="L147" s="227">
        <v>15463.446</v>
      </c>
      <c r="M147" s="157" t="s">
        <v>2511</v>
      </c>
      <c r="N147" s="227">
        <f t="shared" si="22"/>
        <v>226125.64136201135</v>
      </c>
      <c r="O147" s="152">
        <f t="shared" si="23"/>
        <v>577375.84436201083</v>
      </c>
    </row>
    <row r="148" spans="1:15" x14ac:dyDescent="0.15">
      <c r="A148" s="154"/>
      <c r="B148" s="151"/>
      <c r="C148" s="152"/>
      <c r="D148" s="323" t="s">
        <v>2493</v>
      </c>
      <c r="E148" s="154" t="s">
        <v>72</v>
      </c>
      <c r="F148" s="157" t="s">
        <v>2514</v>
      </c>
      <c r="G148" s="152">
        <v>131705.57699999999</v>
      </c>
      <c r="H148" s="323" t="s">
        <v>2493</v>
      </c>
      <c r="I148" s="152">
        <v>11795.098</v>
      </c>
      <c r="J148" s="157" t="s">
        <v>2511</v>
      </c>
      <c r="K148" s="157">
        <v>5800360903</v>
      </c>
      <c r="L148" s="227">
        <v>13065.048000000001</v>
      </c>
      <c r="M148" s="157" t="s">
        <v>2511</v>
      </c>
      <c r="N148" s="227">
        <f t="shared" si="22"/>
        <v>201265.49536201134</v>
      </c>
      <c r="O148" s="152">
        <f t="shared" si="23"/>
        <v>684221.27536201081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2493</v>
      </c>
      <c r="I149" s="152"/>
      <c r="J149" s="157"/>
      <c r="K149" s="157">
        <v>5800360903</v>
      </c>
      <c r="L149" s="227">
        <v>12749.24</v>
      </c>
      <c r="M149" s="157" t="s">
        <v>2511</v>
      </c>
      <c r="N149" s="227">
        <f t="shared" si="22"/>
        <v>188516.25536201135</v>
      </c>
      <c r="O149" s="152">
        <f t="shared" si="23"/>
        <v>671472.03536201082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2493</v>
      </c>
      <c r="I150" s="152"/>
      <c r="J150" s="157"/>
      <c r="K150" s="157">
        <v>5800360903</v>
      </c>
      <c r="L150" s="227">
        <v>15661.468000000001</v>
      </c>
      <c r="M150" s="157" t="s">
        <v>2511</v>
      </c>
      <c r="N150" s="227">
        <f t="shared" ref="N150:N214" si="24">+N149-I150-L150</f>
        <v>172854.78736201135</v>
      </c>
      <c r="O150" s="152">
        <f t="shared" ref="O150:O214" si="25">O149+G150-I150-L150</f>
        <v>655810.56736201083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2493</v>
      </c>
      <c r="I151" s="152"/>
      <c r="J151" s="157"/>
      <c r="K151" s="157">
        <v>5800360903</v>
      </c>
      <c r="L151" s="227">
        <v>8997.5239999999994</v>
      </c>
      <c r="M151" s="157" t="s">
        <v>2511</v>
      </c>
      <c r="N151" s="227">
        <f t="shared" si="24"/>
        <v>163857.26336201135</v>
      </c>
      <c r="O151" s="152">
        <f t="shared" si="25"/>
        <v>646813.04336201085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2493</v>
      </c>
      <c r="I152" s="152"/>
      <c r="J152" s="157"/>
      <c r="K152" s="157">
        <v>5800360903</v>
      </c>
      <c r="L152" s="227">
        <v>548.61</v>
      </c>
      <c r="M152" s="157" t="s">
        <v>2511</v>
      </c>
      <c r="N152" s="227">
        <f t="shared" si="24"/>
        <v>163308.65336201136</v>
      </c>
      <c r="O152" s="152">
        <f t="shared" si="25"/>
        <v>646264.43336201087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2493</v>
      </c>
      <c r="I153" s="152"/>
      <c r="J153" s="157"/>
      <c r="K153" s="157">
        <v>5800360903</v>
      </c>
      <c r="L153" s="227">
        <v>14504.699000000001</v>
      </c>
      <c r="M153" s="157" t="s">
        <v>2511</v>
      </c>
      <c r="N153" s="227">
        <f t="shared" si="24"/>
        <v>148803.95436201137</v>
      </c>
      <c r="O153" s="152">
        <f t="shared" si="25"/>
        <v>631759.73436201084</v>
      </c>
    </row>
    <row r="154" spans="1:15" x14ac:dyDescent="0.15">
      <c r="A154" s="154"/>
      <c r="B154" s="151"/>
      <c r="C154" s="152"/>
      <c r="D154" s="323" t="s">
        <v>2494</v>
      </c>
      <c r="E154" s="154" t="s">
        <v>72</v>
      </c>
      <c r="F154" s="157" t="s">
        <v>2514</v>
      </c>
      <c r="G154" s="152">
        <v>87636.327999999994</v>
      </c>
      <c r="H154" s="323" t="s">
        <v>2494</v>
      </c>
      <c r="I154" s="152">
        <v>11823.056</v>
      </c>
      <c r="J154" s="157" t="s">
        <v>2511</v>
      </c>
      <c r="K154" s="157">
        <v>5800360903</v>
      </c>
      <c r="L154" s="227">
        <v>14198.561</v>
      </c>
      <c r="M154" s="157" t="s">
        <v>2511</v>
      </c>
      <c r="N154" s="227">
        <f t="shared" si="24"/>
        <v>122782.33736201136</v>
      </c>
      <c r="O154" s="152">
        <f t="shared" si="25"/>
        <v>693374.44536201085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2494</v>
      </c>
      <c r="I155" s="152"/>
      <c r="J155" s="157"/>
      <c r="K155" s="157">
        <v>5800360903</v>
      </c>
      <c r="L155" s="227">
        <v>13027.68</v>
      </c>
      <c r="M155" s="157" t="s">
        <v>2511</v>
      </c>
      <c r="N155" s="227">
        <f t="shared" si="24"/>
        <v>109754.65736201135</v>
      </c>
      <c r="O155" s="152">
        <f t="shared" si="25"/>
        <v>680346.7653620108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2494</v>
      </c>
      <c r="I156" s="152"/>
      <c r="J156" s="157"/>
      <c r="K156" s="157">
        <v>5800360903</v>
      </c>
      <c r="L156" s="227">
        <v>15468.432000000001</v>
      </c>
      <c r="M156" s="157" t="s">
        <v>2511</v>
      </c>
      <c r="N156" s="227">
        <f t="shared" si="24"/>
        <v>94286.225362011348</v>
      </c>
      <c r="O156" s="152">
        <f t="shared" si="25"/>
        <v>664878.33336201077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2494</v>
      </c>
      <c r="I157" s="152"/>
      <c r="J157" s="157"/>
      <c r="K157" s="157">
        <v>5800360903</v>
      </c>
      <c r="L157" s="227">
        <v>14512.529</v>
      </c>
      <c r="M157" s="157" t="s">
        <v>2511</v>
      </c>
      <c r="N157" s="227">
        <f t="shared" si="24"/>
        <v>79773.696362011353</v>
      </c>
      <c r="O157" s="152">
        <f t="shared" si="25"/>
        <v>650365.80436201079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2494</v>
      </c>
      <c r="I158" s="152"/>
      <c r="J158" s="157"/>
      <c r="K158" s="157">
        <v>5800360903</v>
      </c>
      <c r="L158" s="227">
        <v>9480.0390000000007</v>
      </c>
      <c r="M158" s="157" t="s">
        <v>2511</v>
      </c>
      <c r="N158" s="227">
        <f t="shared" si="24"/>
        <v>70293.657362011349</v>
      </c>
      <c r="O158" s="152">
        <f t="shared" si="25"/>
        <v>640885.7653620108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2494</v>
      </c>
      <c r="I159" s="152"/>
      <c r="J159" s="157"/>
      <c r="K159" s="157">
        <v>5800360903</v>
      </c>
      <c r="L159" s="227">
        <v>15799.989</v>
      </c>
      <c r="M159" s="157" t="s">
        <v>2511</v>
      </c>
      <c r="N159" s="227">
        <f t="shared" si="24"/>
        <v>54493.668362011347</v>
      </c>
      <c r="O159" s="152">
        <f t="shared" si="25"/>
        <v>625085.77636201086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2494</v>
      </c>
      <c r="I160" s="152"/>
      <c r="J160" s="157"/>
      <c r="K160" s="157">
        <v>5800360903</v>
      </c>
      <c r="L160" s="227">
        <v>1009.4880000000001</v>
      </c>
      <c r="M160" s="157" t="s">
        <v>2511</v>
      </c>
      <c r="N160" s="227">
        <f t="shared" si="24"/>
        <v>53484.18036201135</v>
      </c>
      <c r="O160" s="152">
        <f t="shared" si="25"/>
        <v>624076.28836201085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2494</v>
      </c>
      <c r="I161" s="152"/>
      <c r="J161" s="157"/>
      <c r="K161" s="157">
        <v>5800360903</v>
      </c>
      <c r="L161" s="227">
        <v>14807.492</v>
      </c>
      <c r="M161" s="157" t="s">
        <v>2511</v>
      </c>
      <c r="N161" s="227">
        <f t="shared" si="24"/>
        <v>38676.688362011351</v>
      </c>
      <c r="O161" s="152">
        <f t="shared" si="25"/>
        <v>609268.79636201088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2494</v>
      </c>
      <c r="I162" s="152"/>
      <c r="J162" s="157"/>
      <c r="K162" s="157">
        <v>5800360903</v>
      </c>
      <c r="L162" s="227">
        <v>38490.483999999997</v>
      </c>
      <c r="M162" s="157" t="s">
        <v>2511</v>
      </c>
      <c r="N162" s="227">
        <f t="shared" si="24"/>
        <v>186.20436201135453</v>
      </c>
      <c r="O162" s="152">
        <f t="shared" si="25"/>
        <v>570778.31236201082</v>
      </c>
    </row>
    <row r="163" spans="1:15" x14ac:dyDescent="0.15">
      <c r="A163" s="154"/>
      <c r="B163" s="151"/>
      <c r="C163" s="152"/>
      <c r="D163" s="323" t="s">
        <v>2495</v>
      </c>
      <c r="E163" s="154" t="s">
        <v>72</v>
      </c>
      <c r="F163" s="157" t="s">
        <v>2514</v>
      </c>
      <c r="G163" s="152">
        <v>43880.253000000012</v>
      </c>
      <c r="H163" s="323" t="s">
        <v>2495</v>
      </c>
      <c r="I163" s="152">
        <v>186.20436201135453</v>
      </c>
      <c r="J163" s="157" t="s">
        <v>2511</v>
      </c>
      <c r="K163" s="157"/>
      <c r="L163" s="227"/>
      <c r="M163" s="157"/>
      <c r="N163" s="227">
        <f t="shared" ref="N163:N167" si="26">+N162-I163-L163</f>
        <v>0</v>
      </c>
      <c r="O163" s="152">
        <f t="shared" ref="O163:O167" si="27">O162+G163-I163-L163</f>
        <v>614472.36099999945</v>
      </c>
    </row>
    <row r="164" spans="1:15" x14ac:dyDescent="0.15">
      <c r="A164" s="154"/>
      <c r="B164" s="151"/>
      <c r="C164" s="152"/>
      <c r="D164" s="323" t="s">
        <v>2495</v>
      </c>
      <c r="E164" s="154" t="s">
        <v>72</v>
      </c>
      <c r="F164" s="157" t="s">
        <v>2515</v>
      </c>
      <c r="G164" s="152">
        <v>43905.826999999997</v>
      </c>
      <c r="H164" s="323" t="s">
        <v>2495</v>
      </c>
      <c r="I164" s="152">
        <v>13038.825637988601</v>
      </c>
      <c r="J164" s="157" t="s">
        <v>2512</v>
      </c>
      <c r="K164" s="157">
        <v>5800360884</v>
      </c>
      <c r="L164" s="227">
        <v>12787.888999999999</v>
      </c>
      <c r="M164" s="157" t="s">
        <v>2512</v>
      </c>
      <c r="N164" s="227">
        <f>G114+N163-I164-L164</f>
        <v>62092.971362011405</v>
      </c>
      <c r="O164" s="152">
        <f t="shared" si="27"/>
        <v>632551.4733620109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2495</v>
      </c>
      <c r="I165" s="152"/>
      <c r="J165" s="157"/>
      <c r="K165" s="157">
        <v>5800360884</v>
      </c>
      <c r="L165" s="227">
        <v>17264.25</v>
      </c>
      <c r="M165" s="157" t="s">
        <v>2512</v>
      </c>
      <c r="N165" s="227">
        <f t="shared" si="26"/>
        <v>44828.721362011405</v>
      </c>
      <c r="O165" s="152">
        <f t="shared" si="27"/>
        <v>615287.2233620109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2495</v>
      </c>
      <c r="I166" s="152"/>
      <c r="J166" s="157"/>
      <c r="K166" s="157">
        <v>5800360884</v>
      </c>
      <c r="L166" s="227">
        <v>12207.712</v>
      </c>
      <c r="M166" s="157" t="s">
        <v>2512</v>
      </c>
      <c r="N166" s="227">
        <f t="shared" si="26"/>
        <v>32621.009362011406</v>
      </c>
      <c r="O166" s="152">
        <f t="shared" si="27"/>
        <v>603079.51136201085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2495</v>
      </c>
      <c r="I167" s="152"/>
      <c r="J167" s="157"/>
      <c r="K167" s="157">
        <v>5800360884</v>
      </c>
      <c r="L167" s="227">
        <v>8316.5290000000005</v>
      </c>
      <c r="M167" s="157" t="s">
        <v>2512</v>
      </c>
      <c r="N167" s="227">
        <f t="shared" si="26"/>
        <v>24304.480362011403</v>
      </c>
      <c r="O167" s="152">
        <f t="shared" si="27"/>
        <v>594762.98236201087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2495</v>
      </c>
      <c r="I168" s="152"/>
      <c r="J168" s="157"/>
      <c r="K168" s="157">
        <v>5800360884</v>
      </c>
      <c r="L168" s="227">
        <v>11686.513000000001</v>
      </c>
      <c r="M168" s="157" t="s">
        <v>2512</v>
      </c>
      <c r="N168" s="227">
        <f t="shared" si="24"/>
        <v>12617.967362011403</v>
      </c>
      <c r="O168" s="152">
        <f t="shared" si="25"/>
        <v>583076.46936201083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2495</v>
      </c>
      <c r="I169" s="152"/>
      <c r="J169" s="157"/>
      <c r="K169" s="157">
        <v>5800360884</v>
      </c>
      <c r="L169" s="227">
        <v>1144.0709999999999</v>
      </c>
      <c r="M169" s="157" t="s">
        <v>2512</v>
      </c>
      <c r="N169" s="227">
        <f t="shared" si="24"/>
        <v>11473.896362011403</v>
      </c>
      <c r="O169" s="152">
        <f t="shared" si="25"/>
        <v>581932.39836201083</v>
      </c>
    </row>
    <row r="170" spans="1:15" x14ac:dyDescent="0.15">
      <c r="A170" s="154"/>
      <c r="B170" s="151"/>
      <c r="C170" s="152"/>
      <c r="D170" s="323" t="s">
        <v>2496</v>
      </c>
      <c r="E170" s="154" t="s">
        <v>72</v>
      </c>
      <c r="F170" s="157" t="s">
        <v>2515</v>
      </c>
      <c r="G170" s="152">
        <v>131629.318</v>
      </c>
      <c r="H170" s="323" t="s">
        <v>2496</v>
      </c>
      <c r="I170" s="152">
        <v>11473.896362011403</v>
      </c>
      <c r="J170" s="157" t="s">
        <v>2512</v>
      </c>
      <c r="K170" s="157"/>
      <c r="L170" s="227"/>
      <c r="M170" s="157"/>
      <c r="N170" s="227">
        <f t="shared" ref="N170:N175" si="28">+N169-I170-L170</f>
        <v>0</v>
      </c>
      <c r="O170" s="152">
        <f t="shared" ref="O170:O175" si="29">O169+G170-I170-L170</f>
        <v>702087.81999999937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2496</v>
      </c>
      <c r="I171" s="152">
        <v>1253.6496379886</v>
      </c>
      <c r="J171" s="157" t="s">
        <v>2513</v>
      </c>
      <c r="K171" s="157">
        <v>5800360884</v>
      </c>
      <c r="L171" s="227">
        <v>13706.049000000001</v>
      </c>
      <c r="M171" s="157" t="s">
        <v>2513</v>
      </c>
      <c r="N171" s="227">
        <f>G123+G131+G142+N170-I171-L171</f>
        <v>248370.8183620114</v>
      </c>
      <c r="O171" s="152">
        <f t="shared" si="29"/>
        <v>687128.12136201072</v>
      </c>
    </row>
    <row r="172" spans="1:15" ht="12" customHeight="1" x14ac:dyDescent="0.15">
      <c r="A172" s="154"/>
      <c r="B172" s="151"/>
      <c r="C172" s="152"/>
      <c r="D172" s="323"/>
      <c r="E172" s="154"/>
      <c r="F172" s="157"/>
      <c r="G172" s="152"/>
      <c r="H172" s="323" t="s">
        <v>2496</v>
      </c>
      <c r="I172" s="152"/>
      <c r="J172" s="157"/>
      <c r="K172" s="157">
        <v>5800360884</v>
      </c>
      <c r="L172" s="227">
        <v>12098.864</v>
      </c>
      <c r="M172" s="157" t="s">
        <v>2513</v>
      </c>
      <c r="N172" s="227">
        <f t="shared" si="28"/>
        <v>236271.9543620114</v>
      </c>
      <c r="O172" s="152">
        <f t="shared" si="29"/>
        <v>675029.25736201077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2496</v>
      </c>
      <c r="I173" s="152"/>
      <c r="J173" s="157"/>
      <c r="K173" s="157">
        <v>5800360884</v>
      </c>
      <c r="L173" s="227">
        <v>12569.625</v>
      </c>
      <c r="M173" s="157" t="s">
        <v>2513</v>
      </c>
      <c r="N173" s="227">
        <f t="shared" si="28"/>
        <v>223702.3293620114</v>
      </c>
      <c r="O173" s="152">
        <f t="shared" si="29"/>
        <v>662459.63236201077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2496</v>
      </c>
      <c r="I174" s="152"/>
      <c r="J174" s="157"/>
      <c r="K174" s="157">
        <v>5800360884</v>
      </c>
      <c r="L174" s="227">
        <v>13583.111000000001</v>
      </c>
      <c r="M174" s="157" t="s">
        <v>2513</v>
      </c>
      <c r="N174" s="227">
        <f t="shared" si="28"/>
        <v>210119.21836201139</v>
      </c>
      <c r="O174" s="152">
        <f t="shared" si="29"/>
        <v>648876.52136201074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2496</v>
      </c>
      <c r="I175" s="152"/>
      <c r="J175" s="157"/>
      <c r="K175" s="157">
        <v>5800360884</v>
      </c>
      <c r="L175" s="227">
        <v>13735.034</v>
      </c>
      <c r="M175" s="157" t="s">
        <v>2513</v>
      </c>
      <c r="N175" s="227">
        <f t="shared" si="28"/>
        <v>196384.18436201138</v>
      </c>
      <c r="O175" s="152">
        <f t="shared" si="29"/>
        <v>635141.48736201075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2496</v>
      </c>
      <c r="I176" s="152"/>
      <c r="J176" s="157"/>
      <c r="K176" s="157">
        <v>5800360884</v>
      </c>
      <c r="L176" s="227">
        <v>15688.044</v>
      </c>
      <c r="M176" s="157" t="s">
        <v>2513</v>
      </c>
      <c r="N176" s="227">
        <f t="shared" si="24"/>
        <v>180696.14036201139</v>
      </c>
      <c r="O176" s="152">
        <f t="shared" si="25"/>
        <v>619453.44336201076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2496</v>
      </c>
      <c r="I177" s="152"/>
      <c r="J177" s="157"/>
      <c r="K177" s="157">
        <v>5800360884</v>
      </c>
      <c r="L177" s="227">
        <v>9970.9429999999993</v>
      </c>
      <c r="M177" s="157" t="s">
        <v>2513</v>
      </c>
      <c r="N177" s="227">
        <f t="shared" si="24"/>
        <v>170725.19736201139</v>
      </c>
      <c r="O177" s="152">
        <f t="shared" si="25"/>
        <v>609482.50036201079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2496</v>
      </c>
      <c r="I178" s="152"/>
      <c r="J178" s="157"/>
      <c r="K178" s="157">
        <v>5800360884</v>
      </c>
      <c r="L178" s="227">
        <v>15083.351000000001</v>
      </c>
      <c r="M178" s="157" t="s">
        <v>2513</v>
      </c>
      <c r="N178" s="227">
        <f t="shared" si="24"/>
        <v>155641.84636201139</v>
      </c>
      <c r="O178" s="152">
        <f t="shared" si="25"/>
        <v>594399.14936201076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2496</v>
      </c>
      <c r="I179" s="152"/>
      <c r="J179" s="157"/>
      <c r="K179" s="157">
        <v>5800360884</v>
      </c>
      <c r="L179" s="227">
        <v>488.75200000000001</v>
      </c>
      <c r="M179" s="157" t="s">
        <v>2513</v>
      </c>
      <c r="N179" s="227">
        <f t="shared" si="24"/>
        <v>155153.09436201138</v>
      </c>
      <c r="O179" s="152">
        <f t="shared" si="25"/>
        <v>593910.39736201079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2496</v>
      </c>
      <c r="I180" s="152"/>
      <c r="J180" s="157"/>
      <c r="K180" s="157">
        <v>5800360884</v>
      </c>
      <c r="L180" s="227">
        <v>16131.819</v>
      </c>
      <c r="M180" s="157" t="s">
        <v>2513</v>
      </c>
      <c r="N180" s="227">
        <f t="shared" si="24"/>
        <v>139021.27536201139</v>
      </c>
      <c r="O180" s="152">
        <f t="shared" si="25"/>
        <v>577778.57836201077</v>
      </c>
    </row>
    <row r="181" spans="1:15" x14ac:dyDescent="0.15">
      <c r="A181" s="154"/>
      <c r="B181" s="151"/>
      <c r="C181" s="152"/>
      <c r="D181" s="323" t="s">
        <v>2497</v>
      </c>
      <c r="E181" s="154" t="s">
        <v>72</v>
      </c>
      <c r="F181" s="157" t="s">
        <v>2515</v>
      </c>
      <c r="G181" s="152">
        <v>87645.049000000028</v>
      </c>
      <c r="H181" s="323" t="s">
        <v>2497</v>
      </c>
      <c r="I181" s="152">
        <v>10158.322</v>
      </c>
      <c r="J181" s="157" t="s">
        <v>2513</v>
      </c>
      <c r="K181" s="157">
        <v>5800360884</v>
      </c>
      <c r="L181" s="227">
        <v>14322.096</v>
      </c>
      <c r="M181" s="157" t="s">
        <v>2513</v>
      </c>
      <c r="N181" s="227">
        <f t="shared" si="24"/>
        <v>114540.85736201139</v>
      </c>
      <c r="O181" s="152">
        <f t="shared" si="25"/>
        <v>640943.2093620107</v>
      </c>
    </row>
    <row r="182" spans="1:15" x14ac:dyDescent="0.15">
      <c r="A182" s="154"/>
      <c r="B182" s="151"/>
      <c r="C182" s="152"/>
      <c r="D182" s="323" t="s">
        <v>2497</v>
      </c>
      <c r="E182" s="154" t="s">
        <v>72</v>
      </c>
      <c r="F182" s="157" t="s">
        <v>2516</v>
      </c>
      <c r="G182" s="152">
        <v>43873.61</v>
      </c>
      <c r="H182" s="323" t="s">
        <v>2497</v>
      </c>
      <c r="I182" s="152"/>
      <c r="J182" s="157"/>
      <c r="K182" s="157">
        <v>5800360884</v>
      </c>
      <c r="L182" s="227">
        <v>39162.06</v>
      </c>
      <c r="M182" s="157" t="s">
        <v>2513</v>
      </c>
      <c r="N182" s="227">
        <f t="shared" si="24"/>
        <v>75378.797362011392</v>
      </c>
      <c r="O182" s="152">
        <f t="shared" si="25"/>
        <v>645654.75936201075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2497</v>
      </c>
      <c r="I183" s="152"/>
      <c r="J183" s="157"/>
      <c r="K183" s="157">
        <v>5800360884</v>
      </c>
      <c r="L183" s="227">
        <v>13563.25</v>
      </c>
      <c r="M183" s="157" t="s">
        <v>2513</v>
      </c>
      <c r="N183" s="227">
        <f t="shared" si="24"/>
        <v>61815.547362011392</v>
      </c>
      <c r="O183" s="152">
        <f t="shared" si="25"/>
        <v>632091.50936201075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2497</v>
      </c>
      <c r="I184" s="152"/>
      <c r="J184" s="157"/>
      <c r="K184" s="157">
        <v>5800360884</v>
      </c>
      <c r="L184" s="227">
        <v>12507.464</v>
      </c>
      <c r="M184" s="157" t="s">
        <v>2513</v>
      </c>
      <c r="N184" s="227">
        <f t="shared" si="24"/>
        <v>49308.083362011392</v>
      </c>
      <c r="O184" s="152">
        <f t="shared" si="25"/>
        <v>619584.04536201071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2497</v>
      </c>
      <c r="I185" s="152"/>
      <c r="J185" s="157"/>
      <c r="K185" s="157">
        <v>5800360884</v>
      </c>
      <c r="L185" s="227">
        <v>17761.399000000001</v>
      </c>
      <c r="M185" s="157" t="s">
        <v>2513</v>
      </c>
      <c r="N185" s="227">
        <f t="shared" si="24"/>
        <v>31546.68436201139</v>
      </c>
      <c r="O185" s="152">
        <f t="shared" si="25"/>
        <v>601822.64636201074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2497</v>
      </c>
      <c r="I186" s="152"/>
      <c r="J186" s="157"/>
      <c r="K186" s="157">
        <v>5800360884</v>
      </c>
      <c r="L186" s="227">
        <v>8501.2759999999998</v>
      </c>
      <c r="M186" s="157" t="s">
        <v>2513</v>
      </c>
      <c r="N186" s="227">
        <f t="shared" si="24"/>
        <v>23045.408362011389</v>
      </c>
      <c r="O186" s="152">
        <f t="shared" si="25"/>
        <v>593321.37036201078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2497</v>
      </c>
      <c r="I187" s="152"/>
      <c r="J187" s="157"/>
      <c r="K187" s="157">
        <v>5800360884</v>
      </c>
      <c r="L187" s="227">
        <v>12338.986000000001</v>
      </c>
      <c r="M187" s="157" t="s">
        <v>2513</v>
      </c>
      <c r="N187" s="227">
        <f t="shared" si="24"/>
        <v>10706.422362011388</v>
      </c>
      <c r="O187" s="152">
        <f t="shared" si="25"/>
        <v>580982.38436201075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2497</v>
      </c>
      <c r="I188" s="152"/>
      <c r="J188" s="157"/>
      <c r="K188" s="157">
        <v>5800360884</v>
      </c>
      <c r="L188" s="227">
        <v>2380.0680000000002</v>
      </c>
      <c r="M188" s="157" t="s">
        <v>2513</v>
      </c>
      <c r="N188" s="227">
        <f t="shared" ref="N188:N196" si="30">+N187-I188-L188</f>
        <v>8326.3543620113887</v>
      </c>
      <c r="O188" s="152">
        <f t="shared" ref="O188:O196" si="31">O187+G188-I188-L188</f>
        <v>578602.31636201078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2497</v>
      </c>
      <c r="I189" s="152"/>
      <c r="J189" s="157"/>
      <c r="K189" s="157">
        <v>5800360884</v>
      </c>
      <c r="L189" s="227">
        <v>8326.3543620113887</v>
      </c>
      <c r="M189" s="157" t="s">
        <v>2513</v>
      </c>
      <c r="N189" s="227">
        <f t="shared" si="30"/>
        <v>0</v>
      </c>
      <c r="O189" s="152">
        <f t="shared" si="31"/>
        <v>570275.96199999936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2497</v>
      </c>
      <c r="I190" s="152"/>
      <c r="J190" s="157"/>
      <c r="K190" s="157">
        <v>5800360884</v>
      </c>
      <c r="L190" s="227">
        <v>5853.1376379886096</v>
      </c>
      <c r="M190" s="157" t="s">
        <v>2514</v>
      </c>
      <c r="N190" s="227">
        <f>G148+G154+G163+N189-I190-L190</f>
        <v>257369.02036201139</v>
      </c>
      <c r="O190" s="152">
        <f t="shared" si="31"/>
        <v>564422.8243620107</v>
      </c>
    </row>
    <row r="191" spans="1:15" x14ac:dyDescent="0.15">
      <c r="A191" s="154"/>
      <c r="B191" s="151"/>
      <c r="C191" s="152"/>
      <c r="D191" s="323" t="s">
        <v>2498</v>
      </c>
      <c r="E191" s="154" t="s">
        <v>72</v>
      </c>
      <c r="F191" s="157" t="s">
        <v>2516</v>
      </c>
      <c r="G191" s="152">
        <v>131546.152</v>
      </c>
      <c r="H191" s="323" t="s">
        <v>2498</v>
      </c>
      <c r="I191" s="152">
        <v>9427.2620000000006</v>
      </c>
      <c r="J191" s="157" t="s">
        <v>2514</v>
      </c>
      <c r="K191" s="157">
        <v>5800360884</v>
      </c>
      <c r="L191" s="227">
        <v>14330.278</v>
      </c>
      <c r="M191" s="157" t="s">
        <v>2514</v>
      </c>
      <c r="N191" s="227">
        <f t="shared" si="30"/>
        <v>233611.48036201141</v>
      </c>
      <c r="O191" s="152">
        <f t="shared" si="31"/>
        <v>672211.43636201066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2498</v>
      </c>
      <c r="I192" s="152"/>
      <c r="J192" s="157"/>
      <c r="K192" s="157">
        <v>5800360884</v>
      </c>
      <c r="L192" s="227">
        <v>13290.911</v>
      </c>
      <c r="M192" s="157" t="s">
        <v>2514</v>
      </c>
      <c r="N192" s="227">
        <f t="shared" si="30"/>
        <v>220320.56936201142</v>
      </c>
      <c r="O192" s="152">
        <f t="shared" si="31"/>
        <v>658920.5253620107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2498</v>
      </c>
      <c r="I193" s="152"/>
      <c r="J193" s="157"/>
      <c r="K193" s="157">
        <v>5800360884</v>
      </c>
      <c r="L193" s="227">
        <v>15432.607</v>
      </c>
      <c r="M193" s="157" t="s">
        <v>2514</v>
      </c>
      <c r="N193" s="227">
        <f t="shared" si="30"/>
        <v>204887.96236201143</v>
      </c>
      <c r="O193" s="152">
        <f t="shared" si="31"/>
        <v>643487.91836201074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2498</v>
      </c>
      <c r="I194" s="152"/>
      <c r="J194" s="157"/>
      <c r="K194" s="157">
        <v>5800360884</v>
      </c>
      <c r="L194" s="227">
        <v>9367.2990000000009</v>
      </c>
      <c r="M194" s="157" t="s">
        <v>2514</v>
      </c>
      <c r="N194" s="227">
        <f t="shared" si="30"/>
        <v>195520.66336201143</v>
      </c>
      <c r="O194" s="152">
        <f t="shared" si="31"/>
        <v>634120.61936201074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2498</v>
      </c>
      <c r="I195" s="152"/>
      <c r="J195" s="157"/>
      <c r="K195" s="157">
        <v>5800360884</v>
      </c>
      <c r="L195" s="227">
        <v>16078.214</v>
      </c>
      <c r="M195" s="157" t="s">
        <v>2514</v>
      </c>
      <c r="N195" s="227">
        <f t="shared" si="30"/>
        <v>179442.44936201142</v>
      </c>
      <c r="O195" s="152">
        <f t="shared" si="31"/>
        <v>618042.4053620107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2498</v>
      </c>
      <c r="I196" s="152"/>
      <c r="J196" s="157"/>
      <c r="K196" s="157">
        <v>5800360884</v>
      </c>
      <c r="L196" s="227">
        <v>3966.5859999999998</v>
      </c>
      <c r="M196" s="157" t="s">
        <v>2514</v>
      </c>
      <c r="N196" s="227">
        <f t="shared" si="30"/>
        <v>175475.86336201141</v>
      </c>
      <c r="O196" s="152">
        <f t="shared" si="31"/>
        <v>614075.81936201069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2498</v>
      </c>
      <c r="I197" s="152"/>
      <c r="J197" s="157"/>
      <c r="K197" s="157">
        <v>5800360884</v>
      </c>
      <c r="L197" s="227">
        <v>13038.065000000001</v>
      </c>
      <c r="M197" s="157" t="s">
        <v>2514</v>
      </c>
      <c r="N197" s="227">
        <f t="shared" si="24"/>
        <v>162437.79836201141</v>
      </c>
      <c r="O197" s="152">
        <f t="shared" si="25"/>
        <v>601037.75436201075</v>
      </c>
    </row>
    <row r="198" spans="1:15" x14ac:dyDescent="0.15">
      <c r="A198" s="154"/>
      <c r="B198" s="151"/>
      <c r="C198" s="152"/>
      <c r="D198" s="323" t="s">
        <v>2499</v>
      </c>
      <c r="E198" s="154" t="s">
        <v>72</v>
      </c>
      <c r="F198" s="157" t="s">
        <v>2516</v>
      </c>
      <c r="G198" s="152">
        <v>87686.83</v>
      </c>
      <c r="H198" s="323" t="s">
        <v>2499</v>
      </c>
      <c r="I198" s="152">
        <v>10708.871999999999</v>
      </c>
      <c r="J198" s="157" t="s">
        <v>2514</v>
      </c>
      <c r="K198" s="157">
        <v>5800360884</v>
      </c>
      <c r="L198" s="227">
        <v>14470.933000000001</v>
      </c>
      <c r="M198" s="157" t="s">
        <v>2514</v>
      </c>
      <c r="N198" s="227">
        <f t="shared" si="24"/>
        <v>137257.99336201142</v>
      </c>
      <c r="O198" s="152">
        <f t="shared" si="25"/>
        <v>663544.77936201077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2499</v>
      </c>
      <c r="I199" s="152"/>
      <c r="J199" s="157"/>
      <c r="K199" s="157">
        <v>5800360884</v>
      </c>
      <c r="L199" s="227">
        <v>38097.722000000002</v>
      </c>
      <c r="M199" s="157" t="s">
        <v>2514</v>
      </c>
      <c r="N199" s="227">
        <f t="shared" si="24"/>
        <v>99160.271362011408</v>
      </c>
      <c r="O199" s="152">
        <f t="shared" si="25"/>
        <v>625447.05736201082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2499</v>
      </c>
      <c r="I200" s="152"/>
      <c r="J200" s="157"/>
      <c r="K200" s="157">
        <v>5800360884</v>
      </c>
      <c r="L200" s="227">
        <v>13189.673000000001</v>
      </c>
      <c r="M200" s="157" t="s">
        <v>2514</v>
      </c>
      <c r="N200" s="227">
        <f t="shared" si="24"/>
        <v>85970.598362011413</v>
      </c>
      <c r="O200" s="152">
        <f t="shared" si="25"/>
        <v>612257.38436201087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2499</v>
      </c>
      <c r="I201" s="152"/>
      <c r="J201" s="157"/>
      <c r="K201" s="157">
        <v>5800360884</v>
      </c>
      <c r="L201" s="227">
        <v>18883.827000000001</v>
      </c>
      <c r="M201" s="157" t="s">
        <v>2514</v>
      </c>
      <c r="N201" s="227">
        <f t="shared" si="24"/>
        <v>67086.771362011408</v>
      </c>
      <c r="O201" s="152">
        <f t="shared" si="25"/>
        <v>593373.55736201082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2499</v>
      </c>
      <c r="I202" s="152"/>
      <c r="J202" s="157"/>
      <c r="K202" s="157">
        <v>5800360884</v>
      </c>
      <c r="L202" s="227">
        <v>15093.058999999999</v>
      </c>
      <c r="M202" s="157" t="s">
        <v>2514</v>
      </c>
      <c r="N202" s="227">
        <f t="shared" si="24"/>
        <v>51993.712362011407</v>
      </c>
      <c r="O202" s="152">
        <f t="shared" si="25"/>
        <v>578280.49836201081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2499</v>
      </c>
      <c r="I203" s="152"/>
      <c r="J203" s="157"/>
      <c r="K203" s="157">
        <v>5800360884</v>
      </c>
      <c r="L203" s="227">
        <v>12054.442999999999</v>
      </c>
      <c r="M203" s="157" t="s">
        <v>2514</v>
      </c>
      <c r="N203" s="227">
        <f t="shared" si="24"/>
        <v>39939.269362011408</v>
      </c>
      <c r="O203" s="152">
        <f t="shared" si="25"/>
        <v>566226.05536201084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2499</v>
      </c>
      <c r="I204" s="152"/>
      <c r="J204" s="157"/>
      <c r="K204" s="157">
        <v>5800360884</v>
      </c>
      <c r="L204" s="227">
        <v>11477.014999999999</v>
      </c>
      <c r="M204" s="157" t="s">
        <v>2514</v>
      </c>
      <c r="N204" s="227">
        <f t="shared" si="24"/>
        <v>28462.254362011408</v>
      </c>
      <c r="O204" s="152">
        <f t="shared" si="25"/>
        <v>554749.04036201083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2499</v>
      </c>
      <c r="I205" s="152"/>
      <c r="J205" s="157"/>
      <c r="K205" s="157">
        <v>5800360884</v>
      </c>
      <c r="L205" s="227">
        <v>1552.0550000000001</v>
      </c>
      <c r="M205" s="157" t="s">
        <v>2514</v>
      </c>
      <c r="N205" s="227">
        <f t="shared" si="24"/>
        <v>26910.199362011408</v>
      </c>
      <c r="O205" s="152">
        <f t="shared" si="25"/>
        <v>553196.98536201078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2499</v>
      </c>
      <c r="I206" s="152"/>
      <c r="J206" s="157"/>
      <c r="K206" s="157">
        <v>5800360884</v>
      </c>
      <c r="L206" s="227">
        <v>13610.717000000001</v>
      </c>
      <c r="M206" s="157" t="s">
        <v>2514</v>
      </c>
      <c r="N206" s="227">
        <f t="shared" si="24"/>
        <v>13299.482362011408</v>
      </c>
      <c r="O206" s="152">
        <f t="shared" si="25"/>
        <v>539586.26836201083</v>
      </c>
    </row>
    <row r="207" spans="1:15" x14ac:dyDescent="0.15">
      <c r="A207" s="154"/>
      <c r="B207" s="151"/>
      <c r="C207" s="152"/>
      <c r="D207" s="323" t="s">
        <v>2500</v>
      </c>
      <c r="E207" s="154" t="s">
        <v>72</v>
      </c>
      <c r="F207" s="157" t="s">
        <v>2516</v>
      </c>
      <c r="G207" s="152">
        <v>87775.429000000004</v>
      </c>
      <c r="H207" s="323" t="s">
        <v>2500</v>
      </c>
      <c r="I207" s="152">
        <v>13299.482362011408</v>
      </c>
      <c r="J207" s="157" t="s">
        <v>2514</v>
      </c>
      <c r="K207" s="157"/>
      <c r="L207" s="227"/>
      <c r="M207" s="157"/>
      <c r="N207" s="227">
        <f t="shared" si="24"/>
        <v>0</v>
      </c>
      <c r="O207" s="152">
        <f t="shared" si="25"/>
        <v>614062.21499999939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2500</v>
      </c>
      <c r="I208" s="152">
        <v>44.396637988593298</v>
      </c>
      <c r="J208" s="157" t="s">
        <v>2515</v>
      </c>
      <c r="K208" s="157">
        <v>5800360884</v>
      </c>
      <c r="L208" s="227">
        <v>15133.789000000001</v>
      </c>
      <c r="M208" s="157" t="s">
        <v>2515</v>
      </c>
      <c r="N208" s="227">
        <f>G164+G170+G181+N207-I208-L208</f>
        <v>248002.00836201146</v>
      </c>
      <c r="O208" s="152">
        <f t="shared" ref="O208:O212" si="32">O207+G208-I208-L208</f>
        <v>598884.02936201077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2500</v>
      </c>
      <c r="I209" s="152"/>
      <c r="J209" s="157"/>
      <c r="K209" s="157">
        <v>5800360884</v>
      </c>
      <c r="L209" s="227">
        <v>12090.641</v>
      </c>
      <c r="M209" s="157" t="s">
        <v>2515</v>
      </c>
      <c r="N209" s="227">
        <f t="shared" ref="N209:N212" si="33">+N208-I209-L209</f>
        <v>235911.36736201146</v>
      </c>
      <c r="O209" s="152">
        <f t="shared" si="32"/>
        <v>586793.38836201082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2500</v>
      </c>
      <c r="I210" s="152"/>
      <c r="J210" s="157"/>
      <c r="K210" s="157">
        <v>5800360884</v>
      </c>
      <c r="L210" s="227">
        <v>13511.776</v>
      </c>
      <c r="M210" s="157" t="s">
        <v>2515</v>
      </c>
      <c r="N210" s="227">
        <f t="shared" si="33"/>
        <v>222399.59136201144</v>
      </c>
      <c r="O210" s="152">
        <f t="shared" si="32"/>
        <v>573281.61236201087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2500</v>
      </c>
      <c r="I211" s="152"/>
      <c r="J211" s="157"/>
      <c r="K211" s="157">
        <v>5800360884</v>
      </c>
      <c r="L211" s="227">
        <v>8544.7990000000009</v>
      </c>
      <c r="M211" s="157" t="s">
        <v>2515</v>
      </c>
      <c r="N211" s="227">
        <f t="shared" si="33"/>
        <v>213854.79236201145</v>
      </c>
      <c r="O211" s="152">
        <f t="shared" si="32"/>
        <v>564736.81336201087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2500</v>
      </c>
      <c r="I212" s="152"/>
      <c r="J212" s="157"/>
      <c r="K212" s="157">
        <v>5800360884</v>
      </c>
      <c r="L212" s="227">
        <v>801.51199999999994</v>
      </c>
      <c r="M212" s="157" t="s">
        <v>2515</v>
      </c>
      <c r="N212" s="227">
        <f t="shared" si="33"/>
        <v>213053.28036201146</v>
      </c>
      <c r="O212" s="152">
        <f t="shared" si="32"/>
        <v>563935.30136201088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2500</v>
      </c>
      <c r="I213" s="152"/>
      <c r="J213" s="157"/>
      <c r="K213" s="157">
        <v>5800360884</v>
      </c>
      <c r="L213" s="227">
        <v>13462.806</v>
      </c>
      <c r="M213" s="157" t="s">
        <v>2515</v>
      </c>
      <c r="N213" s="227">
        <f t="shared" si="24"/>
        <v>199590.47436201145</v>
      </c>
      <c r="O213" s="152">
        <f t="shared" si="25"/>
        <v>550472.4953620109</v>
      </c>
    </row>
    <row r="214" spans="1:15" x14ac:dyDescent="0.15">
      <c r="A214" s="154"/>
      <c r="B214" s="151"/>
      <c r="C214" s="152"/>
      <c r="D214" s="323" t="s">
        <v>2501</v>
      </c>
      <c r="E214" s="154" t="s">
        <v>72</v>
      </c>
      <c r="F214" s="157" t="s">
        <v>2516</v>
      </c>
      <c r="G214" s="152">
        <v>87714.055999999982</v>
      </c>
      <c r="H214" s="323" t="s">
        <v>2501</v>
      </c>
      <c r="I214" s="152">
        <v>9448.8339999999989</v>
      </c>
      <c r="J214" s="157" t="s">
        <v>2515</v>
      </c>
      <c r="K214" s="157">
        <v>5800360884</v>
      </c>
      <c r="L214" s="227">
        <v>13268.964</v>
      </c>
      <c r="M214" s="157" t="s">
        <v>2515</v>
      </c>
      <c r="N214" s="227">
        <f t="shared" si="24"/>
        <v>176872.67636201144</v>
      </c>
      <c r="O214" s="152">
        <f t="shared" si="25"/>
        <v>615468.75336201082</v>
      </c>
    </row>
    <row r="215" spans="1:15" x14ac:dyDescent="0.15">
      <c r="A215" s="154"/>
      <c r="B215" s="151"/>
      <c r="C215" s="152"/>
      <c r="D215" s="323" t="s">
        <v>2501</v>
      </c>
      <c r="E215" s="154" t="s">
        <v>72</v>
      </c>
      <c r="F215" s="157" t="s">
        <v>2517</v>
      </c>
      <c r="G215" s="152">
        <v>43930.517</v>
      </c>
      <c r="H215" s="323" t="s">
        <v>2501</v>
      </c>
      <c r="I215" s="152"/>
      <c r="J215" s="157"/>
      <c r="K215" s="157">
        <v>5800360884</v>
      </c>
      <c r="L215" s="227">
        <v>11215.588</v>
      </c>
      <c r="M215" s="157" t="s">
        <v>2515</v>
      </c>
      <c r="N215" s="227">
        <f t="shared" ref="N215:N255" si="34">+N214-I215-L215</f>
        <v>165657.08836201145</v>
      </c>
      <c r="O215" s="152">
        <f t="shared" ref="O215:O255" si="35">O214+G215-I215-L215</f>
        <v>648183.68236201082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2501</v>
      </c>
      <c r="I216" s="152"/>
      <c r="J216" s="157"/>
      <c r="K216" s="157">
        <v>5800360884</v>
      </c>
      <c r="L216" s="227">
        <v>13295.907999999999</v>
      </c>
      <c r="M216" s="157" t="s">
        <v>2515</v>
      </c>
      <c r="N216" s="227">
        <f t="shared" si="34"/>
        <v>152361.18036201145</v>
      </c>
      <c r="O216" s="152">
        <f t="shared" si="35"/>
        <v>634887.77436201076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2501</v>
      </c>
      <c r="I217" s="152"/>
      <c r="J217" s="157"/>
      <c r="K217" s="157">
        <v>5800360884</v>
      </c>
      <c r="L217" s="227">
        <v>14208.352999999999</v>
      </c>
      <c r="M217" s="157" t="s">
        <v>2515</v>
      </c>
      <c r="N217" s="227">
        <f t="shared" si="34"/>
        <v>138152.82736201145</v>
      </c>
      <c r="O217" s="152">
        <f t="shared" si="35"/>
        <v>620679.42136201076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2501</v>
      </c>
      <c r="I218" s="152"/>
      <c r="J218" s="157"/>
      <c r="K218" s="157">
        <v>5800360884</v>
      </c>
      <c r="L218" s="227">
        <v>12028.341</v>
      </c>
      <c r="M218" s="157" t="s">
        <v>2515</v>
      </c>
      <c r="N218" s="227">
        <f t="shared" si="34"/>
        <v>126124.48636201145</v>
      </c>
      <c r="O218" s="152">
        <f t="shared" si="35"/>
        <v>608651.08036201075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2501</v>
      </c>
      <c r="I219" s="152"/>
      <c r="J219" s="157"/>
      <c r="K219" s="157">
        <v>5800360884</v>
      </c>
      <c r="L219" s="227">
        <v>13876.779</v>
      </c>
      <c r="M219" s="157" t="s">
        <v>2515</v>
      </c>
      <c r="N219" s="227">
        <f t="shared" si="34"/>
        <v>112247.70736201145</v>
      </c>
      <c r="O219" s="152">
        <f t="shared" si="35"/>
        <v>594774.30136201077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2501</v>
      </c>
      <c r="I220" s="152"/>
      <c r="J220" s="157"/>
      <c r="K220" s="157">
        <v>5800360884</v>
      </c>
      <c r="L220" s="227">
        <v>12997.046</v>
      </c>
      <c r="M220" s="157" t="s">
        <v>2515</v>
      </c>
      <c r="N220" s="227">
        <f t="shared" si="34"/>
        <v>99250.661362011451</v>
      </c>
      <c r="O220" s="152">
        <f t="shared" si="35"/>
        <v>581777.25536201079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2501</v>
      </c>
      <c r="I221" s="152"/>
      <c r="J221" s="157"/>
      <c r="K221" s="157">
        <v>5800360884</v>
      </c>
      <c r="L221" s="227">
        <v>13855.785</v>
      </c>
      <c r="M221" s="157" t="s">
        <v>2515</v>
      </c>
      <c r="N221" s="227">
        <f t="shared" si="34"/>
        <v>85394.876362011448</v>
      </c>
      <c r="O221" s="152">
        <f t="shared" si="35"/>
        <v>567921.47036201076</v>
      </c>
    </row>
    <row r="222" spans="1:15" x14ac:dyDescent="0.15">
      <c r="A222" s="154"/>
      <c r="B222" s="151"/>
      <c r="C222" s="152"/>
      <c r="D222" s="323" t="s">
        <v>2502</v>
      </c>
      <c r="E222" s="154" t="s">
        <v>72</v>
      </c>
      <c r="F222" s="157" t="s">
        <v>2517</v>
      </c>
      <c r="G222" s="152">
        <v>131751.07</v>
      </c>
      <c r="H222" s="323" t="s">
        <v>2502</v>
      </c>
      <c r="I222" s="152">
        <v>9390.5969999999998</v>
      </c>
      <c r="J222" s="157" t="s">
        <v>2515</v>
      </c>
      <c r="K222" s="157">
        <v>5800360884</v>
      </c>
      <c r="L222" s="227">
        <v>12567.246999999999</v>
      </c>
      <c r="M222" s="157" t="s">
        <v>2515</v>
      </c>
      <c r="N222" s="227">
        <f t="shared" si="34"/>
        <v>63437.03236201145</v>
      </c>
      <c r="O222" s="152">
        <f t="shared" si="35"/>
        <v>677714.69636201079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2502</v>
      </c>
      <c r="I223" s="152"/>
      <c r="J223" s="157"/>
      <c r="K223" s="157">
        <v>5800360884</v>
      </c>
      <c r="L223" s="227">
        <v>36333.129000000001</v>
      </c>
      <c r="M223" s="157" t="s">
        <v>2515</v>
      </c>
      <c r="N223" s="227">
        <f t="shared" si="34"/>
        <v>27103.90336201145</v>
      </c>
      <c r="O223" s="152">
        <f t="shared" si="35"/>
        <v>641381.56736201083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2502</v>
      </c>
      <c r="I224" s="152"/>
      <c r="J224" s="157"/>
      <c r="K224" s="157">
        <v>5800360884</v>
      </c>
      <c r="L224" s="227">
        <v>13126.679</v>
      </c>
      <c r="M224" s="157" t="s">
        <v>2515</v>
      </c>
      <c r="N224" s="227">
        <f t="shared" si="34"/>
        <v>13977.22436201145</v>
      </c>
      <c r="O224" s="152">
        <f t="shared" si="35"/>
        <v>628254.88836201082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2502</v>
      </c>
      <c r="I225" s="152"/>
      <c r="J225" s="157"/>
      <c r="K225" s="157">
        <v>5800360884</v>
      </c>
      <c r="L225" s="227">
        <v>13977.22436201145</v>
      </c>
      <c r="M225" s="157" t="s">
        <v>2515</v>
      </c>
      <c r="N225" s="227">
        <f t="shared" si="34"/>
        <v>0</v>
      </c>
      <c r="O225" s="152">
        <f t="shared" si="35"/>
        <v>614277.66399999941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2502</v>
      </c>
      <c r="I226" s="152"/>
      <c r="J226" s="157"/>
      <c r="K226" s="157">
        <v>5800360884</v>
      </c>
      <c r="L226" s="227">
        <v>3503.03663798855</v>
      </c>
      <c r="M226" s="157" t="s">
        <v>2516</v>
      </c>
      <c r="N226" s="227">
        <f>G182+G191+G198+G207+G214+N225-I226-L226</f>
        <v>435093.04036201147</v>
      </c>
      <c r="O226" s="152">
        <f t="shared" si="35"/>
        <v>610774.62736201088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2502</v>
      </c>
      <c r="I227" s="152"/>
      <c r="J227" s="157"/>
      <c r="K227" s="157">
        <v>5800360884</v>
      </c>
      <c r="L227" s="227">
        <v>12438.377</v>
      </c>
      <c r="M227" s="157" t="s">
        <v>2516</v>
      </c>
      <c r="N227" s="227">
        <f t="shared" si="34"/>
        <v>422654.66336201149</v>
      </c>
      <c r="O227" s="152">
        <f t="shared" si="35"/>
        <v>598336.25036201091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2502</v>
      </c>
      <c r="I228" s="152"/>
      <c r="J228" s="157"/>
      <c r="K228" s="157">
        <v>5800360884</v>
      </c>
      <c r="L228" s="227">
        <v>9499.36</v>
      </c>
      <c r="M228" s="157" t="s">
        <v>2516</v>
      </c>
      <c r="N228" s="227">
        <f t="shared" si="34"/>
        <v>413155.3033620115</v>
      </c>
      <c r="O228" s="152">
        <f t="shared" si="35"/>
        <v>588836.89036201092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2502</v>
      </c>
      <c r="I229" s="152"/>
      <c r="J229" s="157"/>
      <c r="K229" s="157">
        <v>5800360884</v>
      </c>
      <c r="L229" s="227">
        <v>13602.814</v>
      </c>
      <c r="M229" s="157" t="s">
        <v>2516</v>
      </c>
      <c r="N229" s="227">
        <f t="shared" si="34"/>
        <v>399552.48936201149</v>
      </c>
      <c r="O229" s="152">
        <f t="shared" si="35"/>
        <v>575234.07636201091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2502</v>
      </c>
      <c r="I230" s="152"/>
      <c r="J230" s="157"/>
      <c r="K230" s="157">
        <v>5800360884</v>
      </c>
      <c r="L230" s="227">
        <v>1410.425</v>
      </c>
      <c r="M230" s="157" t="s">
        <v>2516</v>
      </c>
      <c r="N230" s="227">
        <f t="shared" si="34"/>
        <v>398142.0643620115</v>
      </c>
      <c r="O230" s="152">
        <f t="shared" si="35"/>
        <v>573823.65136201086</v>
      </c>
    </row>
    <row r="231" spans="1:15" x14ac:dyDescent="0.15">
      <c r="A231" s="154"/>
      <c r="B231" s="151"/>
      <c r="C231" s="152"/>
      <c r="D231" s="323" t="s">
        <v>2503</v>
      </c>
      <c r="E231" s="154" t="s">
        <v>72</v>
      </c>
      <c r="F231" s="157" t="s">
        <v>2517</v>
      </c>
      <c r="G231" s="152">
        <v>131679.37700000001</v>
      </c>
      <c r="H231" s="323" t="s">
        <v>2503</v>
      </c>
      <c r="I231" s="152">
        <v>12522.755000000001</v>
      </c>
      <c r="J231" s="157" t="s">
        <v>2516</v>
      </c>
      <c r="K231" s="157">
        <v>5800360884</v>
      </c>
      <c r="L231" s="227">
        <v>13621.902</v>
      </c>
      <c r="M231" s="157" t="s">
        <v>2516</v>
      </c>
      <c r="N231" s="227">
        <f t="shared" si="34"/>
        <v>371997.40736201149</v>
      </c>
      <c r="O231" s="152">
        <f t="shared" si="35"/>
        <v>679358.37136201083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2503</v>
      </c>
      <c r="I232" s="152"/>
      <c r="J232" s="157"/>
      <c r="K232" s="157">
        <v>5800360884</v>
      </c>
      <c r="L232" s="227">
        <v>13361.77</v>
      </c>
      <c r="M232" s="157" t="s">
        <v>2516</v>
      </c>
      <c r="N232" s="227">
        <f t="shared" si="34"/>
        <v>358635.63736201148</v>
      </c>
      <c r="O232" s="152">
        <f t="shared" si="35"/>
        <v>665996.60136201081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2503</v>
      </c>
      <c r="I233" s="152"/>
      <c r="J233" s="157"/>
      <c r="K233" s="157">
        <v>5800360884</v>
      </c>
      <c r="L233" s="227">
        <v>14657.427</v>
      </c>
      <c r="M233" s="157" t="s">
        <v>2516</v>
      </c>
      <c r="N233" s="227">
        <f t="shared" si="34"/>
        <v>343978.21036201145</v>
      </c>
      <c r="O233" s="152">
        <f t="shared" si="35"/>
        <v>651339.17436201079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2503</v>
      </c>
      <c r="I234" s="152"/>
      <c r="J234" s="157"/>
      <c r="K234" s="157">
        <v>5800360884</v>
      </c>
      <c r="L234" s="227">
        <v>14466.33</v>
      </c>
      <c r="M234" s="157" t="s">
        <v>2516</v>
      </c>
      <c r="N234" s="227">
        <f t="shared" si="34"/>
        <v>329511.88036201143</v>
      </c>
      <c r="O234" s="152">
        <f t="shared" si="35"/>
        <v>636872.84436201083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2503</v>
      </c>
      <c r="I235" s="152"/>
      <c r="J235" s="157"/>
      <c r="K235" s="157">
        <v>5800360884</v>
      </c>
      <c r="L235" s="227">
        <v>9352.7389999999996</v>
      </c>
      <c r="M235" s="157" t="s">
        <v>2516</v>
      </c>
      <c r="N235" s="227">
        <f t="shared" si="34"/>
        <v>320159.14136201143</v>
      </c>
      <c r="O235" s="152">
        <f t="shared" si="35"/>
        <v>627520.10536201089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2503</v>
      </c>
      <c r="I236" s="152"/>
      <c r="J236" s="157"/>
      <c r="K236" s="157">
        <v>5800360884</v>
      </c>
      <c r="L236" s="227">
        <v>16808.356</v>
      </c>
      <c r="M236" s="157" t="s">
        <v>2516</v>
      </c>
      <c r="N236" s="227">
        <f t="shared" si="34"/>
        <v>303350.7853620114</v>
      </c>
      <c r="O236" s="152">
        <f t="shared" si="35"/>
        <v>610711.74936201086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2503</v>
      </c>
      <c r="I237" s="152"/>
      <c r="J237" s="157"/>
      <c r="K237" s="157">
        <v>5800360884</v>
      </c>
      <c r="L237" s="227">
        <v>2725.7869999999998</v>
      </c>
      <c r="M237" s="157" t="s">
        <v>2516</v>
      </c>
      <c r="N237" s="227">
        <f t="shared" si="34"/>
        <v>300624.99836201139</v>
      </c>
      <c r="O237" s="152">
        <f t="shared" si="35"/>
        <v>607985.96236201085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2503</v>
      </c>
      <c r="I238" s="152"/>
      <c r="J238" s="157"/>
      <c r="K238" s="157">
        <v>5800360884</v>
      </c>
      <c r="L238" s="227">
        <v>16944.244999999999</v>
      </c>
      <c r="M238" s="157" t="s">
        <v>2516</v>
      </c>
      <c r="N238" s="227">
        <f t="shared" si="34"/>
        <v>283680.7533620114</v>
      </c>
      <c r="O238" s="152">
        <f t="shared" si="35"/>
        <v>591041.71736201085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2503</v>
      </c>
      <c r="I239" s="152"/>
      <c r="J239" s="157"/>
      <c r="K239" s="157">
        <v>5800360884</v>
      </c>
      <c r="L239" s="227">
        <v>33682.656999999999</v>
      </c>
      <c r="M239" s="157" t="s">
        <v>2516</v>
      </c>
      <c r="N239" s="227">
        <f t="shared" si="34"/>
        <v>249998.09636201139</v>
      </c>
      <c r="O239" s="152">
        <f t="shared" si="35"/>
        <v>557359.06036201084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2503</v>
      </c>
      <c r="I240" s="152"/>
      <c r="J240" s="157"/>
      <c r="K240" s="157">
        <v>5800360884</v>
      </c>
      <c r="L240" s="227">
        <v>13959.668</v>
      </c>
      <c r="M240" s="157" t="s">
        <v>2516</v>
      </c>
      <c r="N240" s="227">
        <f t="shared" si="34"/>
        <v>236038.42836201139</v>
      </c>
      <c r="O240" s="152">
        <f t="shared" si="35"/>
        <v>543399.3923620109</v>
      </c>
    </row>
    <row r="241" spans="1:15" x14ac:dyDescent="0.15">
      <c r="A241" s="154"/>
      <c r="B241" s="151"/>
      <c r="C241" s="152"/>
      <c r="D241" s="323" t="s">
        <v>2504</v>
      </c>
      <c r="E241" s="154" t="s">
        <v>72</v>
      </c>
      <c r="F241" s="157" t="s">
        <v>2518</v>
      </c>
      <c r="G241" s="152">
        <v>131716.476</v>
      </c>
      <c r="H241" s="323" t="s">
        <v>2504</v>
      </c>
      <c r="I241" s="152">
        <v>11654.905999999999</v>
      </c>
      <c r="J241" s="157" t="s">
        <v>2516</v>
      </c>
      <c r="K241" s="157">
        <v>5800360884</v>
      </c>
      <c r="L241" s="227">
        <v>14355.263000000001</v>
      </c>
      <c r="M241" s="157" t="s">
        <v>2516</v>
      </c>
      <c r="N241" s="227">
        <f t="shared" si="34"/>
        <v>210028.25936201139</v>
      </c>
      <c r="O241" s="152">
        <f t="shared" si="35"/>
        <v>649105.69936201093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2504</v>
      </c>
      <c r="I242" s="152"/>
      <c r="J242" s="157"/>
      <c r="K242" s="157">
        <v>5800360884</v>
      </c>
      <c r="L242" s="227">
        <v>17905.101999999999</v>
      </c>
      <c r="M242" s="157" t="s">
        <v>2516</v>
      </c>
      <c r="N242" s="227">
        <f t="shared" si="34"/>
        <v>192123.15736201138</v>
      </c>
      <c r="O242" s="152">
        <f t="shared" si="35"/>
        <v>631200.59736201097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2504</v>
      </c>
      <c r="I243" s="152"/>
      <c r="J243" s="157"/>
      <c r="K243" s="157">
        <v>5800360884</v>
      </c>
      <c r="L243" s="227">
        <v>12762.232</v>
      </c>
      <c r="M243" s="157" t="s">
        <v>2516</v>
      </c>
      <c r="N243" s="227">
        <f t="shared" si="34"/>
        <v>179360.92536201139</v>
      </c>
      <c r="O243" s="152">
        <f t="shared" si="35"/>
        <v>618438.36536201101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2504</v>
      </c>
      <c r="I244" s="152"/>
      <c r="J244" s="157"/>
      <c r="K244" s="157">
        <v>5800360884</v>
      </c>
      <c r="L244" s="227">
        <v>15040.846</v>
      </c>
      <c r="M244" s="157" t="s">
        <v>2516</v>
      </c>
      <c r="N244" s="227">
        <f t="shared" si="34"/>
        <v>164320.0793620114</v>
      </c>
      <c r="O244" s="152">
        <f t="shared" si="35"/>
        <v>603397.51936201099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2504</v>
      </c>
      <c r="I245" s="152"/>
      <c r="J245" s="157"/>
      <c r="K245" s="157">
        <v>5800360884</v>
      </c>
      <c r="L245" s="227">
        <v>8962.5450000000001</v>
      </c>
      <c r="M245" s="157" t="s">
        <v>2516</v>
      </c>
      <c r="N245" s="227">
        <f t="shared" si="34"/>
        <v>155357.53436201139</v>
      </c>
      <c r="O245" s="152">
        <f t="shared" si="35"/>
        <v>594434.97436201095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2504</v>
      </c>
      <c r="I246" s="152"/>
      <c r="J246" s="157"/>
      <c r="K246" s="157">
        <v>5800360884</v>
      </c>
      <c r="L246" s="227">
        <v>13527.766</v>
      </c>
      <c r="M246" s="157" t="s">
        <v>2516</v>
      </c>
      <c r="N246" s="227">
        <f t="shared" si="34"/>
        <v>141829.76836201138</v>
      </c>
      <c r="O246" s="152">
        <f t="shared" si="35"/>
        <v>580907.20836201101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2504</v>
      </c>
      <c r="I247" s="152"/>
      <c r="J247" s="157"/>
      <c r="K247" s="157">
        <v>5800360884</v>
      </c>
      <c r="L247" s="227">
        <v>7338.5339999999997</v>
      </c>
      <c r="M247" s="157" t="s">
        <v>2516</v>
      </c>
      <c r="N247" s="227">
        <f t="shared" si="34"/>
        <v>134491.23436201137</v>
      </c>
      <c r="O247" s="152">
        <f t="shared" si="35"/>
        <v>573568.67436201102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2504</v>
      </c>
      <c r="I248" s="152"/>
      <c r="J248" s="157"/>
      <c r="K248" s="157">
        <v>5800360884</v>
      </c>
      <c r="L248" s="227">
        <v>14043.453</v>
      </c>
      <c r="M248" s="157" t="s">
        <v>2516</v>
      </c>
      <c r="N248" s="227">
        <f t="shared" si="34"/>
        <v>120447.78136201137</v>
      </c>
      <c r="O248" s="152">
        <f t="shared" si="35"/>
        <v>559525.22136201104</v>
      </c>
    </row>
    <row r="249" spans="1:15" x14ac:dyDescent="0.15">
      <c r="A249" s="154"/>
      <c r="B249" s="151"/>
      <c r="C249" s="152"/>
      <c r="D249" s="323" t="s">
        <v>2505</v>
      </c>
      <c r="E249" s="154" t="s">
        <v>72</v>
      </c>
      <c r="F249" s="157" t="s">
        <v>2518</v>
      </c>
      <c r="G249" s="152">
        <v>175601.693</v>
      </c>
      <c r="H249" s="323" t="s">
        <v>2505</v>
      </c>
      <c r="I249" s="152">
        <v>13295.793999999998</v>
      </c>
      <c r="J249" s="157" t="s">
        <v>2516</v>
      </c>
      <c r="K249" s="157">
        <v>5800360884</v>
      </c>
      <c r="L249" s="227">
        <v>13468.825000000001</v>
      </c>
      <c r="M249" s="157" t="s">
        <v>2516</v>
      </c>
      <c r="N249" s="227">
        <f t="shared" si="34"/>
        <v>93683.162362011382</v>
      </c>
      <c r="O249" s="152">
        <f t="shared" si="35"/>
        <v>708362.29536201106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2505</v>
      </c>
      <c r="I250" s="152"/>
      <c r="J250" s="157"/>
      <c r="K250" s="157">
        <v>5800360884</v>
      </c>
      <c r="L250" s="227">
        <v>12090.126</v>
      </c>
      <c r="M250" s="157" t="s">
        <v>2516</v>
      </c>
      <c r="N250" s="227">
        <f t="shared" si="34"/>
        <v>81593.036362011379</v>
      </c>
      <c r="O250" s="152">
        <f t="shared" si="35"/>
        <v>696272.16936201102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2505</v>
      </c>
      <c r="I251" s="152"/>
      <c r="J251" s="157"/>
      <c r="K251" s="157">
        <v>5800360884</v>
      </c>
      <c r="L251" s="227">
        <v>15384.795</v>
      </c>
      <c r="M251" s="157" t="s">
        <v>2516</v>
      </c>
      <c r="N251" s="227">
        <f t="shared" si="34"/>
        <v>66208.24136201138</v>
      </c>
      <c r="O251" s="152">
        <f t="shared" si="35"/>
        <v>680887.37436201097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2505</v>
      </c>
      <c r="I252" s="152"/>
      <c r="J252" s="157"/>
      <c r="K252" s="157">
        <v>5800360884</v>
      </c>
      <c r="L252" s="227">
        <v>15707.959000000001</v>
      </c>
      <c r="M252" s="157" t="s">
        <v>2516</v>
      </c>
      <c r="N252" s="227">
        <f t="shared" si="34"/>
        <v>50500.282362011378</v>
      </c>
      <c r="O252" s="152">
        <f t="shared" si="35"/>
        <v>665179.41536201094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2505</v>
      </c>
      <c r="I253" s="152"/>
      <c r="J253" s="157"/>
      <c r="K253" s="157">
        <v>5800360884</v>
      </c>
      <c r="L253" s="227">
        <v>7595.8490000000002</v>
      </c>
      <c r="M253" s="157" t="s">
        <v>2516</v>
      </c>
      <c r="N253" s="227">
        <f t="shared" si="34"/>
        <v>42904.433362011376</v>
      </c>
      <c r="O253" s="152">
        <f t="shared" si="35"/>
        <v>657583.5663620109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2505</v>
      </c>
      <c r="I254" s="152"/>
      <c r="J254" s="157"/>
      <c r="K254" s="157">
        <v>5800360884</v>
      </c>
      <c r="L254" s="227">
        <v>16008.004999999999</v>
      </c>
      <c r="M254" s="157" t="s">
        <v>2516</v>
      </c>
      <c r="N254" s="227">
        <f t="shared" si="34"/>
        <v>26896.428362011378</v>
      </c>
      <c r="O254" s="152">
        <f t="shared" si="35"/>
        <v>641575.56136201089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2505</v>
      </c>
      <c r="I255" s="152"/>
      <c r="J255" s="157"/>
      <c r="K255" s="157">
        <v>5800360884</v>
      </c>
      <c r="L255" s="227">
        <v>15281.594999999999</v>
      </c>
      <c r="M255" s="157" t="s">
        <v>2516</v>
      </c>
      <c r="N255" s="227">
        <f t="shared" si="34"/>
        <v>11614.833362011379</v>
      </c>
      <c r="O255" s="152">
        <f t="shared" si="35"/>
        <v>626293.96636201092</v>
      </c>
    </row>
    <row r="256" spans="1:15" x14ac:dyDescent="0.15">
      <c r="A256" s="154"/>
      <c r="B256" s="151"/>
      <c r="C256" s="152"/>
      <c r="D256" s="323" t="s">
        <v>2506</v>
      </c>
      <c r="E256" s="154" t="s">
        <v>72</v>
      </c>
      <c r="F256" s="157" t="s">
        <v>2518</v>
      </c>
      <c r="G256" s="152">
        <v>164732.80299999911</v>
      </c>
      <c r="H256" s="323" t="s">
        <v>2506</v>
      </c>
      <c r="I256" s="152">
        <v>11614.833362011379</v>
      </c>
      <c r="J256" s="157" t="s">
        <v>2516</v>
      </c>
      <c r="K256" s="157"/>
      <c r="L256" s="227"/>
      <c r="M256" s="157"/>
      <c r="N256" s="227">
        <f t="shared" ref="N256:N276" si="36">+N255-I256-L256</f>
        <v>0</v>
      </c>
      <c r="O256" s="152">
        <f t="shared" ref="O256:O276" si="37">O255+G256-I256-L256</f>
        <v>779411.93599999871</v>
      </c>
    </row>
    <row r="257" spans="1:15" x14ac:dyDescent="0.15">
      <c r="A257" s="154"/>
      <c r="B257" s="151"/>
      <c r="C257" s="152"/>
      <c r="D257" s="323" t="s">
        <v>2506</v>
      </c>
      <c r="E257" s="154" t="s">
        <v>72</v>
      </c>
      <c r="F257" s="157" t="s">
        <v>2519</v>
      </c>
      <c r="G257" s="152">
        <v>10777.0000000009</v>
      </c>
      <c r="H257" s="323" t="s">
        <v>2506</v>
      </c>
      <c r="I257" s="152">
        <v>1422.4806379886199</v>
      </c>
      <c r="J257" s="157" t="s">
        <v>2517</v>
      </c>
      <c r="K257" s="157">
        <v>5800360884</v>
      </c>
      <c r="L257" s="227">
        <v>38363.889000000003</v>
      </c>
      <c r="M257" s="157" t="s">
        <v>2517</v>
      </c>
      <c r="N257" s="227">
        <f>G215+G222+G231+N256-I257-L257</f>
        <v>267574.59436201141</v>
      </c>
      <c r="O257" s="152">
        <f t="shared" si="37"/>
        <v>750402.56636201101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2506</v>
      </c>
      <c r="I258" s="152"/>
      <c r="J258" s="157"/>
      <c r="K258" s="157">
        <v>5800360884</v>
      </c>
      <c r="L258" s="227">
        <v>13425.361000000001</v>
      </c>
      <c r="M258" s="157" t="s">
        <v>2517</v>
      </c>
      <c r="N258" s="227">
        <f t="shared" si="36"/>
        <v>254149.23336201141</v>
      </c>
      <c r="O258" s="152">
        <f t="shared" si="37"/>
        <v>736977.20536201098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2506</v>
      </c>
      <c r="I259" s="152"/>
      <c r="J259" s="157"/>
      <c r="K259" s="157">
        <v>5800360884</v>
      </c>
      <c r="L259" s="227">
        <v>19074.934000000001</v>
      </c>
      <c r="M259" s="157" t="s">
        <v>2517</v>
      </c>
      <c r="N259" s="227">
        <f t="shared" si="36"/>
        <v>235074.2993620114</v>
      </c>
      <c r="O259" s="152">
        <f t="shared" si="37"/>
        <v>717902.27136201097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2506</v>
      </c>
      <c r="I260" s="152"/>
      <c r="J260" s="157"/>
      <c r="K260" s="157">
        <v>5800360884</v>
      </c>
      <c r="L260" s="227">
        <v>13391.358</v>
      </c>
      <c r="M260" s="157" t="s">
        <v>2517</v>
      </c>
      <c r="N260" s="227">
        <f t="shared" si="36"/>
        <v>221682.94136201139</v>
      </c>
      <c r="O260" s="152">
        <f t="shared" si="37"/>
        <v>704510.91336201096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2506</v>
      </c>
      <c r="I261" s="152"/>
      <c r="J261" s="157"/>
      <c r="K261" s="157">
        <v>5800360884</v>
      </c>
      <c r="L261" s="227">
        <v>11530.169</v>
      </c>
      <c r="M261" s="157" t="s">
        <v>2517</v>
      </c>
      <c r="N261" s="227">
        <f t="shared" si="36"/>
        <v>210152.7723620114</v>
      </c>
      <c r="O261" s="152">
        <f t="shared" si="37"/>
        <v>692980.74436201097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2506</v>
      </c>
      <c r="I262" s="152"/>
      <c r="J262" s="157"/>
      <c r="K262" s="157">
        <v>5800360884</v>
      </c>
      <c r="L262" s="227">
        <v>12988.316999999999</v>
      </c>
      <c r="M262" s="157" t="s">
        <v>2517</v>
      </c>
      <c r="N262" s="227">
        <f t="shared" si="36"/>
        <v>197164.45536201139</v>
      </c>
      <c r="O262" s="152">
        <f t="shared" si="37"/>
        <v>679992.42736201093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2506</v>
      </c>
      <c r="I263" s="152"/>
      <c r="J263" s="157"/>
      <c r="K263" s="157">
        <v>5800360884</v>
      </c>
      <c r="L263" s="227">
        <v>6208.741</v>
      </c>
      <c r="M263" s="157" t="s">
        <v>2517</v>
      </c>
      <c r="N263" s="227">
        <f t="shared" si="36"/>
        <v>190955.71436201138</v>
      </c>
      <c r="O263" s="152">
        <f t="shared" si="37"/>
        <v>673783.68636201089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2506</v>
      </c>
      <c r="I264" s="152"/>
      <c r="J264" s="157"/>
      <c r="K264" s="157">
        <v>5800360884</v>
      </c>
      <c r="L264" s="227">
        <v>15966.762000000001</v>
      </c>
      <c r="M264" s="157" t="s">
        <v>2517</v>
      </c>
      <c r="N264" s="227">
        <f t="shared" si="36"/>
        <v>174988.95236201139</v>
      </c>
      <c r="O264" s="152">
        <f t="shared" si="37"/>
        <v>657816.9243620109</v>
      </c>
    </row>
    <row r="265" spans="1:15" hidden="1" x14ac:dyDescent="0.15">
      <c r="A265" s="154"/>
      <c r="B265" s="151"/>
      <c r="C265" s="152"/>
      <c r="D265" s="323"/>
      <c r="E265" s="154"/>
      <c r="F265" s="157"/>
      <c r="G265" s="152"/>
      <c r="H265" s="323"/>
      <c r="I265" s="152"/>
      <c r="J265" s="157"/>
      <c r="K265" s="157"/>
      <c r="L265" s="227"/>
      <c r="M265" s="157"/>
      <c r="N265" s="227">
        <f t="shared" si="36"/>
        <v>174988.95236201139</v>
      </c>
      <c r="O265" s="152">
        <f t="shared" si="37"/>
        <v>657816.9243620109</v>
      </c>
    </row>
    <row r="266" spans="1:15" hidden="1" x14ac:dyDescent="0.15">
      <c r="A266" s="154"/>
      <c r="B266" s="151"/>
      <c r="C266" s="152"/>
      <c r="D266" s="323"/>
      <c r="E266" s="154"/>
      <c r="F266" s="157"/>
      <c r="G266" s="152"/>
      <c r="H266" s="323"/>
      <c r="I266" s="152"/>
      <c r="J266" s="157"/>
      <c r="K266" s="157"/>
      <c r="L266" s="227"/>
      <c r="M266" s="157"/>
      <c r="N266" s="227">
        <f t="shared" si="36"/>
        <v>174988.95236201139</v>
      </c>
      <c r="O266" s="152">
        <f t="shared" si="37"/>
        <v>657816.9243620109</v>
      </c>
    </row>
    <row r="267" spans="1:15" hidden="1" x14ac:dyDescent="0.15">
      <c r="A267" s="154"/>
      <c r="B267" s="151"/>
      <c r="C267" s="152"/>
      <c r="D267" s="323"/>
      <c r="E267" s="154"/>
      <c r="F267" s="157"/>
      <c r="G267" s="152"/>
      <c r="H267" s="323"/>
      <c r="I267" s="152"/>
      <c r="J267" s="157"/>
      <c r="K267" s="157"/>
      <c r="L267" s="227"/>
      <c r="M267" s="157"/>
      <c r="N267" s="227">
        <f t="shared" si="36"/>
        <v>174988.95236201139</v>
      </c>
      <c r="O267" s="152">
        <f t="shared" si="37"/>
        <v>657816.9243620109</v>
      </c>
    </row>
    <row r="268" spans="1:15" hidden="1" x14ac:dyDescent="0.15">
      <c r="A268" s="154"/>
      <c r="B268" s="151"/>
      <c r="C268" s="152"/>
      <c r="D268" s="323"/>
      <c r="E268" s="154"/>
      <c r="F268" s="157"/>
      <c r="G268" s="152"/>
      <c r="H268" s="323"/>
      <c r="I268" s="152"/>
      <c r="J268" s="157"/>
      <c r="K268" s="157"/>
      <c r="L268" s="227"/>
      <c r="M268" s="157"/>
      <c r="N268" s="227">
        <f t="shared" si="36"/>
        <v>174988.95236201139</v>
      </c>
      <c r="O268" s="152">
        <f t="shared" si="37"/>
        <v>657816.9243620109</v>
      </c>
    </row>
    <row r="269" spans="1:15" hidden="1" x14ac:dyDescent="0.15">
      <c r="A269" s="154"/>
      <c r="B269" s="151"/>
      <c r="C269" s="152"/>
      <c r="D269" s="323"/>
      <c r="E269" s="155"/>
      <c r="F269" s="157"/>
      <c r="G269" s="152"/>
      <c r="H269" s="323"/>
      <c r="I269" s="152"/>
      <c r="J269" s="157"/>
      <c r="K269" s="154"/>
      <c r="L269" s="227"/>
      <c r="M269" s="157"/>
      <c r="N269" s="227">
        <f t="shared" si="36"/>
        <v>174988.95236201139</v>
      </c>
      <c r="O269" s="152">
        <f t="shared" si="37"/>
        <v>657816.9243620109</v>
      </c>
    </row>
    <row r="270" spans="1:15" hidden="1" x14ac:dyDescent="0.15">
      <c r="A270" s="154"/>
      <c r="B270" s="151"/>
      <c r="C270" s="152"/>
      <c r="D270" s="323"/>
      <c r="E270" s="154"/>
      <c r="F270" s="157"/>
      <c r="G270" s="152"/>
      <c r="H270" s="323"/>
      <c r="I270" s="152"/>
      <c r="J270" s="157"/>
      <c r="K270" s="154"/>
      <c r="L270" s="227"/>
      <c r="M270" s="157"/>
      <c r="N270" s="227">
        <f t="shared" si="36"/>
        <v>174988.95236201139</v>
      </c>
      <c r="O270" s="152">
        <f t="shared" si="37"/>
        <v>657816.9243620109</v>
      </c>
    </row>
    <row r="271" spans="1:15" hidden="1" x14ac:dyDescent="0.15">
      <c r="A271" s="154"/>
      <c r="B271" s="151"/>
      <c r="C271" s="152"/>
      <c r="D271" s="323"/>
      <c r="E271" s="154"/>
      <c r="F271" s="157"/>
      <c r="G271" s="152"/>
      <c r="H271" s="323"/>
      <c r="I271" s="152"/>
      <c r="J271" s="154"/>
      <c r="K271" s="154"/>
      <c r="L271" s="227"/>
      <c r="M271" s="157"/>
      <c r="N271" s="227">
        <f t="shared" si="36"/>
        <v>174988.95236201139</v>
      </c>
      <c r="O271" s="152">
        <f t="shared" si="37"/>
        <v>657816.9243620109</v>
      </c>
    </row>
    <row r="272" spans="1:15" hidden="1" x14ac:dyDescent="0.15">
      <c r="A272" s="154"/>
      <c r="B272" s="151"/>
      <c r="C272" s="151"/>
      <c r="D272" s="323"/>
      <c r="E272" s="154"/>
      <c r="F272" s="157"/>
      <c r="G272" s="152"/>
      <c r="H272" s="323"/>
      <c r="I272" s="152"/>
      <c r="J272" s="154"/>
      <c r="K272" s="154"/>
      <c r="L272" s="227"/>
      <c r="M272" s="157"/>
      <c r="N272" s="227">
        <f t="shared" si="36"/>
        <v>174988.95236201139</v>
      </c>
      <c r="O272" s="152">
        <f t="shared" si="37"/>
        <v>657816.9243620109</v>
      </c>
    </row>
    <row r="273" spans="1:15" hidden="1" x14ac:dyDescent="0.15">
      <c r="A273" s="154"/>
      <c r="B273" s="151"/>
      <c r="C273" s="151"/>
      <c r="D273" s="323"/>
      <c r="E273" s="155"/>
      <c r="F273" s="157"/>
      <c r="G273" s="152"/>
      <c r="H273" s="323"/>
      <c r="I273" s="152"/>
      <c r="J273" s="154"/>
      <c r="K273" s="154"/>
      <c r="L273" s="227"/>
      <c r="M273" s="157"/>
      <c r="N273" s="227">
        <f t="shared" si="36"/>
        <v>174988.95236201139</v>
      </c>
      <c r="O273" s="152">
        <f t="shared" si="37"/>
        <v>657816.9243620109</v>
      </c>
    </row>
    <row r="274" spans="1:15" hidden="1" x14ac:dyDescent="0.15">
      <c r="A274" s="154"/>
      <c r="B274" s="151"/>
      <c r="C274" s="151"/>
      <c r="D274" s="323"/>
      <c r="E274" s="154"/>
      <c r="F274" s="160"/>
      <c r="G274" s="152"/>
      <c r="H274" s="323"/>
      <c r="I274" s="152"/>
      <c r="J274" s="157"/>
      <c r="K274" s="154"/>
      <c r="L274" s="227"/>
      <c r="M274" s="157"/>
      <c r="N274" s="227">
        <f t="shared" si="36"/>
        <v>174988.95236201139</v>
      </c>
      <c r="O274" s="152">
        <f t="shared" si="37"/>
        <v>657816.9243620109</v>
      </c>
    </row>
    <row r="275" spans="1:15" hidden="1" x14ac:dyDescent="0.15">
      <c r="A275" s="154"/>
      <c r="B275" s="151"/>
      <c r="C275" s="151"/>
      <c r="D275" s="323"/>
      <c r="E275" s="154"/>
      <c r="F275" s="160"/>
      <c r="G275" s="152"/>
      <c r="H275" s="323"/>
      <c r="I275" s="152"/>
      <c r="J275" s="150"/>
      <c r="K275" s="154"/>
      <c r="L275" s="227"/>
      <c r="M275" s="157"/>
      <c r="N275" s="227">
        <f t="shared" si="36"/>
        <v>174988.95236201139</v>
      </c>
      <c r="O275" s="152">
        <f t="shared" si="37"/>
        <v>657816.9243620109</v>
      </c>
    </row>
    <row r="276" spans="1:15" x14ac:dyDescent="0.15">
      <c r="A276" s="173"/>
      <c r="B276" s="173"/>
      <c r="C276" s="174"/>
      <c r="D276" s="323"/>
      <c r="E276" s="173"/>
      <c r="F276" s="173"/>
      <c r="G276" s="174"/>
      <c r="H276" s="323"/>
      <c r="I276" s="174"/>
      <c r="J276" s="173"/>
      <c r="K276" s="154"/>
      <c r="L276" s="228"/>
      <c r="M276" s="173"/>
      <c r="N276" s="227">
        <f t="shared" si="36"/>
        <v>174988.95236201139</v>
      </c>
      <c r="O276" s="152">
        <f t="shared" si="37"/>
        <v>657816.9243620109</v>
      </c>
    </row>
    <row r="277" spans="1:15" x14ac:dyDescent="0.15">
      <c r="A277" s="177"/>
      <c r="B277" s="177"/>
      <c r="C277" s="178">
        <f>SUM(C7:C275)</f>
        <v>530690.41536201129</v>
      </c>
      <c r="D277" s="177"/>
      <c r="E277" s="177"/>
      <c r="F277" s="177"/>
      <c r="G277" s="178">
        <f>SUM(G7:G276)</f>
        <v>3773663.1970000006</v>
      </c>
      <c r="H277" s="179"/>
      <c r="I277" s="178">
        <f>SUM(I7:I276)</f>
        <v>359260.53399999987</v>
      </c>
      <c r="J277" s="177"/>
      <c r="K277" s="177"/>
      <c r="L277" s="178">
        <f>SUM(L7:L276)</f>
        <v>3287276.154000001</v>
      </c>
      <c r="M277" s="177"/>
      <c r="N277" s="180"/>
      <c r="O277" s="181">
        <f>C277+G277-I277-L277</f>
        <v>657816.92436201125</v>
      </c>
    </row>
    <row r="278" spans="1:15" x14ac:dyDescent="0.15">
      <c r="A278" s="182"/>
      <c r="B278" s="465"/>
      <c r="C278" s="465"/>
      <c r="D278" s="465"/>
      <c r="E278" s="183"/>
      <c r="F278" s="284"/>
      <c r="G278" s="185"/>
      <c r="H278" s="186"/>
      <c r="I278" s="187"/>
      <c r="J278" s="188"/>
      <c r="K278" s="189" t="s">
        <v>139</v>
      </c>
      <c r="L278" s="190">
        <f>+L277+I277</f>
        <v>3646536.688000001</v>
      </c>
      <c r="M278" s="197"/>
      <c r="N278" s="230">
        <f>+N276</f>
        <v>174988.95236201139</v>
      </c>
      <c r="O278" s="195" t="s">
        <v>2517</v>
      </c>
    </row>
    <row r="279" spans="1:15" x14ac:dyDescent="0.15">
      <c r="A279" s="188" t="s">
        <v>2457</v>
      </c>
      <c r="B279" s="131" t="s">
        <v>2522</v>
      </c>
      <c r="E279" s="183" t="s">
        <v>55</v>
      </c>
      <c r="F279" s="404">
        <v>22725780.809999999</v>
      </c>
      <c r="G279" s="219" t="s">
        <v>56</v>
      </c>
      <c r="H279" s="186">
        <v>42125</v>
      </c>
      <c r="I279" s="187" t="s">
        <v>71</v>
      </c>
      <c r="J279" s="210">
        <v>198850.61800000005</v>
      </c>
      <c r="N279" s="230">
        <v>472050.97199999914</v>
      </c>
      <c r="O279" s="334" t="s">
        <v>2518</v>
      </c>
    </row>
    <row r="280" spans="1:15" x14ac:dyDescent="0.15">
      <c r="A280" s="188" t="s">
        <v>2508</v>
      </c>
      <c r="B280" s="131" t="s">
        <v>2523</v>
      </c>
      <c r="E280" s="183" t="s">
        <v>55</v>
      </c>
      <c r="F280" s="404">
        <v>38798644.979999997</v>
      </c>
      <c r="G280" s="219" t="s">
        <v>56</v>
      </c>
      <c r="H280" s="186">
        <v>42136</v>
      </c>
      <c r="I280" s="187" t="s">
        <v>71</v>
      </c>
      <c r="J280" s="210">
        <v>379195.03599999921</v>
      </c>
      <c r="N280" s="230">
        <v>10777.0000000009</v>
      </c>
      <c r="O280" s="334" t="s">
        <v>2519</v>
      </c>
    </row>
    <row r="281" spans="1:15" x14ac:dyDescent="0.15">
      <c r="A281" s="381" t="s">
        <v>2510</v>
      </c>
      <c r="B281" s="131" t="s">
        <v>2524</v>
      </c>
      <c r="E281" s="183" t="s">
        <v>55</v>
      </c>
      <c r="F281" s="404">
        <v>27792360.66</v>
      </c>
      <c r="G281" s="219" t="s">
        <v>56</v>
      </c>
      <c r="H281" s="186">
        <v>42139</v>
      </c>
      <c r="I281" s="187" t="s">
        <v>71</v>
      </c>
      <c r="J281" s="210">
        <v>166590.97699999998</v>
      </c>
      <c r="K281" s="297"/>
      <c r="N281" s="230"/>
      <c r="O281" s="195"/>
    </row>
    <row r="282" spans="1:15" x14ac:dyDescent="0.15">
      <c r="A282" s="193" t="s">
        <v>2511</v>
      </c>
      <c r="B282" s="131" t="s">
        <v>2525</v>
      </c>
      <c r="E282" s="183" t="s">
        <v>55</v>
      </c>
      <c r="F282" s="404">
        <v>36321879.189999998</v>
      </c>
      <c r="G282" s="219" t="s">
        <v>56</v>
      </c>
      <c r="H282" s="186">
        <v>42142</v>
      </c>
      <c r="I282" s="187" t="s">
        <v>71</v>
      </c>
      <c r="J282" s="210">
        <v>239454.11963798868</v>
      </c>
      <c r="K282" s="333"/>
      <c r="N282" s="230"/>
      <c r="O282" s="195"/>
    </row>
    <row r="283" spans="1:15" ht="12" thickBot="1" x14ac:dyDescent="0.2">
      <c r="A283" s="133"/>
      <c r="B283" s="402"/>
      <c r="C283" s="402"/>
      <c r="D283" s="402"/>
      <c r="E283" s="183"/>
      <c r="F283" s="403"/>
      <c r="G283" s="219"/>
      <c r="H283" s="186"/>
      <c r="I283" s="217" t="s">
        <v>856</v>
      </c>
      <c r="J283" s="211">
        <f>SUM(J279:J282)</f>
        <v>984090.75063798786</v>
      </c>
      <c r="N283" s="230"/>
      <c r="O283" s="195"/>
    </row>
    <row r="284" spans="1:15" ht="12" thickTop="1" x14ac:dyDescent="0.15">
      <c r="A284" s="193" t="s">
        <v>2456</v>
      </c>
      <c r="B284" s="131" t="s">
        <v>2474</v>
      </c>
      <c r="E284" s="183" t="s">
        <v>55</v>
      </c>
      <c r="F284" s="404">
        <v>123627051.83</v>
      </c>
      <c r="G284" s="219" t="s">
        <v>56</v>
      </c>
      <c r="H284" s="186">
        <v>42123</v>
      </c>
      <c r="I284" s="187" t="s">
        <v>71</v>
      </c>
      <c r="J284" s="210">
        <v>154523.13236201138</v>
      </c>
      <c r="K284" s="333"/>
      <c r="N284" s="230"/>
      <c r="O284" s="195"/>
    </row>
    <row r="285" spans="1:15" x14ac:dyDescent="0.15">
      <c r="A285" s="193" t="s">
        <v>2458</v>
      </c>
      <c r="B285" s="131" t="s">
        <v>2526</v>
      </c>
      <c r="E285" s="183" t="s">
        <v>55</v>
      </c>
      <c r="F285" s="404">
        <v>157774271.12</v>
      </c>
      <c r="G285" s="219" t="s">
        <v>56</v>
      </c>
      <c r="H285" s="186">
        <v>42130</v>
      </c>
      <c r="I285" s="187" t="s">
        <v>71</v>
      </c>
      <c r="J285" s="210">
        <v>75471.207999999999</v>
      </c>
      <c r="N285" s="206" t="s">
        <v>33</v>
      </c>
      <c r="O285" s="207">
        <f>SUM(N278:N284)</f>
        <v>657816.92436201149</v>
      </c>
    </row>
    <row r="286" spans="1:15" x14ac:dyDescent="0.15">
      <c r="A286" s="193" t="s">
        <v>2520</v>
      </c>
      <c r="B286" s="131" t="s">
        <v>2527</v>
      </c>
      <c r="E286" s="183" t="s">
        <v>55</v>
      </c>
      <c r="F286" s="404">
        <v>49559038.57</v>
      </c>
      <c r="G286" s="219" t="s">
        <v>56</v>
      </c>
      <c r="H286" s="186">
        <v>42130</v>
      </c>
      <c r="I286" s="187" t="s">
        <v>71</v>
      </c>
      <c r="J286" s="210">
        <v>118455.073</v>
      </c>
      <c r="K286" s="193"/>
      <c r="O286" s="190">
        <f>+O277-O285</f>
        <v>0</v>
      </c>
    </row>
    <row r="287" spans="1:15" s="132" customFormat="1" x14ac:dyDescent="0.15">
      <c r="A287" s="193" t="s">
        <v>2521</v>
      </c>
      <c r="B287" s="131" t="s">
        <v>2528</v>
      </c>
      <c r="D287" s="133"/>
      <c r="E287" s="183" t="s">
        <v>55</v>
      </c>
      <c r="F287" s="404">
        <v>180497408.43000001</v>
      </c>
      <c r="G287" s="219" t="s">
        <v>56</v>
      </c>
      <c r="H287" s="186">
        <v>42132</v>
      </c>
      <c r="I287" s="187" t="s">
        <v>71</v>
      </c>
      <c r="J287" s="210">
        <v>480634.34700000001</v>
      </c>
      <c r="K287" s="193"/>
      <c r="M287" s="134"/>
    </row>
    <row r="288" spans="1:15" s="132" customFormat="1" x14ac:dyDescent="0.15">
      <c r="A288" s="193" t="s">
        <v>2509</v>
      </c>
      <c r="B288" s="131" t="s">
        <v>2529</v>
      </c>
      <c r="D288" s="133"/>
      <c r="E288" s="183" t="s">
        <v>55</v>
      </c>
      <c r="F288" s="404">
        <v>43949712.520000003</v>
      </c>
      <c r="G288" s="219" t="s">
        <v>56</v>
      </c>
      <c r="H288" s="186">
        <v>42135</v>
      </c>
      <c r="I288" s="187" t="s">
        <v>71</v>
      </c>
      <c r="J288" s="210">
        <v>164235.90600000083</v>
      </c>
      <c r="K288" s="133"/>
      <c r="M288" s="134"/>
    </row>
    <row r="289" spans="1:15" s="132" customFormat="1" x14ac:dyDescent="0.15">
      <c r="A289" s="193" t="s">
        <v>2512</v>
      </c>
      <c r="B289" s="131" t="s">
        <v>2530</v>
      </c>
      <c r="D289" s="133"/>
      <c r="E289" s="183" t="s">
        <v>55</v>
      </c>
      <c r="F289" s="404">
        <v>99240047.950000003</v>
      </c>
      <c r="G289" s="219" t="s">
        <v>56</v>
      </c>
      <c r="H289" s="186">
        <v>42142</v>
      </c>
      <c r="I289" s="187" t="s">
        <v>71</v>
      </c>
      <c r="J289" s="210">
        <v>63406.963999999993</v>
      </c>
      <c r="K289" s="193"/>
      <c r="M289" s="134"/>
    </row>
    <row r="290" spans="1:15" s="132" customFormat="1" x14ac:dyDescent="0.15">
      <c r="A290" s="193" t="s">
        <v>2513</v>
      </c>
      <c r="B290" s="131" t="s">
        <v>2531</v>
      </c>
      <c r="D290" s="133"/>
      <c r="E290" s="183" t="s">
        <v>55</v>
      </c>
      <c r="F290" s="404">
        <v>64069001.649999999</v>
      </c>
      <c r="G290" s="219" t="s">
        <v>56</v>
      </c>
      <c r="H290" s="186">
        <v>42144</v>
      </c>
      <c r="I290" s="187" t="s">
        <v>71</v>
      </c>
      <c r="J290" s="210">
        <v>251918.54536201141</v>
      </c>
      <c r="K290" s="193"/>
      <c r="M290" s="134"/>
    </row>
    <row r="291" spans="1:15" s="132" customFormat="1" x14ac:dyDescent="0.15">
      <c r="A291" s="193" t="s">
        <v>2514</v>
      </c>
      <c r="B291" s="131" t="s">
        <v>2532</v>
      </c>
      <c r="D291" s="133"/>
      <c r="E291" s="183" t="s">
        <v>55</v>
      </c>
      <c r="F291" s="404">
        <v>140242456.72</v>
      </c>
      <c r="G291" s="219" t="s">
        <v>56</v>
      </c>
      <c r="H291" s="186">
        <v>42145</v>
      </c>
      <c r="I291" s="187" t="s">
        <v>71</v>
      </c>
      <c r="J291" s="210">
        <v>229786.54163798864</v>
      </c>
      <c r="K291" s="193"/>
      <c r="M291" s="134"/>
    </row>
    <row r="292" spans="1:15" s="132" customFormat="1" x14ac:dyDescent="0.15">
      <c r="A292" s="193" t="s">
        <v>2515</v>
      </c>
      <c r="B292" s="131" t="s">
        <v>2533</v>
      </c>
      <c r="D292" s="133"/>
      <c r="E292" s="183" t="s">
        <v>55</v>
      </c>
      <c r="F292" s="404">
        <v>77207064.650000006</v>
      </c>
      <c r="G292" s="219" t="s">
        <v>56</v>
      </c>
      <c r="H292" s="186">
        <v>42149</v>
      </c>
      <c r="I292" s="187" t="s">
        <v>71</v>
      </c>
      <c r="J292" s="210">
        <v>244296.3663620115</v>
      </c>
      <c r="K292" s="193"/>
      <c r="M292" s="134"/>
    </row>
    <row r="293" spans="1:15" s="132" customFormat="1" x14ac:dyDescent="0.15">
      <c r="A293" s="193" t="s">
        <v>2516</v>
      </c>
      <c r="B293" s="131" t="s">
        <v>2534</v>
      </c>
      <c r="D293" s="133"/>
      <c r="E293" s="183" t="s">
        <v>55</v>
      </c>
      <c r="F293" s="404">
        <v>82068264.780000001</v>
      </c>
      <c r="G293" s="219" t="s">
        <v>56</v>
      </c>
      <c r="H293" s="186">
        <v>42150</v>
      </c>
      <c r="I293" s="187" t="s">
        <v>71</v>
      </c>
      <c r="J293" s="210">
        <v>389507.78863798844</v>
      </c>
      <c r="K293" s="133"/>
      <c r="M293" s="134"/>
    </row>
    <row r="294" spans="1:15" s="132" customFormat="1" x14ac:dyDescent="0.15">
      <c r="A294" s="193" t="s">
        <v>2517</v>
      </c>
      <c r="B294" s="131" t="s">
        <v>2535</v>
      </c>
      <c r="D294" s="133"/>
      <c r="E294" s="183" t="s">
        <v>55</v>
      </c>
      <c r="F294" s="404">
        <v>103502239.51000001</v>
      </c>
      <c r="G294" s="219" t="s">
        <v>56</v>
      </c>
      <c r="H294" s="186">
        <v>42153</v>
      </c>
      <c r="I294" s="187" t="s">
        <v>71</v>
      </c>
      <c r="J294" s="210">
        <v>130949.531</v>
      </c>
      <c r="K294" s="193"/>
      <c r="M294" s="134"/>
    </row>
    <row r="295" spans="1:15" s="132" customFormat="1" ht="12" thickBot="1" x14ac:dyDescent="0.2">
      <c r="A295" s="133"/>
      <c r="B295" s="402"/>
      <c r="C295" s="402"/>
      <c r="D295" s="402"/>
      <c r="E295" s="183"/>
      <c r="F295" s="403"/>
      <c r="G295" s="219"/>
      <c r="H295" s="186"/>
      <c r="I295" s="217" t="s">
        <v>106</v>
      </c>
      <c r="J295" s="211">
        <f>SUM(J284:J294)</f>
        <v>2303185.403362012</v>
      </c>
      <c r="K295" s="193"/>
      <c r="M295" s="134"/>
    </row>
    <row r="296" spans="1:15" s="132" customFormat="1" ht="12" thickTop="1" x14ac:dyDescent="0.15">
      <c r="A296" s="133"/>
      <c r="B296" s="133" t="s">
        <v>9</v>
      </c>
      <c r="C296" s="220" t="s">
        <v>2311</v>
      </c>
      <c r="D296" s="133" t="s">
        <v>570</v>
      </c>
      <c r="E296" s="133" t="s">
        <v>571</v>
      </c>
      <c r="F296" s="133" t="s">
        <v>16</v>
      </c>
      <c r="G296" s="134"/>
      <c r="H296" s="134"/>
      <c r="I296" s="187"/>
      <c r="J296" s="210"/>
      <c r="K296" s="193"/>
      <c r="M296" s="134"/>
    </row>
    <row r="297" spans="1:15" s="132" customFormat="1" x14ac:dyDescent="0.15">
      <c r="A297" s="188" t="s">
        <v>2457</v>
      </c>
      <c r="B297" s="210">
        <v>198851</v>
      </c>
      <c r="C297" s="221">
        <v>0.2</v>
      </c>
      <c r="D297" s="235">
        <f>+B297*C297</f>
        <v>39770.200000000004</v>
      </c>
      <c r="E297" s="235">
        <f t="shared" ref="E297:E300" si="38">+D297*0.1</f>
        <v>3977.0200000000004</v>
      </c>
      <c r="F297" s="236">
        <f t="shared" ref="F297:F300" si="39">SUM(D297:E297)</f>
        <v>43747.22</v>
      </c>
      <c r="G297" s="134"/>
      <c r="H297" s="134"/>
      <c r="J297" s="205"/>
      <c r="K297" s="193"/>
      <c r="M297" s="134"/>
    </row>
    <row r="298" spans="1:15" s="133" customFormat="1" x14ac:dyDescent="0.15">
      <c r="A298" s="188" t="s">
        <v>2508</v>
      </c>
      <c r="B298" s="210">
        <v>379195</v>
      </c>
      <c r="C298" s="221">
        <v>0.2</v>
      </c>
      <c r="D298" s="235">
        <f t="shared" ref="D298:D300" si="40">+B298*C298</f>
        <v>75839</v>
      </c>
      <c r="E298" s="235">
        <f t="shared" si="38"/>
        <v>7583.9000000000005</v>
      </c>
      <c r="F298" s="236">
        <f t="shared" si="39"/>
        <v>83422.899999999994</v>
      </c>
      <c r="I298" s="132"/>
      <c r="J298" s="205"/>
      <c r="L298" s="132"/>
      <c r="M298" s="134"/>
      <c r="N298" s="132"/>
      <c r="O298" s="132"/>
    </row>
    <row r="299" spans="1:15" s="132" customFormat="1" x14ac:dyDescent="0.15">
      <c r="A299" s="381" t="s">
        <v>2510</v>
      </c>
      <c r="B299" s="210">
        <v>166591</v>
      </c>
      <c r="C299" s="221">
        <v>0.2</v>
      </c>
      <c r="D299" s="235">
        <f t="shared" si="40"/>
        <v>33318.200000000004</v>
      </c>
      <c r="E299" s="235">
        <f t="shared" si="38"/>
        <v>3331.8200000000006</v>
      </c>
      <c r="F299" s="236">
        <f t="shared" si="39"/>
        <v>36650.020000000004</v>
      </c>
      <c r="G299" s="133"/>
      <c r="H299" s="133"/>
      <c r="J299" s="205"/>
      <c r="K299" s="133"/>
      <c r="M299" s="134"/>
    </row>
    <row r="300" spans="1:15" s="132" customFormat="1" x14ac:dyDescent="0.15">
      <c r="A300" s="193" t="s">
        <v>2511</v>
      </c>
      <c r="B300" s="210">
        <v>239454</v>
      </c>
      <c r="C300" s="221">
        <v>0.2</v>
      </c>
      <c r="D300" s="235">
        <f t="shared" si="40"/>
        <v>47890.8</v>
      </c>
      <c r="E300" s="235">
        <f t="shared" si="38"/>
        <v>4789.0800000000008</v>
      </c>
      <c r="F300" s="236">
        <f t="shared" si="39"/>
        <v>52679.880000000005</v>
      </c>
      <c r="G300" s="134"/>
      <c r="H300" s="134"/>
      <c r="J300" s="205"/>
      <c r="K300" s="133"/>
      <c r="M300" s="134"/>
    </row>
    <row r="301" spans="1:15" s="132" customFormat="1" ht="12" thickBot="1" x14ac:dyDescent="0.2">
      <c r="A301" s="133"/>
      <c r="B301" s="211">
        <f>SUM(B297:B300)</f>
        <v>984091</v>
      </c>
      <c r="C301" s="221"/>
      <c r="D301" s="242">
        <f>SUM(D297:D300)</f>
        <v>196818.2</v>
      </c>
      <c r="E301" s="242">
        <f t="shared" ref="E301:F301" si="41">SUM(E297:E300)</f>
        <v>19681.820000000003</v>
      </c>
      <c r="F301" s="242">
        <f t="shared" si="41"/>
        <v>216500.02000000002</v>
      </c>
      <c r="G301" s="186"/>
      <c r="H301" s="186"/>
      <c r="J301" s="205"/>
      <c r="K301" s="133"/>
      <c r="M301" s="134"/>
    </row>
    <row r="302" spans="1:15" s="132" customFormat="1" ht="12" thickTop="1" x14ac:dyDescent="0.15">
      <c r="A302" s="193" t="s">
        <v>2456</v>
      </c>
      <c r="B302" s="210">
        <v>154523</v>
      </c>
      <c r="C302" s="221">
        <v>0.2</v>
      </c>
      <c r="D302" s="235">
        <f t="shared" ref="D302:D308" si="42">+B302*C302</f>
        <v>30904.600000000002</v>
      </c>
      <c r="E302" s="235">
        <f t="shared" ref="E302:E308" si="43">+D302*0.1</f>
        <v>3090.4600000000005</v>
      </c>
      <c r="F302" s="236">
        <f t="shared" ref="F302:F308" si="44">SUM(D302:E302)</f>
        <v>33995.060000000005</v>
      </c>
      <c r="G302" s="186"/>
      <c r="H302" s="186"/>
      <c r="J302" s="205"/>
      <c r="K302" s="133"/>
      <c r="M302" s="134"/>
    </row>
    <row r="303" spans="1:15" s="132" customFormat="1" x14ac:dyDescent="0.15">
      <c r="A303" s="193" t="s">
        <v>2458</v>
      </c>
      <c r="B303" s="210">
        <v>75471</v>
      </c>
      <c r="C303" s="221">
        <v>0.2</v>
      </c>
      <c r="D303" s="235">
        <f t="shared" si="42"/>
        <v>15094.2</v>
      </c>
      <c r="E303" s="235">
        <f t="shared" si="43"/>
        <v>1509.42</v>
      </c>
      <c r="F303" s="236">
        <f t="shared" si="44"/>
        <v>16603.620000000003</v>
      </c>
      <c r="G303" s="186"/>
      <c r="H303" s="186"/>
      <c r="J303" s="134"/>
      <c r="K303" s="133"/>
      <c r="M303" s="134"/>
    </row>
    <row r="304" spans="1:15" s="132" customFormat="1" x14ac:dyDescent="0.15">
      <c r="A304" s="193" t="s">
        <v>2520</v>
      </c>
      <c r="B304" s="210">
        <v>118455</v>
      </c>
      <c r="C304" s="221">
        <v>0.2</v>
      </c>
      <c r="D304" s="235">
        <f t="shared" si="42"/>
        <v>23691</v>
      </c>
      <c r="E304" s="235">
        <f t="shared" si="43"/>
        <v>2369.1</v>
      </c>
      <c r="F304" s="236">
        <f t="shared" si="44"/>
        <v>26060.1</v>
      </c>
      <c r="G304" s="186"/>
      <c r="H304" s="186"/>
      <c r="J304" s="134"/>
      <c r="K304" s="133"/>
      <c r="M304" s="134"/>
    </row>
    <row r="305" spans="1:13" s="132" customFormat="1" x14ac:dyDescent="0.15">
      <c r="A305" s="193" t="s">
        <v>2521</v>
      </c>
      <c r="B305" s="210">
        <v>480634</v>
      </c>
      <c r="C305" s="221">
        <v>0.2</v>
      </c>
      <c r="D305" s="235">
        <f t="shared" si="42"/>
        <v>96126.8</v>
      </c>
      <c r="E305" s="235">
        <f t="shared" si="43"/>
        <v>9612.68</v>
      </c>
      <c r="F305" s="236">
        <f t="shared" si="44"/>
        <v>105739.48000000001</v>
      </c>
      <c r="G305" s="186"/>
      <c r="H305" s="186"/>
      <c r="J305" s="134"/>
      <c r="K305" s="133"/>
      <c r="M305" s="134"/>
    </row>
    <row r="306" spans="1:13" s="132" customFormat="1" x14ac:dyDescent="0.15">
      <c r="A306" s="193" t="s">
        <v>2509</v>
      </c>
      <c r="B306" s="210">
        <v>164236</v>
      </c>
      <c r="C306" s="221">
        <v>0.2</v>
      </c>
      <c r="D306" s="235">
        <f t="shared" si="42"/>
        <v>32847.200000000004</v>
      </c>
      <c r="E306" s="235">
        <f t="shared" si="43"/>
        <v>3284.7200000000007</v>
      </c>
      <c r="F306" s="236">
        <f t="shared" si="44"/>
        <v>36131.920000000006</v>
      </c>
      <c r="G306" s="186"/>
      <c r="H306" s="186"/>
      <c r="J306" s="134"/>
      <c r="K306" s="133"/>
      <c r="M306" s="134"/>
    </row>
    <row r="307" spans="1:13" s="132" customFormat="1" x14ac:dyDescent="0.15">
      <c r="A307" s="193" t="s">
        <v>2512</v>
      </c>
      <c r="B307" s="210">
        <v>63407</v>
      </c>
      <c r="C307" s="221">
        <v>0.2</v>
      </c>
      <c r="D307" s="235">
        <f t="shared" si="42"/>
        <v>12681.400000000001</v>
      </c>
      <c r="E307" s="235">
        <f t="shared" si="43"/>
        <v>1268.1400000000003</v>
      </c>
      <c r="F307" s="236">
        <f t="shared" si="44"/>
        <v>13949.54</v>
      </c>
      <c r="G307" s="186"/>
      <c r="H307" s="186"/>
      <c r="J307" s="210"/>
      <c r="K307" s="133"/>
      <c r="M307" s="134"/>
    </row>
    <row r="308" spans="1:13" s="132" customFormat="1" x14ac:dyDescent="0.15">
      <c r="A308" s="193" t="s">
        <v>2513</v>
      </c>
      <c r="B308" s="210">
        <v>251919</v>
      </c>
      <c r="C308" s="221">
        <v>0.2</v>
      </c>
      <c r="D308" s="235">
        <f t="shared" si="42"/>
        <v>50383.8</v>
      </c>
      <c r="E308" s="235">
        <f t="shared" si="43"/>
        <v>5038.380000000001</v>
      </c>
      <c r="F308" s="236">
        <f t="shared" si="44"/>
        <v>55422.180000000008</v>
      </c>
      <c r="G308" s="186"/>
      <c r="H308" s="186"/>
      <c r="J308" s="134"/>
      <c r="K308" s="133"/>
      <c r="M308" s="134"/>
    </row>
    <row r="309" spans="1:13" s="132" customFormat="1" x14ac:dyDescent="0.15">
      <c r="A309" s="193" t="s">
        <v>2514</v>
      </c>
      <c r="B309" s="210">
        <v>229787</v>
      </c>
      <c r="C309" s="221">
        <v>0.2</v>
      </c>
      <c r="D309" s="235">
        <f t="shared" ref="D309:D312" si="45">+B309*C309</f>
        <v>45957.4</v>
      </c>
      <c r="E309" s="235">
        <f t="shared" ref="E309:E312" si="46">+D309*0.1</f>
        <v>4595.7400000000007</v>
      </c>
      <c r="F309" s="236">
        <f t="shared" ref="F309:F312" si="47">SUM(D309:E309)</f>
        <v>50553.14</v>
      </c>
      <c r="G309" s="186"/>
      <c r="H309" s="186"/>
      <c r="J309" s="134"/>
      <c r="K309" s="133"/>
      <c r="M309" s="134"/>
    </row>
    <row r="310" spans="1:13" s="132" customFormat="1" x14ac:dyDescent="0.15">
      <c r="A310" s="193" t="s">
        <v>2515</v>
      </c>
      <c r="B310" s="210">
        <v>244296</v>
      </c>
      <c r="C310" s="221">
        <v>0.2</v>
      </c>
      <c r="D310" s="235">
        <f t="shared" si="45"/>
        <v>48859.200000000004</v>
      </c>
      <c r="E310" s="235">
        <f t="shared" si="46"/>
        <v>4885.920000000001</v>
      </c>
      <c r="F310" s="236">
        <f t="shared" si="47"/>
        <v>53745.120000000003</v>
      </c>
      <c r="G310" s="186"/>
      <c r="H310" s="186"/>
      <c r="J310" s="134"/>
      <c r="K310" s="133"/>
      <c r="M310" s="134"/>
    </row>
    <row r="311" spans="1:13" s="132" customFormat="1" x14ac:dyDescent="0.15">
      <c r="A311" s="193" t="s">
        <v>2516</v>
      </c>
      <c r="B311" s="210">
        <v>389508</v>
      </c>
      <c r="C311" s="221">
        <v>0.2</v>
      </c>
      <c r="D311" s="235">
        <f t="shared" si="45"/>
        <v>77901.600000000006</v>
      </c>
      <c r="E311" s="235">
        <f t="shared" si="46"/>
        <v>7790.1600000000008</v>
      </c>
      <c r="F311" s="236">
        <f t="shared" si="47"/>
        <v>85691.760000000009</v>
      </c>
      <c r="G311" s="186"/>
      <c r="H311" s="186"/>
      <c r="J311" s="134"/>
      <c r="K311" s="133"/>
      <c r="M311" s="134"/>
    </row>
    <row r="312" spans="1:13" s="132" customFormat="1" x14ac:dyDescent="0.15">
      <c r="A312" s="193" t="s">
        <v>2517</v>
      </c>
      <c r="B312" s="210">
        <v>130950</v>
      </c>
      <c r="C312" s="221">
        <v>0.2</v>
      </c>
      <c r="D312" s="235">
        <f t="shared" si="45"/>
        <v>26190</v>
      </c>
      <c r="E312" s="235">
        <f t="shared" si="46"/>
        <v>2619</v>
      </c>
      <c r="F312" s="236">
        <f t="shared" si="47"/>
        <v>28809</v>
      </c>
      <c r="G312" s="186"/>
      <c r="H312" s="186"/>
      <c r="J312" s="134"/>
      <c r="K312" s="133"/>
      <c r="M312" s="134"/>
    </row>
    <row r="313" spans="1:13" s="132" customFormat="1" ht="12" thickBot="1" x14ac:dyDescent="0.2">
      <c r="A313" s="133"/>
      <c r="B313" s="211">
        <f>SUM(B302:B312)</f>
        <v>2303186</v>
      </c>
      <c r="C313" s="221"/>
      <c r="D313" s="242">
        <f>SUM(D302:D312)</f>
        <v>460637.20000000007</v>
      </c>
      <c r="E313" s="242">
        <f t="shared" ref="E313:F313" si="48">SUM(E302:E312)</f>
        <v>46063.720000000008</v>
      </c>
      <c r="F313" s="242">
        <f t="shared" si="48"/>
        <v>506700.92000000004</v>
      </c>
      <c r="G313" s="186"/>
      <c r="H313" s="186"/>
      <c r="J313" s="134"/>
      <c r="K313" s="133"/>
      <c r="M313" s="134"/>
    </row>
    <row r="314" spans="1:13" s="132" customFormat="1" ht="12" thickTop="1" x14ac:dyDescent="0.15">
      <c r="A314" s="193"/>
      <c r="B314" s="131"/>
      <c r="D314" s="133"/>
      <c r="E314" s="183"/>
      <c r="F314" s="404"/>
      <c r="G314" s="219"/>
      <c r="H314" s="186"/>
      <c r="J314" s="134"/>
      <c r="K314" s="133"/>
      <c r="M314" s="134"/>
    </row>
    <row r="315" spans="1:13" s="132" customFormat="1" x14ac:dyDescent="0.15">
      <c r="A315" s="134"/>
      <c r="B315" s="131"/>
      <c r="D315" s="133"/>
      <c r="E315" s="133"/>
      <c r="F315" s="134"/>
      <c r="H315" s="133"/>
      <c r="I315" s="187"/>
      <c r="J315" s="134"/>
      <c r="K315" s="133"/>
      <c r="M315" s="134"/>
    </row>
    <row r="316" spans="1:13" s="132" customFormat="1" x14ac:dyDescent="0.15">
      <c r="A316" s="134"/>
      <c r="B316" s="131"/>
      <c r="D316" s="133"/>
      <c r="E316" s="133"/>
      <c r="F316" s="134"/>
      <c r="H316" s="133"/>
      <c r="J316" s="134"/>
      <c r="K316" s="133"/>
      <c r="M316" s="134"/>
    </row>
    <row r="317" spans="1:13" s="132" customFormat="1" x14ac:dyDescent="0.15">
      <c r="A317" s="134"/>
      <c r="B317" s="131"/>
      <c r="D317" s="133"/>
      <c r="E317" s="133"/>
      <c r="F317" s="134"/>
      <c r="H317" s="133"/>
      <c r="J317" s="134"/>
      <c r="K317" s="133"/>
      <c r="M317" s="134"/>
    </row>
    <row r="318" spans="1:13" s="132" customFormat="1" x14ac:dyDescent="0.15">
      <c r="A318" s="134"/>
      <c r="B318" s="131"/>
      <c r="D318" s="133"/>
      <c r="E318" s="133"/>
      <c r="F318" s="134"/>
      <c r="H318" s="133"/>
      <c r="J318" s="134"/>
      <c r="K318" s="133"/>
      <c r="M318" s="134"/>
    </row>
  </sheetData>
  <mergeCells count="7">
    <mergeCell ref="B278:D278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369"/>
  <sheetViews>
    <sheetView zoomScale="115" zoomScaleNormal="115" workbookViewId="0">
      <pane ySplit="6" topLeftCell="A287" activePane="bottomLeft" state="frozen"/>
      <selection pane="bottomLeft" activeCell="A342" sqref="A342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2414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2387</v>
      </c>
      <c r="B7" s="146"/>
      <c r="C7" s="152">
        <v>369196.16836201149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369196.16836201149</v>
      </c>
      <c r="O7" s="147">
        <f>+C328</f>
        <v>764636.02236201148</v>
      </c>
    </row>
    <row r="8" spans="1:15" x14ac:dyDescent="0.15">
      <c r="A8" s="154" t="s">
        <v>2388</v>
      </c>
      <c r="B8" s="151"/>
      <c r="C8" s="152">
        <v>351507.71399999998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369196.16836201149</v>
      </c>
      <c r="O8" s="152">
        <f t="shared" ref="O8:O10" si="0">O7+G8-I8-L8</f>
        <v>764636.02236201148</v>
      </c>
    </row>
    <row r="9" spans="1:15" x14ac:dyDescent="0.15">
      <c r="A9" s="157" t="s">
        <v>2389</v>
      </c>
      <c r="B9" s="151"/>
      <c r="C9" s="152">
        <v>43932.14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:N10" si="1">+N8-I9-L9</f>
        <v>369196.16836201149</v>
      </c>
      <c r="O9" s="152">
        <f t="shared" si="0"/>
        <v>764636.02236201148</v>
      </c>
    </row>
    <row r="10" spans="1:15" x14ac:dyDescent="0.15">
      <c r="A10" s="154"/>
      <c r="B10" s="151"/>
      <c r="C10" s="152"/>
      <c r="D10" s="323" t="s">
        <v>2415</v>
      </c>
      <c r="E10" s="154" t="s">
        <v>72</v>
      </c>
      <c r="F10" s="157" t="s">
        <v>2389</v>
      </c>
      <c r="G10" s="152">
        <v>175702.399</v>
      </c>
      <c r="H10" s="323" t="s">
        <v>2415</v>
      </c>
      <c r="I10" s="152">
        <v>12995.827000000001</v>
      </c>
      <c r="J10" s="154" t="s">
        <v>2387</v>
      </c>
      <c r="K10" s="157">
        <v>5800361025</v>
      </c>
      <c r="L10" s="227">
        <v>33343.887000000002</v>
      </c>
      <c r="M10" s="154" t="s">
        <v>2387</v>
      </c>
      <c r="N10" s="227">
        <f t="shared" si="1"/>
        <v>322856.45436201151</v>
      </c>
      <c r="O10" s="152">
        <f t="shared" si="0"/>
        <v>893998.70736201142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 t="s">
        <v>2415</v>
      </c>
      <c r="I11" s="152"/>
      <c r="J11" s="157"/>
      <c r="K11" s="157">
        <v>5800361025</v>
      </c>
      <c r="L11" s="227">
        <v>14802.483</v>
      </c>
      <c r="M11" s="154" t="s">
        <v>2387</v>
      </c>
      <c r="N11" s="227">
        <f t="shared" ref="N11:N77" si="2">+N10-I11-L11</f>
        <v>308053.97136201151</v>
      </c>
      <c r="O11" s="152">
        <f t="shared" ref="O11:O77" si="3">O10+G11-I11-L11</f>
        <v>879196.22436201142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2415</v>
      </c>
      <c r="I12" s="152"/>
      <c r="J12" s="157"/>
      <c r="K12" s="157">
        <v>5800361025</v>
      </c>
      <c r="L12" s="227">
        <v>15900.929</v>
      </c>
      <c r="M12" s="154" t="s">
        <v>2387</v>
      </c>
      <c r="N12" s="227">
        <f t="shared" si="2"/>
        <v>292153.0423620115</v>
      </c>
      <c r="O12" s="152">
        <f t="shared" si="3"/>
        <v>863295.29536201141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2415</v>
      </c>
      <c r="I13" s="152"/>
      <c r="J13" s="157"/>
      <c r="K13" s="157">
        <v>5800361025</v>
      </c>
      <c r="L13" s="227">
        <v>14747.41</v>
      </c>
      <c r="M13" s="154" t="s">
        <v>2387</v>
      </c>
      <c r="N13" s="227">
        <f t="shared" si="2"/>
        <v>277405.63236201153</v>
      </c>
      <c r="O13" s="152">
        <f t="shared" si="3"/>
        <v>848547.88536201138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2415</v>
      </c>
      <c r="I14" s="152"/>
      <c r="J14" s="157"/>
      <c r="K14" s="157">
        <v>5800361025</v>
      </c>
      <c r="L14" s="227">
        <v>12517.475</v>
      </c>
      <c r="M14" s="154" t="s">
        <v>2387</v>
      </c>
      <c r="N14" s="227">
        <f t="shared" si="2"/>
        <v>264888.15736201155</v>
      </c>
      <c r="O14" s="152">
        <f t="shared" si="3"/>
        <v>836030.4103620114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2415</v>
      </c>
      <c r="I15" s="152"/>
      <c r="J15" s="157"/>
      <c r="K15" s="157">
        <v>5800361025</v>
      </c>
      <c r="L15" s="227">
        <v>13008.120999999999</v>
      </c>
      <c r="M15" s="154" t="s">
        <v>2387</v>
      </c>
      <c r="N15" s="227">
        <f t="shared" si="2"/>
        <v>251880.03636201157</v>
      </c>
      <c r="O15" s="152">
        <f t="shared" si="3"/>
        <v>823022.28936201136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2415</v>
      </c>
      <c r="I16" s="152"/>
      <c r="J16" s="157"/>
      <c r="K16" s="157">
        <v>5800361025</v>
      </c>
      <c r="L16" s="227">
        <v>70392.649999999994</v>
      </c>
      <c r="M16" s="154" t="s">
        <v>2387</v>
      </c>
      <c r="N16" s="227">
        <f t="shared" si="2"/>
        <v>181487.38636201157</v>
      </c>
      <c r="O16" s="152">
        <f t="shared" si="3"/>
        <v>752629.63936201134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2415</v>
      </c>
      <c r="I17" s="152"/>
      <c r="J17" s="157"/>
      <c r="K17" s="157">
        <v>5800361025</v>
      </c>
      <c r="L17" s="227">
        <v>796.048</v>
      </c>
      <c r="M17" s="154" t="s">
        <v>2387</v>
      </c>
      <c r="N17" s="227">
        <f t="shared" si="2"/>
        <v>180691.33836201156</v>
      </c>
      <c r="O17" s="152">
        <f t="shared" si="3"/>
        <v>751833.59136201139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2415</v>
      </c>
      <c r="I18" s="152"/>
      <c r="J18" s="157"/>
      <c r="K18" s="157">
        <v>5800361025</v>
      </c>
      <c r="L18" s="227">
        <v>9211.3279999999995</v>
      </c>
      <c r="M18" s="154" t="s">
        <v>2387</v>
      </c>
      <c r="N18" s="227">
        <f t="shared" si="2"/>
        <v>171480.01036201156</v>
      </c>
      <c r="O18" s="152">
        <f t="shared" si="3"/>
        <v>742622.26336201141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2415</v>
      </c>
      <c r="I19" s="152"/>
      <c r="J19" s="157"/>
      <c r="K19" s="157">
        <v>5800361025</v>
      </c>
      <c r="L19" s="227">
        <v>11917.955</v>
      </c>
      <c r="M19" s="154" t="s">
        <v>2387</v>
      </c>
      <c r="N19" s="227">
        <f t="shared" si="2"/>
        <v>159562.05536201157</v>
      </c>
      <c r="O19" s="152">
        <f t="shared" si="3"/>
        <v>730704.30836201145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2415</v>
      </c>
      <c r="I20" s="152"/>
      <c r="J20" s="157"/>
      <c r="K20" s="157">
        <v>5800361025</v>
      </c>
      <c r="L20" s="227">
        <v>6662.6210000000001</v>
      </c>
      <c r="M20" s="154" t="s">
        <v>2387</v>
      </c>
      <c r="N20" s="227">
        <f t="shared" si="2"/>
        <v>152899.43436201155</v>
      </c>
      <c r="O20" s="152">
        <f t="shared" si="3"/>
        <v>724041.68736201141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2415</v>
      </c>
      <c r="I21" s="152"/>
      <c r="J21" s="157"/>
      <c r="K21" s="157">
        <v>5800361025</v>
      </c>
      <c r="L21" s="227">
        <v>13117.347</v>
      </c>
      <c r="M21" s="154" t="s">
        <v>2387</v>
      </c>
      <c r="N21" s="227">
        <f t="shared" si="2"/>
        <v>139782.08736201155</v>
      </c>
      <c r="O21" s="152">
        <f t="shared" si="3"/>
        <v>710924.34036201145</v>
      </c>
    </row>
    <row r="22" spans="1:15" x14ac:dyDescent="0.15">
      <c r="A22" s="154"/>
      <c r="B22" s="151"/>
      <c r="C22" s="152"/>
      <c r="D22" s="323" t="s">
        <v>2416</v>
      </c>
      <c r="E22" s="154" t="s">
        <v>72</v>
      </c>
      <c r="F22" s="157" t="s">
        <v>2389</v>
      </c>
      <c r="G22" s="152">
        <v>87812.196999999956</v>
      </c>
      <c r="H22" s="323" t="s">
        <v>2416</v>
      </c>
      <c r="I22" s="152">
        <v>10773.199000000001</v>
      </c>
      <c r="J22" s="154" t="s">
        <v>2387</v>
      </c>
      <c r="K22" s="157">
        <v>5800361025</v>
      </c>
      <c r="L22" s="227">
        <v>15008.234</v>
      </c>
      <c r="M22" s="154" t="s">
        <v>2387</v>
      </c>
      <c r="N22" s="227">
        <f t="shared" si="2"/>
        <v>114000.65436201156</v>
      </c>
      <c r="O22" s="152">
        <f t="shared" si="3"/>
        <v>772955.10436201131</v>
      </c>
    </row>
    <row r="23" spans="1:15" x14ac:dyDescent="0.15">
      <c r="A23" s="154"/>
      <c r="B23" s="151"/>
      <c r="C23" s="152"/>
      <c r="D23" s="323" t="s">
        <v>2416</v>
      </c>
      <c r="E23" s="154" t="s">
        <v>72</v>
      </c>
      <c r="F23" s="157" t="s">
        <v>2445</v>
      </c>
      <c r="G23" s="152">
        <v>131626.935</v>
      </c>
      <c r="H23" s="323" t="s">
        <v>2416</v>
      </c>
      <c r="I23" s="152"/>
      <c r="J23" s="157"/>
      <c r="K23" s="157">
        <v>5800361025</v>
      </c>
      <c r="L23" s="227">
        <v>13353.223</v>
      </c>
      <c r="M23" s="154" t="s">
        <v>2387</v>
      </c>
      <c r="N23" s="227">
        <f t="shared" si="2"/>
        <v>100647.43136201156</v>
      </c>
      <c r="O23" s="152">
        <f t="shared" si="3"/>
        <v>891228.81636201125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2416</v>
      </c>
      <c r="I24" s="152"/>
      <c r="J24" s="157"/>
      <c r="K24" s="157">
        <v>5800361025</v>
      </c>
      <c r="L24" s="227">
        <v>12800.552</v>
      </c>
      <c r="M24" s="154" t="s">
        <v>2387</v>
      </c>
      <c r="N24" s="227">
        <f t="shared" si="2"/>
        <v>87846.879362011561</v>
      </c>
      <c r="O24" s="152">
        <f t="shared" si="3"/>
        <v>878428.26436201122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2416</v>
      </c>
      <c r="I25" s="152"/>
      <c r="J25" s="154"/>
      <c r="K25" s="157">
        <v>5800361025</v>
      </c>
      <c r="L25" s="227">
        <v>14981.200999999999</v>
      </c>
      <c r="M25" s="154" t="s">
        <v>2387</v>
      </c>
      <c r="N25" s="227">
        <f t="shared" si="2"/>
        <v>72865.67836201156</v>
      </c>
      <c r="O25" s="152">
        <f t="shared" si="3"/>
        <v>863447.06336201122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2416</v>
      </c>
      <c r="I26" s="152"/>
      <c r="J26" s="157"/>
      <c r="K26" s="157">
        <v>5800361025</v>
      </c>
      <c r="L26" s="227">
        <v>9555.61</v>
      </c>
      <c r="M26" s="154" t="s">
        <v>2387</v>
      </c>
      <c r="N26" s="227">
        <f t="shared" ref="N26:N35" si="4">+N25-I26-L26</f>
        <v>63310.06836201156</v>
      </c>
      <c r="O26" s="152">
        <f t="shared" ref="O26:O35" si="5">O25+G26-I26-L26</f>
        <v>853891.45336201123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2416</v>
      </c>
      <c r="I27" s="152"/>
      <c r="J27" s="154"/>
      <c r="K27" s="157">
        <v>5800361025</v>
      </c>
      <c r="L27" s="227">
        <v>63310.06836201156</v>
      </c>
      <c r="M27" s="154" t="s">
        <v>2387</v>
      </c>
      <c r="N27" s="227">
        <f t="shared" si="4"/>
        <v>0</v>
      </c>
      <c r="O27" s="152">
        <f t="shared" si="5"/>
        <v>790581.38499999966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2416</v>
      </c>
      <c r="I28" s="152"/>
      <c r="J28" s="154"/>
      <c r="K28" s="157">
        <v>5800361036</v>
      </c>
      <c r="L28" s="227">
        <v>9668.5966379884303</v>
      </c>
      <c r="M28" s="154" t="s">
        <v>2388</v>
      </c>
      <c r="N28" s="227">
        <f>C8+N27-I28-L28</f>
        <v>341839.11736201157</v>
      </c>
      <c r="O28" s="152">
        <f t="shared" si="5"/>
        <v>780912.7883620112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2416</v>
      </c>
      <c r="I29" s="152"/>
      <c r="J29" s="157"/>
      <c r="K29" s="157">
        <v>5800361036</v>
      </c>
      <c r="L29" s="227">
        <v>1680.0409999999999</v>
      </c>
      <c r="M29" s="154" t="s">
        <v>2388</v>
      </c>
      <c r="N29" s="227">
        <f t="shared" si="4"/>
        <v>340159.07636201155</v>
      </c>
      <c r="O29" s="152">
        <f t="shared" si="5"/>
        <v>779232.74736201123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2416</v>
      </c>
      <c r="I30" s="152"/>
      <c r="J30" s="154"/>
      <c r="K30" s="157">
        <v>5800361036</v>
      </c>
      <c r="L30" s="227">
        <v>14538.576999999999</v>
      </c>
      <c r="M30" s="154" t="s">
        <v>2388</v>
      </c>
      <c r="N30" s="227">
        <f t="shared" si="4"/>
        <v>325620.49936201156</v>
      </c>
      <c r="O30" s="152">
        <f t="shared" si="5"/>
        <v>764694.17036201118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2416</v>
      </c>
      <c r="I31" s="152"/>
      <c r="J31" s="157"/>
      <c r="K31" s="157">
        <v>5800361036</v>
      </c>
      <c r="L31" s="227">
        <v>11645.458000000001</v>
      </c>
      <c r="M31" s="154" t="s">
        <v>2388</v>
      </c>
      <c r="N31" s="227">
        <f t="shared" si="4"/>
        <v>313975.04136201157</v>
      </c>
      <c r="O31" s="152">
        <f t="shared" si="5"/>
        <v>753048.7123620112</v>
      </c>
    </row>
    <row r="32" spans="1:15" x14ac:dyDescent="0.15">
      <c r="A32" s="154"/>
      <c r="B32" s="151"/>
      <c r="C32" s="152"/>
      <c r="D32" s="323" t="s">
        <v>2417</v>
      </c>
      <c r="E32" s="154" t="s">
        <v>72</v>
      </c>
      <c r="F32" s="157" t="s">
        <v>2445</v>
      </c>
      <c r="G32" s="152">
        <v>87799.676000000007</v>
      </c>
      <c r="H32" s="323" t="s">
        <v>2417</v>
      </c>
      <c r="I32" s="152">
        <v>13512.148000000001</v>
      </c>
      <c r="J32" s="154" t="s">
        <v>2388</v>
      </c>
      <c r="K32" s="157">
        <v>5800361036</v>
      </c>
      <c r="L32" s="227">
        <v>38900.271999999997</v>
      </c>
      <c r="M32" s="154" t="s">
        <v>2388</v>
      </c>
      <c r="N32" s="227">
        <f t="shared" si="4"/>
        <v>261562.62136201159</v>
      </c>
      <c r="O32" s="152">
        <f t="shared" si="5"/>
        <v>788435.96836201113</v>
      </c>
    </row>
    <row r="33" spans="1:15" x14ac:dyDescent="0.15">
      <c r="A33" s="154"/>
      <c r="B33" s="151"/>
      <c r="C33" s="152"/>
      <c r="D33" s="323" t="s">
        <v>2417</v>
      </c>
      <c r="E33" s="154" t="s">
        <v>72</v>
      </c>
      <c r="F33" s="157" t="s">
        <v>2446</v>
      </c>
      <c r="G33" s="152">
        <v>87845.762000000002</v>
      </c>
      <c r="H33" s="323" t="s">
        <v>2417</v>
      </c>
      <c r="I33" s="152"/>
      <c r="J33" s="157"/>
      <c r="K33" s="157">
        <v>5800361036</v>
      </c>
      <c r="L33" s="227">
        <v>15375.203</v>
      </c>
      <c r="M33" s="154" t="s">
        <v>2388</v>
      </c>
      <c r="N33" s="227">
        <f t="shared" si="4"/>
        <v>246187.41836201158</v>
      </c>
      <c r="O33" s="152">
        <f t="shared" si="5"/>
        <v>860906.52736201114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2417</v>
      </c>
      <c r="I34" s="152"/>
      <c r="J34" s="154"/>
      <c r="K34" s="157">
        <v>5800361036</v>
      </c>
      <c r="L34" s="227">
        <v>13037.388000000001</v>
      </c>
      <c r="M34" s="154" t="s">
        <v>2388</v>
      </c>
      <c r="N34" s="227">
        <f t="shared" si="4"/>
        <v>233150.03036201157</v>
      </c>
      <c r="O34" s="152">
        <f t="shared" si="5"/>
        <v>847869.1393620111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2417</v>
      </c>
      <c r="I35" s="152"/>
      <c r="J35" s="154"/>
      <c r="K35" s="157">
        <v>5800361036</v>
      </c>
      <c r="L35" s="227">
        <v>18202.769</v>
      </c>
      <c r="M35" s="154" t="s">
        <v>2388</v>
      </c>
      <c r="N35" s="227">
        <f t="shared" si="4"/>
        <v>214947.26136201157</v>
      </c>
      <c r="O35" s="152">
        <f t="shared" si="5"/>
        <v>829666.37036201113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2417</v>
      </c>
      <c r="I36" s="152"/>
      <c r="J36" s="154"/>
      <c r="K36" s="157">
        <v>5800361036</v>
      </c>
      <c r="L36" s="227">
        <v>16034.868</v>
      </c>
      <c r="M36" s="154" t="s">
        <v>2388</v>
      </c>
      <c r="N36" s="227">
        <f t="shared" si="2"/>
        <v>198912.39336201159</v>
      </c>
      <c r="O36" s="152">
        <f t="shared" si="3"/>
        <v>813631.50236201112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2417</v>
      </c>
      <c r="I37" s="152"/>
      <c r="J37" s="154"/>
      <c r="K37" s="157">
        <v>5800361036</v>
      </c>
      <c r="L37" s="227">
        <v>12613.602999999999</v>
      </c>
      <c r="M37" s="154" t="s">
        <v>2388</v>
      </c>
      <c r="N37" s="227">
        <f t="shared" si="2"/>
        <v>186298.79036201158</v>
      </c>
      <c r="O37" s="152">
        <f t="shared" si="3"/>
        <v>801017.89936201111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2417</v>
      </c>
      <c r="I38" s="152"/>
      <c r="J38" s="154"/>
      <c r="K38" s="157">
        <v>5800361036</v>
      </c>
      <c r="L38" s="227">
        <v>13330.24</v>
      </c>
      <c r="M38" s="154" t="s">
        <v>2388</v>
      </c>
      <c r="N38" s="227">
        <f t="shared" si="2"/>
        <v>172968.55036201159</v>
      </c>
      <c r="O38" s="152">
        <f t="shared" si="3"/>
        <v>787687.65936201112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2417</v>
      </c>
      <c r="I39" s="152"/>
      <c r="J39" s="157"/>
      <c r="K39" s="157">
        <v>5800361036</v>
      </c>
      <c r="L39" s="227">
        <v>326.834</v>
      </c>
      <c r="M39" s="154" t="s">
        <v>2388</v>
      </c>
      <c r="N39" s="227">
        <f t="shared" si="2"/>
        <v>172641.71636201159</v>
      </c>
      <c r="O39" s="152">
        <f t="shared" si="3"/>
        <v>787360.82536201109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2417</v>
      </c>
      <c r="I40" s="152"/>
      <c r="J40" s="157"/>
      <c r="K40" s="157">
        <v>5800361036</v>
      </c>
      <c r="L40" s="227">
        <v>9725.0679999999993</v>
      </c>
      <c r="M40" s="154" t="s">
        <v>2388</v>
      </c>
      <c r="N40" s="227">
        <f t="shared" si="2"/>
        <v>162916.64836201159</v>
      </c>
      <c r="O40" s="152">
        <f t="shared" si="3"/>
        <v>777635.75736201112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2417</v>
      </c>
      <c r="I41" s="152"/>
      <c r="J41" s="157"/>
      <c r="K41" s="157">
        <v>5800361036</v>
      </c>
      <c r="L41" s="227">
        <v>2670.6460000000002</v>
      </c>
      <c r="M41" s="154" t="s">
        <v>2388</v>
      </c>
      <c r="N41" s="227">
        <f t="shared" si="2"/>
        <v>160246.00236201158</v>
      </c>
      <c r="O41" s="152">
        <f t="shared" si="3"/>
        <v>774965.11136201117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2417</v>
      </c>
      <c r="I42" s="152"/>
      <c r="J42" s="157"/>
      <c r="K42" s="157">
        <v>5800361036</v>
      </c>
      <c r="L42" s="227">
        <v>10910.467000000001</v>
      </c>
      <c r="M42" s="154" t="s">
        <v>2388</v>
      </c>
      <c r="N42" s="227">
        <f t="shared" si="2"/>
        <v>149335.53536201158</v>
      </c>
      <c r="O42" s="152">
        <f t="shared" si="3"/>
        <v>764054.64436201123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2417</v>
      </c>
      <c r="I43" s="152"/>
      <c r="J43" s="157"/>
      <c r="K43" s="157">
        <v>5800361036</v>
      </c>
      <c r="L43" s="227">
        <v>14382.706</v>
      </c>
      <c r="M43" s="154" t="s">
        <v>2388</v>
      </c>
      <c r="N43" s="227">
        <f t="shared" si="2"/>
        <v>134952.82936201157</v>
      </c>
      <c r="O43" s="152">
        <f t="shared" si="3"/>
        <v>749671.93836201122</v>
      </c>
    </row>
    <row r="44" spans="1:15" x14ac:dyDescent="0.15">
      <c r="A44" s="154"/>
      <c r="B44" s="151"/>
      <c r="C44" s="152"/>
      <c r="D44" s="323" t="s">
        <v>2418</v>
      </c>
      <c r="E44" s="154" t="s">
        <v>72</v>
      </c>
      <c r="F44" s="157" t="s">
        <v>2446</v>
      </c>
      <c r="G44" s="152">
        <v>175517.065</v>
      </c>
      <c r="H44" s="323" t="s">
        <v>2418</v>
      </c>
      <c r="I44" s="152">
        <v>11967.119999999999</v>
      </c>
      <c r="J44" s="154" t="s">
        <v>2388</v>
      </c>
      <c r="K44" s="157">
        <v>5800361036</v>
      </c>
      <c r="L44" s="227">
        <v>13826.004999999999</v>
      </c>
      <c r="M44" s="154" t="s">
        <v>2388</v>
      </c>
      <c r="N44" s="227">
        <f t="shared" si="2"/>
        <v>109159.70436201157</v>
      </c>
      <c r="O44" s="152">
        <f t="shared" si="3"/>
        <v>899395.87836201116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2418</v>
      </c>
      <c r="I45" s="152"/>
      <c r="J45" s="157"/>
      <c r="K45" s="157">
        <v>5800361036</v>
      </c>
      <c r="L45" s="227">
        <v>13293.735000000001</v>
      </c>
      <c r="M45" s="154" t="s">
        <v>2388</v>
      </c>
      <c r="N45" s="227">
        <f t="shared" si="2"/>
        <v>95865.969362011572</v>
      </c>
      <c r="O45" s="152">
        <f t="shared" si="3"/>
        <v>886102.14336201118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2418</v>
      </c>
      <c r="I46" s="152"/>
      <c r="J46" s="157"/>
      <c r="K46" s="157">
        <v>5800361036</v>
      </c>
      <c r="L46" s="227">
        <v>13692.937</v>
      </c>
      <c r="M46" s="154" t="s">
        <v>2388</v>
      </c>
      <c r="N46" s="227">
        <f t="shared" si="2"/>
        <v>82173.032362011567</v>
      </c>
      <c r="O46" s="152">
        <f t="shared" si="3"/>
        <v>872409.20636201114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2418</v>
      </c>
      <c r="I47" s="152"/>
      <c r="J47" s="157"/>
      <c r="K47" s="157">
        <v>5800361036</v>
      </c>
      <c r="L47" s="227">
        <v>16575.398000000001</v>
      </c>
      <c r="M47" s="154" t="s">
        <v>2388</v>
      </c>
      <c r="N47" s="227">
        <f t="shared" si="2"/>
        <v>65597.634362011566</v>
      </c>
      <c r="O47" s="152">
        <f t="shared" si="3"/>
        <v>855833.8083620111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2418</v>
      </c>
      <c r="I48" s="152"/>
      <c r="J48" s="154"/>
      <c r="K48" s="157">
        <v>5800361036</v>
      </c>
      <c r="L48" s="227">
        <v>13919.052</v>
      </c>
      <c r="M48" s="154" t="s">
        <v>2388</v>
      </c>
      <c r="N48" s="227">
        <f t="shared" si="2"/>
        <v>51678.58236201157</v>
      </c>
      <c r="O48" s="152">
        <f t="shared" si="3"/>
        <v>841914.75636201107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2418</v>
      </c>
      <c r="I49" s="152"/>
      <c r="J49" s="157"/>
      <c r="K49" s="157">
        <v>5800361036</v>
      </c>
      <c r="L49" s="227">
        <v>14179.183999999999</v>
      </c>
      <c r="M49" s="154" t="s">
        <v>2388</v>
      </c>
      <c r="N49" s="227">
        <f t="shared" si="2"/>
        <v>37499.398362011569</v>
      </c>
      <c r="O49" s="152">
        <f t="shared" si="3"/>
        <v>827735.57236201107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2418</v>
      </c>
      <c r="I50" s="152"/>
      <c r="J50" s="157"/>
      <c r="K50" s="157">
        <v>5800361036</v>
      </c>
      <c r="L50" s="227">
        <v>10487.313</v>
      </c>
      <c r="M50" s="154" t="s">
        <v>2388</v>
      </c>
      <c r="N50" s="227">
        <f t="shared" si="2"/>
        <v>27012.085362011567</v>
      </c>
      <c r="O50" s="152">
        <f t="shared" si="3"/>
        <v>817248.2593620111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2418</v>
      </c>
      <c r="I51" s="152"/>
      <c r="J51" s="157"/>
      <c r="K51" s="157">
        <v>5800361036</v>
      </c>
      <c r="L51" s="227">
        <v>15705.251</v>
      </c>
      <c r="M51" s="154" t="s">
        <v>2388</v>
      </c>
      <c r="N51" s="227">
        <f t="shared" si="2"/>
        <v>11306.834362011567</v>
      </c>
      <c r="O51" s="152">
        <f t="shared" si="3"/>
        <v>801543.00836201105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2418</v>
      </c>
      <c r="I52" s="152"/>
      <c r="J52" s="157"/>
      <c r="K52" s="157">
        <v>5800361036</v>
      </c>
      <c r="L52" s="227">
        <v>603.51</v>
      </c>
      <c r="M52" s="154" t="s">
        <v>2388</v>
      </c>
      <c r="N52" s="227">
        <f t="shared" si="2"/>
        <v>10703.324362011566</v>
      </c>
      <c r="O52" s="152">
        <f t="shared" si="3"/>
        <v>800939.49836201104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2418</v>
      </c>
      <c r="I53" s="152"/>
      <c r="J53" s="157"/>
      <c r="K53" s="157">
        <v>5800361036</v>
      </c>
      <c r="L53" s="227">
        <v>10703.324362011566</v>
      </c>
      <c r="M53" s="154" t="s">
        <v>2388</v>
      </c>
      <c r="N53" s="227">
        <f t="shared" ref="N53:N58" si="6">+N52-I53-L53</f>
        <v>0</v>
      </c>
      <c r="O53" s="152">
        <f t="shared" ref="O53:O58" si="7">O52+G53-I53-L53</f>
        <v>790236.17399999953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2418</v>
      </c>
      <c r="I54" s="152"/>
      <c r="J54" s="157"/>
      <c r="K54" s="157">
        <v>5800361025</v>
      </c>
      <c r="L54" s="227">
        <v>1567.71463798843</v>
      </c>
      <c r="M54" s="157" t="s">
        <v>2389</v>
      </c>
      <c r="N54" s="227">
        <f>C9+G10+G22+N53-I54-L54</f>
        <v>305879.0213620115</v>
      </c>
      <c r="O54" s="152">
        <f t="shared" si="7"/>
        <v>788668.45936201105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2418</v>
      </c>
      <c r="I55" s="152"/>
      <c r="J55" s="157"/>
      <c r="K55" s="157">
        <v>5800361025</v>
      </c>
      <c r="L55" s="227">
        <v>32873.313999999998</v>
      </c>
      <c r="M55" s="157" t="s">
        <v>2389</v>
      </c>
      <c r="N55" s="227">
        <f t="shared" si="6"/>
        <v>273005.70736201148</v>
      </c>
      <c r="O55" s="152">
        <f t="shared" si="7"/>
        <v>755795.14536201104</v>
      </c>
    </row>
    <row r="56" spans="1:15" x14ac:dyDescent="0.15">
      <c r="A56" s="154"/>
      <c r="B56" s="151"/>
      <c r="C56" s="152"/>
      <c r="D56" s="323" t="s">
        <v>2419</v>
      </c>
      <c r="E56" s="154" t="s">
        <v>72</v>
      </c>
      <c r="F56" s="157" t="s">
        <v>2446</v>
      </c>
      <c r="G56" s="152">
        <v>175515.76699999999</v>
      </c>
      <c r="H56" s="323" t="s">
        <v>2419</v>
      </c>
      <c r="I56" s="152">
        <v>12333.964</v>
      </c>
      <c r="J56" s="157" t="s">
        <v>2389</v>
      </c>
      <c r="K56" s="157">
        <v>5800361025</v>
      </c>
      <c r="L56" s="227">
        <v>12597.535</v>
      </c>
      <c r="M56" s="157" t="s">
        <v>2389</v>
      </c>
      <c r="N56" s="227">
        <f t="shared" si="6"/>
        <v>248074.20836201147</v>
      </c>
      <c r="O56" s="152">
        <f t="shared" si="7"/>
        <v>906379.41336201096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2419</v>
      </c>
      <c r="I57" s="152"/>
      <c r="J57" s="157"/>
      <c r="K57" s="157">
        <v>5800361025</v>
      </c>
      <c r="L57" s="227">
        <v>12126.300999999999</v>
      </c>
      <c r="M57" s="157" t="s">
        <v>2389</v>
      </c>
      <c r="N57" s="227">
        <f t="shared" si="6"/>
        <v>235947.90736201147</v>
      </c>
      <c r="O57" s="152">
        <f t="shared" si="7"/>
        <v>894253.11236201099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2419</v>
      </c>
      <c r="I58" s="152"/>
      <c r="J58" s="157"/>
      <c r="K58" s="157">
        <v>5800361025</v>
      </c>
      <c r="L58" s="227">
        <v>16744.797999999999</v>
      </c>
      <c r="M58" s="157" t="s">
        <v>2389</v>
      </c>
      <c r="N58" s="227">
        <f t="shared" si="6"/>
        <v>219203.10936201146</v>
      </c>
      <c r="O58" s="152">
        <f t="shared" si="7"/>
        <v>877508.31436201103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2419</v>
      </c>
      <c r="I59" s="152"/>
      <c r="J59" s="157"/>
      <c r="K59" s="157">
        <v>5800361025</v>
      </c>
      <c r="L59" s="227">
        <v>13969.306</v>
      </c>
      <c r="M59" s="157" t="s">
        <v>2389</v>
      </c>
      <c r="N59" s="227">
        <f t="shared" si="2"/>
        <v>205233.80336201144</v>
      </c>
      <c r="O59" s="152">
        <f t="shared" si="3"/>
        <v>863539.00836201105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2419</v>
      </c>
      <c r="I60" s="152"/>
      <c r="J60" s="157"/>
      <c r="K60" s="157">
        <v>5800361025</v>
      </c>
      <c r="L60" s="227">
        <v>77374.303</v>
      </c>
      <c r="M60" s="157" t="s">
        <v>2389</v>
      </c>
      <c r="N60" s="227">
        <f t="shared" si="2"/>
        <v>127859.50036201144</v>
      </c>
      <c r="O60" s="152">
        <f t="shared" si="3"/>
        <v>786164.7053620111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2419</v>
      </c>
      <c r="I61" s="152"/>
      <c r="J61" s="157"/>
      <c r="K61" s="157">
        <v>5800361025</v>
      </c>
      <c r="L61" s="227">
        <v>10962.191999999999</v>
      </c>
      <c r="M61" s="157" t="s">
        <v>2389</v>
      </c>
      <c r="N61" s="227">
        <f t="shared" si="2"/>
        <v>116897.30836201145</v>
      </c>
      <c r="O61" s="152">
        <f t="shared" si="3"/>
        <v>775202.51336201106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2419</v>
      </c>
      <c r="I62" s="152"/>
      <c r="J62" s="157"/>
      <c r="K62" s="157">
        <v>5800361025</v>
      </c>
      <c r="L62" s="227">
        <v>75147.92</v>
      </c>
      <c r="M62" s="157" t="s">
        <v>2389</v>
      </c>
      <c r="N62" s="227">
        <f t="shared" si="2"/>
        <v>41749.38836201145</v>
      </c>
      <c r="O62" s="152">
        <f t="shared" si="3"/>
        <v>700054.59336201102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2419</v>
      </c>
      <c r="I63" s="152"/>
      <c r="J63" s="157"/>
      <c r="K63" s="157">
        <v>5800361025</v>
      </c>
      <c r="L63" s="227">
        <v>41749.38836201145</v>
      </c>
      <c r="M63" s="157" t="s">
        <v>2389</v>
      </c>
      <c r="N63" s="227">
        <f t="shared" ref="N63:N68" si="8">+N62-I63-L63</f>
        <v>0</v>
      </c>
      <c r="O63" s="152">
        <f t="shared" ref="O63:O68" si="9">O62+G63-I63-L63</f>
        <v>658305.20499999961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2419</v>
      </c>
      <c r="I64" s="152"/>
      <c r="J64" s="157"/>
      <c r="K64" s="157">
        <v>5800361025</v>
      </c>
      <c r="L64" s="227">
        <v>34328.021637988597</v>
      </c>
      <c r="M64" s="157" t="s">
        <v>2445</v>
      </c>
      <c r="N64" s="227">
        <f>G23+G32+N63-I64-L64</f>
        <v>185098.58936201141</v>
      </c>
      <c r="O64" s="152">
        <f t="shared" si="9"/>
        <v>623977.18336201098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2419</v>
      </c>
      <c r="I65" s="152"/>
      <c r="J65" s="157"/>
      <c r="K65" s="157">
        <v>5800361025</v>
      </c>
      <c r="L65" s="227">
        <v>759.76599999999996</v>
      </c>
      <c r="M65" s="157" t="s">
        <v>2445</v>
      </c>
      <c r="N65" s="227">
        <f t="shared" si="8"/>
        <v>184338.8233620114</v>
      </c>
      <c r="O65" s="152">
        <f t="shared" si="9"/>
        <v>623217.41736201104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2419</v>
      </c>
      <c r="I66" s="152"/>
      <c r="J66" s="157"/>
      <c r="K66" s="157">
        <v>5800361025</v>
      </c>
      <c r="L66" s="227">
        <v>13997.261</v>
      </c>
      <c r="M66" s="157" t="s">
        <v>2445</v>
      </c>
      <c r="N66" s="227">
        <f t="shared" si="8"/>
        <v>170341.56236201141</v>
      </c>
      <c r="O66" s="152">
        <f t="shared" si="9"/>
        <v>609220.15636201098</v>
      </c>
    </row>
    <row r="67" spans="1:15" x14ac:dyDescent="0.15">
      <c r="A67" s="154"/>
      <c r="B67" s="151"/>
      <c r="C67" s="152"/>
      <c r="D67" s="323" t="s">
        <v>2420</v>
      </c>
      <c r="E67" s="154" t="s">
        <v>72</v>
      </c>
      <c r="F67" s="157" t="s">
        <v>2447</v>
      </c>
      <c r="G67" s="152">
        <v>175582.33500000002</v>
      </c>
      <c r="H67" s="323" t="s">
        <v>2420</v>
      </c>
      <c r="I67" s="152">
        <v>17559.080999999998</v>
      </c>
      <c r="J67" s="157" t="s">
        <v>2445</v>
      </c>
      <c r="K67" s="157">
        <v>5800361025</v>
      </c>
      <c r="L67" s="227">
        <v>12416.290999999999</v>
      </c>
      <c r="M67" s="157" t="s">
        <v>2445</v>
      </c>
      <c r="N67" s="227">
        <f t="shared" si="8"/>
        <v>140366.1903620114</v>
      </c>
      <c r="O67" s="152">
        <f t="shared" si="9"/>
        <v>754827.11936201109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2420</v>
      </c>
      <c r="I68" s="152"/>
      <c r="J68" s="157"/>
      <c r="K68" s="157">
        <v>5800361025</v>
      </c>
      <c r="L68" s="227">
        <v>15135.668</v>
      </c>
      <c r="M68" s="157" t="s">
        <v>2445</v>
      </c>
      <c r="N68" s="227">
        <f t="shared" si="8"/>
        <v>125230.5223620114</v>
      </c>
      <c r="O68" s="152">
        <f t="shared" si="9"/>
        <v>739691.45136201114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2420</v>
      </c>
      <c r="I69" s="152"/>
      <c r="J69" s="157"/>
      <c r="K69" s="157">
        <v>5800361025</v>
      </c>
      <c r="L69" s="227">
        <v>11370.761</v>
      </c>
      <c r="M69" s="157" t="s">
        <v>2445</v>
      </c>
      <c r="N69" s="227">
        <f t="shared" si="2"/>
        <v>113859.7613620114</v>
      </c>
      <c r="O69" s="152">
        <f t="shared" si="3"/>
        <v>728320.69036201108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2420</v>
      </c>
      <c r="I70" s="152"/>
      <c r="J70" s="157"/>
      <c r="K70" s="157">
        <v>5800361025</v>
      </c>
      <c r="L70" s="227">
        <v>14972.585999999999</v>
      </c>
      <c r="M70" s="157" t="s">
        <v>2445</v>
      </c>
      <c r="N70" s="227">
        <f t="shared" si="2"/>
        <v>98887.175362011403</v>
      </c>
      <c r="O70" s="152">
        <f t="shared" si="3"/>
        <v>713348.10436201107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2420</v>
      </c>
      <c r="I71" s="152"/>
      <c r="J71" s="157"/>
      <c r="K71" s="157">
        <v>5800361025</v>
      </c>
      <c r="L71" s="227">
        <v>951.48199999999997</v>
      </c>
      <c r="M71" s="157" t="s">
        <v>2445</v>
      </c>
      <c r="N71" s="227">
        <f t="shared" si="2"/>
        <v>97935.6933620114</v>
      </c>
      <c r="O71" s="152">
        <f t="shared" si="3"/>
        <v>712396.62236201111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2420</v>
      </c>
      <c r="I72" s="152"/>
      <c r="J72" s="157"/>
      <c r="K72" s="157">
        <v>5800361025</v>
      </c>
      <c r="L72" s="227">
        <v>9478.1929999999993</v>
      </c>
      <c r="M72" s="157" t="s">
        <v>2445</v>
      </c>
      <c r="N72" s="227">
        <f t="shared" si="2"/>
        <v>88457.5003620114</v>
      </c>
      <c r="O72" s="152">
        <f t="shared" si="3"/>
        <v>702918.42936201114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2420</v>
      </c>
      <c r="I73" s="152"/>
      <c r="J73" s="157"/>
      <c r="K73" s="157">
        <v>5800361025</v>
      </c>
      <c r="L73" s="227">
        <v>9100.384</v>
      </c>
      <c r="M73" s="157" t="s">
        <v>2445</v>
      </c>
      <c r="N73" s="227">
        <f t="shared" si="2"/>
        <v>79357.116362011395</v>
      </c>
      <c r="O73" s="152">
        <f t="shared" si="3"/>
        <v>693818.04536201118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2420</v>
      </c>
      <c r="I74" s="152"/>
      <c r="J74" s="157"/>
      <c r="K74" s="157">
        <v>5800361025</v>
      </c>
      <c r="L74" s="227">
        <v>527.73199999999997</v>
      </c>
      <c r="M74" s="157" t="s">
        <v>2445</v>
      </c>
      <c r="N74" s="227">
        <f t="shared" si="2"/>
        <v>78829.384362011391</v>
      </c>
      <c r="O74" s="152">
        <f t="shared" si="3"/>
        <v>693290.31336201122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2420</v>
      </c>
      <c r="I75" s="152"/>
      <c r="J75" s="157"/>
      <c r="K75" s="157">
        <v>5800361025</v>
      </c>
      <c r="L75" s="227">
        <v>13335.236000000001</v>
      </c>
      <c r="M75" s="157" t="s">
        <v>2445</v>
      </c>
      <c r="N75" s="227">
        <f t="shared" si="2"/>
        <v>65494.148362011387</v>
      </c>
      <c r="O75" s="152">
        <f t="shared" si="3"/>
        <v>679955.07736201119</v>
      </c>
    </row>
    <row r="76" spans="1:15" x14ac:dyDescent="0.15">
      <c r="A76" s="154"/>
      <c r="B76" s="151"/>
      <c r="C76" s="152"/>
      <c r="D76" s="323" t="s">
        <v>2421</v>
      </c>
      <c r="E76" s="154" t="s">
        <v>72</v>
      </c>
      <c r="F76" s="157" t="s">
        <v>2447</v>
      </c>
      <c r="G76" s="152">
        <v>175491.076</v>
      </c>
      <c r="H76" s="323" t="s">
        <v>2421</v>
      </c>
      <c r="I76" s="152">
        <v>13122.681</v>
      </c>
      <c r="J76" s="157" t="s">
        <v>2445</v>
      </c>
      <c r="K76" s="157">
        <v>5800361025</v>
      </c>
      <c r="L76" s="227">
        <v>13000.767</v>
      </c>
      <c r="M76" s="157" t="s">
        <v>2445</v>
      </c>
      <c r="N76" s="227">
        <f t="shared" si="2"/>
        <v>39370.70036201139</v>
      </c>
      <c r="O76" s="152">
        <f t="shared" si="3"/>
        <v>829322.70536201121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2421</v>
      </c>
      <c r="I77" s="152"/>
      <c r="J77" s="157"/>
      <c r="K77" s="157">
        <v>5800361025</v>
      </c>
      <c r="L77" s="227">
        <v>13976.075000000001</v>
      </c>
      <c r="M77" s="157" t="s">
        <v>2445</v>
      </c>
      <c r="N77" s="227">
        <f t="shared" si="2"/>
        <v>25394.625362011389</v>
      </c>
      <c r="O77" s="152">
        <f t="shared" si="3"/>
        <v>815346.63036201126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2421</v>
      </c>
      <c r="I78" s="152"/>
      <c r="J78" s="157"/>
      <c r="K78" s="157">
        <v>5800361025</v>
      </c>
      <c r="L78" s="227">
        <v>13250.59</v>
      </c>
      <c r="M78" s="157" t="s">
        <v>2445</v>
      </c>
      <c r="N78" s="227">
        <f t="shared" ref="N78:N85" si="10">+N77-I78-L78</f>
        <v>12144.035362011389</v>
      </c>
      <c r="O78" s="152">
        <f t="shared" ref="O78:O85" si="11">O77+G78-I78-L78</f>
        <v>802096.04036201129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2421</v>
      </c>
      <c r="I79" s="152"/>
      <c r="J79" s="157"/>
      <c r="K79" s="157">
        <v>5800361025</v>
      </c>
      <c r="L79" s="227">
        <v>12144.035362011389</v>
      </c>
      <c r="M79" s="157" t="s">
        <v>2445</v>
      </c>
      <c r="N79" s="227">
        <f t="shared" si="10"/>
        <v>0</v>
      </c>
      <c r="O79" s="152">
        <f t="shared" si="11"/>
        <v>789952.00499999989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2421</v>
      </c>
      <c r="I80" s="152"/>
      <c r="J80" s="157"/>
      <c r="K80" s="157">
        <v>5800360298</v>
      </c>
      <c r="L80" s="227">
        <v>2251.7416379886099</v>
      </c>
      <c r="M80" s="157" t="s">
        <v>2446</v>
      </c>
      <c r="N80" s="227">
        <f>G33+G44+G56+N79-I80-L80</f>
        <v>436626.85236201138</v>
      </c>
      <c r="O80" s="152">
        <f t="shared" si="11"/>
        <v>787700.26336201129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2421</v>
      </c>
      <c r="I81" s="152"/>
      <c r="J81" s="157"/>
      <c r="K81" s="157">
        <v>5800360298</v>
      </c>
      <c r="L81" s="227">
        <v>10783.342000000001</v>
      </c>
      <c r="M81" s="157" t="s">
        <v>2446</v>
      </c>
      <c r="N81" s="227">
        <f t="shared" si="10"/>
        <v>425843.51036201138</v>
      </c>
      <c r="O81" s="152">
        <f t="shared" si="11"/>
        <v>776916.92136201134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2421</v>
      </c>
      <c r="I82" s="152"/>
      <c r="J82" s="157"/>
      <c r="K82" s="157">
        <v>5800360298</v>
      </c>
      <c r="L82" s="227">
        <v>13534.388999999999</v>
      </c>
      <c r="M82" s="157" t="s">
        <v>2446</v>
      </c>
      <c r="N82" s="227">
        <f t="shared" si="10"/>
        <v>412309.12136201136</v>
      </c>
      <c r="O82" s="152">
        <f t="shared" si="11"/>
        <v>763382.53236201138</v>
      </c>
    </row>
    <row r="83" spans="1:15" x14ac:dyDescent="0.15">
      <c r="A83" s="154"/>
      <c r="B83" s="151"/>
      <c r="C83" s="152"/>
      <c r="D83" s="323" t="s">
        <v>2422</v>
      </c>
      <c r="E83" s="154" t="s">
        <v>72</v>
      </c>
      <c r="F83" s="157" t="s">
        <v>2448</v>
      </c>
      <c r="G83" s="152">
        <v>219310.22899999999</v>
      </c>
      <c r="H83" s="323" t="s">
        <v>2422</v>
      </c>
      <c r="I83" s="152">
        <v>14765.91</v>
      </c>
      <c r="J83" s="157" t="s">
        <v>2446</v>
      </c>
      <c r="K83" s="157">
        <v>5800360298</v>
      </c>
      <c r="L83" s="227">
        <v>14026.367</v>
      </c>
      <c r="M83" s="157" t="s">
        <v>2446</v>
      </c>
      <c r="N83" s="227">
        <f t="shared" si="10"/>
        <v>383516.84436201135</v>
      </c>
      <c r="O83" s="152">
        <f t="shared" si="11"/>
        <v>953900.48436201131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2422</v>
      </c>
      <c r="I84" s="152"/>
      <c r="J84" s="157"/>
      <c r="K84" s="157">
        <v>5800360298</v>
      </c>
      <c r="L84" s="227">
        <v>34257.762000000002</v>
      </c>
      <c r="M84" s="157" t="s">
        <v>2446</v>
      </c>
      <c r="N84" s="227">
        <f t="shared" si="10"/>
        <v>349259.08236201137</v>
      </c>
      <c r="O84" s="152">
        <f t="shared" si="11"/>
        <v>919642.72236201132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2422</v>
      </c>
      <c r="I85" s="152"/>
      <c r="J85" s="157"/>
      <c r="K85" s="157">
        <v>5800360298</v>
      </c>
      <c r="L85" s="227">
        <v>12502.130999999999</v>
      </c>
      <c r="M85" s="157" t="s">
        <v>2446</v>
      </c>
      <c r="N85" s="227">
        <f t="shared" si="10"/>
        <v>336756.95136201137</v>
      </c>
      <c r="O85" s="152">
        <f t="shared" si="11"/>
        <v>907140.59136201127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2422</v>
      </c>
      <c r="I86" s="152"/>
      <c r="J86" s="157"/>
      <c r="K86" s="157">
        <v>5800360298</v>
      </c>
      <c r="L86" s="227">
        <v>12771.35</v>
      </c>
      <c r="M86" s="157" t="s">
        <v>2446</v>
      </c>
      <c r="N86" s="227">
        <f t="shared" ref="N86:N129" si="12">+N85-I86-L86</f>
        <v>323985.6013620114</v>
      </c>
      <c r="O86" s="152">
        <f t="shared" ref="O86:O129" si="13">O85+G86-I86-L86</f>
        <v>894369.24136201129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2422</v>
      </c>
      <c r="I87" s="152"/>
      <c r="J87" s="157"/>
      <c r="K87" s="157">
        <v>5800360298</v>
      </c>
      <c r="L87" s="227">
        <v>17653.306</v>
      </c>
      <c r="M87" s="157" t="s">
        <v>2446</v>
      </c>
      <c r="N87" s="227">
        <f t="shared" si="12"/>
        <v>306332.29536201141</v>
      </c>
      <c r="O87" s="152">
        <f t="shared" si="13"/>
        <v>876715.93536201131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2422</v>
      </c>
      <c r="I88" s="152"/>
      <c r="J88" s="157"/>
      <c r="K88" s="157">
        <v>5800360298</v>
      </c>
      <c r="L88" s="227">
        <v>13689.093000000001</v>
      </c>
      <c r="M88" s="157" t="s">
        <v>2446</v>
      </c>
      <c r="N88" s="227">
        <f t="shared" si="12"/>
        <v>292643.20236201142</v>
      </c>
      <c r="O88" s="152">
        <f t="shared" si="13"/>
        <v>863026.84236201132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2422</v>
      </c>
      <c r="I89" s="152"/>
      <c r="J89" s="157"/>
      <c r="K89" s="157">
        <v>5800360298</v>
      </c>
      <c r="L89" s="227">
        <v>15167.290999999999</v>
      </c>
      <c r="M89" s="157" t="s">
        <v>2446</v>
      </c>
      <c r="N89" s="227">
        <f t="shared" si="12"/>
        <v>277475.91136201139</v>
      </c>
      <c r="O89" s="152">
        <f t="shared" si="13"/>
        <v>847859.55136201135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2422</v>
      </c>
      <c r="I90" s="152"/>
      <c r="J90" s="157"/>
      <c r="K90" s="157">
        <v>5800360298</v>
      </c>
      <c r="L90" s="227">
        <v>74290.202999999994</v>
      </c>
      <c r="M90" s="157" t="s">
        <v>2446</v>
      </c>
      <c r="N90" s="227">
        <f t="shared" si="12"/>
        <v>203185.70836201141</v>
      </c>
      <c r="O90" s="152">
        <f t="shared" si="13"/>
        <v>773569.34836201137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2422</v>
      </c>
      <c r="I91" s="152"/>
      <c r="J91" s="157"/>
      <c r="K91" s="157">
        <v>5800360298</v>
      </c>
      <c r="L91" s="227">
        <v>9793.0329999999994</v>
      </c>
      <c r="M91" s="157" t="s">
        <v>2446</v>
      </c>
      <c r="N91" s="227">
        <f t="shared" si="12"/>
        <v>193392.67536201142</v>
      </c>
      <c r="O91" s="152">
        <f t="shared" si="13"/>
        <v>763776.31536201132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2422</v>
      </c>
      <c r="I92" s="152"/>
      <c r="J92" s="157"/>
      <c r="K92" s="157">
        <v>5800360298</v>
      </c>
      <c r="L92" s="227">
        <v>666.66200000000003</v>
      </c>
      <c r="M92" s="157" t="s">
        <v>2446</v>
      </c>
      <c r="N92" s="227">
        <f t="shared" si="12"/>
        <v>192726.01336201141</v>
      </c>
      <c r="O92" s="152">
        <f t="shared" si="13"/>
        <v>763109.6533620113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2422</v>
      </c>
      <c r="I93" s="152"/>
      <c r="J93" s="157"/>
      <c r="K93" s="157">
        <v>5800360298</v>
      </c>
      <c r="L93" s="227">
        <v>10993.424000000001</v>
      </c>
      <c r="M93" s="157" t="s">
        <v>2446</v>
      </c>
      <c r="N93" s="227">
        <f t="shared" si="12"/>
        <v>181732.58936201141</v>
      </c>
      <c r="O93" s="152">
        <f t="shared" si="13"/>
        <v>752116.22936201131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2422</v>
      </c>
      <c r="I94" s="152"/>
      <c r="J94" s="157"/>
      <c r="K94" s="157">
        <v>5800360298</v>
      </c>
      <c r="L94" s="227">
        <v>14671.558999999999</v>
      </c>
      <c r="M94" s="157" t="s">
        <v>2446</v>
      </c>
      <c r="N94" s="227">
        <f t="shared" si="12"/>
        <v>167061.0303620114</v>
      </c>
      <c r="O94" s="152">
        <f t="shared" si="13"/>
        <v>737444.6703620113</v>
      </c>
    </row>
    <row r="95" spans="1:15" x14ac:dyDescent="0.15">
      <c r="A95" s="154"/>
      <c r="B95" s="151"/>
      <c r="C95" s="152"/>
      <c r="D95" s="323" t="s">
        <v>2423</v>
      </c>
      <c r="E95" s="154" t="s">
        <v>72</v>
      </c>
      <c r="F95" s="157" t="s">
        <v>2448</v>
      </c>
      <c r="G95" s="152">
        <v>131428.93400000001</v>
      </c>
      <c r="H95" s="323" t="s">
        <v>2423</v>
      </c>
      <c r="I95" s="152">
        <v>13192.612000000001</v>
      </c>
      <c r="J95" s="157" t="s">
        <v>2446</v>
      </c>
      <c r="K95" s="157">
        <v>5800360298</v>
      </c>
      <c r="L95" s="227">
        <v>13947.846</v>
      </c>
      <c r="M95" s="157" t="s">
        <v>2446</v>
      </c>
      <c r="N95" s="227">
        <f t="shared" si="12"/>
        <v>139920.57236201141</v>
      </c>
      <c r="O95" s="152">
        <f t="shared" si="13"/>
        <v>841733.14636201132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2423</v>
      </c>
      <c r="I96" s="152"/>
      <c r="J96" s="157"/>
      <c r="K96" s="157">
        <v>5800360298</v>
      </c>
      <c r="L96" s="227">
        <v>13076.73</v>
      </c>
      <c r="M96" s="157" t="s">
        <v>2446</v>
      </c>
      <c r="N96" s="227">
        <f t="shared" si="12"/>
        <v>126843.84236201142</v>
      </c>
      <c r="O96" s="152">
        <f t="shared" si="13"/>
        <v>828656.41636201134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2423</v>
      </c>
      <c r="I97" s="152"/>
      <c r="J97" s="157"/>
      <c r="K97" s="157">
        <v>5800360298</v>
      </c>
      <c r="L97" s="227">
        <v>14516.269</v>
      </c>
      <c r="M97" s="157" t="s">
        <v>2446</v>
      </c>
      <c r="N97" s="227">
        <f t="shared" si="12"/>
        <v>112327.57336201142</v>
      </c>
      <c r="O97" s="152">
        <f t="shared" si="13"/>
        <v>814140.14736201137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2423</v>
      </c>
      <c r="I98" s="152"/>
      <c r="J98" s="157"/>
      <c r="K98" s="157">
        <v>5800360298</v>
      </c>
      <c r="L98" s="227">
        <v>12826.983</v>
      </c>
      <c r="M98" s="157" t="s">
        <v>2446</v>
      </c>
      <c r="N98" s="227">
        <f t="shared" si="12"/>
        <v>99500.590362011426</v>
      </c>
      <c r="O98" s="152">
        <f t="shared" si="13"/>
        <v>801313.16436201136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2423</v>
      </c>
      <c r="I99" s="152"/>
      <c r="J99" s="157"/>
      <c r="K99" s="157">
        <v>5800360298</v>
      </c>
      <c r="L99" s="227">
        <v>14015.777</v>
      </c>
      <c r="M99" s="157" t="s">
        <v>2446</v>
      </c>
      <c r="N99" s="227">
        <f t="shared" si="12"/>
        <v>85484.813362011424</v>
      </c>
      <c r="O99" s="152">
        <f t="shared" si="13"/>
        <v>787297.38736201136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2423</v>
      </c>
      <c r="I100" s="152"/>
      <c r="J100" s="157"/>
      <c r="K100" s="157">
        <v>5800360298</v>
      </c>
      <c r="L100" s="227">
        <v>12332.485000000001</v>
      </c>
      <c r="M100" s="157" t="s">
        <v>2446</v>
      </c>
      <c r="N100" s="227">
        <f t="shared" si="12"/>
        <v>73152.328362011423</v>
      </c>
      <c r="O100" s="152">
        <f t="shared" si="13"/>
        <v>774964.90236201137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2423</v>
      </c>
      <c r="I101" s="152"/>
      <c r="J101" s="157"/>
      <c r="K101" s="157">
        <v>5800360298</v>
      </c>
      <c r="L101" s="227">
        <v>8397.4779999999992</v>
      </c>
      <c r="M101" s="157" t="s">
        <v>2446</v>
      </c>
      <c r="N101" s="227">
        <f t="shared" si="12"/>
        <v>64754.850362011421</v>
      </c>
      <c r="O101" s="152">
        <f t="shared" si="13"/>
        <v>766567.42436201137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2423</v>
      </c>
      <c r="I102" s="152"/>
      <c r="J102" s="157"/>
      <c r="K102" s="157">
        <v>5800360298</v>
      </c>
      <c r="L102" s="227">
        <v>64754.850362011421</v>
      </c>
      <c r="M102" s="157" t="s">
        <v>2446</v>
      </c>
      <c r="N102" s="227">
        <f t="shared" si="12"/>
        <v>0</v>
      </c>
      <c r="O102" s="152">
        <f t="shared" si="13"/>
        <v>701812.57399999991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2423</v>
      </c>
      <c r="I103" s="152"/>
      <c r="J103" s="157"/>
      <c r="K103" s="157">
        <v>5800361036</v>
      </c>
      <c r="L103" s="227">
        <v>10608.6696379886</v>
      </c>
      <c r="M103" s="157" t="s">
        <v>2447</v>
      </c>
      <c r="N103" s="227">
        <f>G67+G76+N102-I103-L103</f>
        <v>340464.74136201141</v>
      </c>
      <c r="O103" s="152">
        <f t="shared" ref="O103:O108" si="14">O102+G103-I103-L103</f>
        <v>691203.90436201135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2423</v>
      </c>
      <c r="I104" s="152"/>
      <c r="J104" s="157"/>
      <c r="K104" s="157">
        <v>5800361036</v>
      </c>
      <c r="L104" s="227">
        <v>15976.787</v>
      </c>
      <c r="M104" s="157" t="s">
        <v>2447</v>
      </c>
      <c r="N104" s="227">
        <f t="shared" ref="N104:N108" si="15">+N103-I104-L104</f>
        <v>324487.9543620114</v>
      </c>
      <c r="O104" s="152">
        <f t="shared" si="14"/>
        <v>675227.11736201134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2423</v>
      </c>
      <c r="I105" s="152"/>
      <c r="J105" s="154"/>
      <c r="K105" s="157">
        <v>5800361036</v>
      </c>
      <c r="L105" s="227">
        <v>34944.538</v>
      </c>
      <c r="M105" s="157" t="s">
        <v>2447</v>
      </c>
      <c r="N105" s="227">
        <f t="shared" si="15"/>
        <v>289543.4163620114</v>
      </c>
      <c r="O105" s="152">
        <f t="shared" si="14"/>
        <v>640282.57936201128</v>
      </c>
    </row>
    <row r="106" spans="1:15" x14ac:dyDescent="0.15">
      <c r="A106" s="154"/>
      <c r="B106" s="151"/>
      <c r="C106" s="152"/>
      <c r="D106" s="323" t="s">
        <v>2424</v>
      </c>
      <c r="E106" s="154" t="s">
        <v>72</v>
      </c>
      <c r="F106" s="157" t="s">
        <v>2449</v>
      </c>
      <c r="G106" s="152">
        <v>219335.23300000001</v>
      </c>
      <c r="H106" s="323" t="s">
        <v>2424</v>
      </c>
      <c r="I106" s="152">
        <v>13331.555</v>
      </c>
      <c r="J106" s="157" t="s">
        <v>2447</v>
      </c>
      <c r="K106" s="157">
        <v>5800361036</v>
      </c>
      <c r="L106" s="227">
        <v>12998.584999999999</v>
      </c>
      <c r="M106" s="157" t="s">
        <v>2447</v>
      </c>
      <c r="N106" s="227">
        <f t="shared" si="15"/>
        <v>263213.27636201138</v>
      </c>
      <c r="O106" s="152">
        <f t="shared" si="14"/>
        <v>833287.67236201128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2424</v>
      </c>
      <c r="I107" s="152"/>
      <c r="J107" s="157"/>
      <c r="K107" s="157">
        <v>5800361036</v>
      </c>
      <c r="L107" s="227">
        <v>13266.721</v>
      </c>
      <c r="M107" s="157" t="s">
        <v>2447</v>
      </c>
      <c r="N107" s="227">
        <f t="shared" si="15"/>
        <v>249946.55536201139</v>
      </c>
      <c r="O107" s="152">
        <f t="shared" si="14"/>
        <v>820020.95136201126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2424</v>
      </c>
      <c r="I108" s="152"/>
      <c r="J108" s="157"/>
      <c r="K108" s="157">
        <v>5800361036</v>
      </c>
      <c r="L108" s="227">
        <v>17553.893</v>
      </c>
      <c r="M108" s="157" t="s">
        <v>2447</v>
      </c>
      <c r="N108" s="227">
        <f t="shared" si="15"/>
        <v>232392.66236201138</v>
      </c>
      <c r="O108" s="152">
        <f t="shared" si="14"/>
        <v>802467.05836201122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2424</v>
      </c>
      <c r="I109" s="152"/>
      <c r="J109" s="157"/>
      <c r="K109" s="157">
        <v>5800361036</v>
      </c>
      <c r="L109" s="227">
        <v>13106.64</v>
      </c>
      <c r="M109" s="157" t="s">
        <v>2447</v>
      </c>
      <c r="N109" s="227">
        <f t="shared" si="12"/>
        <v>219286.02236201137</v>
      </c>
      <c r="O109" s="152">
        <f t="shared" si="13"/>
        <v>789360.4183620112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2424</v>
      </c>
      <c r="I110" s="152"/>
      <c r="J110" s="157"/>
      <c r="K110" s="157">
        <v>5800361036</v>
      </c>
      <c r="L110" s="227">
        <v>11887.022000000001</v>
      </c>
      <c r="M110" s="157" t="s">
        <v>2447</v>
      </c>
      <c r="N110" s="227">
        <f t="shared" si="12"/>
        <v>207399.00036201137</v>
      </c>
      <c r="O110" s="152">
        <f t="shared" si="13"/>
        <v>777473.3963620112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2424</v>
      </c>
      <c r="I111" s="152"/>
      <c r="J111" s="157"/>
      <c r="K111" s="157">
        <v>5800361036</v>
      </c>
      <c r="L111" s="227">
        <v>9670.1869999999999</v>
      </c>
      <c r="M111" s="157" t="s">
        <v>2447</v>
      </c>
      <c r="N111" s="227">
        <f t="shared" si="12"/>
        <v>197728.81336201137</v>
      </c>
      <c r="O111" s="152">
        <f t="shared" si="13"/>
        <v>767803.20936201117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2424</v>
      </c>
      <c r="I112" s="152"/>
      <c r="J112" s="157"/>
      <c r="K112" s="157">
        <v>5800361036</v>
      </c>
      <c r="L112" s="227">
        <v>3679.2660000000001</v>
      </c>
      <c r="M112" s="157" t="s">
        <v>2447</v>
      </c>
      <c r="N112" s="227">
        <f t="shared" si="12"/>
        <v>194049.54736201136</v>
      </c>
      <c r="O112" s="152">
        <f t="shared" si="13"/>
        <v>764123.94336201122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2424</v>
      </c>
      <c r="I113" s="152"/>
      <c r="J113" s="157"/>
      <c r="K113" s="157">
        <v>5800361036</v>
      </c>
      <c r="L113" s="227">
        <v>789.19899999999996</v>
      </c>
      <c r="M113" s="157" t="s">
        <v>2447</v>
      </c>
      <c r="N113" s="227">
        <f t="shared" si="12"/>
        <v>193260.34836201137</v>
      </c>
      <c r="O113" s="152">
        <f t="shared" si="13"/>
        <v>763334.7443620112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2424</v>
      </c>
      <c r="I114" s="152"/>
      <c r="J114" s="157"/>
      <c r="K114" s="157">
        <v>5800361036</v>
      </c>
      <c r="L114" s="227">
        <v>4115.8230000000003</v>
      </c>
      <c r="M114" s="157" t="s">
        <v>2447</v>
      </c>
      <c r="N114" s="227">
        <f t="shared" si="12"/>
        <v>189144.52536201137</v>
      </c>
      <c r="O114" s="152">
        <f t="shared" si="13"/>
        <v>759218.92136201123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2424</v>
      </c>
      <c r="I115" s="152"/>
      <c r="J115" s="154"/>
      <c r="K115" s="157">
        <v>5800361036</v>
      </c>
      <c r="L115" s="227">
        <v>8788.0820000000003</v>
      </c>
      <c r="M115" s="157" t="s">
        <v>2447</v>
      </c>
      <c r="N115" s="227">
        <f t="shared" si="12"/>
        <v>180356.44336201137</v>
      </c>
      <c r="O115" s="152">
        <f t="shared" si="13"/>
        <v>750430.83936201117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2424</v>
      </c>
      <c r="I116" s="152"/>
      <c r="J116" s="157"/>
      <c r="K116" s="157">
        <v>5800361036</v>
      </c>
      <c r="L116" s="227">
        <v>484.50799999999998</v>
      </c>
      <c r="M116" s="157" t="s">
        <v>2447</v>
      </c>
      <c r="N116" s="227">
        <f t="shared" si="12"/>
        <v>179871.93536201137</v>
      </c>
      <c r="O116" s="152">
        <f t="shared" si="13"/>
        <v>749946.33136201114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2424</v>
      </c>
      <c r="I117" s="152"/>
      <c r="J117" s="157"/>
      <c r="K117" s="157">
        <v>5800361036</v>
      </c>
      <c r="L117" s="227">
        <v>12380.436</v>
      </c>
      <c r="M117" s="157" t="s">
        <v>2447</v>
      </c>
      <c r="N117" s="227">
        <f t="shared" si="12"/>
        <v>167491.49936201138</v>
      </c>
      <c r="O117" s="152">
        <f t="shared" si="13"/>
        <v>737565.89536201116</v>
      </c>
    </row>
    <row r="118" spans="1:15" x14ac:dyDescent="0.15">
      <c r="A118" s="154"/>
      <c r="B118" s="151"/>
      <c r="C118" s="152"/>
      <c r="D118" s="323" t="s">
        <v>2425</v>
      </c>
      <c r="E118" s="154" t="s">
        <v>72</v>
      </c>
      <c r="F118" s="157" t="s">
        <v>2449</v>
      </c>
      <c r="G118" s="152">
        <v>131575.01599999995</v>
      </c>
      <c r="H118" s="323" t="s">
        <v>2425</v>
      </c>
      <c r="I118" s="152">
        <v>16255.373000000001</v>
      </c>
      <c r="J118" s="157" t="s">
        <v>2447</v>
      </c>
      <c r="K118" s="157">
        <v>5800361036</v>
      </c>
      <c r="L118" s="227">
        <v>13165.986999999999</v>
      </c>
      <c r="M118" s="157" t="s">
        <v>2447</v>
      </c>
      <c r="N118" s="227">
        <f t="shared" si="12"/>
        <v>138070.1393620114</v>
      </c>
      <c r="O118" s="152">
        <f t="shared" si="13"/>
        <v>839719.55136201112</v>
      </c>
    </row>
    <row r="119" spans="1:15" x14ac:dyDescent="0.15">
      <c r="A119" s="154"/>
      <c r="B119" s="151"/>
      <c r="C119" s="152"/>
      <c r="D119" s="323" t="s">
        <v>2425</v>
      </c>
      <c r="E119" s="154" t="s">
        <v>72</v>
      </c>
      <c r="F119" s="157" t="s">
        <v>2450</v>
      </c>
      <c r="G119" s="152">
        <v>87800.6170000001</v>
      </c>
      <c r="H119" s="323" t="s">
        <v>2425</v>
      </c>
      <c r="I119" s="152"/>
      <c r="J119" s="157"/>
      <c r="K119" s="157">
        <v>5800361036</v>
      </c>
      <c r="L119" s="227">
        <v>12342.487999999999</v>
      </c>
      <c r="M119" s="157" t="s">
        <v>2447</v>
      </c>
      <c r="N119" s="227">
        <f t="shared" si="12"/>
        <v>125727.6513620114</v>
      </c>
      <c r="O119" s="152">
        <f t="shared" si="13"/>
        <v>915177.68036201119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2425</v>
      </c>
      <c r="I120" s="152"/>
      <c r="J120" s="157"/>
      <c r="K120" s="157">
        <v>5800361036</v>
      </c>
      <c r="L120" s="227">
        <v>14318.285</v>
      </c>
      <c r="M120" s="157" t="s">
        <v>2447</v>
      </c>
      <c r="N120" s="227">
        <f t="shared" si="12"/>
        <v>111409.36636201139</v>
      </c>
      <c r="O120" s="152">
        <f t="shared" si="13"/>
        <v>900859.39536201116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2425</v>
      </c>
      <c r="I121" s="152"/>
      <c r="J121" s="157"/>
      <c r="K121" s="157">
        <v>5800361036</v>
      </c>
      <c r="L121" s="227">
        <v>14400.235000000001</v>
      </c>
      <c r="M121" s="157" t="s">
        <v>2447</v>
      </c>
      <c r="N121" s="227">
        <f t="shared" si="12"/>
        <v>97009.131362011394</v>
      </c>
      <c r="O121" s="152">
        <f t="shared" si="13"/>
        <v>886459.16036201117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2425</v>
      </c>
      <c r="I122" s="152"/>
      <c r="J122" s="157"/>
      <c r="K122" s="157">
        <v>5800361036</v>
      </c>
      <c r="L122" s="227">
        <v>11858.781999999999</v>
      </c>
      <c r="M122" s="157" t="s">
        <v>2447</v>
      </c>
      <c r="N122" s="227">
        <f t="shared" si="12"/>
        <v>85150.349362011388</v>
      </c>
      <c r="O122" s="152">
        <f t="shared" si="13"/>
        <v>874600.37836201116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2425</v>
      </c>
      <c r="I123" s="152"/>
      <c r="J123" s="157"/>
      <c r="K123" s="157">
        <v>5800361036</v>
      </c>
      <c r="L123" s="227">
        <v>1767.924</v>
      </c>
      <c r="M123" s="157" t="s">
        <v>2447</v>
      </c>
      <c r="N123" s="227">
        <f t="shared" si="12"/>
        <v>83382.425362011389</v>
      </c>
      <c r="O123" s="152">
        <f t="shared" si="13"/>
        <v>872832.45436201117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2425</v>
      </c>
      <c r="I124" s="152"/>
      <c r="J124" s="157"/>
      <c r="K124" s="157">
        <v>5800361036</v>
      </c>
      <c r="L124" s="227">
        <v>14300.843999999999</v>
      </c>
      <c r="M124" s="157" t="s">
        <v>2447</v>
      </c>
      <c r="N124" s="227">
        <f t="shared" si="12"/>
        <v>69081.581362011391</v>
      </c>
      <c r="O124" s="152">
        <f t="shared" si="13"/>
        <v>858531.61036201112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2425</v>
      </c>
      <c r="I125" s="152"/>
      <c r="J125" s="157"/>
      <c r="K125" s="157">
        <v>5800361036</v>
      </c>
      <c r="L125" s="227">
        <v>11350.939</v>
      </c>
      <c r="M125" s="157" t="s">
        <v>2447</v>
      </c>
      <c r="N125" s="227">
        <f t="shared" si="12"/>
        <v>57730.642362011393</v>
      </c>
      <c r="O125" s="152">
        <f t="shared" si="13"/>
        <v>847180.67136201111</v>
      </c>
    </row>
    <row r="126" spans="1:15" x14ac:dyDescent="0.15">
      <c r="A126" s="154"/>
      <c r="B126" s="151"/>
      <c r="C126" s="152"/>
      <c r="D126" s="323" t="s">
        <v>2426</v>
      </c>
      <c r="E126" s="154" t="s">
        <v>72</v>
      </c>
      <c r="F126" s="157" t="s">
        <v>2450</v>
      </c>
      <c r="G126" s="152">
        <v>87758.888999999996</v>
      </c>
      <c r="H126" s="323" t="s">
        <v>2426</v>
      </c>
      <c r="I126" s="152">
        <v>13315.437</v>
      </c>
      <c r="J126" s="157" t="s">
        <v>2447</v>
      </c>
      <c r="K126" s="157">
        <v>5800361036</v>
      </c>
      <c r="L126" s="227">
        <v>13946.066000000001</v>
      </c>
      <c r="M126" s="157" t="s">
        <v>2447</v>
      </c>
      <c r="N126" s="227">
        <f t="shared" si="12"/>
        <v>30469.139362011396</v>
      </c>
      <c r="O126" s="152">
        <f t="shared" si="13"/>
        <v>907678.05736201105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2426</v>
      </c>
      <c r="I127" s="152"/>
      <c r="J127" s="157"/>
      <c r="K127" s="157">
        <v>5800361036</v>
      </c>
      <c r="L127" s="227">
        <v>13334.755999999999</v>
      </c>
      <c r="M127" s="157" t="s">
        <v>2447</v>
      </c>
      <c r="N127" s="227">
        <f t="shared" si="12"/>
        <v>17134.383362011395</v>
      </c>
      <c r="O127" s="152">
        <f t="shared" si="13"/>
        <v>894343.301362011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2426</v>
      </c>
      <c r="I128" s="152"/>
      <c r="J128" s="157"/>
      <c r="K128" s="157">
        <v>5800361036</v>
      </c>
      <c r="L128" s="227">
        <v>12176.169</v>
      </c>
      <c r="M128" s="157" t="s">
        <v>2447</v>
      </c>
      <c r="N128" s="227">
        <f t="shared" si="12"/>
        <v>4958.2143620113948</v>
      </c>
      <c r="O128" s="152">
        <f t="shared" si="13"/>
        <v>882167.13236201101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2426</v>
      </c>
      <c r="I129" s="152"/>
      <c r="J129" s="157"/>
      <c r="K129" s="157">
        <v>5800361036</v>
      </c>
      <c r="L129" s="227">
        <v>4958.2143620113948</v>
      </c>
      <c r="M129" s="157" t="s">
        <v>2447</v>
      </c>
      <c r="N129" s="227">
        <f t="shared" si="12"/>
        <v>0</v>
      </c>
      <c r="O129" s="152">
        <f t="shared" si="13"/>
        <v>877208.9179999996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2426</v>
      </c>
      <c r="I130" s="152"/>
      <c r="J130" s="157"/>
      <c r="K130" s="157">
        <v>5800361025</v>
      </c>
      <c r="L130" s="227">
        <v>32480.753637988601</v>
      </c>
      <c r="M130" s="157" t="s">
        <v>2448</v>
      </c>
      <c r="N130" s="227">
        <f>G83+G95+N129-I130-L130</f>
        <v>318258.40936201141</v>
      </c>
      <c r="O130" s="152">
        <f t="shared" ref="O130:O131" si="16">O129+G130-I130-L130</f>
        <v>844728.16436201101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2426</v>
      </c>
      <c r="I131" s="152"/>
      <c r="J131" s="157"/>
      <c r="K131" s="157">
        <v>5800361025</v>
      </c>
      <c r="L131" s="227">
        <v>11217.683000000001</v>
      </c>
      <c r="M131" s="157" t="s">
        <v>2448</v>
      </c>
      <c r="N131" s="227">
        <f t="shared" ref="N131" si="17">+N130-I131-L131</f>
        <v>307040.7263620114</v>
      </c>
      <c r="O131" s="152">
        <f t="shared" si="16"/>
        <v>833510.48136201105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2426</v>
      </c>
      <c r="I132" s="152"/>
      <c r="J132" s="157"/>
      <c r="K132" s="157">
        <v>5800361025</v>
      </c>
      <c r="L132" s="227">
        <v>19186.721000000001</v>
      </c>
      <c r="M132" s="157" t="s">
        <v>2448</v>
      </c>
      <c r="N132" s="227">
        <f t="shared" ref="N132:N197" si="18">+N131-I132-L132</f>
        <v>287854.00536201138</v>
      </c>
      <c r="O132" s="152">
        <f t="shared" ref="O132:O197" si="19">O131+G132-I132-L132</f>
        <v>814323.76036201103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2426</v>
      </c>
      <c r="I133" s="152"/>
      <c r="J133" s="157"/>
      <c r="K133" s="157">
        <v>5800361025</v>
      </c>
      <c r="L133" s="227">
        <v>71656.304000000004</v>
      </c>
      <c r="M133" s="157" t="s">
        <v>2448</v>
      </c>
      <c r="N133" s="227">
        <f t="shared" si="18"/>
        <v>216197.70136201137</v>
      </c>
      <c r="O133" s="152">
        <f t="shared" si="19"/>
        <v>742667.45636201103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2426</v>
      </c>
      <c r="I134" s="152"/>
      <c r="J134" s="157"/>
      <c r="K134" s="157">
        <v>5800361025</v>
      </c>
      <c r="L134" s="227">
        <v>74469.729000000007</v>
      </c>
      <c r="M134" s="157" t="s">
        <v>2448</v>
      </c>
      <c r="N134" s="227">
        <f t="shared" si="18"/>
        <v>141727.97236201138</v>
      </c>
      <c r="O134" s="152">
        <f t="shared" si="19"/>
        <v>668197.72736201098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2426</v>
      </c>
      <c r="I135" s="152"/>
      <c r="J135" s="157"/>
      <c r="K135" s="157">
        <v>5800361025</v>
      </c>
      <c r="L135" s="227">
        <v>1181.4010000000001</v>
      </c>
      <c r="M135" s="157" t="s">
        <v>2448</v>
      </c>
      <c r="N135" s="227">
        <f t="shared" si="18"/>
        <v>140546.57136201137</v>
      </c>
      <c r="O135" s="152">
        <f t="shared" si="19"/>
        <v>667016.32636201102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2426</v>
      </c>
      <c r="I136" s="152"/>
      <c r="J136" s="157"/>
      <c r="K136" s="157">
        <v>5800361025</v>
      </c>
      <c r="L136" s="227">
        <v>12486.666999999999</v>
      </c>
      <c r="M136" s="157" t="s">
        <v>2448</v>
      </c>
      <c r="N136" s="227">
        <f t="shared" si="18"/>
        <v>128059.90436201137</v>
      </c>
      <c r="O136" s="152">
        <f t="shared" si="19"/>
        <v>654529.65936201101</v>
      </c>
    </row>
    <row r="137" spans="1:15" x14ac:dyDescent="0.15">
      <c r="A137" s="154"/>
      <c r="B137" s="151"/>
      <c r="C137" s="152"/>
      <c r="D137" s="323" t="s">
        <v>2427</v>
      </c>
      <c r="E137" s="154" t="s">
        <v>72</v>
      </c>
      <c r="F137" s="157" t="s">
        <v>2450</v>
      </c>
      <c r="G137" s="152">
        <v>219542.68799999999</v>
      </c>
      <c r="H137" s="323" t="s">
        <v>2427</v>
      </c>
      <c r="I137" s="152">
        <v>11331.726000000001</v>
      </c>
      <c r="J137" s="157" t="s">
        <v>2448</v>
      </c>
      <c r="K137" s="157">
        <v>5800361025</v>
      </c>
      <c r="L137" s="227">
        <v>13381.196</v>
      </c>
      <c r="M137" s="157" t="s">
        <v>2448</v>
      </c>
      <c r="N137" s="227">
        <f t="shared" si="18"/>
        <v>103346.98236201137</v>
      </c>
      <c r="O137" s="152">
        <f t="shared" si="19"/>
        <v>849359.42536201095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2427</v>
      </c>
      <c r="I138" s="152"/>
      <c r="J138" s="157"/>
      <c r="K138" s="157">
        <v>5800361025</v>
      </c>
      <c r="L138" s="227">
        <v>11267.269</v>
      </c>
      <c r="M138" s="157" t="s">
        <v>2448</v>
      </c>
      <c r="N138" s="227">
        <f t="shared" si="18"/>
        <v>92079.713362011375</v>
      </c>
      <c r="O138" s="152">
        <f t="shared" si="19"/>
        <v>838092.15636201098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2427</v>
      </c>
      <c r="I139" s="152"/>
      <c r="J139" s="157"/>
      <c r="K139" s="157">
        <v>5800361025</v>
      </c>
      <c r="L139" s="227">
        <v>12563.45</v>
      </c>
      <c r="M139" s="157" t="s">
        <v>2448</v>
      </c>
      <c r="N139" s="227">
        <f t="shared" si="18"/>
        <v>79516.263362011377</v>
      </c>
      <c r="O139" s="152">
        <f t="shared" si="19"/>
        <v>825528.70636201103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2427</v>
      </c>
      <c r="I140" s="152"/>
      <c r="J140" s="157"/>
      <c r="K140" s="157">
        <v>5800361025</v>
      </c>
      <c r="L140" s="227">
        <v>14285.019</v>
      </c>
      <c r="M140" s="157" t="s">
        <v>2448</v>
      </c>
      <c r="N140" s="227">
        <f t="shared" si="18"/>
        <v>65231.244362011377</v>
      </c>
      <c r="O140" s="152">
        <f t="shared" si="19"/>
        <v>811243.68736201106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2427</v>
      </c>
      <c r="I141" s="152"/>
      <c r="J141" s="157"/>
      <c r="K141" s="157">
        <v>5800361025</v>
      </c>
      <c r="L141" s="227">
        <v>9944.9920000000002</v>
      </c>
      <c r="M141" s="157" t="s">
        <v>2448</v>
      </c>
      <c r="N141" s="227">
        <f t="shared" si="18"/>
        <v>55286.252362011379</v>
      </c>
      <c r="O141" s="152">
        <f t="shared" si="19"/>
        <v>801298.69536201109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2427</v>
      </c>
      <c r="I142" s="152"/>
      <c r="J142" s="157"/>
      <c r="K142" s="157">
        <v>5800361025</v>
      </c>
      <c r="L142" s="227">
        <v>11350.849</v>
      </c>
      <c r="M142" s="157" t="s">
        <v>2448</v>
      </c>
      <c r="N142" s="227">
        <f t="shared" si="18"/>
        <v>43935.403362011377</v>
      </c>
      <c r="O142" s="152">
        <f t="shared" si="19"/>
        <v>789947.84636201104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2427</v>
      </c>
      <c r="I143" s="152"/>
      <c r="J143" s="157"/>
      <c r="K143" s="157">
        <v>5800361025</v>
      </c>
      <c r="L143" s="227">
        <v>13820.599</v>
      </c>
      <c r="M143" s="157" t="s">
        <v>2448</v>
      </c>
      <c r="N143" s="227">
        <f t="shared" si="18"/>
        <v>30114.804362011375</v>
      </c>
      <c r="O143" s="152">
        <f t="shared" si="19"/>
        <v>776127.247362011</v>
      </c>
    </row>
    <row r="144" spans="1:15" x14ac:dyDescent="0.15">
      <c r="A144" s="154"/>
      <c r="B144" s="151"/>
      <c r="C144" s="152"/>
      <c r="D144" s="323" t="s">
        <v>2428</v>
      </c>
      <c r="E144" s="154" t="s">
        <v>72</v>
      </c>
      <c r="F144" s="157" t="s">
        <v>2451</v>
      </c>
      <c r="G144" s="152">
        <v>175791.79</v>
      </c>
      <c r="H144" s="323" t="s">
        <v>2428</v>
      </c>
      <c r="I144" s="152">
        <v>11628.133</v>
      </c>
      <c r="J144" s="157" t="s">
        <v>2448</v>
      </c>
      <c r="K144" s="157">
        <v>5800361025</v>
      </c>
      <c r="L144" s="227">
        <v>12611.424999999999</v>
      </c>
      <c r="M144" s="157" t="s">
        <v>2448</v>
      </c>
      <c r="N144" s="227">
        <f t="shared" si="18"/>
        <v>5875.246362011374</v>
      </c>
      <c r="O144" s="152">
        <f t="shared" si="19"/>
        <v>927679.47936201096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2428</v>
      </c>
      <c r="I145" s="152"/>
      <c r="J145" s="157"/>
      <c r="K145" s="157">
        <v>5800361025</v>
      </c>
      <c r="L145" s="227">
        <v>5875.246362011374</v>
      </c>
      <c r="M145" s="157" t="s">
        <v>2448</v>
      </c>
      <c r="N145" s="227">
        <f t="shared" ref="N145:N150" si="20">+N144-I145-L145</f>
        <v>0</v>
      </c>
      <c r="O145" s="152">
        <f t="shared" ref="O145:O150" si="21">O144+G145-I145-L145</f>
        <v>921804.23299999954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2428</v>
      </c>
      <c r="I146" s="152"/>
      <c r="J146" s="157"/>
      <c r="K146" s="157">
        <v>5800361036</v>
      </c>
      <c r="L146" s="227">
        <v>7466.3616379886298</v>
      </c>
      <c r="M146" s="157" t="s">
        <v>2449</v>
      </c>
      <c r="N146" s="227">
        <f>G106+G118+N145-I146-L146</f>
        <v>343443.8873620113</v>
      </c>
      <c r="O146" s="152">
        <f t="shared" si="21"/>
        <v>914337.87136201095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2428</v>
      </c>
      <c r="I147" s="152"/>
      <c r="J147" s="157"/>
      <c r="K147" s="157">
        <v>5800361036</v>
      </c>
      <c r="L147" s="227">
        <v>13422.739</v>
      </c>
      <c r="M147" s="157" t="s">
        <v>2449</v>
      </c>
      <c r="N147" s="227">
        <f t="shared" si="20"/>
        <v>330021.1483620113</v>
      </c>
      <c r="O147" s="152">
        <f t="shared" si="21"/>
        <v>900915.13236201101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2428</v>
      </c>
      <c r="I148" s="152"/>
      <c r="J148" s="157"/>
      <c r="K148" s="157">
        <v>5800361036</v>
      </c>
      <c r="L148" s="227">
        <v>12600.407999999999</v>
      </c>
      <c r="M148" s="157" t="s">
        <v>2449</v>
      </c>
      <c r="N148" s="227">
        <f t="shared" si="20"/>
        <v>317420.7403620113</v>
      </c>
      <c r="O148" s="152">
        <f t="shared" si="21"/>
        <v>888314.72436201095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2428</v>
      </c>
      <c r="I149" s="152"/>
      <c r="J149" s="157"/>
      <c r="K149" s="157">
        <v>5800361036</v>
      </c>
      <c r="L149" s="227">
        <v>13612.046</v>
      </c>
      <c r="M149" s="157" t="s">
        <v>2449</v>
      </c>
      <c r="N149" s="227">
        <f t="shared" si="20"/>
        <v>303808.69436201133</v>
      </c>
      <c r="O149" s="152">
        <f t="shared" si="21"/>
        <v>874702.67836201098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2428</v>
      </c>
      <c r="I150" s="152"/>
      <c r="J150" s="157"/>
      <c r="K150" s="157">
        <v>5800361036</v>
      </c>
      <c r="L150" s="227">
        <v>14542.553</v>
      </c>
      <c r="M150" s="157" t="s">
        <v>2449</v>
      </c>
      <c r="N150" s="227">
        <f t="shared" si="20"/>
        <v>289266.14136201132</v>
      </c>
      <c r="O150" s="152">
        <f t="shared" si="21"/>
        <v>860160.12536201102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2428</v>
      </c>
      <c r="I151" s="152"/>
      <c r="J151" s="157"/>
      <c r="K151" s="157">
        <v>5800361036</v>
      </c>
      <c r="L151" s="227">
        <v>9363.1650000000009</v>
      </c>
      <c r="M151" s="157" t="s">
        <v>2449</v>
      </c>
      <c r="N151" s="227">
        <f t="shared" si="18"/>
        <v>279902.97636201134</v>
      </c>
      <c r="O151" s="152">
        <f t="shared" si="19"/>
        <v>850796.96036201098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2428</v>
      </c>
      <c r="I152" s="152"/>
      <c r="J152" s="157"/>
      <c r="K152" s="157">
        <v>5800361036</v>
      </c>
      <c r="L152" s="227">
        <v>14623.099</v>
      </c>
      <c r="M152" s="157" t="s">
        <v>2449</v>
      </c>
      <c r="N152" s="227">
        <f t="shared" si="18"/>
        <v>265279.87736201135</v>
      </c>
      <c r="O152" s="152">
        <f t="shared" si="19"/>
        <v>836173.86136201094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2428</v>
      </c>
      <c r="I153" s="152"/>
      <c r="J153" s="157"/>
      <c r="K153" s="157">
        <v>5800361036</v>
      </c>
      <c r="L153" s="227">
        <v>15359.651</v>
      </c>
      <c r="M153" s="157" t="s">
        <v>2449</v>
      </c>
      <c r="N153" s="227">
        <f t="shared" si="18"/>
        <v>249920.22636201134</v>
      </c>
      <c r="O153" s="152">
        <f t="shared" si="19"/>
        <v>820814.21036201098</v>
      </c>
    </row>
    <row r="154" spans="1:15" x14ac:dyDescent="0.15">
      <c r="A154" s="154"/>
      <c r="B154" s="151"/>
      <c r="C154" s="152"/>
      <c r="D154" s="323" t="s">
        <v>2429</v>
      </c>
      <c r="E154" s="154" t="s">
        <v>72</v>
      </c>
      <c r="F154" s="157" t="s">
        <v>2451</v>
      </c>
      <c r="G154" s="152">
        <v>131915.962</v>
      </c>
      <c r="H154" s="323" t="s">
        <v>2429</v>
      </c>
      <c r="I154" s="152">
        <v>12954.444</v>
      </c>
      <c r="J154" s="157" t="s">
        <v>2449</v>
      </c>
      <c r="K154" s="157">
        <v>5800361036</v>
      </c>
      <c r="L154" s="227">
        <v>14195.938</v>
      </c>
      <c r="M154" s="157" t="s">
        <v>2449</v>
      </c>
      <c r="N154" s="227">
        <f t="shared" si="18"/>
        <v>222769.84436201135</v>
      </c>
      <c r="O154" s="152">
        <f t="shared" si="19"/>
        <v>925579.79036201094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2429</v>
      </c>
      <c r="I155" s="152"/>
      <c r="J155" s="157"/>
      <c r="K155" s="157">
        <v>5800361036</v>
      </c>
      <c r="L155" s="227">
        <v>11583.557000000001</v>
      </c>
      <c r="M155" s="157" t="s">
        <v>2449</v>
      </c>
      <c r="N155" s="227">
        <f t="shared" si="18"/>
        <v>211186.28736201135</v>
      </c>
      <c r="O155" s="152">
        <f t="shared" si="19"/>
        <v>913996.23336201091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2429</v>
      </c>
      <c r="I156" s="152"/>
      <c r="J156" s="157"/>
      <c r="K156" s="157">
        <v>5800361036</v>
      </c>
      <c r="L156" s="227">
        <v>17271.741000000002</v>
      </c>
      <c r="M156" s="157" t="s">
        <v>2449</v>
      </c>
      <c r="N156" s="227">
        <f t="shared" si="18"/>
        <v>193914.54636201134</v>
      </c>
      <c r="O156" s="152">
        <f t="shared" si="19"/>
        <v>896724.49236201087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2429</v>
      </c>
      <c r="I157" s="152"/>
      <c r="J157" s="157"/>
      <c r="K157" s="157">
        <v>5800361036</v>
      </c>
      <c r="L157" s="227">
        <v>13416.227000000001</v>
      </c>
      <c r="M157" s="157" t="s">
        <v>2449</v>
      </c>
      <c r="N157" s="227">
        <f t="shared" si="18"/>
        <v>180498.31936201133</v>
      </c>
      <c r="O157" s="152">
        <f t="shared" si="19"/>
        <v>883308.26536201092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2429</v>
      </c>
      <c r="I158" s="152"/>
      <c r="J158" s="157"/>
      <c r="K158" s="157">
        <v>5800361036</v>
      </c>
      <c r="L158" s="227">
        <v>13060.904</v>
      </c>
      <c r="M158" s="157" t="s">
        <v>2449</v>
      </c>
      <c r="N158" s="227">
        <f t="shared" si="18"/>
        <v>167437.41536201132</v>
      </c>
      <c r="O158" s="152">
        <f t="shared" si="19"/>
        <v>870247.36136201094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2429</v>
      </c>
      <c r="I159" s="152"/>
      <c r="J159" s="157"/>
      <c r="K159" s="157">
        <v>5800361036</v>
      </c>
      <c r="L159" s="227">
        <v>11298.297</v>
      </c>
      <c r="M159" s="157" t="s">
        <v>2449</v>
      </c>
      <c r="N159" s="227">
        <f t="shared" si="18"/>
        <v>156139.11836201133</v>
      </c>
      <c r="O159" s="152">
        <f t="shared" si="19"/>
        <v>858949.06436201092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2429</v>
      </c>
      <c r="I160" s="152"/>
      <c r="J160" s="157"/>
      <c r="K160" s="157">
        <v>5800361036</v>
      </c>
      <c r="L160" s="227">
        <v>8967.1820000000007</v>
      </c>
      <c r="M160" s="157" t="s">
        <v>2449</v>
      </c>
      <c r="N160" s="227">
        <f t="shared" si="18"/>
        <v>147171.93636201133</v>
      </c>
      <c r="O160" s="152">
        <f t="shared" si="19"/>
        <v>849981.88236201089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2429</v>
      </c>
      <c r="I161" s="152"/>
      <c r="J161" s="157"/>
      <c r="K161" s="157">
        <v>5800361036</v>
      </c>
      <c r="L161" s="227">
        <v>651.86800000000005</v>
      </c>
      <c r="M161" s="157" t="s">
        <v>2449</v>
      </c>
      <c r="N161" s="227">
        <f t="shared" si="18"/>
        <v>146520.06836201134</v>
      </c>
      <c r="O161" s="152">
        <f t="shared" si="19"/>
        <v>849330.01436201087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2429</v>
      </c>
      <c r="I162" s="152"/>
      <c r="J162" s="157"/>
      <c r="K162" s="157">
        <v>5800361036</v>
      </c>
      <c r="L162" s="227">
        <v>15334.89</v>
      </c>
      <c r="M162" s="157" t="s">
        <v>2449</v>
      </c>
      <c r="N162" s="227">
        <f t="shared" si="18"/>
        <v>131185.17836201133</v>
      </c>
      <c r="O162" s="152">
        <f t="shared" si="19"/>
        <v>833995.12436201086</v>
      </c>
    </row>
    <row r="163" spans="1:15" x14ac:dyDescent="0.15">
      <c r="A163" s="154"/>
      <c r="B163" s="151"/>
      <c r="C163" s="152"/>
      <c r="D163" s="323" t="s">
        <v>2430</v>
      </c>
      <c r="E163" s="154" t="s">
        <v>72</v>
      </c>
      <c r="F163" s="157" t="s">
        <v>2452</v>
      </c>
      <c r="G163" s="152">
        <v>87943.403999999995</v>
      </c>
      <c r="H163" s="323" t="s">
        <v>2430</v>
      </c>
      <c r="I163" s="152">
        <v>12112.898000000001</v>
      </c>
      <c r="J163" s="157" t="s">
        <v>2449</v>
      </c>
      <c r="K163" s="157">
        <v>5800361036</v>
      </c>
      <c r="L163" s="227">
        <v>13437.609</v>
      </c>
      <c r="M163" s="157" t="s">
        <v>2449</v>
      </c>
      <c r="N163" s="227">
        <f t="shared" si="18"/>
        <v>105634.67136201133</v>
      </c>
      <c r="O163" s="152">
        <f t="shared" si="19"/>
        <v>896388.02136201074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2430</v>
      </c>
      <c r="I164" s="152"/>
      <c r="J164" s="157"/>
      <c r="K164" s="157">
        <v>5800361036</v>
      </c>
      <c r="L164" s="227">
        <v>15127.32</v>
      </c>
      <c r="M164" s="157" t="s">
        <v>2449</v>
      </c>
      <c r="N164" s="227">
        <f t="shared" si="18"/>
        <v>90507.351362011337</v>
      </c>
      <c r="O164" s="152">
        <f t="shared" si="19"/>
        <v>881260.70136201079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2430</v>
      </c>
      <c r="I165" s="152"/>
      <c r="J165" s="157"/>
      <c r="K165" s="157">
        <v>5800361036</v>
      </c>
      <c r="L165" s="227">
        <v>13939.117</v>
      </c>
      <c r="M165" s="157" t="s">
        <v>2449</v>
      </c>
      <c r="N165" s="227">
        <f t="shared" si="18"/>
        <v>76568.234362011339</v>
      </c>
      <c r="O165" s="152">
        <f t="shared" si="19"/>
        <v>867321.58436201082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2430</v>
      </c>
      <c r="I166" s="152"/>
      <c r="J166" s="157"/>
      <c r="K166" s="157">
        <v>5800361036</v>
      </c>
      <c r="L166" s="227">
        <v>14375.558999999999</v>
      </c>
      <c r="M166" s="157" t="s">
        <v>2449</v>
      </c>
      <c r="N166" s="227">
        <f t="shared" si="18"/>
        <v>62192.675362011338</v>
      </c>
      <c r="O166" s="152">
        <f t="shared" si="19"/>
        <v>852946.02536201081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2430</v>
      </c>
      <c r="I167" s="152"/>
      <c r="J167" s="157"/>
      <c r="K167" s="157">
        <v>5800361036</v>
      </c>
      <c r="L167" s="227">
        <v>9613.7360000000008</v>
      </c>
      <c r="M167" s="157" t="s">
        <v>2449</v>
      </c>
      <c r="N167" s="227">
        <f t="shared" si="18"/>
        <v>52578.939362011341</v>
      </c>
      <c r="O167" s="152">
        <f t="shared" si="19"/>
        <v>843332.28936201078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2430</v>
      </c>
      <c r="I168" s="152"/>
      <c r="J168" s="157"/>
      <c r="K168" s="157">
        <v>5800361036</v>
      </c>
      <c r="L168" s="227">
        <v>15838.143</v>
      </c>
      <c r="M168" s="157" t="s">
        <v>2449</v>
      </c>
      <c r="N168" s="227">
        <f t="shared" si="18"/>
        <v>36740.796362011344</v>
      </c>
      <c r="O168" s="152">
        <f t="shared" si="19"/>
        <v>827494.14636201074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2430</v>
      </c>
      <c r="I169" s="152"/>
      <c r="J169" s="157"/>
      <c r="K169" s="157">
        <v>5800361036</v>
      </c>
      <c r="L169" s="227">
        <v>292.762</v>
      </c>
      <c r="M169" s="157" t="s">
        <v>2449</v>
      </c>
      <c r="N169" s="227">
        <f t="shared" si="18"/>
        <v>36448.034362011342</v>
      </c>
      <c r="O169" s="152">
        <f t="shared" si="19"/>
        <v>827201.38436201075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2430</v>
      </c>
      <c r="I170" s="152"/>
      <c r="J170" s="157"/>
      <c r="K170" s="157">
        <v>5800361036</v>
      </c>
      <c r="L170" s="227">
        <v>14348.352000000001</v>
      </c>
      <c r="M170" s="157" t="s">
        <v>2449</v>
      </c>
      <c r="N170" s="227">
        <f t="shared" si="18"/>
        <v>22099.682362011343</v>
      </c>
      <c r="O170" s="152">
        <f t="shared" si="19"/>
        <v>812853.0323620108</v>
      </c>
    </row>
    <row r="171" spans="1:15" x14ac:dyDescent="0.15">
      <c r="A171" s="154"/>
      <c r="B171" s="151"/>
      <c r="C171" s="152"/>
      <c r="D171" s="323" t="s">
        <v>2431</v>
      </c>
      <c r="E171" s="154" t="s">
        <v>72</v>
      </c>
      <c r="F171" s="157" t="s">
        <v>2452</v>
      </c>
      <c r="G171" s="152">
        <v>43918.872000000018</v>
      </c>
      <c r="H171" s="323" t="s">
        <v>2431</v>
      </c>
      <c r="I171" s="152">
        <v>12294.142</v>
      </c>
      <c r="J171" s="157" t="s">
        <v>2449</v>
      </c>
      <c r="K171" s="157">
        <v>5800361036</v>
      </c>
      <c r="L171" s="227">
        <v>9805.5403620113429</v>
      </c>
      <c r="M171" s="157" t="s">
        <v>2449</v>
      </c>
      <c r="N171" s="227">
        <f t="shared" ref="N171:N176" si="22">+N170-I171-L171</f>
        <v>0</v>
      </c>
      <c r="O171" s="152">
        <f t="shared" ref="O171:O176" si="23">O170+G171-I171-L171</f>
        <v>834672.22199999948</v>
      </c>
    </row>
    <row r="172" spans="1:15" x14ac:dyDescent="0.15">
      <c r="A172" s="154"/>
      <c r="B172" s="151"/>
      <c r="C172" s="152"/>
      <c r="D172" s="323" t="s">
        <v>2431</v>
      </c>
      <c r="E172" s="154" t="s">
        <v>72</v>
      </c>
      <c r="F172" s="157" t="s">
        <v>2453</v>
      </c>
      <c r="G172" s="152">
        <v>43975.866999999998</v>
      </c>
      <c r="H172" s="323" t="s">
        <v>2431</v>
      </c>
      <c r="I172" s="152"/>
      <c r="J172" s="157"/>
      <c r="K172" s="157">
        <v>5800361025</v>
      </c>
      <c r="L172" s="227">
        <v>3861.6826379886602</v>
      </c>
      <c r="M172" s="157" t="s">
        <v>2450</v>
      </c>
      <c r="N172" s="227">
        <f>G119+G126+G137+N171-I172-L172</f>
        <v>391240.51136201149</v>
      </c>
      <c r="O172" s="152">
        <f t="shared" si="23"/>
        <v>874786.40636201075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2431</v>
      </c>
      <c r="I173" s="152"/>
      <c r="J173" s="157"/>
      <c r="K173" s="157">
        <v>5800361025</v>
      </c>
      <c r="L173" s="227">
        <v>13461.994000000001</v>
      </c>
      <c r="M173" s="157" t="s">
        <v>2450</v>
      </c>
      <c r="N173" s="227">
        <f t="shared" si="22"/>
        <v>377778.51736201148</v>
      </c>
      <c r="O173" s="152">
        <f t="shared" si="23"/>
        <v>861324.4123620108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2431</v>
      </c>
      <c r="I174" s="152"/>
      <c r="J174" s="157"/>
      <c r="K174" s="157">
        <v>5800361025</v>
      </c>
      <c r="L174" s="227">
        <v>13749.314</v>
      </c>
      <c r="M174" s="157" t="s">
        <v>2450</v>
      </c>
      <c r="N174" s="227">
        <f t="shared" si="22"/>
        <v>364029.20336201147</v>
      </c>
      <c r="O174" s="152">
        <f t="shared" si="23"/>
        <v>847575.09836201079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2431</v>
      </c>
      <c r="I175" s="152"/>
      <c r="J175" s="157"/>
      <c r="K175" s="157">
        <v>5800361025</v>
      </c>
      <c r="L175" s="227">
        <v>16967.899000000001</v>
      </c>
      <c r="M175" s="157" t="s">
        <v>2450</v>
      </c>
      <c r="N175" s="227">
        <f t="shared" si="22"/>
        <v>347061.30436201149</v>
      </c>
      <c r="O175" s="152">
        <f t="shared" si="23"/>
        <v>830607.19936201081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2431</v>
      </c>
      <c r="I176" s="152"/>
      <c r="J176" s="157"/>
      <c r="K176" s="157">
        <v>5800361025</v>
      </c>
      <c r="L176" s="227">
        <v>11501.811</v>
      </c>
      <c r="M176" s="157" t="s">
        <v>2450</v>
      </c>
      <c r="N176" s="227">
        <f t="shared" si="22"/>
        <v>335559.4933620115</v>
      </c>
      <c r="O176" s="152">
        <f t="shared" si="23"/>
        <v>819105.38836201082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2431</v>
      </c>
      <c r="I177" s="152"/>
      <c r="J177" s="157"/>
      <c r="K177" s="157">
        <v>5800361025</v>
      </c>
      <c r="L177" s="227">
        <v>10553.754999999999</v>
      </c>
      <c r="M177" s="157" t="s">
        <v>2450</v>
      </c>
      <c r="N177" s="227">
        <f t="shared" si="18"/>
        <v>325005.7383620115</v>
      </c>
      <c r="O177" s="152">
        <f t="shared" si="19"/>
        <v>808551.63336201082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2431</v>
      </c>
      <c r="I178" s="152"/>
      <c r="J178" s="157"/>
      <c r="K178" s="157">
        <v>5800361025</v>
      </c>
      <c r="L178" s="227">
        <v>8244.4920000000002</v>
      </c>
      <c r="M178" s="157" t="s">
        <v>2450</v>
      </c>
      <c r="N178" s="227">
        <f t="shared" si="18"/>
        <v>316761.24636201147</v>
      </c>
      <c r="O178" s="152">
        <f t="shared" si="19"/>
        <v>800307.14136201085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2431</v>
      </c>
      <c r="I179" s="152"/>
      <c r="J179" s="157"/>
      <c r="K179" s="157">
        <v>5800361025</v>
      </c>
      <c r="L179" s="227">
        <v>2099.3609999999999</v>
      </c>
      <c r="M179" s="157" t="s">
        <v>2450</v>
      </c>
      <c r="N179" s="227">
        <f t="shared" si="18"/>
        <v>314661.8853620115</v>
      </c>
      <c r="O179" s="152">
        <f t="shared" si="19"/>
        <v>798207.78036201082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2431</v>
      </c>
      <c r="I180" s="152"/>
      <c r="J180" s="157"/>
      <c r="K180" s="157">
        <v>5800361025</v>
      </c>
      <c r="L180" s="227">
        <v>12353.242</v>
      </c>
      <c r="M180" s="157" t="s">
        <v>2450</v>
      </c>
      <c r="N180" s="227">
        <f t="shared" si="18"/>
        <v>302308.64336201147</v>
      </c>
      <c r="O180" s="152">
        <f t="shared" si="19"/>
        <v>785854.53836201085</v>
      </c>
    </row>
    <row r="181" spans="1:15" x14ac:dyDescent="0.15">
      <c r="A181" s="154"/>
      <c r="B181" s="151"/>
      <c r="C181" s="152"/>
      <c r="D181" s="323" t="s">
        <v>2432</v>
      </c>
      <c r="E181" s="154" t="s">
        <v>72</v>
      </c>
      <c r="F181" s="157" t="s">
        <v>2453</v>
      </c>
      <c r="G181" s="152">
        <v>87846.87</v>
      </c>
      <c r="H181" s="323" t="s">
        <v>2432</v>
      </c>
      <c r="I181" s="152">
        <v>12679.462</v>
      </c>
      <c r="J181" s="157" t="s">
        <v>2450</v>
      </c>
      <c r="K181" s="157">
        <v>5800361025</v>
      </c>
      <c r="L181" s="227">
        <v>14417.226000000001</v>
      </c>
      <c r="M181" s="157" t="s">
        <v>2450</v>
      </c>
      <c r="N181" s="227">
        <f t="shared" si="18"/>
        <v>275211.95536201145</v>
      </c>
      <c r="O181" s="152">
        <f t="shared" si="19"/>
        <v>846604.72036201088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2432</v>
      </c>
      <c r="I182" s="152"/>
      <c r="J182" s="157"/>
      <c r="K182" s="157">
        <v>5800361025</v>
      </c>
      <c r="L182" s="227">
        <v>12424.439</v>
      </c>
      <c r="M182" s="157" t="s">
        <v>2450</v>
      </c>
      <c r="N182" s="227">
        <f t="shared" si="18"/>
        <v>262787.51636201143</v>
      </c>
      <c r="O182" s="152">
        <f t="shared" si="19"/>
        <v>834180.28136201086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2432</v>
      </c>
      <c r="I183" s="152"/>
      <c r="J183" s="157"/>
      <c r="K183" s="157">
        <v>5800361025</v>
      </c>
      <c r="L183" s="227">
        <v>13977.494000000001</v>
      </c>
      <c r="M183" s="157" t="s">
        <v>2450</v>
      </c>
      <c r="N183" s="227">
        <f t="shared" si="18"/>
        <v>248810.02236201143</v>
      </c>
      <c r="O183" s="152">
        <f t="shared" si="19"/>
        <v>820202.78736201092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2432</v>
      </c>
      <c r="I184" s="152"/>
      <c r="J184" s="157"/>
      <c r="K184" s="157">
        <v>5800361025</v>
      </c>
      <c r="L184" s="227">
        <v>12269.532999999999</v>
      </c>
      <c r="M184" s="157" t="s">
        <v>2450</v>
      </c>
      <c r="N184" s="227">
        <f t="shared" si="18"/>
        <v>236540.48936201143</v>
      </c>
      <c r="O184" s="152">
        <f t="shared" si="19"/>
        <v>807933.25436201086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2432</v>
      </c>
      <c r="I185" s="152"/>
      <c r="J185" s="157"/>
      <c r="K185" s="157">
        <v>5800361025</v>
      </c>
      <c r="L185" s="227">
        <v>12879.162</v>
      </c>
      <c r="M185" s="157" t="s">
        <v>2450</v>
      </c>
      <c r="N185" s="227">
        <f t="shared" si="18"/>
        <v>223661.32736201142</v>
      </c>
      <c r="O185" s="152">
        <f t="shared" si="19"/>
        <v>795054.09236201085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2432</v>
      </c>
      <c r="I186" s="152"/>
      <c r="J186" s="157"/>
      <c r="K186" s="157">
        <v>5800361025</v>
      </c>
      <c r="L186" s="227">
        <v>11685.888000000001</v>
      </c>
      <c r="M186" s="157" t="s">
        <v>2450</v>
      </c>
      <c r="N186" s="227">
        <f t="shared" si="18"/>
        <v>211975.43936201141</v>
      </c>
      <c r="O186" s="152">
        <f t="shared" si="19"/>
        <v>783368.20436201082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2432</v>
      </c>
      <c r="I187" s="152"/>
      <c r="J187" s="157"/>
      <c r="K187" s="157">
        <v>5800361025</v>
      </c>
      <c r="L187" s="227">
        <v>482.70600000000002</v>
      </c>
      <c r="M187" s="157" t="s">
        <v>2450</v>
      </c>
      <c r="N187" s="227">
        <f t="shared" si="18"/>
        <v>211492.73336201141</v>
      </c>
      <c r="O187" s="152">
        <f t="shared" si="19"/>
        <v>782885.49836201081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2432</v>
      </c>
      <c r="I188" s="152"/>
      <c r="J188" s="157"/>
      <c r="K188" s="157">
        <v>5800361025</v>
      </c>
      <c r="L188" s="227">
        <v>13311.196</v>
      </c>
      <c r="M188" s="157" t="s">
        <v>2450</v>
      </c>
      <c r="N188" s="227">
        <f t="shared" si="18"/>
        <v>198181.53736201141</v>
      </c>
      <c r="O188" s="152">
        <f t="shared" si="19"/>
        <v>769574.30236201081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2432</v>
      </c>
      <c r="I189" s="152"/>
      <c r="J189" s="157"/>
      <c r="K189" s="157">
        <v>5800361025</v>
      </c>
      <c r="L189" s="227">
        <v>3089.4920000000002</v>
      </c>
      <c r="M189" s="157" t="s">
        <v>2450</v>
      </c>
      <c r="N189" s="227">
        <f t="shared" si="18"/>
        <v>195092.04536201141</v>
      </c>
      <c r="O189" s="152">
        <f t="shared" si="19"/>
        <v>766484.81036201084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2432</v>
      </c>
      <c r="I190" s="152"/>
      <c r="J190" s="157"/>
      <c r="K190" s="157">
        <v>5800361025</v>
      </c>
      <c r="L190" s="227">
        <v>13747.841</v>
      </c>
      <c r="M190" s="157" t="s">
        <v>2450</v>
      </c>
      <c r="N190" s="227">
        <f t="shared" si="18"/>
        <v>181344.2043620114</v>
      </c>
      <c r="O190" s="152">
        <f t="shared" si="19"/>
        <v>752736.96936201083</v>
      </c>
    </row>
    <row r="191" spans="1:15" x14ac:dyDescent="0.15">
      <c r="A191" s="154"/>
      <c r="B191" s="151"/>
      <c r="C191" s="152"/>
      <c r="D191" s="323" t="s">
        <v>2433</v>
      </c>
      <c r="E191" s="154" t="s">
        <v>72</v>
      </c>
      <c r="F191" s="157" t="s">
        <v>2453</v>
      </c>
      <c r="G191" s="152">
        <v>87785.012000000002</v>
      </c>
      <c r="H191" s="323" t="s">
        <v>2433</v>
      </c>
      <c r="I191" s="152">
        <v>16326.827000000001</v>
      </c>
      <c r="J191" s="157" t="s">
        <v>2450</v>
      </c>
      <c r="K191" s="157">
        <v>5800361025</v>
      </c>
      <c r="L191" s="227">
        <v>12951.562</v>
      </c>
      <c r="M191" s="157" t="s">
        <v>2450</v>
      </c>
      <c r="N191" s="227">
        <f t="shared" si="18"/>
        <v>152065.8153620114</v>
      </c>
      <c r="O191" s="152">
        <f t="shared" si="19"/>
        <v>811243.59236201074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2433</v>
      </c>
      <c r="I192" s="152"/>
      <c r="J192" s="157"/>
      <c r="K192" s="157">
        <v>5800361025</v>
      </c>
      <c r="L192" s="227">
        <v>11851.004999999999</v>
      </c>
      <c r="M192" s="157" t="s">
        <v>2450</v>
      </c>
      <c r="N192" s="227">
        <f t="shared" si="18"/>
        <v>140214.8103620114</v>
      </c>
      <c r="O192" s="152">
        <f t="shared" si="19"/>
        <v>799392.58736201073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2433</v>
      </c>
      <c r="I193" s="152"/>
      <c r="J193" s="157"/>
      <c r="K193" s="157">
        <v>5800361025</v>
      </c>
      <c r="L193" s="227">
        <v>16951.589</v>
      </c>
      <c r="M193" s="157" t="s">
        <v>2450</v>
      </c>
      <c r="N193" s="227">
        <f t="shared" si="18"/>
        <v>123263.22136201139</v>
      </c>
      <c r="O193" s="152">
        <f t="shared" si="19"/>
        <v>782440.99836201069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2433</v>
      </c>
      <c r="I194" s="152"/>
      <c r="J194" s="157"/>
      <c r="K194" s="157">
        <v>5800361025</v>
      </c>
      <c r="L194" s="227">
        <v>13612.897999999999</v>
      </c>
      <c r="M194" s="157" t="s">
        <v>2450</v>
      </c>
      <c r="N194" s="227">
        <f t="shared" si="18"/>
        <v>109650.32336201139</v>
      </c>
      <c r="O194" s="152">
        <f t="shared" si="19"/>
        <v>768828.10036201065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2433</v>
      </c>
      <c r="I195" s="152"/>
      <c r="J195" s="157"/>
      <c r="K195" s="157">
        <v>5800361025</v>
      </c>
      <c r="L195" s="227">
        <v>15873.043</v>
      </c>
      <c r="M195" s="157" t="s">
        <v>2450</v>
      </c>
      <c r="N195" s="227">
        <f t="shared" si="18"/>
        <v>93777.280362011385</v>
      </c>
      <c r="O195" s="152">
        <f t="shared" si="19"/>
        <v>752955.0573620107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2433</v>
      </c>
      <c r="I196" s="152"/>
      <c r="J196" s="157"/>
      <c r="K196" s="157">
        <v>5800361025</v>
      </c>
      <c r="L196" s="227">
        <v>13914.05</v>
      </c>
      <c r="M196" s="157" t="s">
        <v>2450</v>
      </c>
      <c r="N196" s="227">
        <f t="shared" si="18"/>
        <v>79863.230362011382</v>
      </c>
      <c r="O196" s="152">
        <f t="shared" si="19"/>
        <v>739041.00736201066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2433</v>
      </c>
      <c r="I197" s="152"/>
      <c r="J197" s="157"/>
      <c r="K197" s="157">
        <v>5800361025</v>
      </c>
      <c r="L197" s="227">
        <v>13813.999</v>
      </c>
      <c r="M197" s="157" t="s">
        <v>2450</v>
      </c>
      <c r="N197" s="227">
        <f t="shared" si="18"/>
        <v>66049.231362011385</v>
      </c>
      <c r="O197" s="152">
        <f t="shared" si="19"/>
        <v>725227.0083620107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2433</v>
      </c>
      <c r="I198" s="152"/>
      <c r="J198" s="157"/>
      <c r="K198" s="157">
        <v>5800361025</v>
      </c>
      <c r="L198" s="227">
        <v>12684.279</v>
      </c>
      <c r="M198" s="157" t="s">
        <v>2450</v>
      </c>
      <c r="N198" s="227">
        <f t="shared" ref="N198:N264" si="24">+N197-I198-L198</f>
        <v>53364.952362011383</v>
      </c>
      <c r="O198" s="152">
        <f t="shared" ref="O198:O264" si="25">O197+G198-I198-L198</f>
        <v>712542.72936201072</v>
      </c>
    </row>
    <row r="199" spans="1:15" x14ac:dyDescent="0.15">
      <c r="A199" s="154"/>
      <c r="B199" s="151"/>
      <c r="C199" s="152"/>
      <c r="D199" s="323" t="s">
        <v>2434</v>
      </c>
      <c r="E199" s="154" t="s">
        <v>72</v>
      </c>
      <c r="F199" s="157" t="s">
        <v>2453</v>
      </c>
      <c r="G199" s="152">
        <v>131791.67800000001</v>
      </c>
      <c r="H199" s="323" t="s">
        <v>2434</v>
      </c>
      <c r="I199" s="152">
        <v>13994.904</v>
      </c>
      <c r="J199" s="157" t="s">
        <v>2450</v>
      </c>
      <c r="K199" s="157">
        <v>5800361025</v>
      </c>
      <c r="L199" s="227">
        <v>12288.768</v>
      </c>
      <c r="M199" s="157" t="s">
        <v>2450</v>
      </c>
      <c r="N199" s="227">
        <f t="shared" si="24"/>
        <v>27081.280362011381</v>
      </c>
      <c r="O199" s="152">
        <f t="shared" si="25"/>
        <v>818050.73536201078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2434</v>
      </c>
      <c r="I200" s="152"/>
      <c r="J200" s="157"/>
      <c r="K200" s="157">
        <v>5800361025</v>
      </c>
      <c r="L200" s="227">
        <v>13207.303</v>
      </c>
      <c r="M200" s="157" t="s">
        <v>2450</v>
      </c>
      <c r="N200" s="227">
        <f t="shared" si="24"/>
        <v>13873.977362011381</v>
      </c>
      <c r="O200" s="152">
        <f t="shared" si="25"/>
        <v>804843.43236201082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2434</v>
      </c>
      <c r="I201" s="152"/>
      <c r="J201" s="157"/>
      <c r="K201" s="157">
        <v>5800361025</v>
      </c>
      <c r="L201" s="227">
        <v>12884.466</v>
      </c>
      <c r="M201" s="157" t="s">
        <v>2450</v>
      </c>
      <c r="N201" s="227">
        <f t="shared" si="24"/>
        <v>989.5113620113807</v>
      </c>
      <c r="O201" s="152">
        <f t="shared" si="25"/>
        <v>791958.9663620108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2434</v>
      </c>
      <c r="I202" s="152"/>
      <c r="J202" s="157"/>
      <c r="K202" s="157">
        <v>5800361025</v>
      </c>
      <c r="L202" s="227">
        <v>989.5113620113807</v>
      </c>
      <c r="M202" s="157" t="s">
        <v>2450</v>
      </c>
      <c r="N202" s="227">
        <f t="shared" si="24"/>
        <v>0</v>
      </c>
      <c r="O202" s="152">
        <f t="shared" si="25"/>
        <v>790969.45499999938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2434</v>
      </c>
      <c r="I203" s="152"/>
      <c r="J203" s="157"/>
      <c r="K203" s="157">
        <v>5800361036</v>
      </c>
      <c r="L203" s="227">
        <v>8249.8026379886196</v>
      </c>
      <c r="M203" s="157" t="s">
        <v>2451</v>
      </c>
      <c r="N203" s="227">
        <f>G144+G154+N202-I203-L203</f>
        <v>299457.94936201134</v>
      </c>
      <c r="O203" s="152">
        <f t="shared" ref="O203:O208" si="26">O202+G203-I203-L203</f>
        <v>782719.65236201079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2434</v>
      </c>
      <c r="I204" s="152"/>
      <c r="J204" s="157"/>
      <c r="K204" s="157">
        <v>5800361036</v>
      </c>
      <c r="L204" s="227">
        <v>13358.226000000001</v>
      </c>
      <c r="M204" s="157" t="s">
        <v>2451</v>
      </c>
      <c r="N204" s="227">
        <f t="shared" ref="N204:N208" si="27">+N203-I204-L204</f>
        <v>286099.72336201131</v>
      </c>
      <c r="O204" s="152">
        <f t="shared" si="26"/>
        <v>769361.42636201077</v>
      </c>
    </row>
    <row r="205" spans="1:15" x14ac:dyDescent="0.15">
      <c r="A205" s="154"/>
      <c r="B205" s="151"/>
      <c r="C205" s="152"/>
      <c r="D205" s="323" t="s">
        <v>2435</v>
      </c>
      <c r="E205" s="154" t="s">
        <v>72</v>
      </c>
      <c r="F205" s="157" t="s">
        <v>2453</v>
      </c>
      <c r="G205" s="152">
        <v>87725.207999999984</v>
      </c>
      <c r="H205" s="323" t="s">
        <v>2435</v>
      </c>
      <c r="I205" s="152">
        <v>11884.004000000001</v>
      </c>
      <c r="J205" s="157" t="s">
        <v>2451</v>
      </c>
      <c r="K205" s="157">
        <v>5800361036</v>
      </c>
      <c r="L205" s="227">
        <v>13157.663</v>
      </c>
      <c r="M205" s="157" t="s">
        <v>2451</v>
      </c>
      <c r="N205" s="227">
        <f t="shared" si="27"/>
        <v>261058.0563620113</v>
      </c>
      <c r="O205" s="152">
        <f t="shared" si="26"/>
        <v>832044.96736201085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2435</v>
      </c>
      <c r="I206" s="152"/>
      <c r="J206" s="157"/>
      <c r="K206" s="157">
        <v>5800361036</v>
      </c>
      <c r="L206" s="227">
        <v>14758.96</v>
      </c>
      <c r="M206" s="157" t="s">
        <v>2451</v>
      </c>
      <c r="N206" s="227">
        <f t="shared" si="27"/>
        <v>246299.0963620113</v>
      </c>
      <c r="O206" s="152">
        <f t="shared" si="26"/>
        <v>817286.00736201089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2435</v>
      </c>
      <c r="I207" s="152"/>
      <c r="J207" s="157"/>
      <c r="K207" s="157">
        <v>5800361036</v>
      </c>
      <c r="L207" s="227">
        <v>13801.183999999999</v>
      </c>
      <c r="M207" s="157" t="s">
        <v>2451</v>
      </c>
      <c r="N207" s="227">
        <f t="shared" si="27"/>
        <v>232497.9123620113</v>
      </c>
      <c r="O207" s="152">
        <f t="shared" si="26"/>
        <v>803484.82336201088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2435</v>
      </c>
      <c r="I208" s="152"/>
      <c r="J208" s="157"/>
      <c r="K208" s="157">
        <v>5800361036</v>
      </c>
      <c r="L208" s="227">
        <v>12798.371999999999</v>
      </c>
      <c r="M208" s="157" t="s">
        <v>2451</v>
      </c>
      <c r="N208" s="227">
        <f t="shared" si="27"/>
        <v>219699.54036201129</v>
      </c>
      <c r="O208" s="152">
        <f t="shared" si="26"/>
        <v>790686.45136201091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2435</v>
      </c>
      <c r="I209" s="152"/>
      <c r="J209" s="157"/>
      <c r="K209" s="157">
        <v>5800361036</v>
      </c>
      <c r="L209" s="227">
        <v>10198.263999999999</v>
      </c>
      <c r="M209" s="157" t="s">
        <v>2451</v>
      </c>
      <c r="N209" s="227">
        <f t="shared" si="24"/>
        <v>209501.2763620113</v>
      </c>
      <c r="O209" s="152">
        <f t="shared" si="25"/>
        <v>780488.18736201094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2435</v>
      </c>
      <c r="I210" s="152"/>
      <c r="J210" s="157"/>
      <c r="K210" s="157">
        <v>5800361036</v>
      </c>
      <c r="L210" s="227">
        <v>13738.847</v>
      </c>
      <c r="M210" s="157" t="s">
        <v>2451</v>
      </c>
      <c r="N210" s="227">
        <f t="shared" si="24"/>
        <v>195762.42936201129</v>
      </c>
      <c r="O210" s="152">
        <f t="shared" si="25"/>
        <v>766749.34036201099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2435</v>
      </c>
      <c r="I211" s="152"/>
      <c r="J211" s="157"/>
      <c r="K211" s="157">
        <v>5800361036</v>
      </c>
      <c r="L211" s="227">
        <v>12265.044</v>
      </c>
      <c r="M211" s="157" t="s">
        <v>2451</v>
      </c>
      <c r="N211" s="227">
        <f t="shared" si="24"/>
        <v>183497.38536201129</v>
      </c>
      <c r="O211" s="152">
        <f t="shared" si="25"/>
        <v>754484.29636201099</v>
      </c>
    </row>
    <row r="212" spans="1:15" x14ac:dyDescent="0.15">
      <c r="A212" s="154"/>
      <c r="B212" s="151"/>
      <c r="C212" s="152"/>
      <c r="D212" s="323" t="s">
        <v>2436</v>
      </c>
      <c r="E212" s="154" t="s">
        <v>72</v>
      </c>
      <c r="F212" s="157" t="s">
        <v>2454</v>
      </c>
      <c r="G212" s="152">
        <v>87733.354000000007</v>
      </c>
      <c r="H212" s="323" t="s">
        <v>2436</v>
      </c>
      <c r="I212" s="152">
        <v>16079.373</v>
      </c>
      <c r="J212" s="157" t="s">
        <v>2451</v>
      </c>
      <c r="K212" s="157">
        <v>5800361036</v>
      </c>
      <c r="L212" s="227">
        <v>14128.451999999999</v>
      </c>
      <c r="M212" s="157" t="s">
        <v>2451</v>
      </c>
      <c r="N212" s="227">
        <f t="shared" si="24"/>
        <v>153289.56036201131</v>
      </c>
      <c r="O212" s="152">
        <f t="shared" si="25"/>
        <v>812009.82536201098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2436</v>
      </c>
      <c r="I213" s="152"/>
      <c r="J213" s="157"/>
      <c r="K213" s="157">
        <v>5800361036</v>
      </c>
      <c r="L213" s="227">
        <v>13759.152</v>
      </c>
      <c r="M213" s="157" t="s">
        <v>2451</v>
      </c>
      <c r="N213" s="227">
        <f t="shared" si="24"/>
        <v>139530.40836201131</v>
      </c>
      <c r="O213" s="152">
        <f t="shared" si="25"/>
        <v>798250.67336201097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2436</v>
      </c>
      <c r="I214" s="152"/>
      <c r="J214" s="157"/>
      <c r="K214" s="157">
        <v>5800361036</v>
      </c>
      <c r="L214" s="227">
        <v>14010.356</v>
      </c>
      <c r="M214" s="157" t="s">
        <v>2451</v>
      </c>
      <c r="N214" s="227">
        <f t="shared" si="24"/>
        <v>125520.05236201131</v>
      </c>
      <c r="O214" s="152">
        <f t="shared" si="25"/>
        <v>784240.31736201094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2436</v>
      </c>
      <c r="I215" s="152"/>
      <c r="J215" s="157"/>
      <c r="K215" s="157">
        <v>5800361036</v>
      </c>
      <c r="L215" s="227">
        <v>12171.866</v>
      </c>
      <c r="M215" s="157" t="s">
        <v>2451</v>
      </c>
      <c r="N215" s="227">
        <f t="shared" si="24"/>
        <v>113348.18636201131</v>
      </c>
      <c r="O215" s="152">
        <f t="shared" si="25"/>
        <v>772068.45136201091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2436</v>
      </c>
      <c r="I216" s="152"/>
      <c r="J216" s="157"/>
      <c r="K216" s="157">
        <v>5800361036</v>
      </c>
      <c r="L216" s="227">
        <v>16992.773000000001</v>
      </c>
      <c r="M216" s="157" t="s">
        <v>2451</v>
      </c>
      <c r="N216" s="227">
        <f t="shared" si="24"/>
        <v>96355.413362011313</v>
      </c>
      <c r="O216" s="152">
        <f t="shared" si="25"/>
        <v>755075.67836201086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2436</v>
      </c>
      <c r="I217" s="152"/>
      <c r="J217" s="157"/>
      <c r="K217" s="157">
        <v>5800361036</v>
      </c>
      <c r="L217" s="227">
        <v>12657.259</v>
      </c>
      <c r="M217" s="157" t="s">
        <v>2451</v>
      </c>
      <c r="N217" s="227">
        <f t="shared" si="24"/>
        <v>83698.154362011308</v>
      </c>
      <c r="O217" s="152">
        <f t="shared" si="25"/>
        <v>742418.4193620109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2436</v>
      </c>
      <c r="I218" s="152"/>
      <c r="J218" s="157"/>
      <c r="K218" s="157">
        <v>5800361036</v>
      </c>
      <c r="L218" s="227">
        <v>1419.847</v>
      </c>
      <c r="M218" s="157" t="s">
        <v>2451</v>
      </c>
      <c r="N218" s="227">
        <f t="shared" si="24"/>
        <v>82278.307362011314</v>
      </c>
      <c r="O218" s="152">
        <f t="shared" si="25"/>
        <v>740998.57236201095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2436</v>
      </c>
      <c r="I219" s="152"/>
      <c r="J219" s="157"/>
      <c r="K219" s="157">
        <v>5800361036</v>
      </c>
      <c r="L219" s="227">
        <v>9845.0079999999998</v>
      </c>
      <c r="M219" s="157" t="s">
        <v>2451</v>
      </c>
      <c r="N219" s="227">
        <f t="shared" si="24"/>
        <v>72433.299362011312</v>
      </c>
      <c r="O219" s="152">
        <f t="shared" si="25"/>
        <v>731153.56436201092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2436</v>
      </c>
      <c r="I220" s="152"/>
      <c r="J220" s="157"/>
      <c r="K220" s="157">
        <v>5800361036</v>
      </c>
      <c r="L220" s="227">
        <v>13114.353999999999</v>
      </c>
      <c r="M220" s="157" t="s">
        <v>2451</v>
      </c>
      <c r="N220" s="227">
        <f t="shared" si="24"/>
        <v>59318.945362011313</v>
      </c>
      <c r="O220" s="152">
        <f t="shared" si="25"/>
        <v>718039.21036201087</v>
      </c>
    </row>
    <row r="221" spans="1:15" x14ac:dyDescent="0.15">
      <c r="A221" s="154"/>
      <c r="B221" s="151"/>
      <c r="C221" s="152"/>
      <c r="D221" s="323" t="s">
        <v>2437</v>
      </c>
      <c r="E221" s="154" t="s">
        <v>72</v>
      </c>
      <c r="F221" s="157" t="s">
        <v>2455</v>
      </c>
      <c r="G221" s="152">
        <v>87709.456000000006</v>
      </c>
      <c r="H221" s="323" t="s">
        <v>2437</v>
      </c>
      <c r="I221" s="152">
        <v>15972.112999999999</v>
      </c>
      <c r="J221" s="157" t="s">
        <v>2451</v>
      </c>
      <c r="K221" s="157">
        <v>5800361036</v>
      </c>
      <c r="L221" s="227">
        <v>12496.126</v>
      </c>
      <c r="M221" s="157" t="s">
        <v>2451</v>
      </c>
      <c r="N221" s="227">
        <f t="shared" si="24"/>
        <v>30850.706362011315</v>
      </c>
      <c r="O221" s="152">
        <f t="shared" si="25"/>
        <v>777280.42736201081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2437</v>
      </c>
      <c r="I222" s="152"/>
      <c r="J222" s="157"/>
      <c r="K222" s="157">
        <v>5800361036</v>
      </c>
      <c r="L222" s="227">
        <v>12413.058000000001</v>
      </c>
      <c r="M222" s="157" t="s">
        <v>2451</v>
      </c>
      <c r="N222" s="227">
        <f t="shared" si="24"/>
        <v>18437.648362011314</v>
      </c>
      <c r="O222" s="152">
        <f t="shared" si="25"/>
        <v>764867.36936201085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2437</v>
      </c>
      <c r="I223" s="152"/>
      <c r="J223" s="157"/>
      <c r="K223" s="157">
        <v>5800361036</v>
      </c>
      <c r="L223" s="227">
        <v>12152.847</v>
      </c>
      <c r="M223" s="157" t="s">
        <v>2451</v>
      </c>
      <c r="N223" s="227">
        <f t="shared" si="24"/>
        <v>6284.8013620113143</v>
      </c>
      <c r="O223" s="152">
        <f t="shared" si="25"/>
        <v>752714.5223620109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2437</v>
      </c>
      <c r="I224" s="152"/>
      <c r="J224" s="157"/>
      <c r="K224" s="157">
        <v>5800361036</v>
      </c>
      <c r="L224" s="227">
        <v>6284.8013620113143</v>
      </c>
      <c r="M224" s="157" t="s">
        <v>2451</v>
      </c>
      <c r="N224" s="227">
        <f t="shared" si="24"/>
        <v>0</v>
      </c>
      <c r="O224" s="152">
        <f t="shared" si="25"/>
        <v>746429.72099999955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2437</v>
      </c>
      <c r="I225" s="152"/>
      <c r="J225" s="157"/>
      <c r="K225" s="157">
        <v>5800361025</v>
      </c>
      <c r="L225" s="227">
        <v>6750.7616379886904</v>
      </c>
      <c r="M225" s="157" t="s">
        <v>2452</v>
      </c>
      <c r="N225" s="227">
        <f>G163+G171+N224-I225-L225</f>
        <v>125111.51436201132</v>
      </c>
      <c r="O225" s="152">
        <f t="shared" ref="O225:O228" si="28">O224+G225-I225-L225</f>
        <v>739678.95936201082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2437</v>
      </c>
      <c r="I226" s="152"/>
      <c r="J226" s="157"/>
      <c r="K226" s="157">
        <v>5800361025</v>
      </c>
      <c r="L226" s="227">
        <v>12660.259</v>
      </c>
      <c r="M226" s="157" t="s">
        <v>2452</v>
      </c>
      <c r="N226" s="227">
        <f t="shared" ref="N226:N228" si="29">+N225-I226-L226</f>
        <v>112451.25536201132</v>
      </c>
      <c r="O226" s="152">
        <f t="shared" si="28"/>
        <v>727018.70036201086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2437</v>
      </c>
      <c r="I227" s="152"/>
      <c r="J227" s="157"/>
      <c r="K227" s="157">
        <v>5800361025</v>
      </c>
      <c r="L227" s="227">
        <v>8927.2340000000004</v>
      </c>
      <c r="M227" s="157" t="s">
        <v>2452</v>
      </c>
      <c r="N227" s="227">
        <f t="shared" si="29"/>
        <v>103524.02136201132</v>
      </c>
      <c r="O227" s="152">
        <f t="shared" si="28"/>
        <v>718091.4663620108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2437</v>
      </c>
      <c r="I228" s="152"/>
      <c r="J228" s="157"/>
      <c r="K228" s="157">
        <v>5800361025</v>
      </c>
      <c r="L228" s="227">
        <v>3607.924</v>
      </c>
      <c r="M228" s="157" t="s">
        <v>2452</v>
      </c>
      <c r="N228" s="227">
        <f t="shared" si="29"/>
        <v>99916.097362011322</v>
      </c>
      <c r="O228" s="152">
        <f t="shared" si="28"/>
        <v>714483.5423620108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2437</v>
      </c>
      <c r="I229" s="152"/>
      <c r="J229" s="157"/>
      <c r="K229" s="157">
        <v>5800361025</v>
      </c>
      <c r="L229" s="227">
        <v>15936.535</v>
      </c>
      <c r="M229" s="157" t="s">
        <v>2452</v>
      </c>
      <c r="N229" s="227">
        <f t="shared" si="24"/>
        <v>83979.562362011318</v>
      </c>
      <c r="O229" s="152">
        <f t="shared" si="25"/>
        <v>698547.00736201077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2437</v>
      </c>
      <c r="I230" s="152"/>
      <c r="J230" s="157"/>
      <c r="K230" s="157">
        <v>5800361025</v>
      </c>
      <c r="L230" s="227">
        <v>13655.46</v>
      </c>
      <c r="M230" s="157" t="s">
        <v>2452</v>
      </c>
      <c r="N230" s="227">
        <f t="shared" si="24"/>
        <v>70324.102362011326</v>
      </c>
      <c r="O230" s="152">
        <f t="shared" si="25"/>
        <v>684891.54736201081</v>
      </c>
    </row>
    <row r="231" spans="1:15" x14ac:dyDescent="0.15">
      <c r="A231" s="154"/>
      <c r="B231" s="151"/>
      <c r="C231" s="152"/>
      <c r="D231" s="323" t="s">
        <v>2438</v>
      </c>
      <c r="E231" s="154" t="s">
        <v>72</v>
      </c>
      <c r="F231" s="157" t="s">
        <v>2455</v>
      </c>
      <c r="G231" s="152">
        <v>43892.179000000004</v>
      </c>
      <c r="H231" s="323" t="s">
        <v>2438</v>
      </c>
      <c r="I231" s="152">
        <v>7122.0319999999992</v>
      </c>
      <c r="J231" s="157" t="s">
        <v>2452</v>
      </c>
      <c r="K231" s="157">
        <v>5800361025</v>
      </c>
      <c r="L231" s="227">
        <v>13540.745000000001</v>
      </c>
      <c r="M231" s="157" t="s">
        <v>2452</v>
      </c>
      <c r="N231" s="227">
        <f t="shared" si="24"/>
        <v>49661.325362011325</v>
      </c>
      <c r="O231" s="152">
        <f t="shared" si="25"/>
        <v>708120.94936201081</v>
      </c>
    </row>
    <row r="232" spans="1:15" x14ac:dyDescent="0.15">
      <c r="A232" s="154"/>
      <c r="B232" s="151"/>
      <c r="C232" s="152"/>
      <c r="D232" s="323" t="s">
        <v>2438</v>
      </c>
      <c r="E232" s="154" t="s">
        <v>72</v>
      </c>
      <c r="F232" s="157" t="s">
        <v>2456</v>
      </c>
      <c r="G232" s="152">
        <v>43896.851000000002</v>
      </c>
      <c r="H232" s="323" t="s">
        <v>2438</v>
      </c>
      <c r="I232" s="152"/>
      <c r="J232" s="157"/>
      <c r="K232" s="157">
        <v>5800361025</v>
      </c>
      <c r="L232" s="227">
        <v>13972.833000000001</v>
      </c>
      <c r="M232" s="157" t="s">
        <v>2452</v>
      </c>
      <c r="N232" s="227">
        <f t="shared" si="24"/>
        <v>35688.492362011326</v>
      </c>
      <c r="O232" s="152">
        <f t="shared" si="25"/>
        <v>738044.96736201085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2438</v>
      </c>
      <c r="I233" s="152"/>
      <c r="J233" s="157"/>
      <c r="K233" s="157">
        <v>5800361025</v>
      </c>
      <c r="L233" s="227">
        <v>18206.690999999999</v>
      </c>
      <c r="M233" s="157" t="s">
        <v>2452</v>
      </c>
      <c r="N233" s="227">
        <f t="shared" si="24"/>
        <v>17481.801362011327</v>
      </c>
      <c r="O233" s="152">
        <f t="shared" si="25"/>
        <v>719838.27636201086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2438</v>
      </c>
      <c r="I234" s="152"/>
      <c r="J234" s="157"/>
      <c r="K234" s="157">
        <v>5800361025</v>
      </c>
      <c r="L234" s="227">
        <v>14562.951999999999</v>
      </c>
      <c r="M234" s="157" t="s">
        <v>2452</v>
      </c>
      <c r="N234" s="227">
        <f t="shared" si="24"/>
        <v>2918.8493620113277</v>
      </c>
      <c r="O234" s="152">
        <f t="shared" si="25"/>
        <v>705275.32436201081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2438</v>
      </c>
      <c r="I235" s="152"/>
      <c r="J235" s="157"/>
      <c r="K235" s="157">
        <v>5800361025</v>
      </c>
      <c r="L235" s="227">
        <v>2918.8493620113277</v>
      </c>
      <c r="M235" s="157" t="s">
        <v>2452</v>
      </c>
      <c r="N235" s="227">
        <f t="shared" ref="N235:N242" si="30">+N234-I235-L235</f>
        <v>0</v>
      </c>
      <c r="O235" s="152">
        <f t="shared" ref="O235:O242" si="31">O234+G235-I235-L235</f>
        <v>702356.47499999951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2438</v>
      </c>
      <c r="I236" s="152"/>
      <c r="J236" s="157"/>
      <c r="K236" s="157">
        <v>5800361036</v>
      </c>
      <c r="L236" s="227">
        <v>10740.9196379887</v>
      </c>
      <c r="M236" s="157" t="s">
        <v>2453</v>
      </c>
      <c r="N236" s="227">
        <f>G172+G181+G191+G199+G205+N235-I236-L236</f>
        <v>428383.71536201134</v>
      </c>
      <c r="O236" s="152">
        <f t="shared" si="31"/>
        <v>691615.55536201084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2438</v>
      </c>
      <c r="I237" s="152"/>
      <c r="J237" s="157"/>
      <c r="K237" s="157">
        <v>5800361036</v>
      </c>
      <c r="L237" s="227">
        <v>11894.411</v>
      </c>
      <c r="M237" s="157" t="s">
        <v>2453</v>
      </c>
      <c r="N237" s="227">
        <f t="shared" si="30"/>
        <v>416489.30436201132</v>
      </c>
      <c r="O237" s="152">
        <f t="shared" si="31"/>
        <v>679721.14436201088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2438</v>
      </c>
      <c r="I238" s="152"/>
      <c r="J238" s="157"/>
      <c r="K238" s="157">
        <v>5800361036</v>
      </c>
      <c r="L238" s="227">
        <v>10113.049999999999</v>
      </c>
      <c r="M238" s="157" t="s">
        <v>2453</v>
      </c>
      <c r="N238" s="227">
        <f t="shared" si="30"/>
        <v>406376.25436201133</v>
      </c>
      <c r="O238" s="152">
        <f t="shared" si="31"/>
        <v>669608.09436201083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2438</v>
      </c>
      <c r="I239" s="152"/>
      <c r="J239" s="157"/>
      <c r="K239" s="157">
        <v>5800361036</v>
      </c>
      <c r="L239" s="227">
        <v>1464.297</v>
      </c>
      <c r="M239" s="157" t="s">
        <v>2453</v>
      </c>
      <c r="N239" s="227">
        <f t="shared" si="30"/>
        <v>404911.95736201131</v>
      </c>
      <c r="O239" s="152">
        <f t="shared" si="31"/>
        <v>668143.79736201081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2438</v>
      </c>
      <c r="I240" s="152"/>
      <c r="J240" s="157"/>
      <c r="K240" s="157">
        <v>5800361036</v>
      </c>
      <c r="L240" s="227">
        <v>9523.0689999999995</v>
      </c>
      <c r="M240" s="157" t="s">
        <v>2453</v>
      </c>
      <c r="N240" s="227">
        <f t="shared" si="30"/>
        <v>395388.88836201129</v>
      </c>
      <c r="O240" s="152">
        <f t="shared" si="31"/>
        <v>658620.72836201079</v>
      </c>
    </row>
    <row r="241" spans="1:15" x14ac:dyDescent="0.15">
      <c r="A241" s="154"/>
      <c r="B241" s="151"/>
      <c r="C241" s="152"/>
      <c r="D241" s="323"/>
      <c r="E241" s="154"/>
      <c r="F241" s="157"/>
      <c r="G241" s="152"/>
      <c r="H241" s="323" t="s">
        <v>2438</v>
      </c>
      <c r="I241" s="152"/>
      <c r="J241" s="157"/>
      <c r="K241" s="157">
        <v>5800361036</v>
      </c>
      <c r="L241" s="227">
        <v>13691.223</v>
      </c>
      <c r="M241" s="157" t="s">
        <v>2453</v>
      </c>
      <c r="N241" s="227">
        <f t="shared" si="30"/>
        <v>381697.66536201129</v>
      </c>
      <c r="O241" s="152">
        <f t="shared" si="31"/>
        <v>644929.50536201079</v>
      </c>
    </row>
    <row r="242" spans="1:15" x14ac:dyDescent="0.15">
      <c r="A242" s="154"/>
      <c r="B242" s="151"/>
      <c r="C242" s="152"/>
      <c r="D242" s="323" t="s">
        <v>2439</v>
      </c>
      <c r="E242" s="154" t="s">
        <v>72</v>
      </c>
      <c r="F242" s="157" t="s">
        <v>2456</v>
      </c>
      <c r="G242" s="152">
        <v>87809.495999999999</v>
      </c>
      <c r="H242" s="323" t="s">
        <v>2439</v>
      </c>
      <c r="I242" s="152">
        <v>12786.98</v>
      </c>
      <c r="J242" s="157" t="s">
        <v>2453</v>
      </c>
      <c r="K242" s="157">
        <v>5800361036</v>
      </c>
      <c r="L242" s="227">
        <v>12995.788</v>
      </c>
      <c r="M242" s="157" t="s">
        <v>2453</v>
      </c>
      <c r="N242" s="227">
        <f t="shared" si="30"/>
        <v>355914.89736201131</v>
      </c>
      <c r="O242" s="152">
        <f t="shared" si="31"/>
        <v>706956.23336201091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2439</v>
      </c>
      <c r="I243" s="152"/>
      <c r="J243" s="157"/>
      <c r="K243" s="157">
        <v>5800361036</v>
      </c>
      <c r="L243" s="227">
        <v>12982.772000000001</v>
      </c>
      <c r="M243" s="157" t="s">
        <v>2453</v>
      </c>
      <c r="N243" s="227">
        <f t="shared" si="24"/>
        <v>342932.12536201131</v>
      </c>
      <c r="O243" s="152">
        <f t="shared" si="25"/>
        <v>693973.46136201092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2439</v>
      </c>
      <c r="I244" s="152"/>
      <c r="J244" s="157"/>
      <c r="K244" s="157">
        <v>5800361036</v>
      </c>
      <c r="L244" s="227">
        <v>14314.388999999999</v>
      </c>
      <c r="M244" s="157" t="s">
        <v>2453</v>
      </c>
      <c r="N244" s="227">
        <f t="shared" si="24"/>
        <v>328617.73636201129</v>
      </c>
      <c r="O244" s="152">
        <f t="shared" si="25"/>
        <v>679659.07236201095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2439</v>
      </c>
      <c r="I245" s="152"/>
      <c r="J245" s="157"/>
      <c r="K245" s="157">
        <v>5800361036</v>
      </c>
      <c r="L245" s="227">
        <v>9990.1360000000004</v>
      </c>
      <c r="M245" s="157" t="s">
        <v>2453</v>
      </c>
      <c r="N245" s="227">
        <f t="shared" si="24"/>
        <v>318627.60036201129</v>
      </c>
      <c r="O245" s="152">
        <f t="shared" si="25"/>
        <v>669668.93636201089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2439</v>
      </c>
      <c r="I246" s="152"/>
      <c r="J246" s="157"/>
      <c r="K246" s="157">
        <v>5800361036</v>
      </c>
      <c r="L246" s="227">
        <v>15879.17</v>
      </c>
      <c r="M246" s="157" t="s">
        <v>2453</v>
      </c>
      <c r="N246" s="227">
        <f t="shared" si="24"/>
        <v>302748.43036201131</v>
      </c>
      <c r="O246" s="152">
        <f t="shared" si="25"/>
        <v>653789.76636201085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2439</v>
      </c>
      <c r="I247" s="152"/>
      <c r="J247" s="157"/>
      <c r="K247" s="157">
        <v>5800361036</v>
      </c>
      <c r="L247" s="227">
        <v>12436.217000000001</v>
      </c>
      <c r="M247" s="157" t="s">
        <v>2453</v>
      </c>
      <c r="N247" s="227">
        <f t="shared" si="24"/>
        <v>290312.2133620113</v>
      </c>
      <c r="O247" s="152">
        <f t="shared" si="25"/>
        <v>641353.5493620109</v>
      </c>
    </row>
    <row r="248" spans="1:15" x14ac:dyDescent="0.15">
      <c r="A248" s="154"/>
      <c r="B248" s="151"/>
      <c r="C248" s="152"/>
      <c r="D248" s="323" t="s">
        <v>2440</v>
      </c>
      <c r="E248" s="154" t="s">
        <v>72</v>
      </c>
      <c r="F248" s="157" t="s">
        <v>2456</v>
      </c>
      <c r="G248" s="152">
        <v>87767.513999999996</v>
      </c>
      <c r="H248" s="323" t="s">
        <v>2440</v>
      </c>
      <c r="I248" s="152">
        <v>10524.844000000001</v>
      </c>
      <c r="J248" s="157" t="s">
        <v>2453</v>
      </c>
      <c r="K248" s="157">
        <v>5800361036</v>
      </c>
      <c r="L248" s="227">
        <v>13478.921</v>
      </c>
      <c r="M248" s="157" t="s">
        <v>2453</v>
      </c>
      <c r="N248" s="227">
        <f t="shared" si="24"/>
        <v>266308.44836201135</v>
      </c>
      <c r="O248" s="152">
        <f t="shared" si="25"/>
        <v>705117.29836201086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2440</v>
      </c>
      <c r="I249" s="152"/>
      <c r="J249" s="157"/>
      <c r="K249" s="157">
        <v>5800361036</v>
      </c>
      <c r="L249" s="227">
        <v>12594.204</v>
      </c>
      <c r="M249" s="157" t="s">
        <v>2453</v>
      </c>
      <c r="N249" s="227">
        <f t="shared" si="24"/>
        <v>253714.24436201135</v>
      </c>
      <c r="O249" s="152">
        <f t="shared" si="25"/>
        <v>692523.09436201083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2440</v>
      </c>
      <c r="I250" s="152"/>
      <c r="J250" s="157"/>
      <c r="K250" s="157">
        <v>5800361036</v>
      </c>
      <c r="L250" s="227">
        <v>13040.566000000001</v>
      </c>
      <c r="M250" s="157" t="s">
        <v>2453</v>
      </c>
      <c r="N250" s="227">
        <f t="shared" si="24"/>
        <v>240673.67836201136</v>
      </c>
      <c r="O250" s="152">
        <f t="shared" si="25"/>
        <v>679482.52836201084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2440</v>
      </c>
      <c r="I251" s="152"/>
      <c r="J251" s="157"/>
      <c r="K251" s="157">
        <v>5800361036</v>
      </c>
      <c r="L251" s="227">
        <v>16343.241</v>
      </c>
      <c r="M251" s="157" t="s">
        <v>2453</v>
      </c>
      <c r="N251" s="227">
        <f t="shared" si="24"/>
        <v>224330.43736201135</v>
      </c>
      <c r="O251" s="152">
        <f t="shared" si="25"/>
        <v>663139.2873620108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2440</v>
      </c>
      <c r="I252" s="152"/>
      <c r="J252" s="157"/>
      <c r="K252" s="157">
        <v>5800361036</v>
      </c>
      <c r="L252" s="227">
        <v>12462.097</v>
      </c>
      <c r="M252" s="157" t="s">
        <v>2453</v>
      </c>
      <c r="N252" s="227">
        <f t="shared" si="24"/>
        <v>211868.34036201134</v>
      </c>
      <c r="O252" s="152">
        <f t="shared" si="25"/>
        <v>650677.19036201085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2440</v>
      </c>
      <c r="I253" s="152"/>
      <c r="J253" s="157"/>
      <c r="K253" s="157">
        <v>5800361036</v>
      </c>
      <c r="L253" s="227">
        <v>11589.39</v>
      </c>
      <c r="M253" s="157" t="s">
        <v>2453</v>
      </c>
      <c r="N253" s="227">
        <f t="shared" si="24"/>
        <v>200278.95036201132</v>
      </c>
      <c r="O253" s="152">
        <f t="shared" si="25"/>
        <v>639087.80036201084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2440</v>
      </c>
      <c r="I254" s="152"/>
      <c r="J254" s="157"/>
      <c r="K254" s="157">
        <v>5800361036</v>
      </c>
      <c r="L254" s="227">
        <v>13746.424000000001</v>
      </c>
      <c r="M254" s="157" t="s">
        <v>2453</v>
      </c>
      <c r="N254" s="227">
        <f t="shared" si="24"/>
        <v>186532.52636201133</v>
      </c>
      <c r="O254" s="152">
        <f t="shared" si="25"/>
        <v>625341.37636201084</v>
      </c>
    </row>
    <row r="255" spans="1:15" x14ac:dyDescent="0.15">
      <c r="A255" s="154"/>
      <c r="B255" s="151"/>
      <c r="C255" s="152"/>
      <c r="D255" s="323" t="s">
        <v>2441</v>
      </c>
      <c r="E255" s="154" t="s">
        <v>72</v>
      </c>
      <c r="F255" s="157" t="s">
        <v>2457</v>
      </c>
      <c r="G255" s="152">
        <v>87860.471999999994</v>
      </c>
      <c r="H255" s="323" t="s">
        <v>2441</v>
      </c>
      <c r="I255" s="152">
        <v>14151.837</v>
      </c>
      <c r="J255" s="157" t="s">
        <v>2453</v>
      </c>
      <c r="K255" s="157">
        <v>5800361036</v>
      </c>
      <c r="L255" s="227">
        <v>11875.023999999999</v>
      </c>
      <c r="M255" s="157" t="s">
        <v>2453</v>
      </c>
      <c r="N255" s="227">
        <f t="shared" si="24"/>
        <v>160505.66536201132</v>
      </c>
      <c r="O255" s="152">
        <f t="shared" si="25"/>
        <v>687174.98736201087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2441</v>
      </c>
      <c r="I256" s="152"/>
      <c r="J256" s="157"/>
      <c r="K256" s="157">
        <v>5800361036</v>
      </c>
      <c r="L256" s="227">
        <v>12277.432000000001</v>
      </c>
      <c r="M256" s="157" t="s">
        <v>2453</v>
      </c>
      <c r="N256" s="227">
        <f t="shared" si="24"/>
        <v>148228.23336201132</v>
      </c>
      <c r="O256" s="152">
        <f t="shared" si="25"/>
        <v>674897.55536201084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2441</v>
      </c>
      <c r="I257" s="152"/>
      <c r="J257" s="157"/>
      <c r="K257" s="157">
        <v>5800361036</v>
      </c>
      <c r="L257" s="227">
        <v>15126.316000000001</v>
      </c>
      <c r="M257" s="157" t="s">
        <v>2453</v>
      </c>
      <c r="N257" s="227">
        <f t="shared" si="24"/>
        <v>133101.91736201133</v>
      </c>
      <c r="O257" s="152">
        <f t="shared" si="25"/>
        <v>659771.23936201085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2441</v>
      </c>
      <c r="I258" s="152"/>
      <c r="J258" s="157"/>
      <c r="K258" s="157">
        <v>5800361036</v>
      </c>
      <c r="L258" s="227">
        <v>11790.939</v>
      </c>
      <c r="M258" s="157" t="s">
        <v>2453</v>
      </c>
      <c r="N258" s="227">
        <f t="shared" si="24"/>
        <v>121310.97836201133</v>
      </c>
      <c r="O258" s="152">
        <f t="shared" si="25"/>
        <v>647980.30036201084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2441</v>
      </c>
      <c r="I259" s="152"/>
      <c r="J259" s="157"/>
      <c r="K259" s="157">
        <v>5800361036</v>
      </c>
      <c r="L259" s="227">
        <v>8837.3119999999999</v>
      </c>
      <c r="M259" s="157" t="s">
        <v>2453</v>
      </c>
      <c r="N259" s="227">
        <f t="shared" si="24"/>
        <v>112473.66636201132</v>
      </c>
      <c r="O259" s="152">
        <f t="shared" si="25"/>
        <v>639142.9883620108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2441</v>
      </c>
      <c r="I260" s="152"/>
      <c r="J260" s="157"/>
      <c r="K260" s="157">
        <v>5800361036</v>
      </c>
      <c r="L260" s="227">
        <v>12612.771000000001</v>
      </c>
      <c r="M260" s="157" t="s">
        <v>2453</v>
      </c>
      <c r="N260" s="227">
        <f t="shared" si="24"/>
        <v>99860.895362011332</v>
      </c>
      <c r="O260" s="152">
        <f t="shared" si="25"/>
        <v>626530.21736201085</v>
      </c>
    </row>
    <row r="261" spans="1:15" x14ac:dyDescent="0.15">
      <c r="A261" s="154"/>
      <c r="B261" s="151"/>
      <c r="C261" s="152"/>
      <c r="D261" s="323" t="s">
        <v>2442</v>
      </c>
      <c r="E261" s="154" t="s">
        <v>72</v>
      </c>
      <c r="F261" s="157" t="s">
        <v>2457</v>
      </c>
      <c r="G261" s="152">
        <v>87785.72</v>
      </c>
      <c r="H261" s="323" t="s">
        <v>2442</v>
      </c>
      <c r="I261" s="152">
        <v>13047.486000000001</v>
      </c>
      <c r="J261" s="157" t="s">
        <v>2453</v>
      </c>
      <c r="K261" s="157">
        <v>5800361036</v>
      </c>
      <c r="L261" s="227">
        <v>13330.24</v>
      </c>
      <c r="M261" s="157" t="s">
        <v>2453</v>
      </c>
      <c r="N261" s="227">
        <f t="shared" si="24"/>
        <v>73483.169362011322</v>
      </c>
      <c r="O261" s="152">
        <f t="shared" si="25"/>
        <v>687938.2113620108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2442</v>
      </c>
      <c r="I262" s="152"/>
      <c r="J262" s="157"/>
      <c r="K262" s="157">
        <v>5800361036</v>
      </c>
      <c r="L262" s="227">
        <v>12309.758</v>
      </c>
      <c r="M262" s="157" t="s">
        <v>2453</v>
      </c>
      <c r="N262" s="227">
        <f t="shared" si="24"/>
        <v>61173.41136201132</v>
      </c>
      <c r="O262" s="152">
        <f t="shared" si="25"/>
        <v>675628.45336201077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2442</v>
      </c>
      <c r="I263" s="152"/>
      <c r="J263" s="157"/>
      <c r="K263" s="157">
        <v>5800361036</v>
      </c>
      <c r="L263" s="227">
        <v>13270.271000000001</v>
      </c>
      <c r="M263" s="157" t="s">
        <v>2453</v>
      </c>
      <c r="N263" s="227">
        <f t="shared" si="24"/>
        <v>47903.14036201132</v>
      </c>
      <c r="O263" s="152">
        <f t="shared" si="25"/>
        <v>662358.18236201082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2442</v>
      </c>
      <c r="I264" s="152"/>
      <c r="J264" s="157"/>
      <c r="K264" s="157">
        <v>5800361036</v>
      </c>
      <c r="L264" s="227">
        <v>12582.619000000001</v>
      </c>
      <c r="M264" s="157" t="s">
        <v>2453</v>
      </c>
      <c r="N264" s="227">
        <f t="shared" si="24"/>
        <v>35320.521362011321</v>
      </c>
      <c r="O264" s="152">
        <f t="shared" si="25"/>
        <v>649775.56336201087</v>
      </c>
    </row>
    <row r="265" spans="1:15" x14ac:dyDescent="0.15">
      <c r="A265" s="154"/>
      <c r="B265" s="151"/>
      <c r="C265" s="152"/>
      <c r="D265" s="323"/>
      <c r="E265" s="154"/>
      <c r="F265" s="157"/>
      <c r="G265" s="152"/>
      <c r="H265" s="323" t="s">
        <v>2442</v>
      </c>
      <c r="I265" s="152"/>
      <c r="J265" s="157"/>
      <c r="K265" s="157">
        <v>5800361036</v>
      </c>
      <c r="L265" s="227">
        <v>12005.912</v>
      </c>
      <c r="M265" s="157" t="s">
        <v>2453</v>
      </c>
      <c r="N265" s="227">
        <f t="shared" ref="N265:N327" si="32">+N264-I265-L265</f>
        <v>23314.609362011321</v>
      </c>
      <c r="O265" s="152">
        <f t="shared" ref="O265:O327" si="33">O264+G265-I265-L265</f>
        <v>637769.65136201086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2442</v>
      </c>
      <c r="I266" s="152"/>
      <c r="J266" s="157"/>
      <c r="K266" s="157">
        <v>5800361036</v>
      </c>
      <c r="L266" s="227">
        <v>10874.486000000001</v>
      </c>
      <c r="M266" s="157" t="s">
        <v>2453</v>
      </c>
      <c r="N266" s="227">
        <f t="shared" si="32"/>
        <v>12440.12336201132</v>
      </c>
      <c r="O266" s="152">
        <f t="shared" si="33"/>
        <v>626895.16536201083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2442</v>
      </c>
      <c r="I267" s="152"/>
      <c r="J267" s="157"/>
      <c r="K267" s="157">
        <v>5800361036</v>
      </c>
      <c r="L267" s="227">
        <v>12440.12336201132</v>
      </c>
      <c r="M267" s="157" t="s">
        <v>2453</v>
      </c>
      <c r="N267" s="227">
        <f t="shared" si="32"/>
        <v>0</v>
      </c>
      <c r="O267" s="152">
        <f t="shared" si="33"/>
        <v>614455.04199999955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2442</v>
      </c>
      <c r="I268" s="152"/>
      <c r="J268" s="157"/>
      <c r="K268" s="157">
        <v>5800361025</v>
      </c>
      <c r="L268" s="227">
        <v>3575.2526379886799</v>
      </c>
      <c r="M268" s="157" t="s">
        <v>2454</v>
      </c>
      <c r="N268" s="227">
        <f>G212+N267-I268-L268</f>
        <v>84158.101362011323</v>
      </c>
      <c r="O268" s="152">
        <f t="shared" ref="O268:O272" si="34">O267+G268-I268-L268</f>
        <v>610879.7893620109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2442</v>
      </c>
      <c r="I269" s="152"/>
      <c r="J269" s="157"/>
      <c r="K269" s="157">
        <v>5800361025</v>
      </c>
      <c r="L269" s="227">
        <v>16530.904999999999</v>
      </c>
      <c r="M269" s="157" t="s">
        <v>2454</v>
      </c>
      <c r="N269" s="227">
        <f t="shared" ref="N269:N272" si="35">+N268-I269-L269</f>
        <v>67627.196362011324</v>
      </c>
      <c r="O269" s="152">
        <f t="shared" si="34"/>
        <v>594348.88436201087</v>
      </c>
    </row>
    <row r="270" spans="1:15" x14ac:dyDescent="0.15">
      <c r="A270" s="154"/>
      <c r="B270" s="151"/>
      <c r="C270" s="152"/>
      <c r="D270" s="323" t="s">
        <v>2443</v>
      </c>
      <c r="E270" s="154" t="s">
        <v>72</v>
      </c>
      <c r="F270" s="157" t="s">
        <v>2457</v>
      </c>
      <c r="G270" s="152">
        <v>43914.48000000001</v>
      </c>
      <c r="H270" s="323" t="s">
        <v>2443</v>
      </c>
      <c r="I270" s="152">
        <v>13859.681</v>
      </c>
      <c r="J270" s="157" t="s">
        <v>2454</v>
      </c>
      <c r="K270" s="157">
        <v>5800361025</v>
      </c>
      <c r="L270" s="227">
        <v>14758.018</v>
      </c>
      <c r="M270" s="157" t="s">
        <v>2454</v>
      </c>
      <c r="N270" s="227">
        <f t="shared" si="35"/>
        <v>39009.497362011331</v>
      </c>
      <c r="O270" s="152">
        <f t="shared" si="34"/>
        <v>609645.66536201083</v>
      </c>
    </row>
    <row r="271" spans="1:15" x14ac:dyDescent="0.15">
      <c r="A271" s="154"/>
      <c r="B271" s="151"/>
      <c r="C271" s="152"/>
      <c r="D271" s="323" t="s">
        <v>2443</v>
      </c>
      <c r="E271" s="154" t="s">
        <v>72</v>
      </c>
      <c r="F271" s="157" t="s">
        <v>2458</v>
      </c>
      <c r="G271" s="152">
        <v>43913.33</v>
      </c>
      <c r="H271" s="323" t="s">
        <v>2443</v>
      </c>
      <c r="I271" s="152"/>
      <c r="J271" s="157"/>
      <c r="K271" s="157">
        <v>5800361025</v>
      </c>
      <c r="L271" s="227">
        <v>12821.197</v>
      </c>
      <c r="M271" s="157" t="s">
        <v>2454</v>
      </c>
      <c r="N271" s="227">
        <f t="shared" si="35"/>
        <v>26188.30036201133</v>
      </c>
      <c r="O271" s="152">
        <f t="shared" si="34"/>
        <v>640737.79836201074</v>
      </c>
    </row>
    <row r="272" spans="1:15" x14ac:dyDescent="0.15">
      <c r="A272" s="154"/>
      <c r="B272" s="151"/>
      <c r="C272" s="152"/>
      <c r="D272" s="323"/>
      <c r="E272" s="154"/>
      <c r="F272" s="157"/>
      <c r="G272" s="152"/>
      <c r="H272" s="323" t="s">
        <v>2443</v>
      </c>
      <c r="I272" s="152"/>
      <c r="J272" s="157"/>
      <c r="K272" s="157">
        <v>5800361025</v>
      </c>
      <c r="L272" s="227">
        <v>17976.059000000001</v>
      </c>
      <c r="M272" s="157" t="s">
        <v>2454</v>
      </c>
      <c r="N272" s="227">
        <f t="shared" si="35"/>
        <v>8212.2413620113293</v>
      </c>
      <c r="O272" s="152">
        <f t="shared" si="34"/>
        <v>622761.73936201073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2443</v>
      </c>
      <c r="I273" s="152"/>
      <c r="J273" s="157"/>
      <c r="K273" s="157">
        <v>5800361025</v>
      </c>
      <c r="L273" s="227">
        <v>8212.2413620113293</v>
      </c>
      <c r="M273" s="157" t="s">
        <v>2454</v>
      </c>
      <c r="N273" s="227">
        <f t="shared" ref="N273:N278" si="36">+N272-I273-L273</f>
        <v>0</v>
      </c>
      <c r="O273" s="152">
        <f t="shared" ref="O273:O278" si="37">O272+G273-I273-L273</f>
        <v>614549.49799999944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2443</v>
      </c>
      <c r="I274" s="152"/>
      <c r="J274" s="157"/>
      <c r="K274" s="157">
        <v>5800361036</v>
      </c>
      <c r="L274" s="227">
        <v>4383.0926379886696</v>
      </c>
      <c r="M274" s="157" t="s">
        <v>2455</v>
      </c>
      <c r="N274" s="227">
        <f>G221+G231+N273-I274-L274</f>
        <v>127218.54236201134</v>
      </c>
      <c r="O274" s="152">
        <f t="shared" si="37"/>
        <v>610166.40536201082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2443</v>
      </c>
      <c r="I275" s="152"/>
      <c r="J275" s="157"/>
      <c r="K275" s="157">
        <v>5800361036</v>
      </c>
      <c r="L275" s="227">
        <v>13878.553</v>
      </c>
      <c r="M275" s="157" t="s">
        <v>2455</v>
      </c>
      <c r="N275" s="227">
        <f t="shared" si="36"/>
        <v>113339.98936201134</v>
      </c>
      <c r="O275" s="152">
        <f t="shared" si="37"/>
        <v>596287.85236201086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2443</v>
      </c>
      <c r="I276" s="152"/>
      <c r="J276" s="157"/>
      <c r="K276" s="157">
        <v>5800361036</v>
      </c>
      <c r="L276" s="227">
        <v>13863.562</v>
      </c>
      <c r="M276" s="157" t="s">
        <v>2455</v>
      </c>
      <c r="N276" s="227">
        <f t="shared" si="36"/>
        <v>99476.427362011338</v>
      </c>
      <c r="O276" s="152">
        <f t="shared" si="37"/>
        <v>582424.29036201083</v>
      </c>
    </row>
    <row r="277" spans="1:15" x14ac:dyDescent="0.15">
      <c r="A277" s="154"/>
      <c r="B277" s="151"/>
      <c r="C277" s="152"/>
      <c r="D277" s="323"/>
      <c r="E277" s="154"/>
      <c r="F277" s="157"/>
      <c r="G277" s="152"/>
      <c r="H277" s="323" t="s">
        <v>2443</v>
      </c>
      <c r="I277" s="152"/>
      <c r="J277" s="157"/>
      <c r="K277" s="157">
        <v>5800361036</v>
      </c>
      <c r="L277" s="227">
        <v>11475.016</v>
      </c>
      <c r="M277" s="157" t="s">
        <v>2455</v>
      </c>
      <c r="N277" s="227">
        <f t="shared" si="36"/>
        <v>88001.411362011335</v>
      </c>
      <c r="O277" s="152">
        <f t="shared" si="37"/>
        <v>570949.27436201088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2443</v>
      </c>
      <c r="I278" s="152"/>
      <c r="J278" s="157"/>
      <c r="K278" s="157">
        <v>5800361036</v>
      </c>
      <c r="L278" s="227">
        <v>8171.1970000000001</v>
      </c>
      <c r="M278" s="157" t="s">
        <v>2455</v>
      </c>
      <c r="N278" s="227">
        <f t="shared" si="36"/>
        <v>79830.214362011335</v>
      </c>
      <c r="O278" s="152">
        <f t="shared" si="37"/>
        <v>562778.07736201084</v>
      </c>
    </row>
    <row r="279" spans="1:15" x14ac:dyDescent="0.15">
      <c r="A279" s="154"/>
      <c r="B279" s="151"/>
      <c r="C279" s="152"/>
      <c r="D279" s="323"/>
      <c r="E279" s="154"/>
      <c r="F279" s="157"/>
      <c r="G279" s="152"/>
      <c r="H279" s="323" t="s">
        <v>2443</v>
      </c>
      <c r="I279" s="152"/>
      <c r="J279" s="157"/>
      <c r="K279" s="157">
        <v>5800361036</v>
      </c>
      <c r="L279" s="227">
        <v>6642.2830000000004</v>
      </c>
      <c r="M279" s="157" t="s">
        <v>2455</v>
      </c>
      <c r="N279" s="227">
        <f t="shared" si="32"/>
        <v>73187.931362011339</v>
      </c>
      <c r="O279" s="152">
        <f t="shared" si="33"/>
        <v>556135.79436201078</v>
      </c>
    </row>
    <row r="280" spans="1:15" x14ac:dyDescent="0.15">
      <c r="A280" s="154"/>
      <c r="B280" s="151"/>
      <c r="C280" s="152"/>
      <c r="D280" s="323"/>
      <c r="E280" s="154"/>
      <c r="F280" s="157"/>
      <c r="G280" s="152"/>
      <c r="H280" s="323" t="s">
        <v>2443</v>
      </c>
      <c r="I280" s="152"/>
      <c r="J280" s="157"/>
      <c r="K280" s="157">
        <v>5800361036</v>
      </c>
      <c r="L280" s="227">
        <v>14731.538</v>
      </c>
      <c r="M280" s="157" t="s">
        <v>2455</v>
      </c>
      <c r="N280" s="227">
        <f t="shared" si="32"/>
        <v>58456.393362011338</v>
      </c>
      <c r="O280" s="152">
        <f t="shared" si="33"/>
        <v>541404.25636201072</v>
      </c>
    </row>
    <row r="281" spans="1:15" x14ac:dyDescent="0.15">
      <c r="A281" s="154"/>
      <c r="B281" s="151"/>
      <c r="C281" s="152"/>
      <c r="D281" s="323" t="s">
        <v>2444</v>
      </c>
      <c r="E281" s="154" t="s">
        <v>72</v>
      </c>
      <c r="F281" s="157" t="s">
        <v>2458</v>
      </c>
      <c r="G281" s="152">
        <v>43886.005000000005</v>
      </c>
      <c r="H281" s="323" t="s">
        <v>2444</v>
      </c>
      <c r="I281" s="152">
        <v>12506.672999999999</v>
      </c>
      <c r="J281" s="157" t="s">
        <v>2455</v>
      </c>
      <c r="K281" s="157">
        <v>5800361036</v>
      </c>
      <c r="L281" s="227">
        <v>12604.832</v>
      </c>
      <c r="M281" s="157" t="s">
        <v>2455</v>
      </c>
      <c r="N281" s="227">
        <f t="shared" si="32"/>
        <v>33344.888362011341</v>
      </c>
      <c r="O281" s="152">
        <f t="shared" si="33"/>
        <v>560178.75636201072</v>
      </c>
    </row>
    <row r="282" spans="1:15" x14ac:dyDescent="0.15">
      <c r="A282" s="154"/>
      <c r="B282" s="151"/>
      <c r="C282" s="152"/>
      <c r="D282" s="323" t="s">
        <v>2444</v>
      </c>
      <c r="E282" s="154" t="s">
        <v>72</v>
      </c>
      <c r="F282" s="157" t="s">
        <v>2459</v>
      </c>
      <c r="G282" s="152">
        <v>43909.309000000001</v>
      </c>
      <c r="H282" s="323" t="s">
        <v>2444</v>
      </c>
      <c r="I282" s="152"/>
      <c r="J282" s="157"/>
      <c r="K282" s="157">
        <v>5800361036</v>
      </c>
      <c r="L282" s="227">
        <v>14397.377</v>
      </c>
      <c r="M282" s="157" t="s">
        <v>2455</v>
      </c>
      <c r="N282" s="227">
        <f t="shared" si="32"/>
        <v>18947.511362011341</v>
      </c>
      <c r="O282" s="152">
        <f t="shared" si="33"/>
        <v>589690.68836201075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2444</v>
      </c>
      <c r="I283" s="152"/>
      <c r="J283" s="157"/>
      <c r="K283" s="157">
        <v>5800361036</v>
      </c>
      <c r="L283" s="227">
        <v>13335.054</v>
      </c>
      <c r="M283" s="157" t="s">
        <v>2455</v>
      </c>
      <c r="N283" s="227">
        <f t="shared" si="32"/>
        <v>5612.4573620113406</v>
      </c>
      <c r="O283" s="152">
        <f t="shared" si="33"/>
        <v>576355.63436201075</v>
      </c>
    </row>
    <row r="284" spans="1:15" x14ac:dyDescent="0.15">
      <c r="A284" s="154"/>
      <c r="B284" s="151"/>
      <c r="C284" s="152"/>
      <c r="D284" s="323"/>
      <c r="E284" s="154"/>
      <c r="F284" s="157"/>
      <c r="G284" s="152"/>
      <c r="H284" s="323" t="s">
        <v>2444</v>
      </c>
      <c r="I284" s="152"/>
      <c r="J284" s="157"/>
      <c r="K284" s="157">
        <v>5800361036</v>
      </c>
      <c r="L284" s="227">
        <v>5612.4573620113406</v>
      </c>
      <c r="M284" s="157" t="s">
        <v>2455</v>
      </c>
      <c r="N284" s="227">
        <f t="shared" si="32"/>
        <v>0</v>
      </c>
      <c r="O284" s="152">
        <f t="shared" si="33"/>
        <v>570743.17699999944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2444</v>
      </c>
      <c r="I285" s="152"/>
      <c r="J285" s="157"/>
      <c r="K285" s="157">
        <v>5800361025</v>
      </c>
      <c r="L285" s="227">
        <v>3891.43163798865</v>
      </c>
      <c r="M285" s="157" t="s">
        <v>2456</v>
      </c>
      <c r="N285" s="227">
        <f>G232+G242+G248+N284-I285-L285</f>
        <v>215582.42936201135</v>
      </c>
      <c r="O285" s="152">
        <f t="shared" si="33"/>
        <v>566851.74536201078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2444</v>
      </c>
      <c r="I286" s="152"/>
      <c r="J286" s="157"/>
      <c r="K286" s="157">
        <v>5800361025</v>
      </c>
      <c r="L286" s="227">
        <v>815.66899999999998</v>
      </c>
      <c r="M286" s="157" t="s">
        <v>2456</v>
      </c>
      <c r="N286" s="227">
        <f t="shared" si="32"/>
        <v>214766.76036201135</v>
      </c>
      <c r="O286" s="152">
        <f t="shared" si="33"/>
        <v>566036.07636201079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2444</v>
      </c>
      <c r="I287" s="152"/>
      <c r="J287" s="157"/>
      <c r="K287" s="157">
        <v>5800361025</v>
      </c>
      <c r="L287" s="227">
        <v>14213.234</v>
      </c>
      <c r="M287" s="157" t="s">
        <v>2456</v>
      </c>
      <c r="N287" s="227">
        <f t="shared" si="32"/>
        <v>200553.52636201135</v>
      </c>
      <c r="O287" s="152">
        <f t="shared" si="33"/>
        <v>551822.84236201074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2444</v>
      </c>
      <c r="I288" s="152"/>
      <c r="J288" s="157"/>
      <c r="K288" s="157">
        <v>5800361025</v>
      </c>
      <c r="L288" s="227">
        <v>7081.1270000000004</v>
      </c>
      <c r="M288" s="157" t="s">
        <v>2456</v>
      </c>
      <c r="N288" s="227">
        <f t="shared" si="32"/>
        <v>193472.39936201135</v>
      </c>
      <c r="O288" s="152">
        <f t="shared" si="33"/>
        <v>544741.71536201076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2444</v>
      </c>
      <c r="I289" s="152"/>
      <c r="J289" s="157"/>
      <c r="K289" s="157">
        <v>5800361025</v>
      </c>
      <c r="L289" s="227">
        <v>14051.3</v>
      </c>
      <c r="M289" s="157" t="s">
        <v>2456</v>
      </c>
      <c r="N289" s="227">
        <f t="shared" si="32"/>
        <v>179421.09936201136</v>
      </c>
      <c r="O289" s="152">
        <f t="shared" si="33"/>
        <v>530690.41536201071</v>
      </c>
    </row>
    <row r="290" spans="1:15" hidden="1" x14ac:dyDescent="0.15">
      <c r="A290" s="154"/>
      <c r="B290" s="151"/>
      <c r="C290" s="152"/>
      <c r="D290" s="323"/>
      <c r="E290" s="154"/>
      <c r="F290" s="157"/>
      <c r="G290" s="152"/>
      <c r="H290" s="323"/>
      <c r="I290" s="152"/>
      <c r="J290" s="157"/>
      <c r="K290" s="157"/>
      <c r="L290" s="227"/>
      <c r="M290" s="157"/>
      <c r="N290" s="227">
        <f t="shared" si="32"/>
        <v>179421.09936201136</v>
      </c>
      <c r="O290" s="152">
        <f t="shared" si="33"/>
        <v>530690.41536201071</v>
      </c>
    </row>
    <row r="291" spans="1:15" hidden="1" x14ac:dyDescent="0.15">
      <c r="A291" s="154"/>
      <c r="B291" s="151"/>
      <c r="C291" s="152"/>
      <c r="D291" s="323"/>
      <c r="E291" s="154"/>
      <c r="F291" s="157"/>
      <c r="G291" s="152"/>
      <c r="H291" s="323"/>
      <c r="I291" s="152"/>
      <c r="J291" s="157"/>
      <c r="K291" s="157"/>
      <c r="L291" s="227"/>
      <c r="M291" s="157"/>
      <c r="N291" s="227">
        <f t="shared" si="32"/>
        <v>179421.09936201136</v>
      </c>
      <c r="O291" s="152">
        <f t="shared" si="33"/>
        <v>530690.41536201071</v>
      </c>
    </row>
    <row r="292" spans="1:15" hidden="1" x14ac:dyDescent="0.15">
      <c r="A292" s="154"/>
      <c r="B292" s="151"/>
      <c r="C292" s="152"/>
      <c r="D292" s="323"/>
      <c r="E292" s="154"/>
      <c r="F292" s="157"/>
      <c r="G292" s="152"/>
      <c r="H292" s="323"/>
      <c r="I292" s="152"/>
      <c r="J292" s="157"/>
      <c r="K292" s="157"/>
      <c r="L292" s="227"/>
      <c r="M292" s="157"/>
      <c r="N292" s="227">
        <f t="shared" si="32"/>
        <v>179421.09936201136</v>
      </c>
      <c r="O292" s="152">
        <f t="shared" si="33"/>
        <v>530690.41536201071</v>
      </c>
    </row>
    <row r="293" spans="1:15" hidden="1" x14ac:dyDescent="0.15">
      <c r="A293" s="154"/>
      <c r="B293" s="151"/>
      <c r="C293" s="152"/>
      <c r="D293" s="323"/>
      <c r="E293" s="154"/>
      <c r="F293" s="157"/>
      <c r="G293" s="152"/>
      <c r="H293" s="323"/>
      <c r="I293" s="152"/>
      <c r="J293" s="157"/>
      <c r="K293" s="157"/>
      <c r="L293" s="227"/>
      <c r="M293" s="157"/>
      <c r="N293" s="227">
        <f t="shared" si="32"/>
        <v>179421.09936201136</v>
      </c>
      <c r="O293" s="152">
        <f t="shared" si="33"/>
        <v>530690.41536201071</v>
      </c>
    </row>
    <row r="294" spans="1:15" hidden="1" x14ac:dyDescent="0.15">
      <c r="A294" s="154"/>
      <c r="B294" s="151"/>
      <c r="C294" s="152"/>
      <c r="D294" s="323"/>
      <c r="E294" s="154"/>
      <c r="F294" s="157"/>
      <c r="G294" s="152"/>
      <c r="H294" s="323"/>
      <c r="I294" s="152"/>
      <c r="J294" s="157"/>
      <c r="K294" s="157"/>
      <c r="L294" s="227"/>
      <c r="M294" s="157"/>
      <c r="N294" s="227">
        <f t="shared" si="32"/>
        <v>179421.09936201136</v>
      </c>
      <c r="O294" s="152">
        <f t="shared" si="33"/>
        <v>530690.41536201071</v>
      </c>
    </row>
    <row r="295" spans="1:15" hidden="1" x14ac:dyDescent="0.15">
      <c r="A295" s="154"/>
      <c r="B295" s="151"/>
      <c r="C295" s="152"/>
      <c r="D295" s="323"/>
      <c r="E295" s="154"/>
      <c r="F295" s="157"/>
      <c r="G295" s="152"/>
      <c r="H295" s="323"/>
      <c r="I295" s="152"/>
      <c r="J295" s="157"/>
      <c r="K295" s="157"/>
      <c r="L295" s="227"/>
      <c r="M295" s="157"/>
      <c r="N295" s="227">
        <f t="shared" si="32"/>
        <v>179421.09936201136</v>
      </c>
      <c r="O295" s="152">
        <f t="shared" si="33"/>
        <v>530690.41536201071</v>
      </c>
    </row>
    <row r="296" spans="1:15" hidden="1" x14ac:dyDescent="0.15">
      <c r="A296" s="154"/>
      <c r="B296" s="151"/>
      <c r="C296" s="152"/>
      <c r="D296" s="323"/>
      <c r="E296" s="154"/>
      <c r="F296" s="157"/>
      <c r="G296" s="152"/>
      <c r="H296" s="323"/>
      <c r="I296" s="152"/>
      <c r="J296" s="157"/>
      <c r="K296" s="157"/>
      <c r="L296" s="227"/>
      <c r="M296" s="157"/>
      <c r="N296" s="227">
        <f t="shared" si="32"/>
        <v>179421.09936201136</v>
      </c>
      <c r="O296" s="152">
        <f t="shared" si="33"/>
        <v>530690.41536201071</v>
      </c>
    </row>
    <row r="297" spans="1:15" hidden="1" x14ac:dyDescent="0.15">
      <c r="A297" s="154"/>
      <c r="B297" s="151"/>
      <c r="C297" s="152"/>
      <c r="D297" s="323"/>
      <c r="E297" s="154"/>
      <c r="F297" s="157"/>
      <c r="G297" s="152"/>
      <c r="H297" s="323"/>
      <c r="I297" s="152"/>
      <c r="J297" s="157"/>
      <c r="K297" s="157"/>
      <c r="L297" s="227"/>
      <c r="M297" s="157"/>
      <c r="N297" s="227">
        <f t="shared" si="32"/>
        <v>179421.09936201136</v>
      </c>
      <c r="O297" s="152">
        <f t="shared" si="33"/>
        <v>530690.41536201071</v>
      </c>
    </row>
    <row r="298" spans="1:15" hidden="1" x14ac:dyDescent="0.15">
      <c r="A298" s="154"/>
      <c r="B298" s="151"/>
      <c r="C298" s="152"/>
      <c r="D298" s="323"/>
      <c r="E298" s="154"/>
      <c r="F298" s="157"/>
      <c r="G298" s="152"/>
      <c r="H298" s="323"/>
      <c r="I298" s="152"/>
      <c r="J298" s="157"/>
      <c r="K298" s="157"/>
      <c r="L298" s="227"/>
      <c r="M298" s="157"/>
      <c r="N298" s="227">
        <f t="shared" si="32"/>
        <v>179421.09936201136</v>
      </c>
      <c r="O298" s="152">
        <f t="shared" si="33"/>
        <v>530690.41536201071</v>
      </c>
    </row>
    <row r="299" spans="1:15" hidden="1" x14ac:dyDescent="0.15">
      <c r="A299" s="154"/>
      <c r="B299" s="151"/>
      <c r="C299" s="152"/>
      <c r="D299" s="323"/>
      <c r="E299" s="154"/>
      <c r="F299" s="157"/>
      <c r="G299" s="152"/>
      <c r="H299" s="323"/>
      <c r="I299" s="152"/>
      <c r="J299" s="157"/>
      <c r="K299" s="157"/>
      <c r="L299" s="227"/>
      <c r="M299" s="157"/>
      <c r="N299" s="227">
        <f t="shared" si="32"/>
        <v>179421.09936201136</v>
      </c>
      <c r="O299" s="152">
        <f t="shared" si="33"/>
        <v>530690.41536201071</v>
      </c>
    </row>
    <row r="300" spans="1:15" hidden="1" x14ac:dyDescent="0.15">
      <c r="A300" s="154"/>
      <c r="B300" s="151"/>
      <c r="C300" s="152"/>
      <c r="D300" s="323"/>
      <c r="E300" s="154"/>
      <c r="F300" s="157"/>
      <c r="G300" s="152"/>
      <c r="H300" s="323"/>
      <c r="I300" s="152"/>
      <c r="J300" s="157"/>
      <c r="K300" s="157"/>
      <c r="L300" s="227"/>
      <c r="M300" s="157"/>
      <c r="N300" s="227">
        <f t="shared" si="32"/>
        <v>179421.09936201136</v>
      </c>
      <c r="O300" s="152">
        <f t="shared" si="33"/>
        <v>530690.41536201071</v>
      </c>
    </row>
    <row r="301" spans="1:15" hidden="1" x14ac:dyDescent="0.15">
      <c r="A301" s="154"/>
      <c r="B301" s="151"/>
      <c r="C301" s="152"/>
      <c r="D301" s="323"/>
      <c r="E301" s="154"/>
      <c r="F301" s="157"/>
      <c r="G301" s="152"/>
      <c r="H301" s="323"/>
      <c r="I301" s="152"/>
      <c r="J301" s="157"/>
      <c r="K301" s="157"/>
      <c r="L301" s="227"/>
      <c r="M301" s="157"/>
      <c r="N301" s="227">
        <f t="shared" si="32"/>
        <v>179421.09936201136</v>
      </c>
      <c r="O301" s="152">
        <f t="shared" si="33"/>
        <v>530690.41536201071</v>
      </c>
    </row>
    <row r="302" spans="1:15" hidden="1" x14ac:dyDescent="0.15">
      <c r="A302" s="154"/>
      <c r="B302" s="151"/>
      <c r="C302" s="152"/>
      <c r="D302" s="323"/>
      <c r="E302" s="154"/>
      <c r="F302" s="157"/>
      <c r="G302" s="152"/>
      <c r="H302" s="323"/>
      <c r="I302" s="152"/>
      <c r="J302" s="157"/>
      <c r="K302" s="157"/>
      <c r="L302" s="227"/>
      <c r="M302" s="157"/>
      <c r="N302" s="227">
        <f t="shared" si="32"/>
        <v>179421.09936201136</v>
      </c>
      <c r="O302" s="152">
        <f t="shared" si="33"/>
        <v>530690.41536201071</v>
      </c>
    </row>
    <row r="303" spans="1:15" hidden="1" x14ac:dyDescent="0.15">
      <c r="A303" s="154"/>
      <c r="B303" s="151"/>
      <c r="C303" s="152"/>
      <c r="D303" s="323"/>
      <c r="E303" s="154"/>
      <c r="F303" s="157"/>
      <c r="G303" s="152"/>
      <c r="H303" s="323"/>
      <c r="I303" s="152"/>
      <c r="J303" s="157"/>
      <c r="K303" s="157"/>
      <c r="L303" s="227"/>
      <c r="M303" s="157"/>
      <c r="N303" s="227">
        <f t="shared" si="32"/>
        <v>179421.09936201136</v>
      </c>
      <c r="O303" s="152">
        <f t="shared" si="33"/>
        <v>530690.41536201071</v>
      </c>
    </row>
    <row r="304" spans="1:15" hidden="1" x14ac:dyDescent="0.15">
      <c r="A304" s="154"/>
      <c r="B304" s="151"/>
      <c r="C304" s="152"/>
      <c r="D304" s="323"/>
      <c r="E304" s="154"/>
      <c r="F304" s="157"/>
      <c r="G304" s="152"/>
      <c r="H304" s="323"/>
      <c r="I304" s="152"/>
      <c r="J304" s="157"/>
      <c r="K304" s="157"/>
      <c r="L304" s="227"/>
      <c r="M304" s="157"/>
      <c r="N304" s="227">
        <f t="shared" si="32"/>
        <v>179421.09936201136</v>
      </c>
      <c r="O304" s="152">
        <f t="shared" si="33"/>
        <v>530690.41536201071</v>
      </c>
    </row>
    <row r="305" spans="1:15" hidden="1" x14ac:dyDescent="0.15">
      <c r="A305" s="154"/>
      <c r="B305" s="151"/>
      <c r="C305" s="152"/>
      <c r="D305" s="323"/>
      <c r="E305" s="154"/>
      <c r="F305" s="157"/>
      <c r="G305" s="152"/>
      <c r="H305" s="323"/>
      <c r="I305" s="152"/>
      <c r="J305" s="157"/>
      <c r="K305" s="157"/>
      <c r="L305" s="227"/>
      <c r="M305" s="157"/>
      <c r="N305" s="227">
        <f t="shared" si="32"/>
        <v>179421.09936201136</v>
      </c>
      <c r="O305" s="152">
        <f t="shared" si="33"/>
        <v>530690.41536201071</v>
      </c>
    </row>
    <row r="306" spans="1:15" hidden="1" x14ac:dyDescent="0.15">
      <c r="A306" s="154"/>
      <c r="B306" s="151"/>
      <c r="C306" s="152"/>
      <c r="D306" s="323"/>
      <c r="E306" s="154"/>
      <c r="F306" s="157"/>
      <c r="G306" s="152"/>
      <c r="H306" s="323"/>
      <c r="I306" s="152"/>
      <c r="J306" s="157"/>
      <c r="K306" s="157"/>
      <c r="L306" s="227"/>
      <c r="M306" s="157"/>
      <c r="N306" s="227">
        <f t="shared" si="32"/>
        <v>179421.09936201136</v>
      </c>
      <c r="O306" s="152">
        <f t="shared" si="33"/>
        <v>530690.41536201071</v>
      </c>
    </row>
    <row r="307" spans="1:15" hidden="1" x14ac:dyDescent="0.15">
      <c r="A307" s="154"/>
      <c r="B307" s="151"/>
      <c r="C307" s="152"/>
      <c r="D307" s="323"/>
      <c r="E307" s="154"/>
      <c r="F307" s="157"/>
      <c r="G307" s="152"/>
      <c r="H307" s="323"/>
      <c r="I307" s="152"/>
      <c r="J307" s="157"/>
      <c r="K307" s="157"/>
      <c r="L307" s="227"/>
      <c r="M307" s="157"/>
      <c r="N307" s="227">
        <f t="shared" si="32"/>
        <v>179421.09936201136</v>
      </c>
      <c r="O307" s="152">
        <f t="shared" si="33"/>
        <v>530690.41536201071</v>
      </c>
    </row>
    <row r="308" spans="1:15" hidden="1" x14ac:dyDescent="0.15">
      <c r="A308" s="154"/>
      <c r="B308" s="151"/>
      <c r="C308" s="152"/>
      <c r="D308" s="323"/>
      <c r="E308" s="154"/>
      <c r="F308" s="157"/>
      <c r="G308" s="152"/>
      <c r="H308" s="323"/>
      <c r="I308" s="152"/>
      <c r="J308" s="157"/>
      <c r="K308" s="157"/>
      <c r="L308" s="227"/>
      <c r="M308" s="157"/>
      <c r="N308" s="227">
        <f t="shared" si="32"/>
        <v>179421.09936201136</v>
      </c>
      <c r="O308" s="152">
        <f t="shared" si="33"/>
        <v>530690.41536201071</v>
      </c>
    </row>
    <row r="309" spans="1:15" hidden="1" x14ac:dyDescent="0.15">
      <c r="A309" s="154"/>
      <c r="B309" s="151"/>
      <c r="C309" s="152"/>
      <c r="D309" s="323"/>
      <c r="E309" s="154"/>
      <c r="F309" s="157"/>
      <c r="G309" s="152"/>
      <c r="H309" s="323"/>
      <c r="I309" s="152"/>
      <c r="J309" s="157"/>
      <c r="K309" s="157"/>
      <c r="L309" s="227"/>
      <c r="M309" s="157"/>
      <c r="N309" s="227">
        <f t="shared" si="32"/>
        <v>179421.09936201136</v>
      </c>
      <c r="O309" s="152">
        <f t="shared" si="33"/>
        <v>530690.41536201071</v>
      </c>
    </row>
    <row r="310" spans="1:15" hidden="1" x14ac:dyDescent="0.15">
      <c r="A310" s="154"/>
      <c r="B310" s="151"/>
      <c r="C310" s="152"/>
      <c r="D310" s="323"/>
      <c r="E310" s="154"/>
      <c r="F310" s="157"/>
      <c r="G310" s="152"/>
      <c r="H310" s="323"/>
      <c r="I310" s="152"/>
      <c r="J310" s="157"/>
      <c r="K310" s="157"/>
      <c r="L310" s="227"/>
      <c r="M310" s="157"/>
      <c r="N310" s="227">
        <f t="shared" si="32"/>
        <v>179421.09936201136</v>
      </c>
      <c r="O310" s="152">
        <f t="shared" si="33"/>
        <v>530690.41536201071</v>
      </c>
    </row>
    <row r="311" spans="1:15" hidden="1" x14ac:dyDescent="0.15">
      <c r="A311" s="154"/>
      <c r="B311" s="151"/>
      <c r="C311" s="152"/>
      <c r="D311" s="323"/>
      <c r="E311" s="154"/>
      <c r="F311" s="157"/>
      <c r="G311" s="152"/>
      <c r="H311" s="323"/>
      <c r="I311" s="152"/>
      <c r="J311" s="157"/>
      <c r="K311" s="157"/>
      <c r="L311" s="227"/>
      <c r="M311" s="157"/>
      <c r="N311" s="227">
        <f t="shared" si="32"/>
        <v>179421.09936201136</v>
      </c>
      <c r="O311" s="152">
        <f t="shared" si="33"/>
        <v>530690.41536201071</v>
      </c>
    </row>
    <row r="312" spans="1:15" hidden="1" x14ac:dyDescent="0.15">
      <c r="A312" s="154"/>
      <c r="B312" s="151"/>
      <c r="C312" s="152"/>
      <c r="D312" s="323"/>
      <c r="E312" s="154"/>
      <c r="F312" s="157"/>
      <c r="G312" s="152"/>
      <c r="H312" s="323"/>
      <c r="I312" s="152"/>
      <c r="J312" s="157"/>
      <c r="K312" s="157"/>
      <c r="L312" s="227"/>
      <c r="M312" s="157"/>
      <c r="N312" s="227">
        <f t="shared" si="32"/>
        <v>179421.09936201136</v>
      </c>
      <c r="O312" s="152">
        <f t="shared" si="33"/>
        <v>530690.41536201071</v>
      </c>
    </row>
    <row r="313" spans="1:15" hidden="1" x14ac:dyDescent="0.15">
      <c r="A313" s="154"/>
      <c r="B313" s="151"/>
      <c r="C313" s="152"/>
      <c r="D313" s="323"/>
      <c r="E313" s="154"/>
      <c r="F313" s="157"/>
      <c r="G313" s="152"/>
      <c r="H313" s="323"/>
      <c r="I313" s="152"/>
      <c r="J313" s="157"/>
      <c r="K313" s="157"/>
      <c r="L313" s="227"/>
      <c r="M313" s="157"/>
      <c r="N313" s="227">
        <f t="shared" si="32"/>
        <v>179421.09936201136</v>
      </c>
      <c r="O313" s="152">
        <f t="shared" si="33"/>
        <v>530690.41536201071</v>
      </c>
    </row>
    <row r="314" spans="1:15" hidden="1" x14ac:dyDescent="0.15">
      <c r="A314" s="154"/>
      <c r="B314" s="151"/>
      <c r="C314" s="152"/>
      <c r="D314" s="323"/>
      <c r="E314" s="154"/>
      <c r="F314" s="157"/>
      <c r="G314" s="152"/>
      <c r="H314" s="323"/>
      <c r="I314" s="152"/>
      <c r="J314" s="157"/>
      <c r="K314" s="157"/>
      <c r="L314" s="227"/>
      <c r="M314" s="157"/>
      <c r="N314" s="227">
        <f t="shared" si="32"/>
        <v>179421.09936201136</v>
      </c>
      <c r="O314" s="152">
        <f t="shared" si="33"/>
        <v>530690.41536201071</v>
      </c>
    </row>
    <row r="315" spans="1:15" hidden="1" x14ac:dyDescent="0.15">
      <c r="A315" s="154"/>
      <c r="B315" s="151"/>
      <c r="C315" s="152"/>
      <c r="D315" s="323"/>
      <c r="E315" s="154"/>
      <c r="F315" s="157"/>
      <c r="G315" s="152"/>
      <c r="H315" s="323"/>
      <c r="I315" s="152"/>
      <c r="J315" s="157"/>
      <c r="K315" s="157"/>
      <c r="L315" s="227"/>
      <c r="M315" s="157"/>
      <c r="N315" s="227">
        <f t="shared" si="32"/>
        <v>179421.09936201136</v>
      </c>
      <c r="O315" s="152">
        <f t="shared" si="33"/>
        <v>530690.41536201071</v>
      </c>
    </row>
    <row r="316" spans="1:15" hidden="1" x14ac:dyDescent="0.15">
      <c r="A316" s="154"/>
      <c r="B316" s="151"/>
      <c r="C316" s="152"/>
      <c r="D316" s="323"/>
      <c r="E316" s="154"/>
      <c r="F316" s="157"/>
      <c r="G316" s="152"/>
      <c r="H316" s="323"/>
      <c r="I316" s="152"/>
      <c r="J316" s="157"/>
      <c r="K316" s="157"/>
      <c r="L316" s="227"/>
      <c r="M316" s="157"/>
      <c r="N316" s="227">
        <f t="shared" si="32"/>
        <v>179421.09936201136</v>
      </c>
      <c r="O316" s="152">
        <f t="shared" si="33"/>
        <v>530690.41536201071</v>
      </c>
    </row>
    <row r="317" spans="1:15" hidden="1" x14ac:dyDescent="0.15">
      <c r="A317" s="154"/>
      <c r="B317" s="151"/>
      <c r="C317" s="152"/>
      <c r="D317" s="323"/>
      <c r="E317" s="154"/>
      <c r="F317" s="157"/>
      <c r="G317" s="152"/>
      <c r="H317" s="323"/>
      <c r="I317" s="152"/>
      <c r="J317" s="157"/>
      <c r="K317" s="157"/>
      <c r="L317" s="227"/>
      <c r="M317" s="157"/>
      <c r="N317" s="227">
        <f t="shared" si="32"/>
        <v>179421.09936201136</v>
      </c>
      <c r="O317" s="152">
        <f t="shared" si="33"/>
        <v>530690.41536201071</v>
      </c>
    </row>
    <row r="318" spans="1:15" hidden="1" x14ac:dyDescent="0.15">
      <c r="A318" s="154"/>
      <c r="B318" s="151"/>
      <c r="C318" s="152"/>
      <c r="D318" s="323"/>
      <c r="E318" s="154"/>
      <c r="F318" s="157"/>
      <c r="G318" s="152"/>
      <c r="H318" s="323"/>
      <c r="I318" s="152"/>
      <c r="J318" s="157"/>
      <c r="K318" s="157"/>
      <c r="L318" s="227"/>
      <c r="M318" s="157"/>
      <c r="N318" s="227">
        <f t="shared" si="32"/>
        <v>179421.09936201136</v>
      </c>
      <c r="O318" s="152">
        <f t="shared" si="33"/>
        <v>530690.41536201071</v>
      </c>
    </row>
    <row r="319" spans="1:15" hidden="1" x14ac:dyDescent="0.15">
      <c r="A319" s="154"/>
      <c r="B319" s="151"/>
      <c r="C319" s="152"/>
      <c r="D319" s="323"/>
      <c r="E319" s="154"/>
      <c r="F319" s="157"/>
      <c r="G319" s="152"/>
      <c r="H319" s="323"/>
      <c r="I319" s="152"/>
      <c r="J319" s="157"/>
      <c r="K319" s="157"/>
      <c r="L319" s="227"/>
      <c r="M319" s="157"/>
      <c r="N319" s="227">
        <f t="shared" si="32"/>
        <v>179421.09936201136</v>
      </c>
      <c r="O319" s="152">
        <f t="shared" si="33"/>
        <v>530690.41536201071</v>
      </c>
    </row>
    <row r="320" spans="1:15" hidden="1" x14ac:dyDescent="0.15">
      <c r="A320" s="154"/>
      <c r="B320" s="151"/>
      <c r="C320" s="152"/>
      <c r="D320" s="323"/>
      <c r="E320" s="155"/>
      <c r="F320" s="157"/>
      <c r="G320" s="152"/>
      <c r="H320" s="323"/>
      <c r="I320" s="152"/>
      <c r="J320" s="157"/>
      <c r="K320" s="154"/>
      <c r="L320" s="227"/>
      <c r="M320" s="157"/>
      <c r="N320" s="227">
        <f t="shared" si="32"/>
        <v>179421.09936201136</v>
      </c>
      <c r="O320" s="152">
        <f t="shared" si="33"/>
        <v>530690.41536201071</v>
      </c>
    </row>
    <row r="321" spans="1:15" hidden="1" x14ac:dyDescent="0.15">
      <c r="A321" s="154"/>
      <c r="B321" s="151"/>
      <c r="C321" s="152"/>
      <c r="D321" s="323"/>
      <c r="E321" s="154"/>
      <c r="F321" s="157"/>
      <c r="G321" s="152"/>
      <c r="H321" s="323"/>
      <c r="I321" s="152"/>
      <c r="J321" s="157"/>
      <c r="K321" s="154"/>
      <c r="L321" s="227"/>
      <c r="M321" s="157"/>
      <c r="N321" s="227">
        <f t="shared" si="32"/>
        <v>179421.09936201136</v>
      </c>
      <c r="O321" s="152">
        <f t="shared" si="33"/>
        <v>530690.41536201071</v>
      </c>
    </row>
    <row r="322" spans="1:15" hidden="1" x14ac:dyDescent="0.15">
      <c r="A322" s="154"/>
      <c r="B322" s="151"/>
      <c r="C322" s="152"/>
      <c r="D322" s="323"/>
      <c r="E322" s="154"/>
      <c r="F322" s="157"/>
      <c r="G322" s="152"/>
      <c r="H322" s="323"/>
      <c r="I322" s="152"/>
      <c r="J322" s="154"/>
      <c r="K322" s="154"/>
      <c r="L322" s="227"/>
      <c r="M322" s="157"/>
      <c r="N322" s="227">
        <f t="shared" si="32"/>
        <v>179421.09936201136</v>
      </c>
      <c r="O322" s="152">
        <f t="shared" si="33"/>
        <v>530690.41536201071</v>
      </c>
    </row>
    <row r="323" spans="1:15" hidden="1" x14ac:dyDescent="0.15">
      <c r="A323" s="154"/>
      <c r="B323" s="151"/>
      <c r="C323" s="151"/>
      <c r="D323" s="323"/>
      <c r="E323" s="154"/>
      <c r="F323" s="157"/>
      <c r="G323" s="152"/>
      <c r="H323" s="323"/>
      <c r="I323" s="152"/>
      <c r="J323" s="154"/>
      <c r="K323" s="154"/>
      <c r="L323" s="227"/>
      <c r="M323" s="157"/>
      <c r="N323" s="227">
        <f t="shared" si="32"/>
        <v>179421.09936201136</v>
      </c>
      <c r="O323" s="152">
        <f t="shared" si="33"/>
        <v>530690.41536201071</v>
      </c>
    </row>
    <row r="324" spans="1:15" hidden="1" x14ac:dyDescent="0.15">
      <c r="A324" s="154"/>
      <c r="B324" s="151"/>
      <c r="C324" s="151"/>
      <c r="D324" s="323"/>
      <c r="E324" s="155"/>
      <c r="F324" s="157"/>
      <c r="G324" s="152"/>
      <c r="H324" s="323"/>
      <c r="I324" s="152"/>
      <c r="J324" s="154"/>
      <c r="K324" s="154"/>
      <c r="L324" s="227"/>
      <c r="M324" s="157"/>
      <c r="N324" s="227">
        <f t="shared" si="32"/>
        <v>179421.09936201136</v>
      </c>
      <c r="O324" s="152">
        <f t="shared" si="33"/>
        <v>530690.41536201071</v>
      </c>
    </row>
    <row r="325" spans="1:15" hidden="1" x14ac:dyDescent="0.15">
      <c r="A325" s="154"/>
      <c r="B325" s="151"/>
      <c r="C325" s="151"/>
      <c r="D325" s="323"/>
      <c r="E325" s="154"/>
      <c r="F325" s="160"/>
      <c r="G325" s="152"/>
      <c r="H325" s="323"/>
      <c r="I325" s="152"/>
      <c r="J325" s="157"/>
      <c r="K325" s="154"/>
      <c r="L325" s="227"/>
      <c r="M325" s="157"/>
      <c r="N325" s="227">
        <f t="shared" si="32"/>
        <v>179421.09936201136</v>
      </c>
      <c r="O325" s="152">
        <f t="shared" si="33"/>
        <v>530690.41536201071</v>
      </c>
    </row>
    <row r="326" spans="1:15" hidden="1" x14ac:dyDescent="0.15">
      <c r="A326" s="154"/>
      <c r="B326" s="151"/>
      <c r="C326" s="151"/>
      <c r="D326" s="323"/>
      <c r="E326" s="154"/>
      <c r="F326" s="160"/>
      <c r="G326" s="152"/>
      <c r="H326" s="323"/>
      <c r="I326" s="152"/>
      <c r="J326" s="150"/>
      <c r="K326" s="154"/>
      <c r="L326" s="227"/>
      <c r="M326" s="157"/>
      <c r="N326" s="227">
        <f t="shared" si="32"/>
        <v>179421.09936201136</v>
      </c>
      <c r="O326" s="152">
        <f t="shared" si="33"/>
        <v>530690.41536201071</v>
      </c>
    </row>
    <row r="327" spans="1:15" x14ac:dyDescent="0.15">
      <c r="A327" s="173"/>
      <c r="B327" s="173"/>
      <c r="C327" s="174"/>
      <c r="D327" s="323"/>
      <c r="E327" s="173"/>
      <c r="F327" s="173"/>
      <c r="G327" s="174"/>
      <c r="H327" s="323"/>
      <c r="I327" s="174"/>
      <c r="J327" s="173"/>
      <c r="K327" s="154"/>
      <c r="L327" s="228"/>
      <c r="M327" s="173"/>
      <c r="N327" s="227">
        <f t="shared" si="32"/>
        <v>179421.09936201136</v>
      </c>
      <c r="O327" s="152">
        <f t="shared" si="33"/>
        <v>530690.41536201071</v>
      </c>
    </row>
    <row r="328" spans="1:15" x14ac:dyDescent="0.15">
      <c r="A328" s="177"/>
      <c r="B328" s="177"/>
      <c r="C328" s="178">
        <f>SUM(C7:C326)</f>
        <v>764636.02236201148</v>
      </c>
      <c r="D328" s="177"/>
      <c r="E328" s="177"/>
      <c r="F328" s="177"/>
      <c r="G328" s="178">
        <f>SUM(G7:G327)</f>
        <v>4038417.6469999999</v>
      </c>
      <c r="H328" s="179"/>
      <c r="I328" s="178">
        <f>SUM(I7:I327)</f>
        <v>394382.4659999999</v>
      </c>
      <c r="J328" s="177"/>
      <c r="K328" s="177"/>
      <c r="L328" s="178">
        <f>SUM(L7:L327)</f>
        <v>3877980.7880000006</v>
      </c>
      <c r="M328" s="177"/>
      <c r="N328" s="180"/>
      <c r="O328" s="181">
        <f>C328+G328-I328-L328</f>
        <v>530690.41536201071</v>
      </c>
    </row>
    <row r="329" spans="1:15" x14ac:dyDescent="0.15">
      <c r="A329" s="182"/>
      <c r="B329" s="465"/>
      <c r="C329" s="465"/>
      <c r="D329" s="465"/>
      <c r="E329" s="183"/>
      <c r="F329" s="284"/>
      <c r="G329" s="185"/>
      <c r="H329" s="186"/>
      <c r="I329" s="187"/>
      <c r="J329" s="188"/>
      <c r="K329" s="189" t="s">
        <v>139</v>
      </c>
      <c r="L329" s="190">
        <f>+L328+I328</f>
        <v>4272363.2540000007</v>
      </c>
      <c r="M329" s="197"/>
      <c r="N329" s="230">
        <f>+N327</f>
        <v>179421.09936201136</v>
      </c>
      <c r="O329" s="195" t="s">
        <v>2456</v>
      </c>
    </row>
    <row r="330" spans="1:15" x14ac:dyDescent="0.15">
      <c r="A330" s="188" t="s">
        <v>2388</v>
      </c>
      <c r="B330" s="131" t="s">
        <v>2460</v>
      </c>
      <c r="E330" s="183" t="s">
        <v>55</v>
      </c>
      <c r="F330" s="401">
        <v>19911116.940000001</v>
      </c>
      <c r="G330" s="219" t="s">
        <v>56</v>
      </c>
      <c r="H330" s="186">
        <v>42102</v>
      </c>
      <c r="I330" s="187" t="s">
        <v>71</v>
      </c>
      <c r="J330" s="210">
        <v>326028.44600000011</v>
      </c>
      <c r="N330" s="230">
        <f>+G255+G261+G270</f>
        <v>219560.67199999999</v>
      </c>
      <c r="O330" s="334" t="s">
        <v>2457</v>
      </c>
    </row>
    <row r="331" spans="1:15" x14ac:dyDescent="0.15">
      <c r="A331" s="188" t="s">
        <v>2447</v>
      </c>
      <c r="B331" s="131" t="s">
        <v>2461</v>
      </c>
      <c r="E331" s="183" t="s">
        <v>55</v>
      </c>
      <c r="F331" s="401">
        <v>88966254.629999995</v>
      </c>
      <c r="G331" s="219" t="s">
        <v>56</v>
      </c>
      <c r="H331" s="186">
        <v>42111</v>
      </c>
      <c r="I331" s="187" t="s">
        <v>71</v>
      </c>
      <c r="J331" s="210">
        <v>308171.04599999997</v>
      </c>
      <c r="N331" s="230">
        <f>+G271+G281</f>
        <v>87799.335000000006</v>
      </c>
      <c r="O331" s="334" t="s">
        <v>2458</v>
      </c>
    </row>
    <row r="332" spans="1:15" x14ac:dyDescent="0.15">
      <c r="A332" s="381" t="s">
        <v>2449</v>
      </c>
      <c r="B332" s="131" t="s">
        <v>2462</v>
      </c>
      <c r="E332" s="183" t="s">
        <v>55</v>
      </c>
      <c r="F332" s="401">
        <v>37417075.240000002</v>
      </c>
      <c r="G332" s="219" t="s">
        <v>56</v>
      </c>
      <c r="H332" s="186">
        <v>42111</v>
      </c>
      <c r="I332" s="187" t="s">
        <v>71</v>
      </c>
      <c r="J332" s="210">
        <v>313548.76499999996</v>
      </c>
      <c r="K332" s="297"/>
      <c r="N332" s="230">
        <f>+G282</f>
        <v>43909.309000000001</v>
      </c>
      <c r="O332" s="195" t="s">
        <v>2459</v>
      </c>
    </row>
    <row r="333" spans="1:15" x14ac:dyDescent="0.15">
      <c r="A333" s="193" t="s">
        <v>2451</v>
      </c>
      <c r="B333" s="131" t="s">
        <v>2463</v>
      </c>
      <c r="E333" s="183" t="s">
        <v>55</v>
      </c>
      <c r="F333" s="401">
        <v>56632318.100000001</v>
      </c>
      <c r="G333" s="219" t="s">
        <v>56</v>
      </c>
      <c r="H333" s="186">
        <v>42115</v>
      </c>
      <c r="I333" s="187" t="s">
        <v>71</v>
      </c>
      <c r="J333" s="210">
        <v>263772.26199999993</v>
      </c>
      <c r="K333" s="333"/>
      <c r="N333" s="230"/>
      <c r="O333" s="195"/>
    </row>
    <row r="334" spans="1:15" x14ac:dyDescent="0.15">
      <c r="A334" s="193" t="s">
        <v>2453</v>
      </c>
      <c r="B334" s="131" t="s">
        <v>2464</v>
      </c>
      <c r="E334" s="183" t="s">
        <v>55</v>
      </c>
      <c r="F334" s="401">
        <v>97627813.25</v>
      </c>
      <c r="G334" s="219" t="s">
        <v>56</v>
      </c>
      <c r="H334" s="186">
        <v>42118</v>
      </c>
      <c r="I334" s="187" t="s">
        <v>71</v>
      </c>
      <c r="J334" s="210">
        <v>388613.48800000001</v>
      </c>
      <c r="N334" s="230"/>
      <c r="O334" s="195"/>
    </row>
    <row r="335" spans="1:15" x14ac:dyDescent="0.15">
      <c r="A335" s="193" t="s">
        <v>2455</v>
      </c>
      <c r="B335" s="131" t="s">
        <v>2465</v>
      </c>
      <c r="E335" s="183" t="s">
        <v>55</v>
      </c>
      <c r="F335" s="400">
        <v>58631789.409999996</v>
      </c>
      <c r="G335" s="219" t="s">
        <v>56</v>
      </c>
      <c r="H335" s="186">
        <v>42122</v>
      </c>
      <c r="I335" s="187" t="s">
        <v>71</v>
      </c>
      <c r="J335" s="210">
        <v>119094.96200000003</v>
      </c>
      <c r="K335" s="333"/>
      <c r="N335" s="230"/>
      <c r="O335" s="195"/>
    </row>
    <row r="336" spans="1:15" ht="12" thickBot="1" x14ac:dyDescent="0.2">
      <c r="A336" s="133"/>
      <c r="B336" s="398"/>
      <c r="C336" s="398"/>
      <c r="D336" s="398"/>
      <c r="E336" s="183"/>
      <c r="F336" s="399"/>
      <c r="G336" s="219"/>
      <c r="H336" s="186"/>
      <c r="I336" s="217" t="s">
        <v>856</v>
      </c>
      <c r="J336" s="211">
        <f>SUM(J330:J335)</f>
        <v>1719228.9689999998</v>
      </c>
      <c r="N336" s="206" t="s">
        <v>33</v>
      </c>
      <c r="O336" s="207">
        <f>SUM(N329:N335)</f>
        <v>530690.41536201129</v>
      </c>
    </row>
    <row r="337" spans="1:15" ht="12" thickTop="1" x14ac:dyDescent="0.15">
      <c r="A337" s="188" t="s">
        <v>2446</v>
      </c>
      <c r="B337" s="131" t="s">
        <v>2466</v>
      </c>
      <c r="E337" s="183" t="s">
        <v>55</v>
      </c>
      <c r="F337" s="401">
        <v>50891030.969999999</v>
      </c>
      <c r="G337" s="219" t="s">
        <v>56</v>
      </c>
      <c r="H337" s="186">
        <v>42102</v>
      </c>
      <c r="I337" s="187" t="s">
        <v>71</v>
      </c>
      <c r="J337" s="210">
        <v>410920.07199999999</v>
      </c>
      <c r="K337" s="193"/>
      <c r="O337" s="190">
        <f>+O328-O336</f>
        <v>0</v>
      </c>
    </row>
    <row r="338" spans="1:15" s="132" customFormat="1" ht="12" thickBot="1" x14ac:dyDescent="0.2">
      <c r="A338" s="133"/>
      <c r="B338" s="398"/>
      <c r="C338" s="398"/>
      <c r="D338" s="398"/>
      <c r="E338" s="183"/>
      <c r="F338" s="399"/>
      <c r="G338" s="219"/>
      <c r="H338" s="186"/>
      <c r="I338" s="217" t="s">
        <v>689</v>
      </c>
      <c r="J338" s="211">
        <f>SUM(J337)</f>
        <v>410920.07199999999</v>
      </c>
      <c r="K338" s="193"/>
      <c r="M338" s="134"/>
    </row>
    <row r="339" spans="1:15" s="132" customFormat="1" ht="12" thickTop="1" x14ac:dyDescent="0.15">
      <c r="A339" s="193" t="s">
        <v>2445</v>
      </c>
      <c r="B339" s="131" t="s">
        <v>2467</v>
      </c>
      <c r="D339" s="133"/>
      <c r="E339" s="183" t="s">
        <v>55</v>
      </c>
      <c r="F339" s="401">
        <v>31047101.91</v>
      </c>
      <c r="G339" s="219" t="s">
        <v>56</v>
      </c>
      <c r="H339" s="186">
        <v>42016</v>
      </c>
      <c r="I339" s="187" t="s">
        <v>71</v>
      </c>
      <c r="J339" s="210">
        <v>188744.84899999999</v>
      </c>
      <c r="K339" s="133"/>
      <c r="M339" s="134"/>
    </row>
    <row r="340" spans="1:15" s="132" customFormat="1" x14ac:dyDescent="0.15">
      <c r="A340" s="193" t="s">
        <v>2387</v>
      </c>
      <c r="B340" s="131" t="s">
        <v>2468</v>
      </c>
      <c r="D340" s="133"/>
      <c r="E340" s="183" t="s">
        <v>55</v>
      </c>
      <c r="F340" s="401">
        <v>60809550.020000003</v>
      </c>
      <c r="G340" s="219" t="s">
        <v>56</v>
      </c>
      <c r="H340" s="186">
        <v>42096</v>
      </c>
      <c r="I340" s="187" t="s">
        <v>71</v>
      </c>
      <c r="J340" s="210">
        <v>345427.1423620116</v>
      </c>
      <c r="K340" s="193"/>
      <c r="M340" s="134"/>
    </row>
    <row r="341" spans="1:15" s="132" customFormat="1" x14ac:dyDescent="0.15">
      <c r="A341" s="193" t="s">
        <v>2389</v>
      </c>
      <c r="B341" s="131" t="s">
        <v>2469</v>
      </c>
      <c r="D341" s="133"/>
      <c r="E341" s="183" t="s">
        <v>55</v>
      </c>
      <c r="F341" s="401">
        <v>85237944.590000004</v>
      </c>
      <c r="G341" s="219" t="s">
        <v>56</v>
      </c>
      <c r="H341" s="186">
        <v>42101</v>
      </c>
      <c r="I341" s="187" t="s">
        <v>71</v>
      </c>
      <c r="J341" s="210">
        <v>295112.77199999988</v>
      </c>
      <c r="K341" s="193"/>
      <c r="M341" s="134"/>
    </row>
    <row r="342" spans="1:15" s="132" customFormat="1" x14ac:dyDescent="0.15">
      <c r="A342" s="193" t="s">
        <v>2448</v>
      </c>
      <c r="B342" s="131" t="s">
        <v>2470</v>
      </c>
      <c r="D342" s="133"/>
      <c r="E342" s="183" t="s">
        <v>55</v>
      </c>
      <c r="F342" s="400">
        <v>105591980.92</v>
      </c>
      <c r="G342" s="219" t="s">
        <v>56</v>
      </c>
      <c r="H342" s="186">
        <v>42110</v>
      </c>
      <c r="I342" s="187" t="s">
        <v>71</v>
      </c>
      <c r="J342" s="210">
        <v>327779.30399999995</v>
      </c>
      <c r="K342" s="193"/>
      <c r="M342" s="134"/>
    </row>
    <row r="343" spans="1:15" s="132" customFormat="1" x14ac:dyDescent="0.15">
      <c r="A343" s="193" t="s">
        <v>2450</v>
      </c>
      <c r="B343" s="131" t="s">
        <v>2471</v>
      </c>
      <c r="D343" s="133"/>
      <c r="E343" s="183" t="s">
        <v>55</v>
      </c>
      <c r="F343" s="401">
        <v>75329921.670000002</v>
      </c>
      <c r="G343" s="219" t="s">
        <v>56</v>
      </c>
      <c r="H343" s="186">
        <v>42111</v>
      </c>
      <c r="I343" s="187" t="s">
        <v>71</v>
      </c>
      <c r="J343" s="210">
        <v>352101.00100000005</v>
      </c>
      <c r="K343" s="193"/>
      <c r="M343" s="134"/>
    </row>
    <row r="344" spans="1:15" s="132" customFormat="1" x14ac:dyDescent="0.15">
      <c r="A344" s="193" t="s">
        <v>2452</v>
      </c>
      <c r="B344" s="131" t="s">
        <v>2472</v>
      </c>
      <c r="D344" s="133"/>
      <c r="E344" s="183" t="s">
        <v>55</v>
      </c>
      <c r="F344" s="401">
        <v>192317790.53</v>
      </c>
      <c r="G344" s="219" t="s">
        <v>56</v>
      </c>
      <c r="H344" s="186">
        <v>42114</v>
      </c>
      <c r="I344" s="187" t="s">
        <v>71</v>
      </c>
      <c r="J344" s="210">
        <v>124740.24400000002</v>
      </c>
      <c r="K344" s="133"/>
      <c r="M344" s="134"/>
    </row>
    <row r="345" spans="1:15" s="132" customFormat="1" x14ac:dyDescent="0.15">
      <c r="A345" s="193" t="s">
        <v>2454</v>
      </c>
      <c r="B345" s="131" t="s">
        <v>2473</v>
      </c>
      <c r="D345" s="133"/>
      <c r="E345" s="183" t="s">
        <v>55</v>
      </c>
      <c r="F345" s="400">
        <v>126947434.66</v>
      </c>
      <c r="G345" s="219" t="s">
        <v>56</v>
      </c>
      <c r="H345" s="186">
        <v>42121</v>
      </c>
      <c r="I345" s="187" t="s">
        <v>71</v>
      </c>
      <c r="J345" s="210">
        <v>73873.67300000001</v>
      </c>
      <c r="K345" s="193"/>
      <c r="M345" s="134"/>
    </row>
    <row r="346" spans="1:15" s="132" customFormat="1" x14ac:dyDescent="0.15">
      <c r="A346" s="193" t="s">
        <v>2456</v>
      </c>
      <c r="B346" s="131" t="s">
        <v>2474</v>
      </c>
      <c r="D346" s="133"/>
      <c r="E346" s="183" t="s">
        <v>55</v>
      </c>
      <c r="F346" s="400">
        <v>123627051.83</v>
      </c>
      <c r="G346" s="219" t="s">
        <v>56</v>
      </c>
      <c r="H346" s="186">
        <v>42123</v>
      </c>
      <c r="I346" s="187" t="s">
        <v>71</v>
      </c>
      <c r="J346" s="210">
        <v>40052.761637988646</v>
      </c>
      <c r="K346" s="193"/>
      <c r="M346" s="134"/>
    </row>
    <row r="347" spans="1:15" s="132" customFormat="1" ht="12" thickBot="1" x14ac:dyDescent="0.2">
      <c r="A347" s="133"/>
      <c r="B347" s="398"/>
      <c r="C347" s="398"/>
      <c r="D347" s="398"/>
      <c r="E347" s="183"/>
      <c r="F347" s="399"/>
      <c r="G347" s="219"/>
      <c r="H347" s="186"/>
      <c r="I347" s="217" t="s">
        <v>106</v>
      </c>
      <c r="J347" s="211">
        <f>SUM(J339:J346)</f>
        <v>1747831.7470000002</v>
      </c>
      <c r="K347" s="193"/>
      <c r="M347" s="134"/>
    </row>
    <row r="348" spans="1:15" s="132" customFormat="1" ht="12" thickTop="1" x14ac:dyDescent="0.15">
      <c r="A348" s="133"/>
      <c r="B348" s="133" t="s">
        <v>9</v>
      </c>
      <c r="C348" s="220" t="s">
        <v>2311</v>
      </c>
      <c r="D348" s="133" t="s">
        <v>570</v>
      </c>
      <c r="E348" s="133" t="s">
        <v>571</v>
      </c>
      <c r="F348" s="133" t="s">
        <v>16</v>
      </c>
      <c r="G348" s="134"/>
      <c r="H348" s="134"/>
      <c r="I348" s="187"/>
      <c r="J348" s="210"/>
      <c r="K348" s="193"/>
      <c r="M348" s="134"/>
    </row>
    <row r="349" spans="1:15" s="133" customFormat="1" x14ac:dyDescent="0.15">
      <c r="A349" s="188" t="s">
        <v>2388</v>
      </c>
      <c r="B349" s="210">
        <v>326028</v>
      </c>
      <c r="C349" s="221">
        <v>0.2</v>
      </c>
      <c r="D349" s="235">
        <f>+B349*C349</f>
        <v>65205.600000000006</v>
      </c>
      <c r="E349" s="235">
        <f t="shared" ref="E349:E354" si="38">+D349*0.1</f>
        <v>6520.5600000000013</v>
      </c>
      <c r="F349" s="236">
        <f t="shared" ref="F349:F354" si="39">SUM(D349:E349)</f>
        <v>71726.16</v>
      </c>
      <c r="G349" s="134"/>
      <c r="H349" s="134"/>
      <c r="I349" s="132"/>
      <c r="J349" s="205"/>
      <c r="L349" s="132"/>
      <c r="M349" s="134"/>
      <c r="N349" s="132"/>
      <c r="O349" s="132"/>
    </row>
    <row r="350" spans="1:15" s="132" customFormat="1" x14ac:dyDescent="0.15">
      <c r="A350" s="188" t="s">
        <v>2447</v>
      </c>
      <c r="B350" s="210">
        <v>308171</v>
      </c>
      <c r="C350" s="221">
        <v>0.2</v>
      </c>
      <c r="D350" s="235">
        <f t="shared" ref="D350:D354" si="40">+B350*C350</f>
        <v>61634.200000000004</v>
      </c>
      <c r="E350" s="235">
        <f t="shared" si="38"/>
        <v>6163.420000000001</v>
      </c>
      <c r="F350" s="236">
        <f t="shared" si="39"/>
        <v>67797.62000000001</v>
      </c>
      <c r="G350" s="133"/>
      <c r="H350" s="133"/>
      <c r="J350" s="205"/>
      <c r="K350" s="133"/>
      <c r="M350" s="134"/>
    </row>
    <row r="351" spans="1:15" s="132" customFormat="1" x14ac:dyDescent="0.15">
      <c r="A351" s="381" t="s">
        <v>2449</v>
      </c>
      <c r="B351" s="210">
        <v>313549</v>
      </c>
      <c r="C351" s="221">
        <v>0.2</v>
      </c>
      <c r="D351" s="235">
        <f t="shared" si="40"/>
        <v>62709.8</v>
      </c>
      <c r="E351" s="235">
        <f t="shared" si="38"/>
        <v>6270.9800000000005</v>
      </c>
      <c r="F351" s="236">
        <f t="shared" si="39"/>
        <v>68980.78</v>
      </c>
      <c r="G351" s="133"/>
      <c r="H351" s="133"/>
      <c r="J351" s="205"/>
      <c r="K351" s="133"/>
      <c r="M351" s="134"/>
    </row>
    <row r="352" spans="1:15" s="132" customFormat="1" x14ac:dyDescent="0.15">
      <c r="A352" s="193" t="s">
        <v>2451</v>
      </c>
      <c r="B352" s="210">
        <v>263772</v>
      </c>
      <c r="C352" s="221">
        <v>0.2</v>
      </c>
      <c r="D352" s="235">
        <f t="shared" si="40"/>
        <v>52754.400000000001</v>
      </c>
      <c r="E352" s="235">
        <f t="shared" si="38"/>
        <v>5275.4400000000005</v>
      </c>
      <c r="F352" s="236">
        <f t="shared" si="39"/>
        <v>58029.840000000004</v>
      </c>
      <c r="G352" s="134"/>
      <c r="H352" s="134"/>
      <c r="J352" s="205"/>
      <c r="K352" s="133"/>
      <c r="M352" s="134"/>
    </row>
    <row r="353" spans="1:13" s="132" customFormat="1" x14ac:dyDescent="0.15">
      <c r="A353" s="193" t="s">
        <v>2453</v>
      </c>
      <c r="B353" s="210">
        <v>388613</v>
      </c>
      <c r="C353" s="221">
        <v>0.2</v>
      </c>
      <c r="D353" s="235">
        <f t="shared" si="40"/>
        <v>77722.600000000006</v>
      </c>
      <c r="E353" s="235">
        <f t="shared" si="38"/>
        <v>7772.2600000000011</v>
      </c>
      <c r="F353" s="236">
        <f t="shared" si="39"/>
        <v>85494.86</v>
      </c>
      <c r="G353" s="186"/>
      <c r="H353" s="186"/>
      <c r="J353" s="205"/>
      <c r="K353" s="133"/>
      <c r="M353" s="134"/>
    </row>
    <row r="354" spans="1:13" s="132" customFormat="1" x14ac:dyDescent="0.15">
      <c r="A354" s="193" t="s">
        <v>2455</v>
      </c>
      <c r="B354" s="210">
        <v>119095</v>
      </c>
      <c r="C354" s="221">
        <v>0.2</v>
      </c>
      <c r="D354" s="235">
        <f t="shared" si="40"/>
        <v>23819</v>
      </c>
      <c r="E354" s="235">
        <f t="shared" si="38"/>
        <v>2381.9</v>
      </c>
      <c r="F354" s="236">
        <f t="shared" si="39"/>
        <v>26200.9</v>
      </c>
      <c r="G354" s="186"/>
      <c r="H354" s="186"/>
      <c r="J354" s="205"/>
      <c r="K354" s="133"/>
      <c r="M354" s="134"/>
    </row>
    <row r="355" spans="1:13" s="132" customFormat="1" ht="12" thickBot="1" x14ac:dyDescent="0.2">
      <c r="A355" s="133"/>
      <c r="B355" s="211">
        <f>SUM(B349:B354)</f>
        <v>1719228</v>
      </c>
      <c r="C355" s="221"/>
      <c r="D355" s="242">
        <f>SUM(D349:D354)</f>
        <v>343845.60000000003</v>
      </c>
      <c r="E355" s="242">
        <f t="shared" ref="E355" si="41">SUM(E349:E354)</f>
        <v>34384.560000000005</v>
      </c>
      <c r="F355" s="242">
        <f t="shared" ref="F355" si="42">SUM(F349:F354)</f>
        <v>378230.16000000003</v>
      </c>
      <c r="G355" s="186"/>
      <c r="H355" s="186"/>
      <c r="J355" s="134"/>
      <c r="K355" s="133"/>
      <c r="M355" s="134"/>
    </row>
    <row r="356" spans="1:13" s="132" customFormat="1" ht="12" thickTop="1" x14ac:dyDescent="0.15">
      <c r="A356" s="188" t="s">
        <v>2446</v>
      </c>
      <c r="B356" s="210">
        <v>410920</v>
      </c>
      <c r="C356" s="221">
        <v>0.2</v>
      </c>
      <c r="D356" s="235">
        <f t="shared" ref="D356" si="43">+B356*C356</f>
        <v>82184</v>
      </c>
      <c r="E356" s="235">
        <f t="shared" ref="E356" si="44">+D356*0.1</f>
        <v>8218.4</v>
      </c>
      <c r="F356" s="236">
        <f t="shared" ref="F356" si="45">SUM(D356:E356)</f>
        <v>90402.4</v>
      </c>
      <c r="G356" s="186"/>
      <c r="H356" s="186"/>
      <c r="J356" s="134"/>
      <c r="K356" s="133"/>
      <c r="M356" s="134"/>
    </row>
    <row r="357" spans="1:13" s="132" customFormat="1" ht="12" thickBot="1" x14ac:dyDescent="0.2">
      <c r="A357" s="133"/>
      <c r="B357" s="211">
        <f>SUM(B356)</f>
        <v>410920</v>
      </c>
      <c r="C357" s="221"/>
      <c r="D357" s="242">
        <f>SUM(D356)</f>
        <v>82184</v>
      </c>
      <c r="E357" s="242">
        <f t="shared" ref="E357" si="46">SUM(E356)</f>
        <v>8218.4</v>
      </c>
      <c r="F357" s="242">
        <f t="shared" ref="F357" si="47">SUM(F356)</f>
        <v>90402.4</v>
      </c>
      <c r="G357" s="186"/>
      <c r="H357" s="186"/>
      <c r="J357" s="134"/>
      <c r="K357" s="133"/>
      <c r="M357" s="134"/>
    </row>
    <row r="358" spans="1:13" s="132" customFormat="1" ht="12" thickTop="1" x14ac:dyDescent="0.15">
      <c r="A358" s="193" t="s">
        <v>2445</v>
      </c>
      <c r="B358" s="210">
        <v>188745</v>
      </c>
      <c r="C358" s="221">
        <v>0.2</v>
      </c>
      <c r="D358" s="235">
        <f t="shared" ref="D358:D365" si="48">+B358*C358</f>
        <v>37749</v>
      </c>
      <c r="E358" s="235">
        <f t="shared" ref="E358:E365" si="49">+D358*0.1</f>
        <v>3774.9</v>
      </c>
      <c r="F358" s="236">
        <f t="shared" ref="F358:F365" si="50">SUM(D358:E358)</f>
        <v>41523.9</v>
      </c>
      <c r="G358" s="186"/>
      <c r="H358" s="186"/>
      <c r="J358" s="134"/>
      <c r="K358" s="133"/>
      <c r="M358" s="134"/>
    </row>
    <row r="359" spans="1:13" s="132" customFormat="1" x14ac:dyDescent="0.15">
      <c r="A359" s="193" t="s">
        <v>2387</v>
      </c>
      <c r="B359" s="210">
        <v>345427</v>
      </c>
      <c r="C359" s="221">
        <v>0.2</v>
      </c>
      <c r="D359" s="235">
        <f t="shared" si="48"/>
        <v>69085.400000000009</v>
      </c>
      <c r="E359" s="235">
        <f t="shared" si="49"/>
        <v>6908.5400000000009</v>
      </c>
      <c r="F359" s="236">
        <f t="shared" si="50"/>
        <v>75993.94</v>
      </c>
      <c r="G359" s="186"/>
      <c r="H359" s="186"/>
      <c r="J359" s="210"/>
      <c r="K359" s="133"/>
      <c r="M359" s="134"/>
    </row>
    <row r="360" spans="1:13" s="132" customFormat="1" x14ac:dyDescent="0.15">
      <c r="A360" s="193" t="s">
        <v>2389</v>
      </c>
      <c r="B360" s="210">
        <v>295113</v>
      </c>
      <c r="C360" s="221">
        <v>0.2</v>
      </c>
      <c r="D360" s="235">
        <f t="shared" si="48"/>
        <v>59022.600000000006</v>
      </c>
      <c r="E360" s="235">
        <f t="shared" si="49"/>
        <v>5902.2600000000011</v>
      </c>
      <c r="F360" s="236">
        <f t="shared" si="50"/>
        <v>64924.860000000008</v>
      </c>
      <c r="G360" s="186"/>
      <c r="H360" s="186"/>
      <c r="J360" s="134"/>
      <c r="K360" s="133"/>
      <c r="M360" s="134"/>
    </row>
    <row r="361" spans="1:13" s="132" customFormat="1" x14ac:dyDescent="0.15">
      <c r="A361" s="193" t="s">
        <v>2448</v>
      </c>
      <c r="B361" s="210">
        <v>327779</v>
      </c>
      <c r="C361" s="221">
        <v>0.2</v>
      </c>
      <c r="D361" s="235">
        <f t="shared" si="48"/>
        <v>65555.8</v>
      </c>
      <c r="E361" s="235">
        <f t="shared" si="49"/>
        <v>6555.5800000000008</v>
      </c>
      <c r="F361" s="236">
        <f t="shared" si="50"/>
        <v>72111.38</v>
      </c>
      <c r="G361" s="186"/>
      <c r="H361" s="186"/>
      <c r="J361" s="134"/>
      <c r="K361" s="133"/>
      <c r="M361" s="134"/>
    </row>
    <row r="362" spans="1:13" s="132" customFormat="1" x14ac:dyDescent="0.15">
      <c r="A362" s="193" t="s">
        <v>2450</v>
      </c>
      <c r="B362" s="210">
        <v>352101</v>
      </c>
      <c r="C362" s="221">
        <v>0.2</v>
      </c>
      <c r="D362" s="235">
        <f t="shared" si="48"/>
        <v>70420.2</v>
      </c>
      <c r="E362" s="235">
        <f t="shared" si="49"/>
        <v>7042.02</v>
      </c>
      <c r="F362" s="236">
        <f t="shared" si="50"/>
        <v>77462.22</v>
      </c>
      <c r="G362" s="186"/>
      <c r="H362" s="186"/>
      <c r="J362" s="134"/>
      <c r="K362" s="133"/>
      <c r="M362" s="134"/>
    </row>
    <row r="363" spans="1:13" s="132" customFormat="1" x14ac:dyDescent="0.15">
      <c r="A363" s="193" t="s">
        <v>2452</v>
      </c>
      <c r="B363" s="210">
        <v>124740</v>
      </c>
      <c r="C363" s="221">
        <v>0.2</v>
      </c>
      <c r="D363" s="235">
        <f t="shared" si="48"/>
        <v>24948</v>
      </c>
      <c r="E363" s="235">
        <f t="shared" si="49"/>
        <v>2494.8000000000002</v>
      </c>
      <c r="F363" s="236">
        <f t="shared" si="50"/>
        <v>27442.799999999999</v>
      </c>
      <c r="G363" s="186"/>
      <c r="H363" s="186"/>
      <c r="J363" s="134"/>
      <c r="K363" s="133"/>
      <c r="M363" s="134"/>
    </row>
    <row r="364" spans="1:13" s="132" customFormat="1" x14ac:dyDescent="0.15">
      <c r="A364" s="193" t="s">
        <v>2454</v>
      </c>
      <c r="B364" s="210">
        <v>73874</v>
      </c>
      <c r="C364" s="221">
        <v>0.2</v>
      </c>
      <c r="D364" s="235">
        <f t="shared" si="48"/>
        <v>14774.800000000001</v>
      </c>
      <c r="E364" s="235">
        <f t="shared" si="49"/>
        <v>1477.4800000000002</v>
      </c>
      <c r="F364" s="236">
        <f t="shared" si="50"/>
        <v>16252.28</v>
      </c>
      <c r="G364" s="186"/>
      <c r="H364" s="186"/>
      <c r="J364" s="134"/>
      <c r="K364" s="133"/>
      <c r="M364" s="134"/>
    </row>
    <row r="365" spans="1:13" s="132" customFormat="1" x14ac:dyDescent="0.15">
      <c r="A365" s="193" t="s">
        <v>2456</v>
      </c>
      <c r="B365" s="210">
        <v>40053</v>
      </c>
      <c r="C365" s="221">
        <v>0.2</v>
      </c>
      <c r="D365" s="235">
        <f t="shared" si="48"/>
        <v>8010.6</v>
      </c>
      <c r="E365" s="235">
        <f t="shared" si="49"/>
        <v>801.06000000000006</v>
      </c>
      <c r="F365" s="236">
        <f t="shared" si="50"/>
        <v>8811.66</v>
      </c>
      <c r="G365" s="186"/>
      <c r="H365" s="186"/>
      <c r="J365" s="134"/>
      <c r="K365" s="133"/>
      <c r="M365" s="134"/>
    </row>
    <row r="366" spans="1:13" s="132" customFormat="1" ht="12" thickBot="1" x14ac:dyDescent="0.2">
      <c r="A366" s="133"/>
      <c r="B366" s="211">
        <f>SUM(B358:B365)</f>
        <v>1747832</v>
      </c>
      <c r="C366" s="221"/>
      <c r="D366" s="242">
        <f>SUM(D358:D365)</f>
        <v>349566.39999999997</v>
      </c>
      <c r="E366" s="242">
        <f t="shared" ref="E366" si="51">SUM(E358:E365)</f>
        <v>34956.639999999999</v>
      </c>
      <c r="F366" s="242">
        <f t="shared" ref="F366" si="52">SUM(F358:F365)</f>
        <v>384523.04000000004</v>
      </c>
      <c r="G366" s="219"/>
      <c r="H366" s="186"/>
      <c r="J366" s="134"/>
      <c r="K366" s="133"/>
      <c r="M366" s="134"/>
    </row>
    <row r="367" spans="1:13" s="132" customFormat="1" ht="12" thickTop="1" x14ac:dyDescent="0.15">
      <c r="A367" s="193"/>
      <c r="B367" s="131"/>
      <c r="D367" s="133"/>
      <c r="E367" s="183"/>
      <c r="F367" s="400"/>
      <c r="H367" s="133"/>
      <c r="I367" s="187"/>
      <c r="J367" s="134"/>
      <c r="K367" s="133"/>
      <c r="M367" s="134"/>
    </row>
    <row r="368" spans="1:13" s="132" customFormat="1" x14ac:dyDescent="0.15">
      <c r="A368" s="134"/>
      <c r="B368" s="131"/>
      <c r="D368" s="133"/>
      <c r="E368" s="133"/>
      <c r="F368" s="134"/>
      <c r="H368" s="133"/>
      <c r="J368" s="134"/>
      <c r="K368" s="133"/>
      <c r="M368" s="134"/>
    </row>
    <row r="369" spans="1:13" s="132" customFormat="1" x14ac:dyDescent="0.15">
      <c r="A369" s="134"/>
      <c r="B369" s="131"/>
      <c r="D369" s="133"/>
      <c r="E369" s="133"/>
      <c r="F369" s="134"/>
      <c r="H369" s="133"/>
      <c r="J369" s="134"/>
      <c r="K369" s="133"/>
      <c r="M369" s="134"/>
    </row>
  </sheetData>
  <mergeCells count="7">
    <mergeCell ref="B329:D329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27"/>
  <sheetViews>
    <sheetView zoomScale="115" zoomScaleNormal="115" workbookViewId="0">
      <pane ySplit="6" topLeftCell="A375" activePane="bottomLeft" state="frozen"/>
      <selection pane="bottomLeft" activeCell="B395" sqref="B395:H397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2335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2290</v>
      </c>
      <c r="B7" s="146"/>
      <c r="C7" s="152">
        <v>80280.255362010474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80280.255362010474</v>
      </c>
      <c r="O7" s="147">
        <f>+C370</f>
        <v>516989.33636201045</v>
      </c>
    </row>
    <row r="8" spans="1:15" x14ac:dyDescent="0.15">
      <c r="A8" s="154" t="s">
        <v>2291</v>
      </c>
      <c r="B8" s="151"/>
      <c r="C8" s="152">
        <v>407231.23300000007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80280.255362010474</v>
      </c>
      <c r="O8" s="152">
        <f t="shared" ref="O8:O9" si="0">O7+G8-I8-L8</f>
        <v>516989.33636201045</v>
      </c>
    </row>
    <row r="9" spans="1:15" x14ac:dyDescent="0.15">
      <c r="A9" s="157" t="s">
        <v>2334</v>
      </c>
      <c r="B9" s="151"/>
      <c r="C9" s="152">
        <v>29477.8479999999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" si="1">+N8-I9-L9</f>
        <v>80280.255362010474</v>
      </c>
      <c r="O9" s="152">
        <f t="shared" si="0"/>
        <v>516989.33636201045</v>
      </c>
    </row>
    <row r="10" spans="1:15" x14ac:dyDescent="0.15">
      <c r="A10" s="154"/>
      <c r="B10" s="151"/>
      <c r="C10" s="152"/>
      <c r="D10" s="323" t="s">
        <v>2336</v>
      </c>
      <c r="E10" s="154" t="s">
        <v>72</v>
      </c>
      <c r="F10" s="157" t="s">
        <v>2334</v>
      </c>
      <c r="G10" s="152">
        <v>351652.18199999997</v>
      </c>
      <c r="H10" s="323" t="s">
        <v>2336</v>
      </c>
      <c r="I10" s="152">
        <v>12482.469000000001</v>
      </c>
      <c r="J10" s="157" t="s">
        <v>2290</v>
      </c>
      <c r="K10" s="157">
        <v>5800360279</v>
      </c>
      <c r="L10" s="227">
        <v>12999.365</v>
      </c>
      <c r="M10" s="157" t="s">
        <v>2290</v>
      </c>
      <c r="N10" s="227">
        <f t="shared" ref="N10:N75" si="2">+N9-I10-L10</f>
        <v>54798.421362010478</v>
      </c>
      <c r="O10" s="152">
        <f t="shared" ref="O10:O75" si="3">O9+G10-I10-L10</f>
        <v>843159.68436201033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 t="s">
        <v>2336</v>
      </c>
      <c r="I11" s="152"/>
      <c r="J11" s="157"/>
      <c r="K11" s="157">
        <v>5800360279</v>
      </c>
      <c r="L11" s="227">
        <v>10561.859</v>
      </c>
      <c r="M11" s="157" t="s">
        <v>2290</v>
      </c>
      <c r="N11" s="227">
        <f t="shared" si="2"/>
        <v>44236.562362010474</v>
      </c>
      <c r="O11" s="152">
        <f t="shared" si="3"/>
        <v>832597.82536201028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2336</v>
      </c>
      <c r="I12" s="152"/>
      <c r="J12" s="157"/>
      <c r="K12" s="157">
        <v>5800360279</v>
      </c>
      <c r="L12" s="227">
        <v>13457.272000000001</v>
      </c>
      <c r="M12" s="157" t="s">
        <v>2290</v>
      </c>
      <c r="N12" s="227">
        <f t="shared" si="2"/>
        <v>30779.290362010473</v>
      </c>
      <c r="O12" s="152">
        <f t="shared" si="3"/>
        <v>819140.55336201028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2336</v>
      </c>
      <c r="I13" s="152"/>
      <c r="J13" s="157"/>
      <c r="K13" s="157">
        <v>5800360279</v>
      </c>
      <c r="L13" s="227">
        <v>16587.636999999999</v>
      </c>
      <c r="M13" s="157" t="s">
        <v>2290</v>
      </c>
      <c r="N13" s="227">
        <f t="shared" si="2"/>
        <v>14191.653362010475</v>
      </c>
      <c r="O13" s="152">
        <f t="shared" si="3"/>
        <v>802552.91636201029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2336</v>
      </c>
      <c r="I14" s="152"/>
      <c r="J14" s="157"/>
      <c r="K14" s="157">
        <v>5800360279</v>
      </c>
      <c r="L14" s="227">
        <v>13127.339</v>
      </c>
      <c r="M14" s="157" t="s">
        <v>2290</v>
      </c>
      <c r="N14" s="227">
        <f t="shared" ref="N14:N23" si="4">+N13-I14-L14</f>
        <v>1064.3143620104747</v>
      </c>
      <c r="O14" s="152">
        <f t="shared" ref="O14:O23" si="5">O13+G14-I14-L14</f>
        <v>789425.57736201026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2336</v>
      </c>
      <c r="I15" s="152"/>
      <c r="J15" s="157"/>
      <c r="K15" s="157">
        <v>5800360279</v>
      </c>
      <c r="L15" s="227">
        <v>1064.3143620104747</v>
      </c>
      <c r="M15" s="157" t="s">
        <v>2290</v>
      </c>
      <c r="N15" s="227">
        <f t="shared" si="4"/>
        <v>0</v>
      </c>
      <c r="O15" s="152">
        <f t="shared" si="5"/>
        <v>788361.2629999998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2336</v>
      </c>
      <c r="I16" s="152"/>
      <c r="J16" s="157"/>
      <c r="K16" s="157">
        <v>5800360279</v>
      </c>
      <c r="L16" s="227">
        <v>14522.5256379895</v>
      </c>
      <c r="M16" s="157" t="s">
        <v>2291</v>
      </c>
      <c r="N16" s="227">
        <f>C8+N15-I16-L16</f>
        <v>392708.70736201055</v>
      </c>
      <c r="O16" s="152">
        <f t="shared" si="5"/>
        <v>773838.73736201029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2336</v>
      </c>
      <c r="I17" s="152"/>
      <c r="J17" s="157"/>
      <c r="K17" s="157">
        <v>5800360279</v>
      </c>
      <c r="L17" s="227">
        <v>12173.531999999999</v>
      </c>
      <c r="M17" s="154" t="s">
        <v>2291</v>
      </c>
      <c r="N17" s="227">
        <f t="shared" si="4"/>
        <v>380535.17536201054</v>
      </c>
      <c r="O17" s="152">
        <f t="shared" si="5"/>
        <v>761665.20536201028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2336</v>
      </c>
      <c r="I18" s="152"/>
      <c r="J18" s="157"/>
      <c r="K18" s="157">
        <v>5800360279</v>
      </c>
      <c r="L18" s="227">
        <v>3702.25</v>
      </c>
      <c r="M18" s="154" t="s">
        <v>2291</v>
      </c>
      <c r="N18" s="227">
        <f t="shared" si="4"/>
        <v>376832.92536201054</v>
      </c>
      <c r="O18" s="152">
        <f t="shared" si="5"/>
        <v>757962.95536201028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2336</v>
      </c>
      <c r="I19" s="152"/>
      <c r="J19" s="157"/>
      <c r="K19" s="157">
        <v>5800360279</v>
      </c>
      <c r="L19" s="227">
        <v>4278.1329999999998</v>
      </c>
      <c r="M19" s="154" t="s">
        <v>2291</v>
      </c>
      <c r="N19" s="227">
        <f t="shared" si="4"/>
        <v>372554.79236201057</v>
      </c>
      <c r="O19" s="152">
        <f t="shared" si="5"/>
        <v>753684.82236201025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2336</v>
      </c>
      <c r="I20" s="152"/>
      <c r="J20" s="157"/>
      <c r="K20" s="157">
        <v>5800360279</v>
      </c>
      <c r="L20" s="227">
        <v>71785.448000000004</v>
      </c>
      <c r="M20" s="154" t="s">
        <v>2291</v>
      </c>
      <c r="N20" s="227">
        <f t="shared" si="4"/>
        <v>300769.3443620106</v>
      </c>
      <c r="O20" s="152">
        <f t="shared" si="5"/>
        <v>681899.37436201028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2336</v>
      </c>
      <c r="I21" s="152"/>
      <c r="J21" s="157"/>
      <c r="K21" s="157">
        <v>5800360279</v>
      </c>
      <c r="L21" s="227">
        <v>67329.350999999995</v>
      </c>
      <c r="M21" s="154" t="s">
        <v>2291</v>
      </c>
      <c r="N21" s="227">
        <f t="shared" si="4"/>
        <v>233439.9933620106</v>
      </c>
      <c r="O21" s="152">
        <f t="shared" si="5"/>
        <v>614570.02336201025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2336</v>
      </c>
      <c r="I22" s="152"/>
      <c r="J22" s="157"/>
      <c r="K22" s="157">
        <v>5800360279</v>
      </c>
      <c r="L22" s="227">
        <v>4059.1770000000001</v>
      </c>
      <c r="M22" s="154" t="s">
        <v>2291</v>
      </c>
      <c r="N22" s="227">
        <f t="shared" si="4"/>
        <v>229380.81636201061</v>
      </c>
      <c r="O22" s="152">
        <f t="shared" si="5"/>
        <v>610510.84636201023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2336</v>
      </c>
      <c r="I23" s="152"/>
      <c r="J23" s="157"/>
      <c r="K23" s="157">
        <v>5800360279</v>
      </c>
      <c r="L23" s="227">
        <v>5104.9650000000001</v>
      </c>
      <c r="M23" s="154" t="s">
        <v>2291</v>
      </c>
      <c r="N23" s="227">
        <f t="shared" si="4"/>
        <v>224275.85136201061</v>
      </c>
      <c r="O23" s="152">
        <f t="shared" si="5"/>
        <v>605405.88136201026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2336</v>
      </c>
      <c r="I24" s="152"/>
      <c r="J24" s="157"/>
      <c r="K24" s="157">
        <v>5800360279</v>
      </c>
      <c r="L24" s="227">
        <v>14026.156000000001</v>
      </c>
      <c r="M24" s="154" t="s">
        <v>2291</v>
      </c>
      <c r="N24" s="227">
        <f t="shared" si="2"/>
        <v>210249.69536201062</v>
      </c>
      <c r="O24" s="152">
        <f t="shared" si="3"/>
        <v>591379.7253620103</v>
      </c>
    </row>
    <row r="25" spans="1:15" x14ac:dyDescent="0.15">
      <c r="A25" s="154"/>
      <c r="B25" s="151"/>
      <c r="C25" s="152"/>
      <c r="D25" s="323" t="s">
        <v>2337</v>
      </c>
      <c r="E25" s="154" t="s">
        <v>72</v>
      </c>
      <c r="F25" s="157" t="s">
        <v>2334</v>
      </c>
      <c r="G25" s="152">
        <v>43927.805000000109</v>
      </c>
      <c r="H25" s="323" t="s">
        <v>2337</v>
      </c>
      <c r="I25" s="152">
        <v>18335.385000000002</v>
      </c>
      <c r="J25" s="154" t="s">
        <v>2291</v>
      </c>
      <c r="K25" s="157">
        <v>5800360279</v>
      </c>
      <c r="L25" s="227">
        <v>31726.074000000001</v>
      </c>
      <c r="M25" s="154" t="s">
        <v>2291</v>
      </c>
      <c r="N25" s="227">
        <f t="shared" si="2"/>
        <v>160188.23636201062</v>
      </c>
      <c r="O25" s="152">
        <f t="shared" si="3"/>
        <v>585246.07136201044</v>
      </c>
    </row>
    <row r="26" spans="1:15" x14ac:dyDescent="0.15">
      <c r="A26" s="154"/>
      <c r="B26" s="151"/>
      <c r="C26" s="152"/>
      <c r="D26" s="323" t="s">
        <v>2337</v>
      </c>
      <c r="E26" s="154" t="s">
        <v>72</v>
      </c>
      <c r="F26" s="157" t="s">
        <v>2367</v>
      </c>
      <c r="G26" s="152">
        <v>219200.82000000007</v>
      </c>
      <c r="H26" s="323" t="s">
        <v>2337</v>
      </c>
      <c r="I26" s="152"/>
      <c r="J26" s="157"/>
      <c r="K26" s="157">
        <v>5800360279</v>
      </c>
      <c r="L26" s="227">
        <v>10637.388999999999</v>
      </c>
      <c r="M26" s="154" t="s">
        <v>2291</v>
      </c>
      <c r="N26" s="227">
        <f t="shared" si="2"/>
        <v>149550.84736201062</v>
      </c>
      <c r="O26" s="152">
        <f t="shared" si="3"/>
        <v>793809.50236201053</v>
      </c>
    </row>
    <row r="27" spans="1:15" x14ac:dyDescent="0.15">
      <c r="A27" s="154"/>
      <c r="B27" s="151"/>
      <c r="C27" s="152"/>
      <c r="D27" s="323" t="s">
        <v>2337</v>
      </c>
      <c r="E27" s="154" t="s">
        <v>72</v>
      </c>
      <c r="F27" s="157" t="s">
        <v>2368</v>
      </c>
      <c r="G27" s="152">
        <v>578.19599999993795</v>
      </c>
      <c r="H27" s="323" t="s">
        <v>2337</v>
      </c>
      <c r="I27" s="152"/>
      <c r="J27" s="154"/>
      <c r="K27" s="157">
        <v>5800360279</v>
      </c>
      <c r="L27" s="227">
        <v>13806.995000000001</v>
      </c>
      <c r="M27" s="154" t="s">
        <v>2291</v>
      </c>
      <c r="N27" s="227">
        <f t="shared" si="2"/>
        <v>135743.85236201063</v>
      </c>
      <c r="O27" s="152">
        <f t="shared" si="3"/>
        <v>780580.70336201042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2337</v>
      </c>
      <c r="I28" s="152"/>
      <c r="J28" s="157"/>
      <c r="K28" s="157">
        <v>5800360279</v>
      </c>
      <c r="L28" s="227">
        <v>14180.183999999999</v>
      </c>
      <c r="M28" s="154" t="s">
        <v>2291</v>
      </c>
      <c r="N28" s="227">
        <f t="shared" si="2"/>
        <v>121563.66836201063</v>
      </c>
      <c r="O28" s="152">
        <f t="shared" si="3"/>
        <v>766400.51936201041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2337</v>
      </c>
      <c r="I29" s="152"/>
      <c r="J29" s="154"/>
      <c r="K29" s="157">
        <v>5800360279</v>
      </c>
      <c r="L29" s="227">
        <v>12199.181</v>
      </c>
      <c r="M29" s="154" t="s">
        <v>2291</v>
      </c>
      <c r="N29" s="227">
        <f t="shared" si="2"/>
        <v>109364.48736201064</v>
      </c>
      <c r="O29" s="152">
        <f t="shared" si="3"/>
        <v>754201.33836201043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2337</v>
      </c>
      <c r="I30" s="152"/>
      <c r="J30" s="157"/>
      <c r="K30" s="157">
        <v>5800360279</v>
      </c>
      <c r="L30" s="227">
        <v>14536.365</v>
      </c>
      <c r="M30" s="154" t="s">
        <v>2291</v>
      </c>
      <c r="N30" s="227">
        <f t="shared" si="2"/>
        <v>94828.122362010632</v>
      </c>
      <c r="O30" s="152">
        <f t="shared" si="3"/>
        <v>739664.97336201044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2337</v>
      </c>
      <c r="I31" s="152"/>
      <c r="J31" s="157"/>
      <c r="K31" s="157">
        <v>5800360279</v>
      </c>
      <c r="L31" s="227">
        <v>12985.579</v>
      </c>
      <c r="M31" s="154" t="s">
        <v>2291</v>
      </c>
      <c r="N31" s="227">
        <f t="shared" si="2"/>
        <v>81842.543362010634</v>
      </c>
      <c r="O31" s="152">
        <f t="shared" si="3"/>
        <v>726679.39436201041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2337</v>
      </c>
      <c r="I32" s="152"/>
      <c r="J32" s="157"/>
      <c r="K32" s="157">
        <v>5800360279</v>
      </c>
      <c r="L32" s="227">
        <v>16602.411</v>
      </c>
      <c r="M32" s="154" t="s">
        <v>2291</v>
      </c>
      <c r="N32" s="227">
        <f t="shared" si="2"/>
        <v>65240.132362010634</v>
      </c>
      <c r="O32" s="152">
        <f t="shared" si="3"/>
        <v>710076.98336201045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2337</v>
      </c>
      <c r="I33" s="152"/>
      <c r="J33" s="154"/>
      <c r="K33" s="157">
        <v>5800360279</v>
      </c>
      <c r="L33" s="227">
        <v>11187.668</v>
      </c>
      <c r="M33" s="154" t="s">
        <v>2291</v>
      </c>
      <c r="N33" s="227">
        <f t="shared" si="2"/>
        <v>54052.464362010636</v>
      </c>
      <c r="O33" s="152">
        <f t="shared" si="3"/>
        <v>698889.3153620105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2337</v>
      </c>
      <c r="I34" s="152"/>
      <c r="J34" s="154"/>
      <c r="K34" s="157">
        <v>5800360279</v>
      </c>
      <c r="L34" s="227">
        <v>14283.236000000001</v>
      </c>
      <c r="M34" s="154" t="s">
        <v>2291</v>
      </c>
      <c r="N34" s="227">
        <f t="shared" si="2"/>
        <v>39769.228362010632</v>
      </c>
      <c r="O34" s="152">
        <f t="shared" si="3"/>
        <v>684606.07936201047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2337</v>
      </c>
      <c r="I35" s="152"/>
      <c r="J35" s="154"/>
      <c r="K35" s="157">
        <v>5800360279</v>
      </c>
      <c r="L35" s="227">
        <v>3858.9549999999999</v>
      </c>
      <c r="M35" s="154" t="s">
        <v>2291</v>
      </c>
      <c r="N35" s="227">
        <f t="shared" si="2"/>
        <v>35910.27336201063</v>
      </c>
      <c r="O35" s="152">
        <f t="shared" si="3"/>
        <v>680747.12436201051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2337</v>
      </c>
      <c r="I36" s="152"/>
      <c r="J36" s="154"/>
      <c r="K36" s="157">
        <v>5800360279</v>
      </c>
      <c r="L36" s="227">
        <v>35910.27336201063</v>
      </c>
      <c r="M36" s="154" t="s">
        <v>2291</v>
      </c>
      <c r="N36" s="227">
        <f t="shared" ref="N36:N41" si="6">+N35-I36-L36</f>
        <v>0</v>
      </c>
      <c r="O36" s="152">
        <f t="shared" ref="O36:O41" si="7">O35+G36-I36-L36</f>
        <v>644836.85099999991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2337</v>
      </c>
      <c r="I37" s="152"/>
      <c r="J37" s="154"/>
      <c r="K37" s="157">
        <v>5800360279</v>
      </c>
      <c r="L37" s="227">
        <v>41899.147637989299</v>
      </c>
      <c r="M37" s="157" t="s">
        <v>2334</v>
      </c>
      <c r="N37" s="227">
        <f>C9+G10+G25+N36-I37-L37</f>
        <v>383158.68736201065</v>
      </c>
      <c r="O37" s="152">
        <f t="shared" si="7"/>
        <v>602937.70336201065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2337</v>
      </c>
      <c r="I38" s="152"/>
      <c r="J38" s="157"/>
      <c r="K38" s="157">
        <v>5800360279</v>
      </c>
      <c r="L38" s="227">
        <v>4931</v>
      </c>
      <c r="M38" s="157" t="s">
        <v>2334</v>
      </c>
      <c r="N38" s="227">
        <f t="shared" si="6"/>
        <v>378227.68736201065</v>
      </c>
      <c r="O38" s="152">
        <f t="shared" si="7"/>
        <v>598006.70336201065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2337</v>
      </c>
      <c r="I39" s="152"/>
      <c r="J39" s="157"/>
      <c r="K39" s="157">
        <v>5800360279</v>
      </c>
      <c r="L39" s="227">
        <v>8351.3060000000005</v>
      </c>
      <c r="M39" s="157" t="s">
        <v>2334</v>
      </c>
      <c r="N39" s="227">
        <f t="shared" si="6"/>
        <v>369876.38136201067</v>
      </c>
      <c r="O39" s="152">
        <f t="shared" si="7"/>
        <v>589655.39736201067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2337</v>
      </c>
      <c r="I40" s="152"/>
      <c r="J40" s="157"/>
      <c r="K40" s="157">
        <v>5800360279</v>
      </c>
      <c r="L40" s="227">
        <v>11002.768</v>
      </c>
      <c r="M40" s="157" t="s">
        <v>2334</v>
      </c>
      <c r="N40" s="227">
        <f t="shared" si="6"/>
        <v>358873.61336201068</v>
      </c>
      <c r="O40" s="152">
        <f t="shared" si="7"/>
        <v>578652.62936201063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2337</v>
      </c>
      <c r="I41" s="152"/>
      <c r="J41" s="157"/>
      <c r="K41" s="157">
        <v>5800360279</v>
      </c>
      <c r="L41" s="227">
        <v>13257.311</v>
      </c>
      <c r="M41" s="157" t="s">
        <v>2334</v>
      </c>
      <c r="N41" s="227">
        <f t="shared" si="6"/>
        <v>345616.3023620107</v>
      </c>
      <c r="O41" s="152">
        <f t="shared" si="7"/>
        <v>565395.31836201064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2337</v>
      </c>
      <c r="I42" s="152"/>
      <c r="J42" s="157"/>
      <c r="K42" s="157">
        <v>5800360279</v>
      </c>
      <c r="L42" s="227">
        <v>15955.763999999999</v>
      </c>
      <c r="M42" s="157" t="s">
        <v>2334</v>
      </c>
      <c r="N42" s="227">
        <f t="shared" si="2"/>
        <v>329660.53836201067</v>
      </c>
      <c r="O42" s="152">
        <f t="shared" si="3"/>
        <v>549439.55436201068</v>
      </c>
    </row>
    <row r="43" spans="1:15" x14ac:dyDescent="0.15">
      <c r="A43" s="154"/>
      <c r="B43" s="151"/>
      <c r="C43" s="152"/>
      <c r="D43" s="323" t="s">
        <v>2338</v>
      </c>
      <c r="E43" s="154" t="s">
        <v>72</v>
      </c>
      <c r="F43" s="157" t="s">
        <v>2368</v>
      </c>
      <c r="G43" s="152">
        <v>87924.967000000004</v>
      </c>
      <c r="H43" s="323" t="s">
        <v>2338</v>
      </c>
      <c r="I43" s="152">
        <v>14004.513999999999</v>
      </c>
      <c r="J43" s="157" t="s">
        <v>2334</v>
      </c>
      <c r="K43" s="157">
        <v>5800360279</v>
      </c>
      <c r="L43" s="227">
        <v>15401.802</v>
      </c>
      <c r="M43" s="157" t="s">
        <v>2334</v>
      </c>
      <c r="N43" s="227">
        <f t="shared" si="2"/>
        <v>300254.22236201062</v>
      </c>
      <c r="O43" s="152">
        <f t="shared" si="3"/>
        <v>607958.20536201063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2338</v>
      </c>
      <c r="I44" s="152"/>
      <c r="J44" s="157"/>
      <c r="K44" s="157">
        <v>5800360279</v>
      </c>
      <c r="L44" s="227">
        <v>14471.331</v>
      </c>
      <c r="M44" s="157" t="s">
        <v>2334</v>
      </c>
      <c r="N44" s="227">
        <f t="shared" si="2"/>
        <v>285782.89136201062</v>
      </c>
      <c r="O44" s="152">
        <f t="shared" si="3"/>
        <v>593486.87436201063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2338</v>
      </c>
      <c r="I45" s="152"/>
      <c r="J45" s="157"/>
      <c r="K45" s="157">
        <v>5800360279</v>
      </c>
      <c r="L45" s="227">
        <v>15210.706</v>
      </c>
      <c r="M45" s="157" t="s">
        <v>2334</v>
      </c>
      <c r="N45" s="227">
        <f t="shared" si="2"/>
        <v>270572.18536201061</v>
      </c>
      <c r="O45" s="152">
        <f t="shared" si="3"/>
        <v>578276.16836201062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2338</v>
      </c>
      <c r="I46" s="152"/>
      <c r="J46" s="157"/>
      <c r="K46" s="157">
        <v>5800360279</v>
      </c>
      <c r="L46" s="227">
        <v>11980.069</v>
      </c>
      <c r="M46" s="157" t="s">
        <v>2334</v>
      </c>
      <c r="N46" s="227">
        <f t="shared" si="2"/>
        <v>258592.11636201062</v>
      </c>
      <c r="O46" s="152">
        <f t="shared" si="3"/>
        <v>566296.0993620106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2338</v>
      </c>
      <c r="I47" s="152"/>
      <c r="J47" s="154"/>
      <c r="K47" s="157">
        <v>5800360279</v>
      </c>
      <c r="L47" s="227">
        <v>12477.321</v>
      </c>
      <c r="M47" s="157" t="s">
        <v>2334</v>
      </c>
      <c r="N47" s="227">
        <f t="shared" si="2"/>
        <v>246114.79536201063</v>
      </c>
      <c r="O47" s="152">
        <f t="shared" si="3"/>
        <v>553818.77836201061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2338</v>
      </c>
      <c r="I48" s="152"/>
      <c r="J48" s="157"/>
      <c r="K48" s="157">
        <v>5800360279</v>
      </c>
      <c r="L48" s="227">
        <v>11351.751</v>
      </c>
      <c r="M48" s="157" t="s">
        <v>2334</v>
      </c>
      <c r="N48" s="227">
        <f t="shared" si="2"/>
        <v>234763.04436201064</v>
      </c>
      <c r="O48" s="152">
        <f t="shared" si="3"/>
        <v>542467.02736201056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2338</v>
      </c>
      <c r="I49" s="152"/>
      <c r="J49" s="157"/>
      <c r="K49" s="157">
        <v>5800360279</v>
      </c>
      <c r="L49" s="227">
        <v>1641.8320000000001</v>
      </c>
      <c r="M49" s="157" t="s">
        <v>2334</v>
      </c>
      <c r="N49" s="227">
        <f t="shared" si="2"/>
        <v>233121.21236201064</v>
      </c>
      <c r="O49" s="152">
        <f t="shared" si="3"/>
        <v>540825.19536201051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2338</v>
      </c>
      <c r="I50" s="152"/>
      <c r="J50" s="157"/>
      <c r="K50" s="157">
        <v>5800360279</v>
      </c>
      <c r="L50" s="227">
        <v>2501.2669999999998</v>
      </c>
      <c r="M50" s="157" t="s">
        <v>2334</v>
      </c>
      <c r="N50" s="227">
        <f t="shared" si="2"/>
        <v>230619.94536201065</v>
      </c>
      <c r="O50" s="152">
        <f t="shared" si="3"/>
        <v>538323.92836201051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2338</v>
      </c>
      <c r="I51" s="152"/>
      <c r="J51" s="157"/>
      <c r="K51" s="157">
        <v>5800360279</v>
      </c>
      <c r="L51" s="227">
        <v>4623.5309999999999</v>
      </c>
      <c r="M51" s="157" t="s">
        <v>2334</v>
      </c>
      <c r="N51" s="227">
        <f t="shared" si="2"/>
        <v>225996.41436201066</v>
      </c>
      <c r="O51" s="152">
        <f t="shared" si="3"/>
        <v>533700.39736201055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2338</v>
      </c>
      <c r="I52" s="152"/>
      <c r="J52" s="157"/>
      <c r="K52" s="157">
        <v>5800360279</v>
      </c>
      <c r="L52" s="227">
        <v>11692.815000000001</v>
      </c>
      <c r="M52" s="157" t="s">
        <v>2334</v>
      </c>
      <c r="N52" s="227">
        <f t="shared" si="2"/>
        <v>214303.59936201066</v>
      </c>
      <c r="O52" s="152">
        <f t="shared" si="3"/>
        <v>522007.58236201055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2338</v>
      </c>
      <c r="I53" s="152"/>
      <c r="J53" s="157"/>
      <c r="K53" s="157">
        <v>5800360279</v>
      </c>
      <c r="L53" s="227">
        <v>2992.6970000000001</v>
      </c>
      <c r="M53" s="157" t="s">
        <v>2334</v>
      </c>
      <c r="N53" s="227">
        <f t="shared" si="2"/>
        <v>211310.90236201067</v>
      </c>
      <c r="O53" s="152">
        <f t="shared" si="3"/>
        <v>519014.88536201057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2338</v>
      </c>
      <c r="I54" s="152"/>
      <c r="J54" s="157"/>
      <c r="K54" s="157">
        <v>5800360279</v>
      </c>
      <c r="L54" s="227">
        <v>968.90200000000004</v>
      </c>
      <c r="M54" s="157" t="s">
        <v>2334</v>
      </c>
      <c r="N54" s="227">
        <f t="shared" si="2"/>
        <v>210342.00036201067</v>
      </c>
      <c r="O54" s="152">
        <f t="shared" si="3"/>
        <v>518045.98336201056</v>
      </c>
    </row>
    <row r="55" spans="1:15" x14ac:dyDescent="0.15">
      <c r="A55" s="154"/>
      <c r="B55" s="151"/>
      <c r="C55" s="152"/>
      <c r="D55" s="323" t="s">
        <v>2339</v>
      </c>
      <c r="E55" s="154" t="s">
        <v>72</v>
      </c>
      <c r="F55" s="157" t="s">
        <v>2369</v>
      </c>
      <c r="G55" s="152">
        <v>219598.75599999999</v>
      </c>
      <c r="H55" s="323" t="s">
        <v>2339</v>
      </c>
      <c r="I55" s="152">
        <v>12064.849</v>
      </c>
      <c r="J55" s="157" t="s">
        <v>2334</v>
      </c>
      <c r="K55" s="157">
        <v>5800360279</v>
      </c>
      <c r="L55" s="227">
        <v>13997.901</v>
      </c>
      <c r="M55" s="157" t="s">
        <v>2334</v>
      </c>
      <c r="N55" s="227">
        <f t="shared" si="2"/>
        <v>184279.25036201067</v>
      </c>
      <c r="O55" s="152">
        <f t="shared" si="3"/>
        <v>711581.9893620105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2339</v>
      </c>
      <c r="I56" s="152"/>
      <c r="J56" s="157"/>
      <c r="K56" s="157">
        <v>5800360279</v>
      </c>
      <c r="L56" s="227">
        <v>13522.142</v>
      </c>
      <c r="M56" s="157" t="s">
        <v>2334</v>
      </c>
      <c r="N56" s="227">
        <f t="shared" si="2"/>
        <v>170757.10836201068</v>
      </c>
      <c r="O56" s="152">
        <f t="shared" si="3"/>
        <v>698059.84736201051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2339</v>
      </c>
      <c r="I57" s="152"/>
      <c r="J57" s="157"/>
      <c r="K57" s="157">
        <v>5800360279</v>
      </c>
      <c r="L57" s="227">
        <v>7956.9650000000001</v>
      </c>
      <c r="M57" s="157" t="s">
        <v>2334</v>
      </c>
      <c r="N57" s="227">
        <f t="shared" si="2"/>
        <v>162800.14336201068</v>
      </c>
      <c r="O57" s="152">
        <f t="shared" si="3"/>
        <v>690102.88236201054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2339</v>
      </c>
      <c r="I58" s="152"/>
      <c r="J58" s="157"/>
      <c r="K58" s="157">
        <v>5800360279</v>
      </c>
      <c r="L58" s="227">
        <v>15999.886</v>
      </c>
      <c r="M58" s="157" t="s">
        <v>2334</v>
      </c>
      <c r="N58" s="227">
        <f t="shared" si="2"/>
        <v>146800.25736201069</v>
      </c>
      <c r="O58" s="152">
        <f t="shared" si="3"/>
        <v>674102.99636201048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2339</v>
      </c>
      <c r="I59" s="152"/>
      <c r="J59" s="157"/>
      <c r="K59" s="157">
        <v>5800360279</v>
      </c>
      <c r="L59" s="227">
        <v>10604.621999999999</v>
      </c>
      <c r="M59" s="157" t="s">
        <v>2334</v>
      </c>
      <c r="N59" s="227">
        <f t="shared" si="2"/>
        <v>136195.63536201068</v>
      </c>
      <c r="O59" s="152">
        <f t="shared" si="3"/>
        <v>663498.37436201051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2339</v>
      </c>
      <c r="I60" s="152"/>
      <c r="J60" s="157"/>
      <c r="K60" s="157">
        <v>5800360279</v>
      </c>
      <c r="L60" s="227">
        <v>90593.055999999997</v>
      </c>
      <c r="M60" s="157" t="s">
        <v>2334</v>
      </c>
      <c r="N60" s="227">
        <f t="shared" si="2"/>
        <v>45602.579362010685</v>
      </c>
      <c r="O60" s="152">
        <f t="shared" si="3"/>
        <v>572905.31836201053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2339</v>
      </c>
      <c r="I61" s="152"/>
      <c r="J61" s="157"/>
      <c r="K61" s="157">
        <v>5800360279</v>
      </c>
      <c r="L61" s="227">
        <v>2245.8609999999999</v>
      </c>
      <c r="M61" s="157" t="s">
        <v>2334</v>
      </c>
      <c r="N61" s="227">
        <f t="shared" si="2"/>
        <v>43356.718362010688</v>
      </c>
      <c r="O61" s="152">
        <f t="shared" si="3"/>
        <v>570659.45736201049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2339</v>
      </c>
      <c r="I62" s="152"/>
      <c r="J62" s="157"/>
      <c r="K62" s="157">
        <v>5800360279</v>
      </c>
      <c r="L62" s="227">
        <v>12573.623</v>
      </c>
      <c r="M62" s="157" t="s">
        <v>2334</v>
      </c>
      <c r="N62" s="227">
        <f t="shared" si="2"/>
        <v>30783.095362010688</v>
      </c>
      <c r="O62" s="152">
        <f t="shared" si="3"/>
        <v>558085.83436201047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2339</v>
      </c>
      <c r="I63" s="152"/>
      <c r="J63" s="157"/>
      <c r="K63" s="157">
        <v>5800360279</v>
      </c>
      <c r="L63" s="227">
        <v>30783.095362010688</v>
      </c>
      <c r="M63" s="157" t="s">
        <v>2334</v>
      </c>
      <c r="N63" s="227">
        <f t="shared" si="2"/>
        <v>0</v>
      </c>
      <c r="O63" s="152">
        <f t="shared" si="3"/>
        <v>527302.73899999983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2339</v>
      </c>
      <c r="I64" s="152"/>
      <c r="J64" s="157"/>
      <c r="K64" s="157">
        <v>5800360292</v>
      </c>
      <c r="L64" s="227">
        <v>41494.249637989298</v>
      </c>
      <c r="M64" s="157" t="s">
        <v>2367</v>
      </c>
      <c r="N64" s="227">
        <f>G26+N63-I64-L64</f>
        <v>177706.57036201077</v>
      </c>
      <c r="O64" s="152">
        <f t="shared" ref="O64:O67" si="8">O63+G64-I64-L64</f>
        <v>485808.4893620105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2339</v>
      </c>
      <c r="I65" s="152"/>
      <c r="J65" s="157"/>
      <c r="K65" s="157">
        <v>5800360292</v>
      </c>
      <c r="L65" s="227">
        <v>33752.881999999998</v>
      </c>
      <c r="M65" s="157" t="s">
        <v>2367</v>
      </c>
      <c r="N65" s="227">
        <f t="shared" ref="N65:N67" si="9">+N64-I65-L65</f>
        <v>143953.68836201075</v>
      </c>
      <c r="O65" s="152">
        <f t="shared" si="8"/>
        <v>452055.60736201052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2339</v>
      </c>
      <c r="I66" s="152"/>
      <c r="J66" s="157"/>
      <c r="K66" s="157">
        <v>5800360292</v>
      </c>
      <c r="L66" s="227">
        <v>4616.5959999999995</v>
      </c>
      <c r="M66" s="157" t="s">
        <v>2367</v>
      </c>
      <c r="N66" s="227">
        <f t="shared" si="9"/>
        <v>139337.09236201076</v>
      </c>
      <c r="O66" s="152">
        <f t="shared" si="8"/>
        <v>447439.0113620105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2339</v>
      </c>
      <c r="I67" s="152"/>
      <c r="J67" s="157"/>
      <c r="K67" s="157">
        <v>5800360292</v>
      </c>
      <c r="L67" s="227">
        <v>4800.54</v>
      </c>
      <c r="M67" s="157" t="s">
        <v>2367</v>
      </c>
      <c r="N67" s="227">
        <f t="shared" si="9"/>
        <v>134536.55236201076</v>
      </c>
      <c r="O67" s="152">
        <f t="shared" si="8"/>
        <v>442638.47136201052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2339</v>
      </c>
      <c r="I68" s="152"/>
      <c r="J68" s="157"/>
      <c r="K68" s="157">
        <v>5800360292</v>
      </c>
      <c r="L68" s="227">
        <v>9165.2119999999995</v>
      </c>
      <c r="M68" s="157" t="s">
        <v>2367</v>
      </c>
      <c r="N68" s="227">
        <f t="shared" si="2"/>
        <v>125371.34036201076</v>
      </c>
      <c r="O68" s="152">
        <f t="shared" si="3"/>
        <v>433473.25936201052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2339</v>
      </c>
      <c r="I69" s="152"/>
      <c r="J69" s="157"/>
      <c r="K69" s="157">
        <v>5800360292</v>
      </c>
      <c r="L69" s="227">
        <v>2866.1280000000002</v>
      </c>
      <c r="M69" s="157" t="s">
        <v>2367</v>
      </c>
      <c r="N69" s="227">
        <f t="shared" si="2"/>
        <v>122505.21236201076</v>
      </c>
      <c r="O69" s="152">
        <f t="shared" si="3"/>
        <v>430607.13136201049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2339</v>
      </c>
      <c r="I70" s="152"/>
      <c r="J70" s="157"/>
      <c r="K70" s="157">
        <v>5800360292</v>
      </c>
      <c r="L70" s="227">
        <v>14541.575999999999</v>
      </c>
      <c r="M70" s="157" t="s">
        <v>2367</v>
      </c>
      <c r="N70" s="227">
        <f t="shared" si="2"/>
        <v>107963.63636201076</v>
      </c>
      <c r="O70" s="152">
        <f t="shared" si="3"/>
        <v>416065.55536201049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2339</v>
      </c>
      <c r="I71" s="152"/>
      <c r="J71" s="157"/>
      <c r="K71" s="157">
        <v>5800360292</v>
      </c>
      <c r="L71" s="227">
        <v>13063.026</v>
      </c>
      <c r="M71" s="157" t="s">
        <v>2367</v>
      </c>
      <c r="N71" s="227">
        <f t="shared" si="2"/>
        <v>94900.610362010761</v>
      </c>
      <c r="O71" s="152">
        <f t="shared" si="3"/>
        <v>403002.52936201048</v>
      </c>
    </row>
    <row r="72" spans="1:15" x14ac:dyDescent="0.15">
      <c r="A72" s="154"/>
      <c r="B72" s="151"/>
      <c r="C72" s="152"/>
      <c r="D72" s="323" t="s">
        <v>2340</v>
      </c>
      <c r="E72" s="154" t="s">
        <v>72</v>
      </c>
      <c r="F72" s="157" t="s">
        <v>2369</v>
      </c>
      <c r="G72" s="152">
        <v>131816.97200000001</v>
      </c>
      <c r="H72" s="323" t="s">
        <v>2340</v>
      </c>
      <c r="I72" s="152">
        <v>12873.416000000001</v>
      </c>
      <c r="J72" s="157" t="s">
        <v>2367</v>
      </c>
      <c r="K72" s="157">
        <v>5800360292</v>
      </c>
      <c r="L72" s="227">
        <v>35257.862999999998</v>
      </c>
      <c r="M72" s="157" t="s">
        <v>2367</v>
      </c>
      <c r="N72" s="227">
        <f t="shared" si="2"/>
        <v>46769.331362010766</v>
      </c>
      <c r="O72" s="152">
        <f t="shared" si="3"/>
        <v>486688.22236201045</v>
      </c>
    </row>
    <row r="73" spans="1:15" x14ac:dyDescent="0.15">
      <c r="A73" s="154"/>
      <c r="B73" s="151"/>
      <c r="C73" s="152"/>
      <c r="D73" s="323" t="s">
        <v>2340</v>
      </c>
      <c r="E73" s="154" t="s">
        <v>72</v>
      </c>
      <c r="F73" s="157" t="s">
        <v>2370</v>
      </c>
      <c r="G73" s="152">
        <v>175771.68900000001</v>
      </c>
      <c r="H73" s="323" t="s">
        <v>2340</v>
      </c>
      <c r="I73" s="152"/>
      <c r="J73" s="157"/>
      <c r="K73" s="157">
        <v>5800360292</v>
      </c>
      <c r="L73" s="227">
        <v>14404.298000000001</v>
      </c>
      <c r="M73" s="157" t="s">
        <v>2367</v>
      </c>
      <c r="N73" s="227">
        <f t="shared" si="2"/>
        <v>32365.033362010763</v>
      </c>
      <c r="O73" s="152">
        <f t="shared" si="3"/>
        <v>648055.61336201057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2340</v>
      </c>
      <c r="I74" s="152"/>
      <c r="J74" s="157"/>
      <c r="K74" s="157">
        <v>5800360292</v>
      </c>
      <c r="L74" s="227">
        <v>13824.004000000001</v>
      </c>
      <c r="M74" s="157" t="s">
        <v>2367</v>
      </c>
      <c r="N74" s="227">
        <f t="shared" si="2"/>
        <v>18541.029362010762</v>
      </c>
      <c r="O74" s="152">
        <f t="shared" si="3"/>
        <v>634231.60936201061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2340</v>
      </c>
      <c r="I75" s="152"/>
      <c r="J75" s="157"/>
      <c r="K75" s="157">
        <v>5800360292</v>
      </c>
      <c r="L75" s="227">
        <v>12798.484</v>
      </c>
      <c r="M75" s="157" t="s">
        <v>2367</v>
      </c>
      <c r="N75" s="227">
        <f t="shared" si="2"/>
        <v>5742.5453620107619</v>
      </c>
      <c r="O75" s="152">
        <f t="shared" si="3"/>
        <v>621433.12536201056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2340</v>
      </c>
      <c r="I76" s="152"/>
      <c r="J76" s="157"/>
      <c r="K76" s="157">
        <v>5800360292</v>
      </c>
      <c r="L76" s="227">
        <v>5742.5453620107619</v>
      </c>
      <c r="M76" s="157" t="s">
        <v>2367</v>
      </c>
      <c r="N76" s="227">
        <f t="shared" ref="N76:N80" si="10">+N75-I76-L76</f>
        <v>0</v>
      </c>
      <c r="O76" s="152">
        <f t="shared" ref="O76:O80" si="11">O75+G76-I76-L76</f>
        <v>615690.57999999984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2340</v>
      </c>
      <c r="I77" s="152"/>
      <c r="J77" s="157"/>
      <c r="K77" s="157">
        <v>5800360292</v>
      </c>
      <c r="L77" s="227">
        <v>10592.7306379892</v>
      </c>
      <c r="M77" s="157" t="s">
        <v>2368</v>
      </c>
      <c r="N77" s="227">
        <f>G27+G43+N76-I77-L77</f>
        <v>77910.432362010746</v>
      </c>
      <c r="O77" s="152">
        <f t="shared" si="11"/>
        <v>605097.8493620106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2340</v>
      </c>
      <c r="I78" s="152"/>
      <c r="J78" s="157"/>
      <c r="K78" s="157">
        <v>5800360292</v>
      </c>
      <c r="L78" s="227">
        <v>13258.717000000001</v>
      </c>
      <c r="M78" s="157" t="s">
        <v>2368</v>
      </c>
      <c r="N78" s="227">
        <f t="shared" si="10"/>
        <v>64651.715362010742</v>
      </c>
      <c r="O78" s="152">
        <f t="shared" si="11"/>
        <v>591839.13236201066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2340</v>
      </c>
      <c r="I79" s="152"/>
      <c r="J79" s="157"/>
      <c r="K79" s="157">
        <v>5800360292</v>
      </c>
      <c r="L79" s="227">
        <v>10253.195</v>
      </c>
      <c r="M79" s="157" t="s">
        <v>2368</v>
      </c>
      <c r="N79" s="227">
        <f t="shared" si="10"/>
        <v>54398.520362010742</v>
      </c>
      <c r="O79" s="152">
        <f t="shared" si="11"/>
        <v>581585.93736201071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2340</v>
      </c>
      <c r="I80" s="152"/>
      <c r="J80" s="157"/>
      <c r="K80" s="157">
        <v>5800360292</v>
      </c>
      <c r="L80" s="227">
        <v>4577.3190000000004</v>
      </c>
      <c r="M80" s="157" t="s">
        <v>2368</v>
      </c>
      <c r="N80" s="227">
        <f t="shared" si="10"/>
        <v>49821.201362010739</v>
      </c>
      <c r="O80" s="152">
        <f t="shared" si="11"/>
        <v>577008.61836201069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2340</v>
      </c>
      <c r="I81" s="152"/>
      <c r="J81" s="157"/>
      <c r="K81" s="157">
        <v>5800360292</v>
      </c>
      <c r="L81" s="227">
        <v>49821.201362010739</v>
      </c>
      <c r="M81" s="157" t="s">
        <v>2368</v>
      </c>
      <c r="N81" s="227">
        <f t="shared" ref="N81:N86" si="12">+N80-I81-L81</f>
        <v>0</v>
      </c>
      <c r="O81" s="152">
        <f t="shared" ref="O81:O86" si="13">O80+G81-I81-L81</f>
        <v>527187.4169999999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2340</v>
      </c>
      <c r="I82" s="152"/>
      <c r="J82" s="157"/>
      <c r="K82" s="157">
        <v>5800360279</v>
      </c>
      <c r="L82" s="227">
        <v>25597.0086379893</v>
      </c>
      <c r="M82" s="157" t="s">
        <v>2369</v>
      </c>
      <c r="N82" s="227">
        <f>G55+G72+N81-I82-L82</f>
        <v>325818.71936201071</v>
      </c>
      <c r="O82" s="152">
        <f t="shared" si="13"/>
        <v>501590.40836201061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2340</v>
      </c>
      <c r="I83" s="152"/>
      <c r="J83" s="157"/>
      <c r="K83" s="157">
        <v>5800360279</v>
      </c>
      <c r="L83" s="227">
        <v>73787.383000000002</v>
      </c>
      <c r="M83" s="157" t="s">
        <v>2369</v>
      </c>
      <c r="N83" s="227">
        <f t="shared" si="12"/>
        <v>252031.33636201071</v>
      </c>
      <c r="O83" s="152">
        <f t="shared" si="13"/>
        <v>427803.02536201058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2340</v>
      </c>
      <c r="I84" s="152"/>
      <c r="J84" s="157"/>
      <c r="K84" s="157">
        <v>5800360279</v>
      </c>
      <c r="L84" s="227">
        <v>5708.8419999999996</v>
      </c>
      <c r="M84" s="157" t="s">
        <v>2369</v>
      </c>
      <c r="N84" s="227">
        <f t="shared" si="12"/>
        <v>246322.49436201071</v>
      </c>
      <c r="O84" s="152">
        <f t="shared" si="13"/>
        <v>422094.18336201058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2340</v>
      </c>
      <c r="I85" s="152"/>
      <c r="J85" s="157"/>
      <c r="K85" s="157">
        <v>5800360279</v>
      </c>
      <c r="L85" s="227">
        <v>12557.453</v>
      </c>
      <c r="M85" s="157" t="s">
        <v>2369</v>
      </c>
      <c r="N85" s="227">
        <f t="shared" si="12"/>
        <v>233765.0413620107</v>
      </c>
      <c r="O85" s="152">
        <f t="shared" si="13"/>
        <v>409536.7303620106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2340</v>
      </c>
      <c r="I86" s="152"/>
      <c r="J86" s="157"/>
      <c r="K86" s="157">
        <v>5800360279</v>
      </c>
      <c r="L86" s="227">
        <v>4274.1329999999998</v>
      </c>
      <c r="M86" s="157" t="s">
        <v>2369</v>
      </c>
      <c r="N86" s="227">
        <f t="shared" si="12"/>
        <v>229490.9083620107</v>
      </c>
      <c r="O86" s="152">
        <f t="shared" si="13"/>
        <v>405262.59736201062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2340</v>
      </c>
      <c r="I87" s="152"/>
      <c r="J87" s="157"/>
      <c r="K87" s="157">
        <v>5800360279</v>
      </c>
      <c r="L87" s="227">
        <v>565.88499999999999</v>
      </c>
      <c r="M87" s="157" t="s">
        <v>2369</v>
      </c>
      <c r="N87" s="227">
        <f t="shared" ref="N87:N146" si="14">+N86-I87-L87</f>
        <v>228925.02336201069</v>
      </c>
      <c r="O87" s="152">
        <f t="shared" ref="O87:O146" si="15">O86+G87-I87-L87</f>
        <v>404696.71236201061</v>
      </c>
    </row>
    <row r="88" spans="1:15" x14ac:dyDescent="0.15">
      <c r="A88" s="154"/>
      <c r="B88" s="151"/>
      <c r="C88" s="152"/>
      <c r="D88" s="323" t="s">
        <v>2341</v>
      </c>
      <c r="E88" s="154" t="s">
        <v>72</v>
      </c>
      <c r="F88" s="157" t="s">
        <v>2371</v>
      </c>
      <c r="G88" s="152">
        <v>263617.84399999998</v>
      </c>
      <c r="H88" s="323" t="s">
        <v>2341</v>
      </c>
      <c r="I88" s="152">
        <v>13396.746999999999</v>
      </c>
      <c r="J88" s="157" t="s">
        <v>2369</v>
      </c>
      <c r="K88" s="157">
        <v>5800360279</v>
      </c>
      <c r="L88" s="227">
        <v>13730.625</v>
      </c>
      <c r="M88" s="157" t="s">
        <v>2369</v>
      </c>
      <c r="N88" s="227">
        <f t="shared" si="14"/>
        <v>201797.65136201069</v>
      </c>
      <c r="O88" s="152">
        <f t="shared" si="15"/>
        <v>641187.18436201056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2341</v>
      </c>
      <c r="I89" s="152"/>
      <c r="J89" s="157"/>
      <c r="K89" s="157">
        <v>5800360279</v>
      </c>
      <c r="L89" s="227">
        <v>11576.093000000001</v>
      </c>
      <c r="M89" s="157" t="s">
        <v>2369</v>
      </c>
      <c r="N89" s="227">
        <f t="shared" si="14"/>
        <v>190221.55836201069</v>
      </c>
      <c r="O89" s="152">
        <f t="shared" si="15"/>
        <v>629611.09136201057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2341</v>
      </c>
      <c r="I90" s="152"/>
      <c r="J90" s="157"/>
      <c r="K90" s="157">
        <v>5800360279</v>
      </c>
      <c r="L90" s="227">
        <v>16634.428</v>
      </c>
      <c r="M90" s="157" t="s">
        <v>2369</v>
      </c>
      <c r="N90" s="227">
        <f t="shared" si="14"/>
        <v>173587.13036201068</v>
      </c>
      <c r="O90" s="152">
        <f t="shared" si="15"/>
        <v>612976.66336201061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2341</v>
      </c>
      <c r="I91" s="152"/>
      <c r="J91" s="157"/>
      <c r="K91" s="157">
        <v>5800360279</v>
      </c>
      <c r="L91" s="227">
        <v>12495.882</v>
      </c>
      <c r="M91" s="157" t="s">
        <v>2369</v>
      </c>
      <c r="N91" s="227">
        <f t="shared" si="14"/>
        <v>161091.24836201067</v>
      </c>
      <c r="O91" s="152">
        <f t="shared" si="15"/>
        <v>600480.78136201063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2341</v>
      </c>
      <c r="I92" s="152"/>
      <c r="J92" s="157"/>
      <c r="K92" s="157">
        <v>5800360279</v>
      </c>
      <c r="L92" s="227">
        <v>14461.842000000001</v>
      </c>
      <c r="M92" s="157" t="s">
        <v>2369</v>
      </c>
      <c r="N92" s="227">
        <f t="shared" si="14"/>
        <v>146629.40636201066</v>
      </c>
      <c r="O92" s="152">
        <f t="shared" si="15"/>
        <v>586018.93936201069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2341</v>
      </c>
      <c r="I93" s="152"/>
      <c r="J93" s="157"/>
      <c r="K93" s="157">
        <v>5800360279</v>
      </c>
      <c r="L93" s="227">
        <v>1066.232</v>
      </c>
      <c r="M93" s="157" t="s">
        <v>2369</v>
      </c>
      <c r="N93" s="227">
        <f t="shared" si="14"/>
        <v>145563.17436201067</v>
      </c>
      <c r="O93" s="152">
        <f t="shared" si="15"/>
        <v>584952.70736201073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2341</v>
      </c>
      <c r="I94" s="152"/>
      <c r="J94" s="157"/>
      <c r="K94" s="157">
        <v>5800360279</v>
      </c>
      <c r="L94" s="227">
        <v>8822.6820000000007</v>
      </c>
      <c r="M94" s="157" t="s">
        <v>2369</v>
      </c>
      <c r="N94" s="227">
        <f t="shared" si="14"/>
        <v>136740.49236201067</v>
      </c>
      <c r="O94" s="152">
        <f t="shared" si="15"/>
        <v>576130.0253620107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2341</v>
      </c>
      <c r="I95" s="152"/>
      <c r="J95" s="157"/>
      <c r="K95" s="157">
        <v>5800360279</v>
      </c>
      <c r="L95" s="227">
        <v>10211.103999999999</v>
      </c>
      <c r="M95" s="157" t="s">
        <v>2369</v>
      </c>
      <c r="N95" s="227">
        <f t="shared" si="14"/>
        <v>126529.38836201068</v>
      </c>
      <c r="O95" s="152">
        <f t="shared" si="15"/>
        <v>565918.92136201065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2341</v>
      </c>
      <c r="I96" s="152"/>
      <c r="J96" s="157"/>
      <c r="K96" s="157">
        <v>5800360279</v>
      </c>
      <c r="L96" s="227">
        <v>1177.3579999999999</v>
      </c>
      <c r="M96" s="157" t="s">
        <v>2369</v>
      </c>
      <c r="N96" s="227">
        <f t="shared" si="14"/>
        <v>125352.03036201069</v>
      </c>
      <c r="O96" s="152">
        <f t="shared" si="15"/>
        <v>564741.56336201064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2341</v>
      </c>
      <c r="I97" s="152"/>
      <c r="J97" s="157"/>
      <c r="K97" s="157">
        <v>5800360279</v>
      </c>
      <c r="L97" s="227">
        <v>14350.362999999999</v>
      </c>
      <c r="M97" s="157" t="s">
        <v>2369</v>
      </c>
      <c r="N97" s="227">
        <f t="shared" si="14"/>
        <v>111001.66736201069</v>
      </c>
      <c r="O97" s="152">
        <f t="shared" si="15"/>
        <v>550391.20036201063</v>
      </c>
    </row>
    <row r="98" spans="1:15" x14ac:dyDescent="0.15">
      <c r="A98" s="154"/>
      <c r="B98" s="151"/>
      <c r="C98" s="152"/>
      <c r="D98" s="323" t="s">
        <v>2342</v>
      </c>
      <c r="E98" s="154" t="s">
        <v>72</v>
      </c>
      <c r="F98" s="157" t="s">
        <v>2372</v>
      </c>
      <c r="G98" s="152">
        <v>175784.01</v>
      </c>
      <c r="H98" s="323" t="s">
        <v>2342</v>
      </c>
      <c r="I98" s="152">
        <v>10228.774000000001</v>
      </c>
      <c r="J98" s="157" t="s">
        <v>2369</v>
      </c>
      <c r="K98" s="157">
        <v>5800360279</v>
      </c>
      <c r="L98" s="227">
        <v>34558.968000000001</v>
      </c>
      <c r="M98" s="157" t="s">
        <v>2369</v>
      </c>
      <c r="N98" s="227">
        <f t="shared" si="14"/>
        <v>66213.92536201069</v>
      </c>
      <c r="O98" s="152">
        <f t="shared" si="15"/>
        <v>681387.46836201067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2342</v>
      </c>
      <c r="I99" s="152"/>
      <c r="J99" s="157"/>
      <c r="K99" s="157">
        <v>5800360279</v>
      </c>
      <c r="L99" s="227">
        <v>16013.254999999999</v>
      </c>
      <c r="M99" s="157" t="s">
        <v>2369</v>
      </c>
      <c r="N99" s="227">
        <f t="shared" si="14"/>
        <v>50200.670362010693</v>
      </c>
      <c r="O99" s="152">
        <f t="shared" si="15"/>
        <v>665374.21336201066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2342</v>
      </c>
      <c r="I100" s="152"/>
      <c r="J100" s="154"/>
      <c r="K100" s="157">
        <v>5800360279</v>
      </c>
      <c r="L100" s="227">
        <v>13188.973</v>
      </c>
      <c r="M100" s="157" t="s">
        <v>2369</v>
      </c>
      <c r="N100" s="227">
        <f t="shared" si="14"/>
        <v>37011.697362010695</v>
      </c>
      <c r="O100" s="152">
        <f t="shared" si="15"/>
        <v>652185.24036201066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2342</v>
      </c>
      <c r="I101" s="152"/>
      <c r="J101" s="154"/>
      <c r="K101" s="157">
        <v>5800360279</v>
      </c>
      <c r="L101" s="227">
        <v>12083.646000000001</v>
      </c>
      <c r="M101" s="157" t="s">
        <v>2369</v>
      </c>
      <c r="N101" s="227">
        <f t="shared" si="14"/>
        <v>24928.051362010694</v>
      </c>
      <c r="O101" s="152">
        <f t="shared" si="15"/>
        <v>640101.59436201071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2342</v>
      </c>
      <c r="I102" s="152"/>
      <c r="J102" s="157"/>
      <c r="K102" s="157">
        <v>5800360279</v>
      </c>
      <c r="L102" s="227">
        <v>11777.832</v>
      </c>
      <c r="M102" s="157" t="s">
        <v>2369</v>
      </c>
      <c r="N102" s="227">
        <f t="shared" si="14"/>
        <v>13150.219362010694</v>
      </c>
      <c r="O102" s="152">
        <f t="shared" si="15"/>
        <v>628323.76236201066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2342</v>
      </c>
      <c r="I103" s="152"/>
      <c r="J103" s="157"/>
      <c r="K103" s="157">
        <v>5800360279</v>
      </c>
      <c r="L103" s="227">
        <v>13150.219362010694</v>
      </c>
      <c r="M103" s="157" t="s">
        <v>2369</v>
      </c>
      <c r="N103" s="227">
        <f t="shared" ref="N103:N107" si="16">+N102-I103-L103</f>
        <v>0</v>
      </c>
      <c r="O103" s="152">
        <f t="shared" ref="O103:O107" si="17">O102+G103-I103-L103</f>
        <v>615173.54299999995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2342</v>
      </c>
      <c r="I104" s="152"/>
      <c r="J104" s="157"/>
      <c r="K104" s="157">
        <v>5800360292</v>
      </c>
      <c r="L104" s="227">
        <v>57558.748637989302</v>
      </c>
      <c r="M104" s="157" t="s">
        <v>2370</v>
      </c>
      <c r="N104" s="227">
        <f>G73+N103-I104-L104</f>
        <v>118212.9403620107</v>
      </c>
      <c r="O104" s="152">
        <f t="shared" si="17"/>
        <v>557614.79436201067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2342</v>
      </c>
      <c r="I105" s="152"/>
      <c r="J105" s="157"/>
      <c r="K105" s="157">
        <v>5800360292</v>
      </c>
      <c r="L105" s="227">
        <v>11800.817999999999</v>
      </c>
      <c r="M105" s="157" t="s">
        <v>2370</v>
      </c>
      <c r="N105" s="227">
        <f t="shared" si="16"/>
        <v>106412.1223620107</v>
      </c>
      <c r="O105" s="152">
        <f t="shared" si="17"/>
        <v>545813.9763620107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2342</v>
      </c>
      <c r="I106" s="152"/>
      <c r="J106" s="157"/>
      <c r="K106" s="157">
        <v>5800360292</v>
      </c>
      <c r="L106" s="227">
        <v>701.57299999999998</v>
      </c>
      <c r="M106" s="157" t="s">
        <v>2370</v>
      </c>
      <c r="N106" s="227">
        <f t="shared" si="16"/>
        <v>105710.5493620107</v>
      </c>
      <c r="O106" s="152">
        <f t="shared" si="17"/>
        <v>545112.40336201072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2342</v>
      </c>
      <c r="I107" s="152"/>
      <c r="J107" s="157"/>
      <c r="K107" s="157">
        <v>5800360292</v>
      </c>
      <c r="L107" s="227">
        <v>1239.2460000000001</v>
      </c>
      <c r="M107" s="157" t="s">
        <v>2370</v>
      </c>
      <c r="N107" s="227">
        <f t="shared" si="16"/>
        <v>104471.3033620107</v>
      </c>
      <c r="O107" s="152">
        <f t="shared" si="17"/>
        <v>543873.15736201068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2342</v>
      </c>
      <c r="I108" s="152"/>
      <c r="J108" s="157"/>
      <c r="K108" s="157">
        <v>5800360292</v>
      </c>
      <c r="L108" s="227">
        <v>15671.462</v>
      </c>
      <c r="M108" s="157" t="s">
        <v>2370</v>
      </c>
      <c r="N108" s="227">
        <f t="shared" si="14"/>
        <v>88799.841362010702</v>
      </c>
      <c r="O108" s="152">
        <f t="shared" si="15"/>
        <v>528201.69536201074</v>
      </c>
    </row>
    <row r="109" spans="1:15" x14ac:dyDescent="0.15">
      <c r="A109" s="154"/>
      <c r="B109" s="151"/>
      <c r="C109" s="152"/>
      <c r="D109" s="323" t="s">
        <v>2343</v>
      </c>
      <c r="E109" s="154" t="s">
        <v>72</v>
      </c>
      <c r="F109" s="157" t="s">
        <v>2372</v>
      </c>
      <c r="G109" s="152">
        <v>43938.84599999999</v>
      </c>
      <c r="H109" s="323" t="s">
        <v>2343</v>
      </c>
      <c r="I109" s="152">
        <v>12488.119999999999</v>
      </c>
      <c r="J109" s="157" t="s">
        <v>2370</v>
      </c>
      <c r="K109" s="157">
        <v>5800360292</v>
      </c>
      <c r="L109" s="227">
        <v>13252.687</v>
      </c>
      <c r="M109" s="157" t="s">
        <v>2370</v>
      </c>
      <c r="N109" s="227">
        <f t="shared" si="14"/>
        <v>63059.034362010709</v>
      </c>
      <c r="O109" s="152">
        <f t="shared" si="15"/>
        <v>546399.73436201073</v>
      </c>
    </row>
    <row r="110" spans="1:15" x14ac:dyDescent="0.15">
      <c r="A110" s="154"/>
      <c r="B110" s="151"/>
      <c r="C110" s="152"/>
      <c r="D110" s="323" t="s">
        <v>2343</v>
      </c>
      <c r="E110" s="154" t="s">
        <v>72</v>
      </c>
      <c r="F110" s="157" t="s">
        <v>2373</v>
      </c>
      <c r="G110" s="152">
        <v>219789.196</v>
      </c>
      <c r="H110" s="323" t="s">
        <v>2343</v>
      </c>
      <c r="I110" s="152"/>
      <c r="J110" s="154"/>
      <c r="K110" s="157">
        <v>5800360292</v>
      </c>
      <c r="L110" s="227">
        <v>16535.351999999999</v>
      </c>
      <c r="M110" s="157" t="s">
        <v>2370</v>
      </c>
      <c r="N110" s="227">
        <f t="shared" si="14"/>
        <v>46523.68236201071</v>
      </c>
      <c r="O110" s="152">
        <f t="shared" si="15"/>
        <v>749653.57836201077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2343</v>
      </c>
      <c r="I111" s="152"/>
      <c r="J111" s="157"/>
      <c r="K111" s="157">
        <v>5800360292</v>
      </c>
      <c r="L111" s="227">
        <v>13727.782999999999</v>
      </c>
      <c r="M111" s="157" t="s">
        <v>2370</v>
      </c>
      <c r="N111" s="227">
        <f t="shared" si="14"/>
        <v>32795.899362010707</v>
      </c>
      <c r="O111" s="152">
        <f t="shared" si="15"/>
        <v>735925.79536201071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2343</v>
      </c>
      <c r="I112" s="152"/>
      <c r="J112" s="157"/>
      <c r="K112" s="157">
        <v>5800360292</v>
      </c>
      <c r="L112" s="227">
        <v>11485.328</v>
      </c>
      <c r="M112" s="157" t="s">
        <v>2370</v>
      </c>
      <c r="N112" s="227">
        <f t="shared" si="14"/>
        <v>21310.571362010705</v>
      </c>
      <c r="O112" s="152">
        <f t="shared" si="15"/>
        <v>724440.46736201074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2343</v>
      </c>
      <c r="I113" s="152"/>
      <c r="J113" s="157"/>
      <c r="K113" s="157">
        <v>5800360292</v>
      </c>
      <c r="L113" s="227">
        <v>21310.571362010705</v>
      </c>
      <c r="M113" s="157" t="s">
        <v>2370</v>
      </c>
      <c r="N113" s="227">
        <f t="shared" si="14"/>
        <v>0</v>
      </c>
      <c r="O113" s="152">
        <f t="shared" si="15"/>
        <v>703129.89600000007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2343</v>
      </c>
      <c r="I114" s="152"/>
      <c r="J114" s="157"/>
      <c r="K114" s="157">
        <v>5800360292</v>
      </c>
      <c r="L114" s="227">
        <v>42926.450637989299</v>
      </c>
      <c r="M114" s="157" t="s">
        <v>2371</v>
      </c>
      <c r="N114" s="227">
        <f>G88+N113-I114-L114</f>
        <v>220691.39336201068</v>
      </c>
      <c r="O114" s="152">
        <f t="shared" ref="O114:O120" si="18">O113+G114-I114-L114</f>
        <v>660203.44536201074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2343</v>
      </c>
      <c r="I115" s="152"/>
      <c r="J115" s="157"/>
      <c r="K115" s="157">
        <v>5800360292</v>
      </c>
      <c r="L115" s="227">
        <v>75385.282000000007</v>
      </c>
      <c r="M115" s="157" t="s">
        <v>2371</v>
      </c>
      <c r="N115" s="227">
        <f t="shared" ref="N115:N120" si="19">+N114-I115-L115</f>
        <v>145306.11136201068</v>
      </c>
      <c r="O115" s="152">
        <f t="shared" si="18"/>
        <v>584818.16336201073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2343</v>
      </c>
      <c r="I116" s="152"/>
      <c r="J116" s="157"/>
      <c r="K116" s="157">
        <v>5800360292</v>
      </c>
      <c r="L116" s="227">
        <v>14191.877</v>
      </c>
      <c r="M116" s="157" t="s">
        <v>2371</v>
      </c>
      <c r="N116" s="227">
        <f t="shared" si="19"/>
        <v>131114.23436201067</v>
      </c>
      <c r="O116" s="152">
        <f t="shared" si="18"/>
        <v>570626.28636201075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2343</v>
      </c>
      <c r="I117" s="152"/>
      <c r="J117" s="157"/>
      <c r="K117" s="157">
        <v>5800360292</v>
      </c>
      <c r="L117" s="227">
        <v>74154.032000000007</v>
      </c>
      <c r="M117" s="157" t="s">
        <v>2371</v>
      </c>
      <c r="N117" s="227">
        <f t="shared" si="19"/>
        <v>56960.202362010663</v>
      </c>
      <c r="O117" s="152">
        <f t="shared" si="18"/>
        <v>496472.25436201075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2343</v>
      </c>
      <c r="I118" s="152"/>
      <c r="J118" s="157"/>
      <c r="K118" s="157">
        <v>5800360292</v>
      </c>
      <c r="L118" s="227">
        <v>1856.87</v>
      </c>
      <c r="M118" s="157" t="s">
        <v>2371</v>
      </c>
      <c r="N118" s="227">
        <f t="shared" si="19"/>
        <v>55103.33236201066</v>
      </c>
      <c r="O118" s="152">
        <f t="shared" si="18"/>
        <v>494615.38436201075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2343</v>
      </c>
      <c r="I119" s="152"/>
      <c r="J119" s="157"/>
      <c r="K119" s="157">
        <v>5800360292</v>
      </c>
      <c r="L119" s="227">
        <v>13573.737999999999</v>
      </c>
      <c r="M119" s="157" t="s">
        <v>2371</v>
      </c>
      <c r="N119" s="227">
        <f t="shared" si="19"/>
        <v>41529.594362010663</v>
      </c>
      <c r="O119" s="152">
        <f t="shared" si="18"/>
        <v>481041.64636201074</v>
      </c>
    </row>
    <row r="120" spans="1:15" x14ac:dyDescent="0.15">
      <c r="A120" s="154"/>
      <c r="B120" s="151"/>
      <c r="C120" s="152"/>
      <c r="D120" s="323" t="s">
        <v>2344</v>
      </c>
      <c r="E120" s="154" t="s">
        <v>72</v>
      </c>
      <c r="F120" s="157" t="s">
        <v>2373</v>
      </c>
      <c r="G120" s="152">
        <v>307761.967</v>
      </c>
      <c r="H120" s="323" t="s">
        <v>2344</v>
      </c>
      <c r="I120" s="152">
        <v>12719.042000000001</v>
      </c>
      <c r="J120" s="157" t="s">
        <v>2371</v>
      </c>
      <c r="K120" s="157">
        <v>5800360292</v>
      </c>
      <c r="L120" s="227">
        <v>28810.552362010661</v>
      </c>
      <c r="M120" s="157" t="s">
        <v>2371</v>
      </c>
      <c r="N120" s="227">
        <f t="shared" si="19"/>
        <v>0</v>
      </c>
      <c r="O120" s="152">
        <f t="shared" si="18"/>
        <v>747274.01900000009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2344</v>
      </c>
      <c r="I121" s="152"/>
      <c r="J121" s="157"/>
      <c r="K121" s="157">
        <v>5800360292</v>
      </c>
      <c r="L121" s="227">
        <v>6213.6436379893403</v>
      </c>
      <c r="M121" s="157" t="s">
        <v>2372</v>
      </c>
      <c r="N121" s="227">
        <f>G98+G109+N120-I121-L121</f>
        <v>213509.21236201067</v>
      </c>
      <c r="O121" s="152">
        <f t="shared" ref="O121:O125" si="20">O120+G121-I121-L121</f>
        <v>741060.37536201079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2344</v>
      </c>
      <c r="I122" s="152"/>
      <c r="J122" s="157"/>
      <c r="K122" s="157">
        <v>5800360292</v>
      </c>
      <c r="L122" s="227">
        <v>13777.584000000001</v>
      </c>
      <c r="M122" s="157" t="s">
        <v>2372</v>
      </c>
      <c r="N122" s="227">
        <f t="shared" ref="N122:N125" si="21">+N121-I122-L122</f>
        <v>199731.62836201067</v>
      </c>
      <c r="O122" s="152">
        <f t="shared" si="20"/>
        <v>727282.79136201076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2344</v>
      </c>
      <c r="I123" s="152"/>
      <c r="J123" s="157"/>
      <c r="K123" s="157">
        <v>5800360292</v>
      </c>
      <c r="L123" s="227">
        <v>12885.223</v>
      </c>
      <c r="M123" s="157" t="s">
        <v>2372</v>
      </c>
      <c r="N123" s="227">
        <f t="shared" si="21"/>
        <v>186846.40536201067</v>
      </c>
      <c r="O123" s="152">
        <f t="shared" si="20"/>
        <v>714397.56836201076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2344</v>
      </c>
      <c r="I124" s="152"/>
      <c r="J124" s="157"/>
      <c r="K124" s="157">
        <v>5800360292</v>
      </c>
      <c r="L124" s="227">
        <v>13000.269</v>
      </c>
      <c r="M124" s="157" t="s">
        <v>2372</v>
      </c>
      <c r="N124" s="227">
        <f t="shared" si="21"/>
        <v>173846.13636201067</v>
      </c>
      <c r="O124" s="152">
        <f t="shared" si="20"/>
        <v>701397.29936201079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2344</v>
      </c>
      <c r="I125" s="152"/>
      <c r="J125" s="157"/>
      <c r="K125" s="157">
        <v>5800360292</v>
      </c>
      <c r="L125" s="227">
        <v>12645.125</v>
      </c>
      <c r="M125" s="157" t="s">
        <v>2372</v>
      </c>
      <c r="N125" s="227">
        <f t="shared" si="21"/>
        <v>161201.01136201067</v>
      </c>
      <c r="O125" s="152">
        <f t="shared" si="20"/>
        <v>688752.17436201079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2344</v>
      </c>
      <c r="I126" s="152"/>
      <c r="J126" s="157"/>
      <c r="K126" s="157">
        <v>5800360292</v>
      </c>
      <c r="L126" s="227">
        <v>80471.615999999995</v>
      </c>
      <c r="M126" s="157" t="s">
        <v>2372</v>
      </c>
      <c r="N126" s="227">
        <f t="shared" si="14"/>
        <v>80729.395362010677</v>
      </c>
      <c r="O126" s="152">
        <f t="shared" si="15"/>
        <v>608280.55836201075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2344</v>
      </c>
      <c r="I127" s="152"/>
      <c r="J127" s="157"/>
      <c r="K127" s="157">
        <v>5800360292</v>
      </c>
      <c r="L127" s="227">
        <v>8508.2739999999994</v>
      </c>
      <c r="M127" s="157" t="s">
        <v>2372</v>
      </c>
      <c r="N127" s="227">
        <f t="shared" si="14"/>
        <v>72221.121362010672</v>
      </c>
      <c r="O127" s="152">
        <f t="shared" si="15"/>
        <v>599772.28436201077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2344</v>
      </c>
      <c r="I128" s="152"/>
      <c r="J128" s="157"/>
      <c r="K128" s="157">
        <v>5800360292</v>
      </c>
      <c r="L128" s="227">
        <v>1094.778</v>
      </c>
      <c r="M128" s="157" t="s">
        <v>2372</v>
      </c>
      <c r="N128" s="227">
        <f t="shared" si="14"/>
        <v>71126.343362010666</v>
      </c>
      <c r="O128" s="152">
        <f t="shared" si="15"/>
        <v>598677.50636201072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2344</v>
      </c>
      <c r="I129" s="152"/>
      <c r="J129" s="157"/>
      <c r="K129" s="157">
        <v>5800360292</v>
      </c>
      <c r="L129" s="227">
        <v>11420.683999999999</v>
      </c>
      <c r="M129" s="157" t="s">
        <v>2372</v>
      </c>
      <c r="N129" s="227">
        <f t="shared" si="14"/>
        <v>59705.659362010665</v>
      </c>
      <c r="O129" s="152">
        <f t="shared" si="15"/>
        <v>587256.82236201072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2344</v>
      </c>
      <c r="I130" s="152"/>
      <c r="J130" s="157"/>
      <c r="K130" s="157">
        <v>5800360292</v>
      </c>
      <c r="L130" s="227">
        <v>14517.056</v>
      </c>
      <c r="M130" s="157" t="s">
        <v>2372</v>
      </c>
      <c r="N130" s="227">
        <f t="shared" si="14"/>
        <v>45188.603362010661</v>
      </c>
      <c r="O130" s="152">
        <f t="shared" si="15"/>
        <v>572739.76636201073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2344</v>
      </c>
      <c r="I131" s="152"/>
      <c r="J131" s="157"/>
      <c r="K131" s="157">
        <v>5800360292</v>
      </c>
      <c r="L131" s="227">
        <v>14122.136</v>
      </c>
      <c r="M131" s="157" t="s">
        <v>2372</v>
      </c>
      <c r="N131" s="227">
        <f t="shared" si="14"/>
        <v>31066.467362010662</v>
      </c>
      <c r="O131" s="152">
        <f t="shared" si="15"/>
        <v>558617.63036201068</v>
      </c>
    </row>
    <row r="132" spans="1:15" x14ac:dyDescent="0.15">
      <c r="A132" s="154"/>
      <c r="B132" s="151"/>
      <c r="C132" s="152"/>
      <c r="D132" s="323" t="s">
        <v>2345</v>
      </c>
      <c r="E132" s="154" t="s">
        <v>72</v>
      </c>
      <c r="F132" s="157" t="s">
        <v>2373</v>
      </c>
      <c r="G132" s="152">
        <v>43932.286000000022</v>
      </c>
      <c r="H132" s="323" t="s">
        <v>2345</v>
      </c>
      <c r="I132" s="152">
        <v>13207.300999999999</v>
      </c>
      <c r="J132" s="157" t="s">
        <v>2372</v>
      </c>
      <c r="K132" s="157">
        <v>5800360292</v>
      </c>
      <c r="L132" s="227">
        <v>14834.477000000001</v>
      </c>
      <c r="M132" s="157" t="s">
        <v>2372</v>
      </c>
      <c r="N132" s="227">
        <f t="shared" si="14"/>
        <v>3024.6893620106621</v>
      </c>
      <c r="O132" s="152">
        <f t="shared" si="15"/>
        <v>574508.13836201071</v>
      </c>
    </row>
    <row r="133" spans="1:15" x14ac:dyDescent="0.15">
      <c r="A133" s="154"/>
      <c r="B133" s="151"/>
      <c r="C133" s="152"/>
      <c r="D133" s="323" t="s">
        <v>2345</v>
      </c>
      <c r="E133" s="154" t="s">
        <v>72</v>
      </c>
      <c r="F133" s="157" t="s">
        <v>2374</v>
      </c>
      <c r="G133" s="152">
        <v>351625.68</v>
      </c>
      <c r="H133" s="323" t="s">
        <v>2345</v>
      </c>
      <c r="I133" s="152"/>
      <c r="J133" s="157"/>
      <c r="K133" s="157">
        <v>5800360292</v>
      </c>
      <c r="L133" s="227">
        <v>3024.6893620106621</v>
      </c>
      <c r="M133" s="157" t="s">
        <v>2372</v>
      </c>
      <c r="N133" s="227">
        <f t="shared" si="14"/>
        <v>0</v>
      </c>
      <c r="O133" s="152">
        <f t="shared" si="15"/>
        <v>923109.12899999996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2345</v>
      </c>
      <c r="I134" s="152"/>
      <c r="J134" s="157"/>
      <c r="K134" s="157">
        <v>5800360292</v>
      </c>
      <c r="L134" s="227">
        <v>9011.2066379893404</v>
      </c>
      <c r="M134" s="157" t="s">
        <v>2373</v>
      </c>
      <c r="N134" s="227">
        <f>G110+G120+G132+N133-I134-L134</f>
        <v>562472.24236201064</v>
      </c>
      <c r="O134" s="152">
        <f t="shared" ref="O134:O138" si="22">O133+G134-I134-L134</f>
        <v>914097.92236201058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2345</v>
      </c>
      <c r="I135" s="152"/>
      <c r="J135" s="157"/>
      <c r="K135" s="157">
        <v>5800360292</v>
      </c>
      <c r="L135" s="227">
        <v>12420.700999999999</v>
      </c>
      <c r="M135" s="157" t="s">
        <v>2373</v>
      </c>
      <c r="N135" s="227">
        <f t="shared" ref="N135:N138" si="23">+N134-I135-L135</f>
        <v>550051.54136201064</v>
      </c>
      <c r="O135" s="152">
        <f t="shared" si="22"/>
        <v>901677.22136201058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2345</v>
      </c>
      <c r="I136" s="152"/>
      <c r="J136" s="157"/>
      <c r="K136" s="157">
        <v>5800360292</v>
      </c>
      <c r="L136" s="227">
        <v>14127.834999999999</v>
      </c>
      <c r="M136" s="157" t="s">
        <v>2373</v>
      </c>
      <c r="N136" s="227">
        <f t="shared" si="23"/>
        <v>535923.70636201068</v>
      </c>
      <c r="O136" s="152">
        <f t="shared" si="22"/>
        <v>887549.38636201061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2345</v>
      </c>
      <c r="I137" s="152"/>
      <c r="J137" s="157"/>
      <c r="K137" s="157">
        <v>5800360292</v>
      </c>
      <c r="L137" s="227">
        <v>13165.323</v>
      </c>
      <c r="M137" s="157" t="s">
        <v>2373</v>
      </c>
      <c r="N137" s="227">
        <f t="shared" si="23"/>
        <v>522758.3833620107</v>
      </c>
      <c r="O137" s="152">
        <f t="shared" si="22"/>
        <v>874384.06336201064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2345</v>
      </c>
      <c r="I138" s="152"/>
      <c r="J138" s="157"/>
      <c r="K138" s="157">
        <v>5800360292</v>
      </c>
      <c r="L138" s="227">
        <v>13563.121999999999</v>
      </c>
      <c r="M138" s="157" t="s">
        <v>2373</v>
      </c>
      <c r="N138" s="227">
        <f t="shared" si="23"/>
        <v>509195.26136201073</v>
      </c>
      <c r="O138" s="152">
        <f t="shared" si="22"/>
        <v>860820.94136201066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2345</v>
      </c>
      <c r="I139" s="152"/>
      <c r="J139" s="157"/>
      <c r="K139" s="157">
        <v>5800360292</v>
      </c>
      <c r="L139" s="227">
        <v>9899.9789999999994</v>
      </c>
      <c r="M139" s="157" t="s">
        <v>2373</v>
      </c>
      <c r="N139" s="227">
        <f t="shared" si="14"/>
        <v>499295.28236201074</v>
      </c>
      <c r="O139" s="152">
        <f t="shared" si="15"/>
        <v>850920.96236201061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2345</v>
      </c>
      <c r="I140" s="152"/>
      <c r="J140" s="157"/>
      <c r="K140" s="157">
        <v>5800360292</v>
      </c>
      <c r="L140" s="227">
        <v>12893.460999999999</v>
      </c>
      <c r="M140" s="157" t="s">
        <v>2373</v>
      </c>
      <c r="N140" s="227">
        <f t="shared" si="14"/>
        <v>486401.82136201073</v>
      </c>
      <c r="O140" s="152">
        <f t="shared" si="15"/>
        <v>838027.5013620106</v>
      </c>
    </row>
    <row r="141" spans="1:15" x14ac:dyDescent="0.15">
      <c r="A141" s="154"/>
      <c r="B141" s="151"/>
      <c r="C141" s="152"/>
      <c r="D141" s="323" t="s">
        <v>2346</v>
      </c>
      <c r="E141" s="154" t="s">
        <v>72</v>
      </c>
      <c r="F141" s="157" t="s">
        <v>2374</v>
      </c>
      <c r="G141" s="152">
        <v>43928.184999999998</v>
      </c>
      <c r="H141" s="323" t="s">
        <v>2346</v>
      </c>
      <c r="I141" s="152">
        <v>12649.141</v>
      </c>
      <c r="J141" s="157" t="s">
        <v>2373</v>
      </c>
      <c r="K141" s="157">
        <v>5800360292</v>
      </c>
      <c r="L141" s="227">
        <v>12325.244000000001</v>
      </c>
      <c r="M141" s="157" t="s">
        <v>2373</v>
      </c>
      <c r="N141" s="227">
        <f t="shared" si="14"/>
        <v>461427.43636201072</v>
      </c>
      <c r="O141" s="152">
        <f t="shared" si="15"/>
        <v>856981.30136201077</v>
      </c>
    </row>
    <row r="142" spans="1:15" x14ac:dyDescent="0.15">
      <c r="A142" s="154"/>
      <c r="B142" s="151"/>
      <c r="C142" s="152"/>
      <c r="D142" s="323" t="s">
        <v>2346</v>
      </c>
      <c r="E142" s="154" t="s">
        <v>72</v>
      </c>
      <c r="F142" s="157" t="s">
        <v>2375</v>
      </c>
      <c r="G142" s="152">
        <v>175761.33</v>
      </c>
      <c r="H142" s="323" t="s">
        <v>2346</v>
      </c>
      <c r="I142" s="152"/>
      <c r="J142" s="157"/>
      <c r="K142" s="157">
        <v>5800360292</v>
      </c>
      <c r="L142" s="227">
        <v>12575.370999999999</v>
      </c>
      <c r="M142" s="157" t="s">
        <v>2373</v>
      </c>
      <c r="N142" s="227">
        <f t="shared" si="14"/>
        <v>448852.06536201073</v>
      </c>
      <c r="O142" s="152">
        <f t="shared" si="15"/>
        <v>1020167.2603620107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2346</v>
      </c>
      <c r="I143" s="152"/>
      <c r="J143" s="157"/>
      <c r="K143" s="157">
        <v>5800360292</v>
      </c>
      <c r="L143" s="227">
        <v>8935.527</v>
      </c>
      <c r="M143" s="157" t="s">
        <v>2373</v>
      </c>
      <c r="N143" s="227">
        <f t="shared" si="14"/>
        <v>439916.53836201073</v>
      </c>
      <c r="O143" s="152">
        <f t="shared" si="15"/>
        <v>1011231.7333620107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2346</v>
      </c>
      <c r="I144" s="152"/>
      <c r="J144" s="157"/>
      <c r="K144" s="157">
        <v>5800360292</v>
      </c>
      <c r="L144" s="227">
        <v>17451.842000000001</v>
      </c>
      <c r="M144" s="157" t="s">
        <v>2373</v>
      </c>
      <c r="N144" s="227">
        <f t="shared" si="14"/>
        <v>422464.69636201073</v>
      </c>
      <c r="O144" s="152">
        <f t="shared" si="15"/>
        <v>993779.89136201073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2346</v>
      </c>
      <c r="I145" s="152"/>
      <c r="J145" s="157"/>
      <c r="K145" s="157">
        <v>5800360292</v>
      </c>
      <c r="L145" s="227">
        <v>12231.197</v>
      </c>
      <c r="M145" s="157" t="s">
        <v>2373</v>
      </c>
      <c r="N145" s="227">
        <f t="shared" si="14"/>
        <v>410233.49936201074</v>
      </c>
      <c r="O145" s="152">
        <f t="shared" si="15"/>
        <v>981548.69436201069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2346</v>
      </c>
      <c r="I146" s="152"/>
      <c r="J146" s="157"/>
      <c r="K146" s="157">
        <v>5800360292</v>
      </c>
      <c r="L146" s="227">
        <v>86671.910999999993</v>
      </c>
      <c r="M146" s="157" t="s">
        <v>2373</v>
      </c>
      <c r="N146" s="227">
        <f t="shared" si="14"/>
        <v>323561.58836201078</v>
      </c>
      <c r="O146" s="152">
        <f t="shared" si="15"/>
        <v>894876.78336201073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2346</v>
      </c>
      <c r="I147" s="152"/>
      <c r="J147" s="157"/>
      <c r="K147" s="157">
        <v>5800360292</v>
      </c>
      <c r="L147" s="227">
        <v>12012.085999999999</v>
      </c>
      <c r="M147" s="157" t="s">
        <v>2373</v>
      </c>
      <c r="N147" s="227">
        <f t="shared" ref="N147:N213" si="24">+N146-I147-L147</f>
        <v>311549.50236201077</v>
      </c>
      <c r="O147" s="152">
        <f t="shared" ref="O147:O213" si="25">O146+G147-I147-L147</f>
        <v>882864.69736201072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2346</v>
      </c>
      <c r="I148" s="152"/>
      <c r="J148" s="157"/>
      <c r="K148" s="157">
        <v>5800360292</v>
      </c>
      <c r="L148" s="227">
        <v>70334.326000000001</v>
      </c>
      <c r="M148" s="157" t="s">
        <v>2373</v>
      </c>
      <c r="N148" s="227">
        <f t="shared" si="24"/>
        <v>241215.17636201077</v>
      </c>
      <c r="O148" s="152">
        <f t="shared" si="25"/>
        <v>812530.37136201072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2346</v>
      </c>
      <c r="I149" s="152"/>
      <c r="J149" s="157"/>
      <c r="K149" s="157">
        <v>5800360292</v>
      </c>
      <c r="L149" s="227">
        <v>2411.777</v>
      </c>
      <c r="M149" s="157" t="s">
        <v>2373</v>
      </c>
      <c r="N149" s="227">
        <f t="shared" si="24"/>
        <v>238803.39936201076</v>
      </c>
      <c r="O149" s="152">
        <f t="shared" si="25"/>
        <v>810118.59436201071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2346</v>
      </c>
      <c r="I150" s="152"/>
      <c r="J150" s="157"/>
      <c r="K150" s="157">
        <v>5800360292</v>
      </c>
      <c r="L150" s="227">
        <v>10919.462</v>
      </c>
      <c r="M150" s="157" t="s">
        <v>2373</v>
      </c>
      <c r="N150" s="227">
        <f t="shared" si="24"/>
        <v>227883.93736201077</v>
      </c>
      <c r="O150" s="152">
        <f t="shared" si="25"/>
        <v>799199.13236201066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2346</v>
      </c>
      <c r="I151" s="152"/>
      <c r="J151" s="157"/>
      <c r="K151" s="157">
        <v>5800360292</v>
      </c>
      <c r="L151" s="227">
        <v>15299.24</v>
      </c>
      <c r="M151" s="157" t="s">
        <v>2373</v>
      </c>
      <c r="N151" s="227">
        <f t="shared" si="24"/>
        <v>212584.69736201077</v>
      </c>
      <c r="O151" s="152">
        <f t="shared" si="25"/>
        <v>783899.89236201067</v>
      </c>
    </row>
    <row r="152" spans="1:15" x14ac:dyDescent="0.15">
      <c r="A152" s="154"/>
      <c r="B152" s="151"/>
      <c r="C152" s="152"/>
      <c r="D152" s="323" t="s">
        <v>2347</v>
      </c>
      <c r="E152" s="154" t="s">
        <v>72</v>
      </c>
      <c r="F152" s="157" t="s">
        <v>2375</v>
      </c>
      <c r="G152" s="152">
        <v>219715.992</v>
      </c>
      <c r="H152" s="323" t="s">
        <v>2347</v>
      </c>
      <c r="I152" s="152">
        <v>16178.154</v>
      </c>
      <c r="J152" s="157" t="s">
        <v>2373</v>
      </c>
      <c r="K152" s="157">
        <v>5800360292</v>
      </c>
      <c r="L152" s="227">
        <v>32700.098999999998</v>
      </c>
      <c r="M152" s="157" t="s">
        <v>2373</v>
      </c>
      <c r="N152" s="227">
        <f t="shared" si="24"/>
        <v>163706.44436201078</v>
      </c>
      <c r="O152" s="152">
        <f t="shared" si="25"/>
        <v>954737.63136201061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2347</v>
      </c>
      <c r="I153" s="152"/>
      <c r="J153" s="157"/>
      <c r="K153" s="157">
        <v>5800360292</v>
      </c>
      <c r="L153" s="227">
        <v>11398.063</v>
      </c>
      <c r="M153" s="157" t="s">
        <v>2373</v>
      </c>
      <c r="N153" s="227">
        <f t="shared" si="24"/>
        <v>152308.38136201078</v>
      </c>
      <c r="O153" s="152">
        <f t="shared" si="25"/>
        <v>943339.56836201064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2347</v>
      </c>
      <c r="I154" s="152"/>
      <c r="J154" s="157"/>
      <c r="K154" s="157">
        <v>5800360292</v>
      </c>
      <c r="L154" s="227">
        <v>9494.2219999999998</v>
      </c>
      <c r="M154" s="157" t="s">
        <v>2373</v>
      </c>
      <c r="N154" s="227">
        <f t="shared" si="24"/>
        <v>142814.15936201077</v>
      </c>
      <c r="O154" s="152">
        <f t="shared" si="25"/>
        <v>933845.34636201069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2347</v>
      </c>
      <c r="I155" s="152"/>
      <c r="J155" s="157"/>
      <c r="K155" s="157">
        <v>5800360292</v>
      </c>
      <c r="L155" s="227">
        <v>34928.743000000002</v>
      </c>
      <c r="M155" s="157" t="s">
        <v>2373</v>
      </c>
      <c r="N155" s="227">
        <f t="shared" si="24"/>
        <v>107885.41636201077</v>
      </c>
      <c r="O155" s="152">
        <f t="shared" si="25"/>
        <v>898916.60336201068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2347</v>
      </c>
      <c r="I156" s="152"/>
      <c r="J156" s="157"/>
      <c r="K156" s="157">
        <v>5800360292</v>
      </c>
      <c r="L156" s="227">
        <v>84929.313999999998</v>
      </c>
      <c r="M156" s="157" t="s">
        <v>2373</v>
      </c>
      <c r="N156" s="227">
        <f t="shared" si="24"/>
        <v>22956.102362010774</v>
      </c>
      <c r="O156" s="152">
        <f t="shared" si="25"/>
        <v>813987.28936201066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2347</v>
      </c>
      <c r="I157" s="152"/>
      <c r="J157" s="157"/>
      <c r="K157" s="157">
        <v>5800360292</v>
      </c>
      <c r="L157" s="227">
        <v>22956.102362010774</v>
      </c>
      <c r="M157" s="157" t="s">
        <v>2373</v>
      </c>
      <c r="N157" s="227">
        <f t="shared" ref="N157:N162" si="26">+N156-I157-L157</f>
        <v>0</v>
      </c>
      <c r="O157" s="152">
        <f t="shared" ref="O157:O162" si="27">O156+G157-I157-L157</f>
        <v>791031.18699999992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2347</v>
      </c>
      <c r="I158" s="152"/>
      <c r="J158" s="157"/>
      <c r="K158" s="157">
        <v>5800360292</v>
      </c>
      <c r="L158" s="227">
        <v>47790.842637989197</v>
      </c>
      <c r="M158" s="157" t="s">
        <v>2374</v>
      </c>
      <c r="N158" s="227">
        <f>G133+G141+N157-I158-L158</f>
        <v>347763.02236201079</v>
      </c>
      <c r="O158" s="152">
        <f t="shared" si="27"/>
        <v>743240.34436201071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2347</v>
      </c>
      <c r="I159" s="152"/>
      <c r="J159" s="157"/>
      <c r="K159" s="157">
        <v>5800360292</v>
      </c>
      <c r="L159" s="227">
        <v>15199.75</v>
      </c>
      <c r="M159" s="157" t="s">
        <v>2374</v>
      </c>
      <c r="N159" s="227">
        <f t="shared" si="26"/>
        <v>332563.27236201079</v>
      </c>
      <c r="O159" s="152">
        <f t="shared" si="27"/>
        <v>728040.59436201071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2347</v>
      </c>
      <c r="I160" s="152"/>
      <c r="J160" s="157"/>
      <c r="K160" s="157">
        <v>5800360292</v>
      </c>
      <c r="L160" s="227">
        <v>2531.4589999999998</v>
      </c>
      <c r="M160" s="157" t="s">
        <v>2374</v>
      </c>
      <c r="N160" s="227">
        <f t="shared" si="26"/>
        <v>330031.81336201081</v>
      </c>
      <c r="O160" s="152">
        <f t="shared" si="27"/>
        <v>725509.13536201068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2347</v>
      </c>
      <c r="I161" s="152"/>
      <c r="J161" s="157"/>
      <c r="K161" s="157">
        <v>5800360292</v>
      </c>
      <c r="L161" s="227">
        <v>13926.525</v>
      </c>
      <c r="M161" s="157" t="s">
        <v>2374</v>
      </c>
      <c r="N161" s="227">
        <f t="shared" si="26"/>
        <v>316105.28836201079</v>
      </c>
      <c r="O161" s="152">
        <f t="shared" si="27"/>
        <v>711582.61036201066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2347</v>
      </c>
      <c r="I162" s="152"/>
      <c r="J162" s="157"/>
      <c r="K162" s="157">
        <v>5800360292</v>
      </c>
      <c r="L162" s="227">
        <v>12342.489</v>
      </c>
      <c r="M162" s="157" t="s">
        <v>2374</v>
      </c>
      <c r="N162" s="227">
        <f t="shared" si="26"/>
        <v>303762.79936201079</v>
      </c>
      <c r="O162" s="152">
        <f t="shared" si="27"/>
        <v>699240.12136201072</v>
      </c>
    </row>
    <row r="163" spans="1:15" x14ac:dyDescent="0.15">
      <c r="A163" s="154"/>
      <c r="B163" s="151"/>
      <c r="C163" s="152"/>
      <c r="D163" s="323" t="s">
        <v>2348</v>
      </c>
      <c r="E163" s="154" t="s">
        <v>72</v>
      </c>
      <c r="F163" s="157" t="s">
        <v>2375</v>
      </c>
      <c r="G163" s="152">
        <v>131804.13600000003</v>
      </c>
      <c r="H163" s="323" t="s">
        <v>2348</v>
      </c>
      <c r="I163" s="152">
        <v>14810.738000000001</v>
      </c>
      <c r="J163" s="157" t="s">
        <v>2374</v>
      </c>
      <c r="K163" s="157">
        <v>5800360292</v>
      </c>
      <c r="L163" s="227">
        <v>12618.5</v>
      </c>
      <c r="M163" s="157" t="s">
        <v>2374</v>
      </c>
      <c r="N163" s="227">
        <f t="shared" si="24"/>
        <v>276333.56136201078</v>
      </c>
      <c r="O163" s="152">
        <f t="shared" si="25"/>
        <v>803615.01936201076</v>
      </c>
    </row>
    <row r="164" spans="1:15" x14ac:dyDescent="0.15">
      <c r="A164" s="154"/>
      <c r="B164" s="151"/>
      <c r="C164" s="152"/>
      <c r="D164" s="323" t="s">
        <v>2348</v>
      </c>
      <c r="E164" s="154" t="s">
        <v>72</v>
      </c>
      <c r="F164" s="157" t="s">
        <v>2376</v>
      </c>
      <c r="G164" s="152">
        <v>87939.99</v>
      </c>
      <c r="H164" s="323" t="s">
        <v>2348</v>
      </c>
      <c r="I164" s="152"/>
      <c r="J164" s="157"/>
      <c r="K164" s="157">
        <v>5800360292</v>
      </c>
      <c r="L164" s="227">
        <v>13154.989</v>
      </c>
      <c r="M164" s="157" t="s">
        <v>2374</v>
      </c>
      <c r="N164" s="227">
        <f t="shared" si="24"/>
        <v>263178.57236201077</v>
      </c>
      <c r="O164" s="152">
        <f t="shared" si="25"/>
        <v>878400.02036201081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2348</v>
      </c>
      <c r="I165" s="152"/>
      <c r="J165" s="157"/>
      <c r="K165" s="157">
        <v>5800360292</v>
      </c>
      <c r="L165" s="227">
        <v>16160.728999999999</v>
      </c>
      <c r="M165" s="157" t="s">
        <v>2374</v>
      </c>
      <c r="N165" s="227">
        <f t="shared" si="24"/>
        <v>247017.84336201078</v>
      </c>
      <c r="O165" s="152">
        <f t="shared" si="25"/>
        <v>862239.29136201076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2348</v>
      </c>
      <c r="I166" s="152"/>
      <c r="J166" s="157"/>
      <c r="K166" s="157">
        <v>5800360292</v>
      </c>
      <c r="L166" s="227">
        <v>12162.084000000001</v>
      </c>
      <c r="M166" s="157" t="s">
        <v>2374</v>
      </c>
      <c r="N166" s="227">
        <f t="shared" si="24"/>
        <v>234855.75936201078</v>
      </c>
      <c r="O166" s="152">
        <f t="shared" si="25"/>
        <v>850077.20736201073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2348</v>
      </c>
      <c r="I167" s="152"/>
      <c r="J167" s="157"/>
      <c r="K167" s="157">
        <v>5800360292</v>
      </c>
      <c r="L167" s="227">
        <v>13083.924999999999</v>
      </c>
      <c r="M167" s="157" t="s">
        <v>2374</v>
      </c>
      <c r="N167" s="227">
        <f t="shared" si="24"/>
        <v>221771.83436201079</v>
      </c>
      <c r="O167" s="152">
        <f t="shared" si="25"/>
        <v>836993.28236201068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2348</v>
      </c>
      <c r="I168" s="152"/>
      <c r="J168" s="157"/>
      <c r="K168" s="157">
        <v>5800360292</v>
      </c>
      <c r="L168" s="227">
        <v>9149</v>
      </c>
      <c r="M168" s="157" t="s">
        <v>2374</v>
      </c>
      <c r="N168" s="227">
        <f t="shared" si="24"/>
        <v>212622.83436201079</v>
      </c>
      <c r="O168" s="152">
        <f t="shared" si="25"/>
        <v>827844.28236201068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2348</v>
      </c>
      <c r="I169" s="152"/>
      <c r="J169" s="157"/>
      <c r="K169" s="157">
        <v>5800360292</v>
      </c>
      <c r="L169" s="227">
        <v>10816</v>
      </c>
      <c r="M169" s="157" t="s">
        <v>2374</v>
      </c>
      <c r="N169" s="227">
        <f t="shared" si="24"/>
        <v>201806.83436201079</v>
      </c>
      <c r="O169" s="152">
        <f t="shared" si="25"/>
        <v>817028.28236201068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2348</v>
      </c>
      <c r="I170" s="152"/>
      <c r="J170" s="157"/>
      <c r="K170" s="157">
        <v>5800360292</v>
      </c>
      <c r="L170" s="227">
        <v>5480</v>
      </c>
      <c r="M170" s="157" t="s">
        <v>2374</v>
      </c>
      <c r="N170" s="227">
        <f t="shared" si="24"/>
        <v>196326.83436201079</v>
      </c>
      <c r="O170" s="152">
        <f t="shared" si="25"/>
        <v>811548.28236201068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2348</v>
      </c>
      <c r="I171" s="152"/>
      <c r="J171" s="157"/>
      <c r="K171" s="157">
        <v>5800360292</v>
      </c>
      <c r="L171" s="227">
        <v>12380</v>
      </c>
      <c r="M171" s="157" t="s">
        <v>2374</v>
      </c>
      <c r="N171" s="227">
        <f t="shared" si="24"/>
        <v>183946.83436201079</v>
      </c>
      <c r="O171" s="152">
        <f t="shared" si="25"/>
        <v>799168.28236201068</v>
      </c>
    </row>
    <row r="172" spans="1:15" x14ac:dyDescent="0.15">
      <c r="A172" s="154"/>
      <c r="B172" s="151"/>
      <c r="C172" s="152"/>
      <c r="D172" s="323" t="s">
        <v>2349</v>
      </c>
      <c r="E172" s="154" t="s">
        <v>72</v>
      </c>
      <c r="F172" s="157" t="s">
        <v>2376</v>
      </c>
      <c r="G172" s="152">
        <v>87957.123999999996</v>
      </c>
      <c r="H172" s="323" t="s">
        <v>2349</v>
      </c>
      <c r="I172" s="152">
        <v>13788.754000000001</v>
      </c>
      <c r="J172" s="157" t="s">
        <v>2374</v>
      </c>
      <c r="K172" s="157">
        <v>5800360292</v>
      </c>
      <c r="L172" s="227">
        <v>34247.752999999997</v>
      </c>
      <c r="M172" s="157" t="s">
        <v>2374</v>
      </c>
      <c r="N172" s="227">
        <f t="shared" si="24"/>
        <v>135910.32736201081</v>
      </c>
      <c r="O172" s="152">
        <f t="shared" si="25"/>
        <v>839088.89936201065</v>
      </c>
    </row>
    <row r="173" spans="1:15" x14ac:dyDescent="0.15">
      <c r="A173" s="154"/>
      <c r="B173" s="151"/>
      <c r="C173" s="152"/>
      <c r="D173" s="323" t="s">
        <v>2349</v>
      </c>
      <c r="E173" s="154" t="s">
        <v>72</v>
      </c>
      <c r="F173" s="157" t="s">
        <v>2377</v>
      </c>
      <c r="G173" s="152">
        <v>131898.09</v>
      </c>
      <c r="H173" s="323" t="s">
        <v>2349</v>
      </c>
      <c r="I173" s="152"/>
      <c r="J173" s="157"/>
      <c r="K173" s="157">
        <v>5800360292</v>
      </c>
      <c r="L173" s="227">
        <v>13015.547</v>
      </c>
      <c r="M173" s="157" t="s">
        <v>2374</v>
      </c>
      <c r="N173" s="227">
        <f t="shared" si="24"/>
        <v>122894.7803620108</v>
      </c>
      <c r="O173" s="152">
        <f t="shared" si="25"/>
        <v>957971.4423620106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2349</v>
      </c>
      <c r="I174" s="152"/>
      <c r="J174" s="157"/>
      <c r="K174" s="157">
        <v>5800360292</v>
      </c>
      <c r="L174" s="227">
        <v>13027.557000000001</v>
      </c>
      <c r="M174" s="157" t="s">
        <v>2374</v>
      </c>
      <c r="N174" s="227">
        <f t="shared" si="24"/>
        <v>109867.2233620108</v>
      </c>
      <c r="O174" s="152">
        <f t="shared" si="25"/>
        <v>944943.88536201057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2349</v>
      </c>
      <c r="I175" s="152"/>
      <c r="J175" s="157"/>
      <c r="K175" s="157">
        <v>5800360292</v>
      </c>
      <c r="L175" s="227">
        <v>15092.23</v>
      </c>
      <c r="M175" s="157" t="s">
        <v>2374</v>
      </c>
      <c r="N175" s="227">
        <f t="shared" si="24"/>
        <v>94774.993362010806</v>
      </c>
      <c r="O175" s="152">
        <f t="shared" si="25"/>
        <v>929851.65536201058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2349</v>
      </c>
      <c r="I176" s="152"/>
      <c r="J176" s="157"/>
      <c r="K176" s="157">
        <v>5800360292</v>
      </c>
      <c r="L176" s="227">
        <v>8563.94</v>
      </c>
      <c r="M176" s="157" t="s">
        <v>2374</v>
      </c>
      <c r="N176" s="227">
        <f t="shared" si="24"/>
        <v>86211.053362010804</v>
      </c>
      <c r="O176" s="152">
        <f t="shared" si="25"/>
        <v>921287.71536201064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2349</v>
      </c>
      <c r="I177" s="152"/>
      <c r="J177" s="157"/>
      <c r="K177" s="157">
        <v>5800360292</v>
      </c>
      <c r="L177" s="227">
        <v>68015.118000000002</v>
      </c>
      <c r="M177" s="157" t="s">
        <v>2374</v>
      </c>
      <c r="N177" s="227">
        <f t="shared" si="24"/>
        <v>18195.935362010801</v>
      </c>
      <c r="O177" s="152">
        <f t="shared" si="25"/>
        <v>853272.59736201062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2349</v>
      </c>
      <c r="I178" s="152"/>
      <c r="J178" s="157"/>
      <c r="K178" s="157">
        <v>5800360292</v>
      </c>
      <c r="L178" s="227">
        <v>14041.878000000001</v>
      </c>
      <c r="M178" s="157" t="s">
        <v>2374</v>
      </c>
      <c r="N178" s="227">
        <f t="shared" si="24"/>
        <v>4154.0573620108007</v>
      </c>
      <c r="O178" s="152">
        <f t="shared" si="25"/>
        <v>839230.7193620106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2349</v>
      </c>
      <c r="I179" s="152"/>
      <c r="J179" s="157"/>
      <c r="K179" s="157">
        <v>5800360292</v>
      </c>
      <c r="L179" s="227">
        <v>4154.0573620108007</v>
      </c>
      <c r="M179" s="157" t="s">
        <v>2374</v>
      </c>
      <c r="N179" s="227">
        <f t="shared" ref="N179:N183" si="28">+N178-I179-L179</f>
        <v>0</v>
      </c>
      <c r="O179" s="152">
        <f t="shared" ref="O179:O183" si="29">O178+G179-I179-L179</f>
        <v>835076.66199999978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2349</v>
      </c>
      <c r="I180" s="152"/>
      <c r="J180" s="157"/>
      <c r="K180" s="157">
        <v>5800360292</v>
      </c>
      <c r="L180" s="227">
        <v>3024.3016379892001</v>
      </c>
      <c r="M180" s="157" t="s">
        <v>2375</v>
      </c>
      <c r="N180" s="227">
        <f>G142+G152+G163+N179-I180-L180</f>
        <v>524257.15636201081</v>
      </c>
      <c r="O180" s="152">
        <f t="shared" si="29"/>
        <v>832052.36036201054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2349</v>
      </c>
      <c r="I181" s="152"/>
      <c r="J181" s="157"/>
      <c r="K181" s="157">
        <v>5800360292</v>
      </c>
      <c r="L181" s="227">
        <v>15000.392</v>
      </c>
      <c r="M181" s="157" t="s">
        <v>2375</v>
      </c>
      <c r="N181" s="227">
        <f t="shared" si="28"/>
        <v>509256.76436201081</v>
      </c>
      <c r="O181" s="152">
        <f t="shared" si="29"/>
        <v>817051.96836201055</v>
      </c>
    </row>
    <row r="182" spans="1:15" x14ac:dyDescent="0.15">
      <c r="A182" s="154"/>
      <c r="B182" s="151"/>
      <c r="C182" s="152"/>
      <c r="D182" s="323" t="s">
        <v>2350</v>
      </c>
      <c r="E182" s="154" t="s">
        <v>72</v>
      </c>
      <c r="F182" s="157" t="s">
        <v>2377</v>
      </c>
      <c r="G182" s="152">
        <v>263875.06</v>
      </c>
      <c r="H182" s="323" t="s">
        <v>2350</v>
      </c>
      <c r="I182" s="152">
        <v>13649.197</v>
      </c>
      <c r="J182" s="157" t="s">
        <v>2375</v>
      </c>
      <c r="K182" s="157">
        <v>5800360292</v>
      </c>
      <c r="L182" s="227">
        <v>13377.898999999999</v>
      </c>
      <c r="M182" s="157" t="s">
        <v>2375</v>
      </c>
      <c r="N182" s="227">
        <f t="shared" si="28"/>
        <v>482229.66836201085</v>
      </c>
      <c r="O182" s="152">
        <f t="shared" si="29"/>
        <v>1053899.9323620107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2350</v>
      </c>
      <c r="I183" s="152"/>
      <c r="J183" s="157"/>
      <c r="K183" s="157">
        <v>5800360292</v>
      </c>
      <c r="L183" s="227">
        <v>12664.103999999999</v>
      </c>
      <c r="M183" s="157" t="s">
        <v>2375</v>
      </c>
      <c r="N183" s="227">
        <f t="shared" si="28"/>
        <v>469565.56436201086</v>
      </c>
      <c r="O183" s="152">
        <f t="shared" si="29"/>
        <v>1041235.8283620107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2350</v>
      </c>
      <c r="I184" s="152"/>
      <c r="J184" s="157"/>
      <c r="K184" s="157">
        <v>5800360292</v>
      </c>
      <c r="L184" s="227">
        <v>16468.341</v>
      </c>
      <c r="M184" s="157" t="s">
        <v>2375</v>
      </c>
      <c r="N184" s="227">
        <f t="shared" si="24"/>
        <v>453097.22336201085</v>
      </c>
      <c r="O184" s="152">
        <f t="shared" si="25"/>
        <v>1024767.4873620106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2350</v>
      </c>
      <c r="I185" s="152"/>
      <c r="J185" s="157"/>
      <c r="K185" s="157">
        <v>5800360292</v>
      </c>
      <c r="L185" s="227">
        <v>13374.896000000001</v>
      </c>
      <c r="M185" s="157" t="s">
        <v>2375</v>
      </c>
      <c r="N185" s="227">
        <f t="shared" si="24"/>
        <v>439722.32736201084</v>
      </c>
      <c r="O185" s="152">
        <f t="shared" si="25"/>
        <v>1011392.5913620107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2350</v>
      </c>
      <c r="I186" s="152"/>
      <c r="J186" s="157"/>
      <c r="K186" s="157">
        <v>5800360292</v>
      </c>
      <c r="L186" s="227">
        <v>12061.433000000001</v>
      </c>
      <c r="M186" s="157" t="s">
        <v>2375</v>
      </c>
      <c r="N186" s="227">
        <f t="shared" si="24"/>
        <v>427660.89436201082</v>
      </c>
      <c r="O186" s="152">
        <f t="shared" si="25"/>
        <v>999331.15836201073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2350</v>
      </c>
      <c r="I187" s="152"/>
      <c r="J187" s="157"/>
      <c r="K187" s="157">
        <v>5800360292</v>
      </c>
      <c r="L187" s="227">
        <v>74802.307000000001</v>
      </c>
      <c r="M187" s="157" t="s">
        <v>2375</v>
      </c>
      <c r="N187" s="227">
        <f t="shared" si="24"/>
        <v>352858.58736201085</v>
      </c>
      <c r="O187" s="152">
        <f t="shared" si="25"/>
        <v>924528.8513620107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2350</v>
      </c>
      <c r="I188" s="152"/>
      <c r="J188" s="157"/>
      <c r="K188" s="157">
        <v>5800360292</v>
      </c>
      <c r="L188" s="227">
        <v>69937.89</v>
      </c>
      <c r="M188" s="157" t="s">
        <v>2375</v>
      </c>
      <c r="N188" s="227">
        <f t="shared" si="24"/>
        <v>282920.69736201083</v>
      </c>
      <c r="O188" s="152">
        <f t="shared" si="25"/>
        <v>854590.96136201068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2350</v>
      </c>
      <c r="I189" s="152"/>
      <c r="J189" s="157"/>
      <c r="K189" s="157">
        <v>5800360292</v>
      </c>
      <c r="L189" s="227">
        <v>72580</v>
      </c>
      <c r="M189" s="157" t="s">
        <v>2375</v>
      </c>
      <c r="N189" s="227">
        <f t="shared" si="24"/>
        <v>210340.69736201083</v>
      </c>
      <c r="O189" s="152">
        <f t="shared" si="25"/>
        <v>782010.96136201068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2350</v>
      </c>
      <c r="I190" s="152"/>
      <c r="J190" s="157"/>
      <c r="K190" s="157">
        <v>5800360292</v>
      </c>
      <c r="L190" s="227">
        <v>4853</v>
      </c>
      <c r="M190" s="157" t="s">
        <v>2375</v>
      </c>
      <c r="N190" s="227">
        <f t="shared" si="24"/>
        <v>205487.69736201083</v>
      </c>
      <c r="O190" s="152">
        <f t="shared" si="25"/>
        <v>777157.96136201068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2350</v>
      </c>
      <c r="I191" s="152"/>
      <c r="J191" s="157"/>
      <c r="K191" s="157">
        <v>5800360292</v>
      </c>
      <c r="L191" s="227">
        <v>2205</v>
      </c>
      <c r="M191" s="157" t="s">
        <v>2375</v>
      </c>
      <c r="N191" s="227">
        <f t="shared" si="24"/>
        <v>203282.69736201083</v>
      </c>
      <c r="O191" s="152">
        <f t="shared" si="25"/>
        <v>774952.96136201068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2350</v>
      </c>
      <c r="I192" s="152"/>
      <c r="J192" s="157"/>
      <c r="K192" s="157">
        <v>5800360292</v>
      </c>
      <c r="L192" s="227">
        <v>4158</v>
      </c>
      <c r="M192" s="157" t="s">
        <v>2375</v>
      </c>
      <c r="N192" s="227">
        <f t="shared" si="24"/>
        <v>199124.69736201083</v>
      </c>
      <c r="O192" s="152">
        <f t="shared" si="25"/>
        <v>770794.96136201068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2350</v>
      </c>
      <c r="I193" s="152"/>
      <c r="J193" s="157"/>
      <c r="K193" s="157">
        <v>5800360292</v>
      </c>
      <c r="L193" s="227">
        <v>13490</v>
      </c>
      <c r="M193" s="157" t="s">
        <v>2375</v>
      </c>
      <c r="N193" s="227">
        <f t="shared" si="24"/>
        <v>185634.69736201083</v>
      </c>
      <c r="O193" s="152">
        <f t="shared" si="25"/>
        <v>757304.96136201068</v>
      </c>
    </row>
    <row r="194" spans="1:15" x14ac:dyDescent="0.15">
      <c r="A194" s="154"/>
      <c r="B194" s="151"/>
      <c r="C194" s="152"/>
      <c r="D194" s="323" t="s">
        <v>2351</v>
      </c>
      <c r="E194" s="154" t="s">
        <v>72</v>
      </c>
      <c r="F194" s="157" t="s">
        <v>2378</v>
      </c>
      <c r="G194" s="152">
        <v>175898.94200000001</v>
      </c>
      <c r="H194" s="323" t="s">
        <v>2351</v>
      </c>
      <c r="I194" s="152">
        <v>16623.156999999999</v>
      </c>
      <c r="J194" s="157" t="s">
        <v>2375</v>
      </c>
      <c r="K194" s="157">
        <v>5800360292</v>
      </c>
      <c r="L194" s="227">
        <v>32402.815999999999</v>
      </c>
      <c r="M194" s="157" t="s">
        <v>2375</v>
      </c>
      <c r="N194" s="227">
        <f t="shared" si="24"/>
        <v>136608.72436201083</v>
      </c>
      <c r="O194" s="152">
        <f t="shared" si="25"/>
        <v>884177.93036201072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2351</v>
      </c>
      <c r="I195" s="152"/>
      <c r="J195" s="157"/>
      <c r="K195" s="157">
        <v>5800360292</v>
      </c>
      <c r="L195" s="227">
        <v>12685.848</v>
      </c>
      <c r="M195" s="157" t="s">
        <v>2375</v>
      </c>
      <c r="N195" s="227">
        <f t="shared" si="24"/>
        <v>123922.87636201084</v>
      </c>
      <c r="O195" s="152">
        <f t="shared" si="25"/>
        <v>871492.08236201073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2351</v>
      </c>
      <c r="I196" s="152"/>
      <c r="J196" s="157"/>
      <c r="K196" s="157">
        <v>5800360292</v>
      </c>
      <c r="L196" s="227">
        <v>12323.481</v>
      </c>
      <c r="M196" s="157" t="s">
        <v>2375</v>
      </c>
      <c r="N196" s="227">
        <f t="shared" si="24"/>
        <v>111599.39536201084</v>
      </c>
      <c r="O196" s="152">
        <f t="shared" si="25"/>
        <v>859168.6013620107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2351</v>
      </c>
      <c r="I197" s="152"/>
      <c r="J197" s="157"/>
      <c r="K197" s="157">
        <v>5800360292</v>
      </c>
      <c r="L197" s="227">
        <v>12192.348</v>
      </c>
      <c r="M197" s="157" t="s">
        <v>2375</v>
      </c>
      <c r="N197" s="227">
        <f t="shared" si="24"/>
        <v>99407.047362010839</v>
      </c>
      <c r="O197" s="152">
        <f t="shared" si="25"/>
        <v>846976.2533620107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2351</v>
      </c>
      <c r="I198" s="152"/>
      <c r="J198" s="157"/>
      <c r="K198" s="157">
        <v>5800360292</v>
      </c>
      <c r="L198" s="227">
        <v>14674.861999999999</v>
      </c>
      <c r="M198" s="157" t="s">
        <v>2375</v>
      </c>
      <c r="N198" s="227">
        <f t="shared" si="24"/>
        <v>84732.185362010845</v>
      </c>
      <c r="O198" s="152">
        <f t="shared" si="25"/>
        <v>832301.39136201073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2351</v>
      </c>
      <c r="I199" s="152"/>
      <c r="J199" s="157"/>
      <c r="K199" s="157">
        <v>5800360292</v>
      </c>
      <c r="L199" s="227">
        <v>9015.6810000000005</v>
      </c>
      <c r="M199" s="157" t="s">
        <v>2375</v>
      </c>
      <c r="N199" s="227">
        <f t="shared" si="24"/>
        <v>75716.504362010848</v>
      </c>
      <c r="O199" s="152">
        <f t="shared" si="25"/>
        <v>823285.71036201075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2351</v>
      </c>
      <c r="I200" s="152"/>
      <c r="J200" s="157"/>
      <c r="K200" s="157">
        <v>5800360292</v>
      </c>
      <c r="L200" s="227">
        <v>12520.835999999999</v>
      </c>
      <c r="M200" s="157" t="s">
        <v>2375</v>
      </c>
      <c r="N200" s="227">
        <f t="shared" si="24"/>
        <v>63195.668362010852</v>
      </c>
      <c r="O200" s="152">
        <f t="shared" si="25"/>
        <v>810764.87436201074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2351</v>
      </c>
      <c r="I201" s="152"/>
      <c r="J201" s="157"/>
      <c r="K201" s="157">
        <v>5800360292</v>
      </c>
      <c r="L201" s="227">
        <v>2489.9789999999998</v>
      </c>
      <c r="M201" s="157" t="s">
        <v>2375</v>
      </c>
      <c r="N201" s="227">
        <f t="shared" si="24"/>
        <v>60705.689362010853</v>
      </c>
      <c r="O201" s="152">
        <f t="shared" si="25"/>
        <v>808274.89536201069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2351</v>
      </c>
      <c r="I202" s="152"/>
      <c r="J202" s="157"/>
      <c r="K202" s="157">
        <v>5800360292</v>
      </c>
      <c r="L202" s="227">
        <v>12961.477999999999</v>
      </c>
      <c r="M202" s="157" t="s">
        <v>2375</v>
      </c>
      <c r="N202" s="227">
        <f t="shared" si="24"/>
        <v>47744.211362010858</v>
      </c>
      <c r="O202" s="152">
        <f t="shared" si="25"/>
        <v>795313.41736201069</v>
      </c>
    </row>
    <row r="203" spans="1:15" x14ac:dyDescent="0.15">
      <c r="A203" s="154"/>
      <c r="B203" s="151"/>
      <c r="C203" s="152"/>
      <c r="D203" s="323" t="s">
        <v>2352</v>
      </c>
      <c r="E203" s="154" t="s">
        <v>72</v>
      </c>
      <c r="F203" s="157" t="s">
        <v>2379</v>
      </c>
      <c r="G203" s="152">
        <v>175902.851</v>
      </c>
      <c r="H203" s="323" t="s">
        <v>2352</v>
      </c>
      <c r="I203" s="152">
        <v>17213.271000000001</v>
      </c>
      <c r="J203" s="157" t="s">
        <v>2375</v>
      </c>
      <c r="K203" s="157">
        <v>5800360292</v>
      </c>
      <c r="L203" s="227">
        <v>12613.602999999999</v>
      </c>
      <c r="M203" s="157" t="s">
        <v>2375</v>
      </c>
      <c r="N203" s="227">
        <f t="shared" si="24"/>
        <v>17917.337362010858</v>
      </c>
      <c r="O203" s="152">
        <f t="shared" si="25"/>
        <v>941389.39436201076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2352</v>
      </c>
      <c r="I204" s="152"/>
      <c r="J204" s="157"/>
      <c r="K204" s="157">
        <v>5800360292</v>
      </c>
      <c r="L204" s="227">
        <v>15700.038</v>
      </c>
      <c r="M204" s="157" t="s">
        <v>2375</v>
      </c>
      <c r="N204" s="227">
        <f t="shared" si="24"/>
        <v>2217.2993620108573</v>
      </c>
      <c r="O204" s="152">
        <f t="shared" si="25"/>
        <v>925689.35636201082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2352</v>
      </c>
      <c r="I205" s="152"/>
      <c r="J205" s="157"/>
      <c r="K205" s="157">
        <v>5800360292</v>
      </c>
      <c r="L205" s="227">
        <v>2217.2993620108573</v>
      </c>
      <c r="M205" s="157" t="s">
        <v>2375</v>
      </c>
      <c r="N205" s="227">
        <f t="shared" si="24"/>
        <v>0</v>
      </c>
      <c r="O205" s="152">
        <f t="shared" si="25"/>
        <v>923472.05699999991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2352</v>
      </c>
      <c r="I206" s="152"/>
      <c r="J206" s="157"/>
      <c r="K206" s="157">
        <v>5800360279</v>
      </c>
      <c r="L206" s="227">
        <v>10246.379637989099</v>
      </c>
      <c r="M206" s="157" t="s">
        <v>2376</v>
      </c>
      <c r="N206" s="227">
        <f>G164+G172+N205-I206-L206</f>
        <v>165650.7343620109</v>
      </c>
      <c r="O206" s="152">
        <f t="shared" ref="O206:O209" si="30">O205+G206-I206-L206</f>
        <v>913225.67736201081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2352</v>
      </c>
      <c r="I207" s="152"/>
      <c r="J207" s="157"/>
      <c r="K207" s="157">
        <v>5800360279</v>
      </c>
      <c r="L207" s="227">
        <v>11913.958000000001</v>
      </c>
      <c r="M207" s="157" t="s">
        <v>2376</v>
      </c>
      <c r="N207" s="227">
        <f t="shared" ref="N207:N209" si="31">+N206-I207-L207</f>
        <v>153736.77636201089</v>
      </c>
      <c r="O207" s="152">
        <f t="shared" si="30"/>
        <v>901311.71936201083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2352</v>
      </c>
      <c r="I208" s="152"/>
      <c r="J208" s="157"/>
      <c r="K208" s="157">
        <v>5800360279</v>
      </c>
      <c r="L208" s="227">
        <v>11059.391</v>
      </c>
      <c r="M208" s="157" t="s">
        <v>2376</v>
      </c>
      <c r="N208" s="227">
        <f t="shared" si="31"/>
        <v>142677.38536201089</v>
      </c>
      <c r="O208" s="152">
        <f t="shared" si="30"/>
        <v>890252.32836201089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2352</v>
      </c>
      <c r="I209" s="152"/>
      <c r="J209" s="157"/>
      <c r="K209" s="157">
        <v>5800360279</v>
      </c>
      <c r="L209" s="227">
        <v>12147.839</v>
      </c>
      <c r="M209" s="157" t="s">
        <v>2376</v>
      </c>
      <c r="N209" s="227">
        <f t="shared" si="31"/>
        <v>130529.54636201088</v>
      </c>
      <c r="O209" s="152">
        <f t="shared" si="30"/>
        <v>878104.48936201085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2352</v>
      </c>
      <c r="I210" s="152"/>
      <c r="J210" s="157"/>
      <c r="K210" s="157">
        <v>5800360279</v>
      </c>
      <c r="L210" s="227">
        <v>714.63800000000003</v>
      </c>
      <c r="M210" s="157" t="s">
        <v>2376</v>
      </c>
      <c r="N210" s="227">
        <f t="shared" si="24"/>
        <v>129814.90836201087</v>
      </c>
      <c r="O210" s="152">
        <f t="shared" si="25"/>
        <v>877389.85136201081</v>
      </c>
    </row>
    <row r="211" spans="1:15" x14ac:dyDescent="0.15">
      <c r="A211" s="154"/>
      <c r="B211" s="151"/>
      <c r="C211" s="152"/>
      <c r="D211" s="323" t="s">
        <v>2353</v>
      </c>
      <c r="E211" s="154" t="s">
        <v>72</v>
      </c>
      <c r="F211" s="157" t="s">
        <v>2379</v>
      </c>
      <c r="G211" s="152">
        <v>87913.794000000024</v>
      </c>
      <c r="H211" s="323" t="s">
        <v>2353</v>
      </c>
      <c r="I211" s="152">
        <v>18959.233999999997</v>
      </c>
      <c r="J211" s="157" t="s">
        <v>2376</v>
      </c>
      <c r="K211" s="157">
        <v>5800360279</v>
      </c>
      <c r="L211" s="227">
        <v>72356.654999999999</v>
      </c>
      <c r="M211" s="157" t="s">
        <v>2376</v>
      </c>
      <c r="N211" s="227">
        <f t="shared" si="24"/>
        <v>38499.019362010877</v>
      </c>
      <c r="O211" s="152">
        <f t="shared" si="25"/>
        <v>873987.75636201072</v>
      </c>
    </row>
    <row r="212" spans="1:15" x14ac:dyDescent="0.15">
      <c r="A212" s="154"/>
      <c r="B212" s="151"/>
      <c r="C212" s="152"/>
      <c r="D212" s="323" t="s">
        <v>2353</v>
      </c>
      <c r="E212" s="154" t="s">
        <v>72</v>
      </c>
      <c r="F212" s="157" t="s">
        <v>2380</v>
      </c>
      <c r="G212" s="152">
        <v>43936.928</v>
      </c>
      <c r="H212" s="323" t="s">
        <v>2353</v>
      </c>
      <c r="I212" s="152"/>
      <c r="J212" s="157"/>
      <c r="K212" s="157">
        <v>5800360279</v>
      </c>
      <c r="L212" s="227">
        <v>9527.0339999999997</v>
      </c>
      <c r="M212" s="157" t="s">
        <v>2376</v>
      </c>
      <c r="N212" s="227">
        <f t="shared" si="24"/>
        <v>28971.985362010877</v>
      </c>
      <c r="O212" s="152">
        <f t="shared" si="25"/>
        <v>908397.6503620107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2353</v>
      </c>
      <c r="I213" s="152"/>
      <c r="J213" s="157"/>
      <c r="K213" s="157">
        <v>5800360279</v>
      </c>
      <c r="L213" s="227">
        <v>19138.060000000001</v>
      </c>
      <c r="M213" s="157" t="s">
        <v>2376</v>
      </c>
      <c r="N213" s="227">
        <f t="shared" si="24"/>
        <v>9833.9253620108757</v>
      </c>
      <c r="O213" s="152">
        <f t="shared" si="25"/>
        <v>889259.59036201064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2353</v>
      </c>
      <c r="I214" s="152"/>
      <c r="J214" s="157"/>
      <c r="K214" s="157">
        <v>5800360279</v>
      </c>
      <c r="L214" s="227">
        <v>9833.9253620108757</v>
      </c>
      <c r="M214" s="157" t="s">
        <v>2376</v>
      </c>
      <c r="N214" s="227">
        <f t="shared" ref="N214:N283" si="32">+N213-I214-L214</f>
        <v>0</v>
      </c>
      <c r="O214" s="152">
        <f t="shared" ref="O214:O283" si="33">O213+G214-I214-L214</f>
        <v>879425.6649999998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2353</v>
      </c>
      <c r="I215" s="152"/>
      <c r="J215" s="157"/>
      <c r="K215" s="157">
        <v>5800360279</v>
      </c>
      <c r="L215" s="227">
        <v>3966.6756379891199</v>
      </c>
      <c r="M215" s="157" t="s">
        <v>2377</v>
      </c>
      <c r="N215" s="227">
        <f>G173+G182+N214-I215-L215</f>
        <v>391806.47436201089</v>
      </c>
      <c r="O215" s="152">
        <f t="shared" ref="O215:O219" si="34">O214+G215-I215-L215</f>
        <v>875458.98936201073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2353</v>
      </c>
      <c r="I216" s="152"/>
      <c r="J216" s="157"/>
      <c r="K216" s="157">
        <v>5800360279</v>
      </c>
      <c r="L216" s="227">
        <v>12754.460999999999</v>
      </c>
      <c r="M216" s="157" t="s">
        <v>2377</v>
      </c>
      <c r="N216" s="227">
        <f t="shared" ref="N216:N219" si="35">+N215-I216-L216</f>
        <v>379052.01336201088</v>
      </c>
      <c r="O216" s="152">
        <f t="shared" si="34"/>
        <v>862704.52836201072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2353</v>
      </c>
      <c r="I217" s="152"/>
      <c r="J217" s="157"/>
      <c r="K217" s="157">
        <v>5800360279</v>
      </c>
      <c r="L217" s="227">
        <v>8676.3950000000004</v>
      </c>
      <c r="M217" s="157" t="s">
        <v>2377</v>
      </c>
      <c r="N217" s="227">
        <f t="shared" si="35"/>
        <v>370375.61836201086</v>
      </c>
      <c r="O217" s="152">
        <f t="shared" si="34"/>
        <v>854028.1333620107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2353</v>
      </c>
      <c r="I218" s="152"/>
      <c r="J218" s="157"/>
      <c r="K218" s="157">
        <v>5800360279</v>
      </c>
      <c r="L218" s="227">
        <v>14208.198</v>
      </c>
      <c r="M218" s="157" t="s">
        <v>2377</v>
      </c>
      <c r="N218" s="227">
        <f t="shared" si="35"/>
        <v>356167.42036201089</v>
      </c>
      <c r="O218" s="152">
        <f t="shared" si="34"/>
        <v>839819.93536201073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2353</v>
      </c>
      <c r="I219" s="152"/>
      <c r="J219" s="157"/>
      <c r="K219" s="157">
        <v>5800360279</v>
      </c>
      <c r="L219" s="227">
        <v>15996.102999999999</v>
      </c>
      <c r="M219" s="157" t="s">
        <v>2377</v>
      </c>
      <c r="N219" s="227">
        <f t="shared" si="35"/>
        <v>340171.31736201089</v>
      </c>
      <c r="O219" s="152">
        <f t="shared" si="34"/>
        <v>823823.83236201073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2353</v>
      </c>
      <c r="I220" s="152"/>
      <c r="J220" s="157"/>
      <c r="K220" s="157">
        <v>5800360279</v>
      </c>
      <c r="L220" s="227">
        <v>12977.574000000001</v>
      </c>
      <c r="M220" s="157" t="s">
        <v>2377</v>
      </c>
      <c r="N220" s="227">
        <f t="shared" si="32"/>
        <v>327193.74336201086</v>
      </c>
      <c r="O220" s="152">
        <f t="shared" si="33"/>
        <v>810846.2583620107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2353</v>
      </c>
      <c r="I221" s="152"/>
      <c r="J221" s="157"/>
      <c r="K221" s="157">
        <v>5800360279</v>
      </c>
      <c r="L221" s="227">
        <v>64355.601999999999</v>
      </c>
      <c r="M221" s="157" t="s">
        <v>2377</v>
      </c>
      <c r="N221" s="227">
        <f t="shared" si="32"/>
        <v>262838.14136201085</v>
      </c>
      <c r="O221" s="152">
        <f t="shared" si="33"/>
        <v>746490.65636201075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2353</v>
      </c>
      <c r="I222" s="152"/>
      <c r="J222" s="157"/>
      <c r="K222" s="157">
        <v>5800360279</v>
      </c>
      <c r="L222" s="227">
        <v>86954.05</v>
      </c>
      <c r="M222" s="157" t="s">
        <v>2377</v>
      </c>
      <c r="N222" s="227">
        <f t="shared" si="32"/>
        <v>175884.09136201086</v>
      </c>
      <c r="O222" s="152">
        <f t="shared" si="33"/>
        <v>659536.6063620107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2353</v>
      </c>
      <c r="I223" s="152"/>
      <c r="J223" s="157"/>
      <c r="K223" s="157">
        <v>5800360279</v>
      </c>
      <c r="L223" s="227">
        <v>13737.96</v>
      </c>
      <c r="M223" s="157" t="s">
        <v>2377</v>
      </c>
      <c r="N223" s="227">
        <f t="shared" si="32"/>
        <v>162146.13136201087</v>
      </c>
      <c r="O223" s="152">
        <f t="shared" si="33"/>
        <v>645798.64636201074</v>
      </c>
    </row>
    <row r="224" spans="1:15" x14ac:dyDescent="0.15">
      <c r="A224" s="154"/>
      <c r="B224" s="151"/>
      <c r="C224" s="152"/>
      <c r="D224" s="323" t="s">
        <v>2354</v>
      </c>
      <c r="E224" s="154" t="s">
        <v>72</v>
      </c>
      <c r="F224" s="157" t="s">
        <v>2380</v>
      </c>
      <c r="G224" s="152">
        <v>131848.79700000002</v>
      </c>
      <c r="H224" s="323" t="s">
        <v>2354</v>
      </c>
      <c r="I224" s="152">
        <v>12777.415000000001</v>
      </c>
      <c r="J224" s="157" t="s">
        <v>2377</v>
      </c>
      <c r="K224" s="157">
        <v>5800360279</v>
      </c>
      <c r="L224" s="227">
        <v>31011.123</v>
      </c>
      <c r="M224" s="157" t="s">
        <v>2377</v>
      </c>
      <c r="N224" s="227">
        <f t="shared" si="32"/>
        <v>118357.59336201087</v>
      </c>
      <c r="O224" s="152">
        <f t="shared" si="33"/>
        <v>733858.9053620107</v>
      </c>
    </row>
    <row r="225" spans="1:15" x14ac:dyDescent="0.15">
      <c r="A225" s="154"/>
      <c r="B225" s="151"/>
      <c r="C225" s="152"/>
      <c r="D225" s="323" t="s">
        <v>2354</v>
      </c>
      <c r="E225" s="154" t="s">
        <v>72</v>
      </c>
      <c r="F225" s="157" t="s">
        <v>2381</v>
      </c>
      <c r="G225" s="152">
        <v>131852.57999999999</v>
      </c>
      <c r="H225" s="323" t="s">
        <v>2354</v>
      </c>
      <c r="I225" s="152"/>
      <c r="J225" s="157"/>
      <c r="K225" s="157">
        <v>5800360279</v>
      </c>
      <c r="L225" s="227">
        <v>14451.204</v>
      </c>
      <c r="M225" s="157" t="s">
        <v>2377</v>
      </c>
      <c r="N225" s="227">
        <f t="shared" si="32"/>
        <v>103906.38936201087</v>
      </c>
      <c r="O225" s="152">
        <f t="shared" si="33"/>
        <v>851260.28136201063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2354</v>
      </c>
      <c r="I226" s="152"/>
      <c r="J226" s="157"/>
      <c r="K226" s="157">
        <v>5800360279</v>
      </c>
      <c r="L226" s="227">
        <v>15615.495000000001</v>
      </c>
      <c r="M226" s="157" t="s">
        <v>2377</v>
      </c>
      <c r="N226" s="227">
        <f t="shared" si="32"/>
        <v>88290.894362010877</v>
      </c>
      <c r="O226" s="152">
        <f t="shared" si="33"/>
        <v>835644.78636201064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2354</v>
      </c>
      <c r="I227" s="152"/>
      <c r="J227" s="157"/>
      <c r="K227" s="157">
        <v>5800360279</v>
      </c>
      <c r="L227" s="227">
        <v>12419.44</v>
      </c>
      <c r="M227" s="157" t="s">
        <v>2377</v>
      </c>
      <c r="N227" s="227">
        <f t="shared" si="32"/>
        <v>75871.454362010874</v>
      </c>
      <c r="O227" s="152">
        <f t="shared" si="33"/>
        <v>823225.34636201069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2354</v>
      </c>
      <c r="I228" s="152"/>
      <c r="J228" s="157"/>
      <c r="K228" s="157">
        <v>5800360279</v>
      </c>
      <c r="L228" s="227">
        <v>11208.178</v>
      </c>
      <c r="M228" s="157" t="s">
        <v>2377</v>
      </c>
      <c r="N228" s="227">
        <f t="shared" si="32"/>
        <v>64663.276362010874</v>
      </c>
      <c r="O228" s="152">
        <f t="shared" si="33"/>
        <v>812017.16836201074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2354</v>
      </c>
      <c r="I229" s="152"/>
      <c r="J229" s="157"/>
      <c r="K229" s="157">
        <v>5800360279</v>
      </c>
      <c r="L229" s="227">
        <v>64663.276362010874</v>
      </c>
      <c r="M229" s="157" t="s">
        <v>2377</v>
      </c>
      <c r="N229" s="227">
        <f t="shared" ref="N229:N234" si="36">+N228-I229-L229</f>
        <v>0</v>
      </c>
      <c r="O229" s="152">
        <f t="shared" ref="O229:O234" si="37">O228+G229-I229-L229</f>
        <v>747353.89199999988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2354</v>
      </c>
      <c r="I230" s="152"/>
      <c r="J230" s="157"/>
      <c r="K230" s="157">
        <v>5800360292</v>
      </c>
      <c r="L230" s="227">
        <v>25941.571637989098</v>
      </c>
      <c r="M230" s="157" t="s">
        <v>2378</v>
      </c>
      <c r="N230" s="227">
        <f>G194+N229-I230-L230</f>
        <v>149957.3703620109</v>
      </c>
      <c r="O230" s="152">
        <f t="shared" si="37"/>
        <v>721412.32036201074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2354</v>
      </c>
      <c r="I231" s="152"/>
      <c r="J231" s="157"/>
      <c r="K231" s="157">
        <v>5800360292</v>
      </c>
      <c r="L231" s="227">
        <v>70946.813999999998</v>
      </c>
      <c r="M231" s="157" t="s">
        <v>2378</v>
      </c>
      <c r="N231" s="227">
        <f t="shared" si="36"/>
        <v>79010.556362010902</v>
      </c>
      <c r="O231" s="152">
        <f t="shared" si="37"/>
        <v>650465.50636201072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2354</v>
      </c>
      <c r="I232" s="152"/>
      <c r="J232" s="157"/>
      <c r="K232" s="157">
        <v>5800360292</v>
      </c>
      <c r="L232" s="227">
        <v>12607.046</v>
      </c>
      <c r="M232" s="157" t="s">
        <v>2378</v>
      </c>
      <c r="N232" s="227">
        <f t="shared" si="36"/>
        <v>66403.5103620109</v>
      </c>
      <c r="O232" s="152">
        <f t="shared" si="37"/>
        <v>637858.46036201075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2354</v>
      </c>
      <c r="I233" s="152"/>
      <c r="J233" s="157"/>
      <c r="K233" s="157">
        <v>5800360292</v>
      </c>
      <c r="L233" s="227">
        <v>19399.222000000002</v>
      </c>
      <c r="M233" s="157" t="s">
        <v>2378</v>
      </c>
      <c r="N233" s="227">
        <f t="shared" si="36"/>
        <v>47004.288362010899</v>
      </c>
      <c r="O233" s="152">
        <f t="shared" si="37"/>
        <v>618459.2383620108</v>
      </c>
    </row>
    <row r="234" spans="1:15" x14ac:dyDescent="0.15">
      <c r="A234" s="154"/>
      <c r="B234" s="151"/>
      <c r="C234" s="152"/>
      <c r="D234" s="323" t="s">
        <v>2355</v>
      </c>
      <c r="E234" s="154" t="s">
        <v>72</v>
      </c>
      <c r="F234" s="157" t="s">
        <v>2381</v>
      </c>
      <c r="G234" s="152">
        <v>131771.89600000004</v>
      </c>
      <c r="H234" s="323" t="s">
        <v>2355</v>
      </c>
      <c r="I234" s="152">
        <v>16446.485000000001</v>
      </c>
      <c r="J234" s="157" t="s">
        <v>2378</v>
      </c>
      <c r="K234" s="157">
        <v>5800360292</v>
      </c>
      <c r="L234" s="227">
        <v>10894.829</v>
      </c>
      <c r="M234" s="157" t="s">
        <v>2378</v>
      </c>
      <c r="N234" s="227">
        <f t="shared" si="36"/>
        <v>19662.9743620109</v>
      </c>
      <c r="O234" s="152">
        <f t="shared" si="37"/>
        <v>722889.82036201085</v>
      </c>
    </row>
    <row r="235" spans="1:15" x14ac:dyDescent="0.15">
      <c r="A235" s="154"/>
      <c r="B235" s="151"/>
      <c r="C235" s="152"/>
      <c r="D235" s="323" t="s">
        <v>2355</v>
      </c>
      <c r="E235" s="154" t="s">
        <v>72</v>
      </c>
      <c r="F235" s="157" t="s">
        <v>2382</v>
      </c>
      <c r="G235" s="152">
        <v>131891.87299999999</v>
      </c>
      <c r="H235" s="323" t="s">
        <v>2355</v>
      </c>
      <c r="I235" s="152"/>
      <c r="J235" s="157"/>
      <c r="K235" s="157">
        <v>5800360292</v>
      </c>
      <c r="L235" s="227">
        <v>12658.258</v>
      </c>
      <c r="M235" s="157" t="s">
        <v>2378</v>
      </c>
      <c r="N235" s="227">
        <f t="shared" si="32"/>
        <v>7004.7163620109004</v>
      </c>
      <c r="O235" s="152">
        <f t="shared" si="33"/>
        <v>842123.43536201084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2355</v>
      </c>
      <c r="I236" s="152"/>
      <c r="J236" s="157"/>
      <c r="K236" s="157">
        <v>5800360292</v>
      </c>
      <c r="L236" s="227">
        <v>7004.7163620109004</v>
      </c>
      <c r="M236" s="157" t="s">
        <v>2378</v>
      </c>
      <c r="N236" s="227">
        <f t="shared" ref="N236:N242" si="38">+N235-I236-L236</f>
        <v>0</v>
      </c>
      <c r="O236" s="152">
        <f t="shared" ref="O236:O242" si="39">O235+G236-I236-L236</f>
        <v>835118.71899999992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2355</v>
      </c>
      <c r="I237" s="152"/>
      <c r="J237" s="157"/>
      <c r="K237" s="157">
        <v>5800360279</v>
      </c>
      <c r="L237" s="227">
        <v>10042.0976379891</v>
      </c>
      <c r="M237" s="157" t="s">
        <v>2379</v>
      </c>
      <c r="N237" s="227">
        <f>G203+G211+N236-I237-L237</f>
        <v>253774.54736201093</v>
      </c>
      <c r="O237" s="152">
        <f t="shared" si="39"/>
        <v>825076.62136201083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2355</v>
      </c>
      <c r="I238" s="152"/>
      <c r="J238" s="157"/>
      <c r="K238" s="157">
        <v>5800360279</v>
      </c>
      <c r="L238" s="227">
        <v>11703.484</v>
      </c>
      <c r="M238" s="157" t="s">
        <v>2379</v>
      </c>
      <c r="N238" s="227">
        <f t="shared" si="38"/>
        <v>242071.06336201093</v>
      </c>
      <c r="O238" s="152">
        <f t="shared" si="39"/>
        <v>813373.13736201078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2355</v>
      </c>
      <c r="I239" s="152"/>
      <c r="J239" s="157"/>
      <c r="K239" s="157">
        <v>5800360279</v>
      </c>
      <c r="L239" s="227">
        <v>12803.376</v>
      </c>
      <c r="M239" s="157" t="s">
        <v>2379</v>
      </c>
      <c r="N239" s="227">
        <f t="shared" si="38"/>
        <v>229267.68736201094</v>
      </c>
      <c r="O239" s="152">
        <f t="shared" si="39"/>
        <v>800569.76136201073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2355</v>
      </c>
      <c r="I240" s="152"/>
      <c r="J240" s="157"/>
      <c r="K240" s="157">
        <v>5800360279</v>
      </c>
      <c r="L240" s="227">
        <v>344.279</v>
      </c>
      <c r="M240" s="157" t="s">
        <v>2379</v>
      </c>
      <c r="N240" s="227">
        <f t="shared" si="38"/>
        <v>228923.40836201093</v>
      </c>
      <c r="O240" s="152">
        <f t="shared" si="39"/>
        <v>800225.48236201075</v>
      </c>
    </row>
    <row r="241" spans="1:15" x14ac:dyDescent="0.15">
      <c r="A241" s="154"/>
      <c r="B241" s="151"/>
      <c r="C241" s="152"/>
      <c r="D241" s="323"/>
      <c r="E241" s="154"/>
      <c r="F241" s="157"/>
      <c r="G241" s="152"/>
      <c r="H241" s="323" t="s">
        <v>2355</v>
      </c>
      <c r="I241" s="152"/>
      <c r="J241" s="157"/>
      <c r="K241" s="157">
        <v>5800360279</v>
      </c>
      <c r="L241" s="227">
        <v>8410.3700000000008</v>
      </c>
      <c r="M241" s="157" t="s">
        <v>2379</v>
      </c>
      <c r="N241" s="227">
        <f t="shared" si="38"/>
        <v>220513.03836201094</v>
      </c>
      <c r="O241" s="152">
        <f t="shared" si="39"/>
        <v>791815.11236201075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2355</v>
      </c>
      <c r="I242" s="152"/>
      <c r="J242" s="157"/>
      <c r="K242" s="157">
        <v>5800360279</v>
      </c>
      <c r="L242" s="227">
        <v>14525.182000000001</v>
      </c>
      <c r="M242" s="157" t="s">
        <v>2379</v>
      </c>
      <c r="N242" s="227">
        <f t="shared" si="38"/>
        <v>205987.85636201093</v>
      </c>
      <c r="O242" s="152">
        <f t="shared" si="39"/>
        <v>777289.93036201072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2355</v>
      </c>
      <c r="I243" s="152"/>
      <c r="J243" s="157"/>
      <c r="K243" s="157">
        <v>5800360279</v>
      </c>
      <c r="L243" s="227">
        <v>10262.433000000001</v>
      </c>
      <c r="M243" s="157" t="s">
        <v>2379</v>
      </c>
      <c r="N243" s="227">
        <f t="shared" si="32"/>
        <v>195725.42336201094</v>
      </c>
      <c r="O243" s="152">
        <f t="shared" si="33"/>
        <v>767027.49736201076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2355</v>
      </c>
      <c r="I244" s="152"/>
      <c r="J244" s="157"/>
      <c r="K244" s="157">
        <v>5800360279</v>
      </c>
      <c r="L244" s="227">
        <v>19401.614000000001</v>
      </c>
      <c r="M244" s="157" t="s">
        <v>2379</v>
      </c>
      <c r="N244" s="227">
        <f t="shared" si="32"/>
        <v>176323.80936201094</v>
      </c>
      <c r="O244" s="152">
        <f t="shared" si="33"/>
        <v>747625.88336201082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2355</v>
      </c>
      <c r="I245" s="152"/>
      <c r="J245" s="157"/>
      <c r="K245" s="157">
        <v>5800360279</v>
      </c>
      <c r="L245" s="227">
        <v>13590.14</v>
      </c>
      <c r="M245" s="157" t="s">
        <v>2379</v>
      </c>
      <c r="N245" s="227">
        <f t="shared" si="32"/>
        <v>162733.66936201096</v>
      </c>
      <c r="O245" s="152">
        <f t="shared" si="33"/>
        <v>734035.74336201081</v>
      </c>
    </row>
    <row r="246" spans="1:15" x14ac:dyDescent="0.15">
      <c r="A246" s="154"/>
      <c r="B246" s="151"/>
      <c r="C246" s="152"/>
      <c r="D246" s="323" t="s">
        <v>2356</v>
      </c>
      <c r="E246" s="154" t="s">
        <v>72</v>
      </c>
      <c r="F246" s="157" t="s">
        <v>2382</v>
      </c>
      <c r="G246" s="152">
        <v>175804.88499999998</v>
      </c>
      <c r="H246" s="323" t="s">
        <v>2356</v>
      </c>
      <c r="I246" s="152">
        <v>17041</v>
      </c>
      <c r="J246" s="157" t="s">
        <v>2379</v>
      </c>
      <c r="K246" s="157">
        <v>5800360279</v>
      </c>
      <c r="L246" s="227">
        <v>15080</v>
      </c>
      <c r="M246" s="157" t="s">
        <v>2379</v>
      </c>
      <c r="N246" s="227">
        <f t="shared" si="32"/>
        <v>130612.66936201096</v>
      </c>
      <c r="O246" s="152">
        <f t="shared" si="33"/>
        <v>877719.62836201082</v>
      </c>
    </row>
    <row r="247" spans="1:15" x14ac:dyDescent="0.15">
      <c r="A247" s="154"/>
      <c r="B247" s="151"/>
      <c r="C247" s="152"/>
      <c r="D247" s="323" t="s">
        <v>2356</v>
      </c>
      <c r="E247" s="154" t="s">
        <v>72</v>
      </c>
      <c r="F247" s="157" t="s">
        <v>2383</v>
      </c>
      <c r="G247" s="152">
        <v>87870.676999999996</v>
      </c>
      <c r="H247" s="323" t="s">
        <v>2356</v>
      </c>
      <c r="I247" s="152"/>
      <c r="J247" s="157"/>
      <c r="K247" s="157">
        <v>5800360279</v>
      </c>
      <c r="L247" s="227">
        <v>34400</v>
      </c>
      <c r="M247" s="157" t="s">
        <v>2379</v>
      </c>
      <c r="N247" s="227">
        <f t="shared" si="32"/>
        <v>96212.669362010958</v>
      </c>
      <c r="O247" s="152">
        <f t="shared" si="33"/>
        <v>931190.30536201084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2356</v>
      </c>
      <c r="I248" s="152"/>
      <c r="J248" s="157"/>
      <c r="K248" s="157">
        <v>5800360279</v>
      </c>
      <c r="L248" s="227">
        <v>13110</v>
      </c>
      <c r="M248" s="157" t="s">
        <v>2379</v>
      </c>
      <c r="N248" s="227">
        <f t="shared" si="32"/>
        <v>83102.669362010958</v>
      </c>
      <c r="O248" s="152">
        <f t="shared" si="33"/>
        <v>918080.30536201084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2356</v>
      </c>
      <c r="I249" s="152"/>
      <c r="J249" s="157"/>
      <c r="K249" s="157">
        <v>5800360279</v>
      </c>
      <c r="L249" s="227">
        <v>11470</v>
      </c>
      <c r="M249" s="157" t="s">
        <v>2379</v>
      </c>
      <c r="N249" s="227">
        <f t="shared" si="32"/>
        <v>71632.669362010958</v>
      </c>
      <c r="O249" s="152">
        <f t="shared" si="33"/>
        <v>906610.30536201084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2356</v>
      </c>
      <c r="I250" s="152"/>
      <c r="J250" s="157"/>
      <c r="K250" s="157">
        <v>5800360279</v>
      </c>
      <c r="L250" s="227">
        <v>9235</v>
      </c>
      <c r="M250" s="157" t="s">
        <v>2379</v>
      </c>
      <c r="N250" s="227">
        <f t="shared" si="32"/>
        <v>62397.669362010958</v>
      </c>
      <c r="O250" s="152">
        <f t="shared" si="33"/>
        <v>897375.30536201084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2356</v>
      </c>
      <c r="I251" s="152"/>
      <c r="J251" s="157"/>
      <c r="K251" s="157">
        <v>5800360279</v>
      </c>
      <c r="L251" s="227">
        <v>62397.669362010958</v>
      </c>
      <c r="M251" s="157" t="s">
        <v>2379</v>
      </c>
      <c r="N251" s="227">
        <f t="shared" ref="N251:N256" si="40">+N250-I251-L251</f>
        <v>0</v>
      </c>
      <c r="O251" s="152">
        <f t="shared" ref="O251:O256" si="41">O250+G251-I251-L251</f>
        <v>834977.63599999994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2356</v>
      </c>
      <c r="I252" s="152"/>
      <c r="J252" s="157"/>
      <c r="K252" s="157">
        <v>5800360279</v>
      </c>
      <c r="L252" s="227">
        <v>9236.33063798904</v>
      </c>
      <c r="M252" s="157" t="s">
        <v>2380</v>
      </c>
      <c r="N252" s="227">
        <f>G212+G224+N251-I252-L252</f>
        <v>166549.39436201099</v>
      </c>
      <c r="O252" s="152">
        <f t="shared" si="41"/>
        <v>825741.30536201096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2356</v>
      </c>
      <c r="I253" s="152"/>
      <c r="J253" s="157"/>
      <c r="K253" s="157">
        <v>5800360279</v>
      </c>
      <c r="L253" s="227">
        <v>12872</v>
      </c>
      <c r="M253" s="157" t="s">
        <v>2380</v>
      </c>
      <c r="N253" s="227">
        <f t="shared" si="40"/>
        <v>153677.39436201099</v>
      </c>
      <c r="O253" s="152">
        <f t="shared" si="41"/>
        <v>812869.30536201096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2356</v>
      </c>
      <c r="I254" s="152"/>
      <c r="J254" s="157"/>
      <c r="K254" s="157">
        <v>5800360279</v>
      </c>
      <c r="L254" s="227">
        <v>4134</v>
      </c>
      <c r="M254" s="157" t="s">
        <v>2380</v>
      </c>
      <c r="N254" s="227">
        <f t="shared" si="40"/>
        <v>149543.39436201099</v>
      </c>
      <c r="O254" s="152">
        <f t="shared" si="41"/>
        <v>808735.30536201096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2356</v>
      </c>
      <c r="I255" s="152"/>
      <c r="J255" s="157"/>
      <c r="K255" s="157">
        <v>5800360279</v>
      </c>
      <c r="L255" s="227">
        <v>2590</v>
      </c>
      <c r="M255" s="157" t="s">
        <v>2380</v>
      </c>
      <c r="N255" s="227">
        <f t="shared" si="40"/>
        <v>146953.39436201099</v>
      </c>
      <c r="O255" s="152">
        <f t="shared" si="41"/>
        <v>806145.30536201096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2356</v>
      </c>
      <c r="I256" s="152"/>
      <c r="J256" s="157"/>
      <c r="K256" s="157">
        <v>5800360279</v>
      </c>
      <c r="L256" s="227">
        <v>13079</v>
      </c>
      <c r="M256" s="157" t="s">
        <v>2380</v>
      </c>
      <c r="N256" s="227">
        <f t="shared" si="40"/>
        <v>133874.39436201099</v>
      </c>
      <c r="O256" s="152">
        <f t="shared" si="41"/>
        <v>793066.30536201096</v>
      </c>
    </row>
    <row r="257" spans="1:15" x14ac:dyDescent="0.15">
      <c r="A257" s="154"/>
      <c r="B257" s="151"/>
      <c r="C257" s="152"/>
      <c r="D257" s="323" t="s">
        <v>2357</v>
      </c>
      <c r="E257" s="154" t="s">
        <v>72</v>
      </c>
      <c r="F257" s="157" t="s">
        <v>2383</v>
      </c>
      <c r="G257" s="152">
        <v>175693.74900000001</v>
      </c>
      <c r="H257" s="323" t="s">
        <v>2357</v>
      </c>
      <c r="I257" s="152">
        <v>18250.877999999997</v>
      </c>
      <c r="J257" s="157" t="s">
        <v>2380</v>
      </c>
      <c r="K257" s="157">
        <v>5800360279</v>
      </c>
      <c r="L257" s="227">
        <v>12181.703</v>
      </c>
      <c r="M257" s="157" t="s">
        <v>2380</v>
      </c>
      <c r="N257" s="227">
        <f t="shared" si="32"/>
        <v>103441.813362011</v>
      </c>
      <c r="O257" s="152">
        <f t="shared" si="33"/>
        <v>938327.4733620109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2357</v>
      </c>
      <c r="I258" s="152"/>
      <c r="J258" s="157"/>
      <c r="K258" s="157">
        <v>5800360279</v>
      </c>
      <c r="L258" s="227">
        <v>12222.716</v>
      </c>
      <c r="M258" s="157" t="s">
        <v>2380</v>
      </c>
      <c r="N258" s="227">
        <f t="shared" si="32"/>
        <v>91219.097362011002</v>
      </c>
      <c r="O258" s="152">
        <f t="shared" si="33"/>
        <v>926104.75736201089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2357</v>
      </c>
      <c r="I259" s="152"/>
      <c r="J259" s="157"/>
      <c r="K259" s="157">
        <v>5800360279</v>
      </c>
      <c r="L259" s="227">
        <v>16317.96</v>
      </c>
      <c r="M259" s="157" t="s">
        <v>2380</v>
      </c>
      <c r="N259" s="227">
        <f t="shared" si="32"/>
        <v>74901.13736201101</v>
      </c>
      <c r="O259" s="152">
        <f t="shared" si="33"/>
        <v>909786.79736201093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2357</v>
      </c>
      <c r="I260" s="152"/>
      <c r="J260" s="157"/>
      <c r="K260" s="157">
        <v>5800360279</v>
      </c>
      <c r="L260" s="227">
        <v>74901.13736201101</v>
      </c>
      <c r="M260" s="157" t="s">
        <v>2380</v>
      </c>
      <c r="N260" s="227">
        <f t="shared" ref="N260:N264" si="42">+N259-I260-L260</f>
        <v>0</v>
      </c>
      <c r="O260" s="152">
        <f t="shared" ref="O260:O264" si="43">O259+G260-I260-L260</f>
        <v>834885.65999999992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2357</v>
      </c>
      <c r="I261" s="152"/>
      <c r="J261" s="157"/>
      <c r="K261" s="157">
        <v>5800360279</v>
      </c>
      <c r="L261" s="227">
        <v>1577.110637989</v>
      </c>
      <c r="M261" s="157" t="s">
        <v>2381</v>
      </c>
      <c r="N261" s="227">
        <f>G225+G234+N260-I261-L261</f>
        <v>262047.36536201101</v>
      </c>
      <c r="O261" s="152">
        <f t="shared" si="43"/>
        <v>833308.5493620109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2357</v>
      </c>
      <c r="I262" s="152"/>
      <c r="J262" s="157"/>
      <c r="K262" s="157">
        <v>5800360279</v>
      </c>
      <c r="L262" s="227">
        <v>11682.550999999999</v>
      </c>
      <c r="M262" s="157" t="s">
        <v>2381</v>
      </c>
      <c r="N262" s="227">
        <f t="shared" si="42"/>
        <v>250364.81436201101</v>
      </c>
      <c r="O262" s="152">
        <f t="shared" si="43"/>
        <v>821625.99836201093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2357</v>
      </c>
      <c r="I263" s="152"/>
      <c r="J263" s="157"/>
      <c r="K263" s="157">
        <v>5800360279</v>
      </c>
      <c r="L263" s="227">
        <v>75653.998000000007</v>
      </c>
      <c r="M263" s="157" t="s">
        <v>2381</v>
      </c>
      <c r="N263" s="227">
        <f t="shared" si="42"/>
        <v>174710.81636201101</v>
      </c>
      <c r="O263" s="152">
        <f t="shared" si="43"/>
        <v>745972.00036201091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2357</v>
      </c>
      <c r="I264" s="152"/>
      <c r="J264" s="157"/>
      <c r="K264" s="157">
        <v>5800360279</v>
      </c>
      <c r="L264" s="227">
        <v>73872.509999999995</v>
      </c>
      <c r="M264" s="157" t="s">
        <v>2381</v>
      </c>
      <c r="N264" s="227">
        <f t="shared" si="42"/>
        <v>100838.30636201102</v>
      </c>
      <c r="O264" s="152">
        <f t="shared" si="43"/>
        <v>672099.4903620109</v>
      </c>
    </row>
    <row r="265" spans="1:15" x14ac:dyDescent="0.15">
      <c r="A265" s="154"/>
      <c r="B265" s="151"/>
      <c r="C265" s="152"/>
      <c r="D265" s="323"/>
      <c r="E265" s="154"/>
      <c r="F265" s="157"/>
      <c r="G265" s="152"/>
      <c r="H265" s="323" t="s">
        <v>2357</v>
      </c>
      <c r="I265" s="152"/>
      <c r="J265" s="157"/>
      <c r="K265" s="157">
        <v>5800360279</v>
      </c>
      <c r="L265" s="227">
        <v>3669.6280000000002</v>
      </c>
      <c r="M265" s="157" t="s">
        <v>2381</v>
      </c>
      <c r="N265" s="227">
        <f t="shared" si="32"/>
        <v>97168.678362011022</v>
      </c>
      <c r="O265" s="152">
        <f t="shared" si="33"/>
        <v>668429.86236201087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2357</v>
      </c>
      <c r="I266" s="152"/>
      <c r="J266" s="157"/>
      <c r="K266" s="157">
        <v>5800360279</v>
      </c>
      <c r="L266" s="227">
        <v>13665.615</v>
      </c>
      <c r="M266" s="157" t="s">
        <v>2381</v>
      </c>
      <c r="N266" s="227">
        <f t="shared" si="32"/>
        <v>83503.063362011017</v>
      </c>
      <c r="O266" s="152">
        <f t="shared" si="33"/>
        <v>654764.24736201088</v>
      </c>
    </row>
    <row r="267" spans="1:15" x14ac:dyDescent="0.15">
      <c r="A267" s="154"/>
      <c r="B267" s="151"/>
      <c r="C267" s="152"/>
      <c r="D267" s="323" t="s">
        <v>2358</v>
      </c>
      <c r="E267" s="154" t="s">
        <v>72</v>
      </c>
      <c r="F267" s="157" t="s">
        <v>2383</v>
      </c>
      <c r="G267" s="152">
        <v>67111.518000000127</v>
      </c>
      <c r="H267" s="323" t="s">
        <v>2358</v>
      </c>
      <c r="I267" s="152">
        <v>10655.383</v>
      </c>
      <c r="J267" s="157" t="s">
        <v>2381</v>
      </c>
      <c r="K267" s="157">
        <v>5800360279</v>
      </c>
      <c r="L267" s="227">
        <v>31975.912</v>
      </c>
      <c r="M267" s="157" t="s">
        <v>2381</v>
      </c>
      <c r="N267" s="227">
        <f t="shared" si="32"/>
        <v>40871.768362011018</v>
      </c>
      <c r="O267" s="152">
        <f t="shared" si="33"/>
        <v>679244.47036201099</v>
      </c>
    </row>
    <row r="268" spans="1:15" x14ac:dyDescent="0.15">
      <c r="A268" s="154"/>
      <c r="B268" s="151"/>
      <c r="C268" s="152"/>
      <c r="D268" s="323" t="s">
        <v>2358</v>
      </c>
      <c r="E268" s="154" t="s">
        <v>72</v>
      </c>
      <c r="F268" s="157" t="s">
        <v>2384</v>
      </c>
      <c r="G268" s="152">
        <v>152532.601</v>
      </c>
      <c r="H268" s="323" t="s">
        <v>2358</v>
      </c>
      <c r="I268" s="152"/>
      <c r="J268" s="157"/>
      <c r="K268" s="157">
        <v>5800360279</v>
      </c>
      <c r="L268" s="227">
        <v>12179.87</v>
      </c>
      <c r="M268" s="157" t="s">
        <v>2381</v>
      </c>
      <c r="N268" s="227">
        <f t="shared" si="32"/>
        <v>28691.898362011016</v>
      </c>
      <c r="O268" s="152">
        <f t="shared" si="33"/>
        <v>819597.20136201102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2358</v>
      </c>
      <c r="I269" s="152"/>
      <c r="J269" s="157"/>
      <c r="K269" s="157">
        <v>5800360279</v>
      </c>
      <c r="L269" s="227">
        <v>13606.026</v>
      </c>
      <c r="M269" s="157" t="s">
        <v>2381</v>
      </c>
      <c r="N269" s="227">
        <f t="shared" si="32"/>
        <v>15085.872362011016</v>
      </c>
      <c r="O269" s="152">
        <f t="shared" si="33"/>
        <v>805991.17536201107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2358</v>
      </c>
      <c r="I270" s="152"/>
      <c r="J270" s="157"/>
      <c r="K270" s="157">
        <v>5800360279</v>
      </c>
      <c r="L270" s="227">
        <v>12254.931</v>
      </c>
      <c r="M270" s="157" t="s">
        <v>2381</v>
      </c>
      <c r="N270" s="227">
        <f t="shared" si="32"/>
        <v>2830.9413620110154</v>
      </c>
      <c r="O270" s="152">
        <f t="shared" si="33"/>
        <v>793736.24436201109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2358</v>
      </c>
      <c r="I271" s="152"/>
      <c r="J271" s="157"/>
      <c r="K271" s="157">
        <v>5800360279</v>
      </c>
      <c r="L271" s="227">
        <v>2830.9413620110154</v>
      </c>
      <c r="M271" s="157" t="s">
        <v>2381</v>
      </c>
      <c r="N271" s="227">
        <f t="shared" ref="N271:N277" si="44">+N270-I271-L271</f>
        <v>0</v>
      </c>
      <c r="O271" s="152">
        <f t="shared" ref="O271:O277" si="45">O270+G271-I271-L271</f>
        <v>790905.30300000007</v>
      </c>
    </row>
    <row r="272" spans="1:15" x14ac:dyDescent="0.15">
      <c r="A272" s="154"/>
      <c r="B272" s="151"/>
      <c r="C272" s="152"/>
      <c r="D272" s="323"/>
      <c r="E272" s="154"/>
      <c r="F272" s="157"/>
      <c r="G272" s="152"/>
      <c r="H272" s="323" t="s">
        <v>2358</v>
      </c>
      <c r="I272" s="152"/>
      <c r="J272" s="157"/>
      <c r="K272" s="157">
        <v>5800360279</v>
      </c>
      <c r="L272" s="227">
        <v>8291.0716379889891</v>
      </c>
      <c r="M272" s="157" t="s">
        <v>2382</v>
      </c>
      <c r="N272" s="227">
        <f>G235+G246+N271-I272-L272</f>
        <v>299405.68636201101</v>
      </c>
      <c r="O272" s="152">
        <f t="shared" si="45"/>
        <v>782614.23136201105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2358</v>
      </c>
      <c r="I273" s="152"/>
      <c r="J273" s="157"/>
      <c r="K273" s="157">
        <v>5800360279</v>
      </c>
      <c r="L273" s="227">
        <v>3149.5520000000001</v>
      </c>
      <c r="M273" s="157" t="s">
        <v>2382</v>
      </c>
      <c r="N273" s="227">
        <f t="shared" si="44"/>
        <v>296256.13436201098</v>
      </c>
      <c r="O273" s="152">
        <f t="shared" si="45"/>
        <v>779464.67936201103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2358</v>
      </c>
      <c r="I274" s="152"/>
      <c r="J274" s="157"/>
      <c r="K274" s="157">
        <v>5800360279</v>
      </c>
      <c r="L274" s="227">
        <v>9230.3179999999993</v>
      </c>
      <c r="M274" s="157" t="s">
        <v>2382</v>
      </c>
      <c r="N274" s="227">
        <f t="shared" si="44"/>
        <v>287025.81636201101</v>
      </c>
      <c r="O274" s="152">
        <f t="shared" si="45"/>
        <v>770234.36136201106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2358</v>
      </c>
      <c r="I275" s="152"/>
      <c r="J275" s="157"/>
      <c r="K275" s="157">
        <v>5800360279</v>
      </c>
      <c r="L275" s="227">
        <v>11157.341</v>
      </c>
      <c r="M275" s="157" t="s">
        <v>2382</v>
      </c>
      <c r="N275" s="227">
        <f t="shared" si="44"/>
        <v>275868.475362011</v>
      </c>
      <c r="O275" s="152">
        <f t="shared" si="45"/>
        <v>759077.02036201104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2358</v>
      </c>
      <c r="I276" s="152"/>
      <c r="J276" s="157"/>
      <c r="K276" s="157">
        <v>5800360279</v>
      </c>
      <c r="L276" s="227">
        <v>14267.763000000001</v>
      </c>
      <c r="M276" s="157" t="s">
        <v>2382</v>
      </c>
      <c r="N276" s="227">
        <f t="shared" si="44"/>
        <v>261600.71236201099</v>
      </c>
      <c r="O276" s="152">
        <f t="shared" si="45"/>
        <v>744809.25736201101</v>
      </c>
    </row>
    <row r="277" spans="1:15" x14ac:dyDescent="0.15">
      <c r="A277" s="154"/>
      <c r="B277" s="151"/>
      <c r="C277" s="152"/>
      <c r="D277" s="323" t="s">
        <v>2359</v>
      </c>
      <c r="E277" s="154" t="s">
        <v>72</v>
      </c>
      <c r="F277" s="157" t="s">
        <v>2384</v>
      </c>
      <c r="G277" s="152">
        <v>175663.70800000001</v>
      </c>
      <c r="H277" s="323" t="s">
        <v>2359</v>
      </c>
      <c r="I277" s="152">
        <v>12793</v>
      </c>
      <c r="J277" s="157" t="s">
        <v>2382</v>
      </c>
      <c r="K277" s="157">
        <v>5800360279</v>
      </c>
      <c r="L277" s="227">
        <v>13406</v>
      </c>
      <c r="M277" s="157" t="s">
        <v>2382</v>
      </c>
      <c r="N277" s="227">
        <f t="shared" si="44"/>
        <v>235401.71236201099</v>
      </c>
      <c r="O277" s="152">
        <f t="shared" si="45"/>
        <v>894273.96536201099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2359</v>
      </c>
      <c r="I278" s="152"/>
      <c r="J278" s="157"/>
      <c r="K278" s="157">
        <v>5800360279</v>
      </c>
      <c r="L278" s="227">
        <v>13953</v>
      </c>
      <c r="M278" s="157" t="s">
        <v>2382</v>
      </c>
      <c r="N278" s="227">
        <f t="shared" si="32"/>
        <v>221448.71236201099</v>
      </c>
      <c r="O278" s="152">
        <f t="shared" si="33"/>
        <v>880320.96536201099</v>
      </c>
    </row>
    <row r="279" spans="1:15" x14ac:dyDescent="0.15">
      <c r="A279" s="154"/>
      <c r="B279" s="151"/>
      <c r="C279" s="152"/>
      <c r="D279" s="323"/>
      <c r="E279" s="154"/>
      <c r="F279" s="157"/>
      <c r="G279" s="152"/>
      <c r="H279" s="323" t="s">
        <v>2359</v>
      </c>
      <c r="I279" s="152"/>
      <c r="J279" s="157"/>
      <c r="K279" s="157">
        <v>5800360279</v>
      </c>
      <c r="L279" s="227">
        <v>13019</v>
      </c>
      <c r="M279" s="157" t="s">
        <v>2382</v>
      </c>
      <c r="N279" s="227">
        <f t="shared" si="32"/>
        <v>208429.71236201099</v>
      </c>
      <c r="O279" s="152">
        <f t="shared" si="33"/>
        <v>867301.96536201099</v>
      </c>
    </row>
    <row r="280" spans="1:15" x14ac:dyDescent="0.15">
      <c r="A280" s="154"/>
      <c r="B280" s="151"/>
      <c r="C280" s="152"/>
      <c r="D280" s="323"/>
      <c r="E280" s="154"/>
      <c r="F280" s="157"/>
      <c r="G280" s="152"/>
      <c r="H280" s="323" t="s">
        <v>2359</v>
      </c>
      <c r="I280" s="152"/>
      <c r="J280" s="157"/>
      <c r="K280" s="157">
        <v>5800360279</v>
      </c>
      <c r="L280" s="227">
        <v>16252</v>
      </c>
      <c r="M280" s="157" t="s">
        <v>2382</v>
      </c>
      <c r="N280" s="227">
        <f t="shared" si="32"/>
        <v>192177.71236201099</v>
      </c>
      <c r="O280" s="152">
        <f t="shared" si="33"/>
        <v>851049.96536201099</v>
      </c>
    </row>
    <row r="281" spans="1:15" x14ac:dyDescent="0.15">
      <c r="A281" s="154"/>
      <c r="B281" s="151"/>
      <c r="C281" s="152"/>
      <c r="D281" s="323"/>
      <c r="E281" s="154"/>
      <c r="F281" s="157"/>
      <c r="G281" s="152"/>
      <c r="H281" s="323" t="s">
        <v>2359</v>
      </c>
      <c r="I281" s="152"/>
      <c r="J281" s="157"/>
      <c r="K281" s="157">
        <v>5800360279</v>
      </c>
      <c r="L281" s="227">
        <v>12147</v>
      </c>
      <c r="M281" s="157" t="s">
        <v>2382</v>
      </c>
      <c r="N281" s="227">
        <f t="shared" si="32"/>
        <v>180030.71236201099</v>
      </c>
      <c r="O281" s="152">
        <f t="shared" si="33"/>
        <v>838902.96536201099</v>
      </c>
    </row>
    <row r="282" spans="1:15" x14ac:dyDescent="0.15">
      <c r="A282" s="154"/>
      <c r="B282" s="151"/>
      <c r="C282" s="152"/>
      <c r="D282" s="323"/>
      <c r="E282" s="154"/>
      <c r="F282" s="157"/>
      <c r="G282" s="152"/>
      <c r="H282" s="323" t="s">
        <v>2359</v>
      </c>
      <c r="I282" s="152"/>
      <c r="J282" s="157"/>
      <c r="K282" s="157">
        <v>5800360279</v>
      </c>
      <c r="L282" s="227">
        <v>12419</v>
      </c>
      <c r="M282" s="157" t="s">
        <v>2382</v>
      </c>
      <c r="N282" s="227">
        <f t="shared" si="32"/>
        <v>167611.71236201099</v>
      </c>
      <c r="O282" s="152">
        <f t="shared" si="33"/>
        <v>826483.96536201099</v>
      </c>
    </row>
    <row r="283" spans="1:15" x14ac:dyDescent="0.15">
      <c r="A283" s="154"/>
      <c r="B283" s="151"/>
      <c r="C283" s="152"/>
      <c r="D283" s="323" t="s">
        <v>2360</v>
      </c>
      <c r="E283" s="154" t="s">
        <v>72</v>
      </c>
      <c r="F283" s="157" t="s">
        <v>2384</v>
      </c>
      <c r="G283" s="152">
        <v>2828.050000000163</v>
      </c>
      <c r="H283" s="323" t="s">
        <v>2360</v>
      </c>
      <c r="I283" s="152">
        <v>10417.799999999999</v>
      </c>
      <c r="J283" s="157" t="s">
        <v>2382</v>
      </c>
      <c r="K283" s="157">
        <v>5800360279</v>
      </c>
      <c r="L283" s="227">
        <v>12949.687</v>
      </c>
      <c r="M283" s="157" t="s">
        <v>2382</v>
      </c>
      <c r="N283" s="227">
        <f t="shared" si="32"/>
        <v>144244.225362011</v>
      </c>
      <c r="O283" s="152">
        <f t="shared" si="33"/>
        <v>805944.52836201107</v>
      </c>
    </row>
    <row r="284" spans="1:15" x14ac:dyDescent="0.15">
      <c r="A284" s="154"/>
      <c r="B284" s="151"/>
      <c r="C284" s="152"/>
      <c r="D284" s="323" t="s">
        <v>2360</v>
      </c>
      <c r="E284" s="154" t="s">
        <v>72</v>
      </c>
      <c r="F284" s="157" t="s">
        <v>2385</v>
      </c>
      <c r="G284" s="152">
        <v>147731.00100000005</v>
      </c>
      <c r="H284" s="323" t="s">
        <v>2360</v>
      </c>
      <c r="I284" s="152"/>
      <c r="J284" s="157"/>
      <c r="K284" s="157">
        <v>5800360279</v>
      </c>
      <c r="L284" s="227">
        <v>12945.687</v>
      </c>
      <c r="M284" s="157" t="s">
        <v>2382</v>
      </c>
      <c r="N284" s="227">
        <f t="shared" ref="N284:N350" si="46">+N283-I284-L284</f>
        <v>131298.53836201099</v>
      </c>
      <c r="O284" s="152">
        <f t="shared" ref="O284:O350" si="47">O283+G284-I284-L284</f>
        <v>940729.84236201108</v>
      </c>
    </row>
    <row r="285" spans="1:15" x14ac:dyDescent="0.15">
      <c r="A285" s="154"/>
      <c r="B285" s="151"/>
      <c r="C285" s="152"/>
      <c r="D285" s="323" t="s">
        <v>2360</v>
      </c>
      <c r="E285" s="154" t="s">
        <v>72</v>
      </c>
      <c r="F285" s="157" t="s">
        <v>2386</v>
      </c>
      <c r="G285" s="152">
        <v>25184.902999999998</v>
      </c>
      <c r="H285" s="323" t="s">
        <v>2360</v>
      </c>
      <c r="I285" s="152"/>
      <c r="J285" s="157"/>
      <c r="K285" s="157">
        <v>5800360279</v>
      </c>
      <c r="L285" s="227">
        <v>9092.0779999999995</v>
      </c>
      <c r="M285" s="157" t="s">
        <v>2382</v>
      </c>
      <c r="N285" s="227">
        <f t="shared" si="46"/>
        <v>122206.460362011</v>
      </c>
      <c r="O285" s="152">
        <f t="shared" si="47"/>
        <v>956822.66736201115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2360</v>
      </c>
      <c r="I286" s="152"/>
      <c r="J286" s="157"/>
      <c r="K286" s="157">
        <v>5800360279</v>
      </c>
      <c r="L286" s="227">
        <v>16818.294999999998</v>
      </c>
      <c r="M286" s="157" t="s">
        <v>2382</v>
      </c>
      <c r="N286" s="227">
        <f t="shared" si="46"/>
        <v>105388.165362011</v>
      </c>
      <c r="O286" s="152">
        <f t="shared" si="47"/>
        <v>940004.37236201111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2360</v>
      </c>
      <c r="I287" s="152"/>
      <c r="J287" s="157"/>
      <c r="K287" s="157">
        <v>5800360279</v>
      </c>
      <c r="L287" s="227">
        <v>11880.795</v>
      </c>
      <c r="M287" s="157" t="s">
        <v>2382</v>
      </c>
      <c r="N287" s="227">
        <f t="shared" si="46"/>
        <v>93507.370362011003</v>
      </c>
      <c r="O287" s="152">
        <f t="shared" si="47"/>
        <v>928123.57736201107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2360</v>
      </c>
      <c r="I288" s="152"/>
      <c r="J288" s="157"/>
      <c r="K288" s="157">
        <v>5800360279</v>
      </c>
      <c r="L288" s="227">
        <v>12990.683000000001</v>
      </c>
      <c r="M288" s="157" t="s">
        <v>2382</v>
      </c>
      <c r="N288" s="227">
        <f t="shared" si="46"/>
        <v>80516.687362010998</v>
      </c>
      <c r="O288" s="152">
        <f t="shared" si="47"/>
        <v>915132.89436201111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2360</v>
      </c>
      <c r="I289" s="152"/>
      <c r="J289" s="157"/>
      <c r="K289" s="157">
        <v>5800360279</v>
      </c>
      <c r="L289" s="227">
        <v>11847.799000000001</v>
      </c>
      <c r="M289" s="157" t="s">
        <v>2382</v>
      </c>
      <c r="N289" s="227">
        <f t="shared" si="46"/>
        <v>68668.888362010999</v>
      </c>
      <c r="O289" s="152">
        <f t="shared" si="47"/>
        <v>903285.09536201111</v>
      </c>
    </row>
    <row r="290" spans="1:15" x14ac:dyDescent="0.15">
      <c r="A290" s="154"/>
      <c r="B290" s="151"/>
      <c r="C290" s="152"/>
      <c r="D290" s="323"/>
      <c r="E290" s="154"/>
      <c r="F290" s="157"/>
      <c r="G290" s="152"/>
      <c r="H290" s="323" t="s">
        <v>2360</v>
      </c>
      <c r="I290" s="152"/>
      <c r="J290" s="157"/>
      <c r="K290" s="157">
        <v>5800360279</v>
      </c>
      <c r="L290" s="227">
        <v>1499.848</v>
      </c>
      <c r="M290" s="157" t="s">
        <v>2382</v>
      </c>
      <c r="N290" s="227">
        <f t="shared" si="46"/>
        <v>67169.040362011001</v>
      </c>
      <c r="O290" s="152">
        <f t="shared" si="47"/>
        <v>901785.24736201111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2360</v>
      </c>
      <c r="I291" s="152"/>
      <c r="J291" s="157"/>
      <c r="K291" s="157">
        <v>5800360279</v>
      </c>
      <c r="L291" s="227">
        <v>67169.040362011001</v>
      </c>
      <c r="M291" s="157" t="s">
        <v>2382</v>
      </c>
      <c r="N291" s="227">
        <f t="shared" ref="N291:N297" si="48">+N290-I291-L291</f>
        <v>0</v>
      </c>
      <c r="O291" s="152">
        <f t="shared" ref="O291:O297" si="49">O290+G291-I291-L291</f>
        <v>834616.20700000017</v>
      </c>
    </row>
    <row r="292" spans="1:15" x14ac:dyDescent="0.15">
      <c r="A292" s="154"/>
      <c r="B292" s="151"/>
      <c r="C292" s="152"/>
      <c r="D292" s="323"/>
      <c r="E292" s="154"/>
      <c r="F292" s="157"/>
      <c r="G292" s="152"/>
      <c r="H292" s="323" t="s">
        <v>2360</v>
      </c>
      <c r="I292" s="152"/>
      <c r="J292" s="157"/>
      <c r="K292" s="157">
        <v>5800360279</v>
      </c>
      <c r="L292" s="227">
        <v>6463.4946379889998</v>
      </c>
      <c r="M292" s="157" t="s">
        <v>2383</v>
      </c>
      <c r="N292" s="227">
        <f>G247+G257+G267+N291-I292-L292</f>
        <v>324212.44936201116</v>
      </c>
      <c r="O292" s="152">
        <f t="shared" si="49"/>
        <v>828152.7123620112</v>
      </c>
    </row>
    <row r="293" spans="1:15" x14ac:dyDescent="0.15">
      <c r="A293" s="154"/>
      <c r="B293" s="151"/>
      <c r="C293" s="152"/>
      <c r="D293" s="323"/>
      <c r="E293" s="154"/>
      <c r="F293" s="157"/>
      <c r="G293" s="152"/>
      <c r="H293" s="323" t="s">
        <v>2360</v>
      </c>
      <c r="I293" s="152"/>
      <c r="J293" s="157"/>
      <c r="K293" s="157">
        <v>5800360279</v>
      </c>
      <c r="L293" s="227">
        <v>12001</v>
      </c>
      <c r="M293" s="157" t="s">
        <v>2383</v>
      </c>
      <c r="N293" s="227">
        <f t="shared" si="48"/>
        <v>312211.44936201116</v>
      </c>
      <c r="O293" s="152">
        <f t="shared" si="49"/>
        <v>816151.7123620112</v>
      </c>
    </row>
    <row r="294" spans="1:15" x14ac:dyDescent="0.15">
      <c r="A294" s="154"/>
      <c r="B294" s="151"/>
      <c r="C294" s="152"/>
      <c r="D294" s="323"/>
      <c r="E294" s="154"/>
      <c r="F294" s="157"/>
      <c r="G294" s="152"/>
      <c r="H294" s="323" t="s">
        <v>2360</v>
      </c>
      <c r="I294" s="152"/>
      <c r="J294" s="157"/>
      <c r="K294" s="157">
        <v>5800360279</v>
      </c>
      <c r="L294" s="227">
        <v>10936</v>
      </c>
      <c r="M294" s="157" t="s">
        <v>2383</v>
      </c>
      <c r="N294" s="227">
        <f t="shared" si="48"/>
        <v>301275.44936201116</v>
      </c>
      <c r="O294" s="152">
        <f t="shared" si="49"/>
        <v>805215.7123620112</v>
      </c>
    </row>
    <row r="295" spans="1:15" x14ac:dyDescent="0.15">
      <c r="A295" s="154"/>
      <c r="B295" s="151"/>
      <c r="C295" s="152"/>
      <c r="D295" s="323"/>
      <c r="E295" s="154"/>
      <c r="F295" s="157"/>
      <c r="G295" s="152"/>
      <c r="H295" s="323" t="s">
        <v>2360</v>
      </c>
      <c r="I295" s="152"/>
      <c r="J295" s="157"/>
      <c r="K295" s="157">
        <v>5800360279</v>
      </c>
      <c r="L295" s="227">
        <v>14200</v>
      </c>
      <c r="M295" s="157" t="s">
        <v>2383</v>
      </c>
      <c r="N295" s="227">
        <f t="shared" si="48"/>
        <v>287075.44936201116</v>
      </c>
      <c r="O295" s="152">
        <f t="shared" si="49"/>
        <v>791015.7123620112</v>
      </c>
    </row>
    <row r="296" spans="1:15" x14ac:dyDescent="0.15">
      <c r="A296" s="154"/>
      <c r="B296" s="151"/>
      <c r="C296" s="152"/>
      <c r="D296" s="323"/>
      <c r="E296" s="154"/>
      <c r="F296" s="157"/>
      <c r="G296" s="152"/>
      <c r="H296" s="323" t="s">
        <v>2360</v>
      </c>
      <c r="I296" s="152"/>
      <c r="J296" s="157"/>
      <c r="K296" s="157">
        <v>5800360279</v>
      </c>
      <c r="L296" s="227">
        <v>14053</v>
      </c>
      <c r="M296" s="157" t="s">
        <v>2383</v>
      </c>
      <c r="N296" s="227">
        <f t="shared" si="48"/>
        <v>273022.44936201116</v>
      </c>
      <c r="O296" s="152">
        <f t="shared" si="49"/>
        <v>776962.7123620112</v>
      </c>
    </row>
    <row r="297" spans="1:15" x14ac:dyDescent="0.15">
      <c r="A297" s="154"/>
      <c r="B297" s="151"/>
      <c r="C297" s="152"/>
      <c r="D297" s="323" t="s">
        <v>2361</v>
      </c>
      <c r="E297" s="154" t="s">
        <v>72</v>
      </c>
      <c r="F297" s="157" t="s">
        <v>2386</v>
      </c>
      <c r="G297" s="152">
        <v>351411.86700000003</v>
      </c>
      <c r="H297" s="323" t="s">
        <v>2361</v>
      </c>
      <c r="I297" s="152">
        <v>14390.541999999998</v>
      </c>
      <c r="J297" s="157" t="s">
        <v>2383</v>
      </c>
      <c r="K297" s="157">
        <v>5800360279</v>
      </c>
      <c r="L297" s="227">
        <v>13285.653</v>
      </c>
      <c r="M297" s="157" t="s">
        <v>2383</v>
      </c>
      <c r="N297" s="227">
        <f t="shared" si="48"/>
        <v>245346.25436201118</v>
      </c>
      <c r="O297" s="152">
        <f t="shared" si="49"/>
        <v>1100698.3843620114</v>
      </c>
    </row>
    <row r="298" spans="1:15" x14ac:dyDescent="0.15">
      <c r="A298" s="154"/>
      <c r="B298" s="151"/>
      <c r="C298" s="152"/>
      <c r="D298" s="323"/>
      <c r="E298" s="154"/>
      <c r="F298" s="157"/>
      <c r="G298" s="152"/>
      <c r="H298" s="323" t="s">
        <v>2361</v>
      </c>
      <c r="I298" s="152"/>
      <c r="J298" s="157"/>
      <c r="K298" s="157">
        <v>5800360279</v>
      </c>
      <c r="L298" s="227">
        <v>35426.408000000003</v>
      </c>
      <c r="M298" s="157" t="s">
        <v>2383</v>
      </c>
      <c r="N298" s="227">
        <f t="shared" si="46"/>
        <v>209919.84636201119</v>
      </c>
      <c r="O298" s="152">
        <f t="shared" si="47"/>
        <v>1065271.9763620114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2361</v>
      </c>
      <c r="I299" s="152"/>
      <c r="J299" s="157"/>
      <c r="K299" s="157">
        <v>5800360279</v>
      </c>
      <c r="L299" s="227">
        <v>12873.695</v>
      </c>
      <c r="M299" s="157" t="s">
        <v>2383</v>
      </c>
      <c r="N299" s="227">
        <f t="shared" si="46"/>
        <v>197046.15136201118</v>
      </c>
      <c r="O299" s="152">
        <f t="shared" si="47"/>
        <v>1052398.2813620113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2361</v>
      </c>
      <c r="I300" s="152"/>
      <c r="J300" s="157"/>
      <c r="K300" s="157">
        <v>5800360279</v>
      </c>
      <c r="L300" s="227">
        <v>12302.753000000001</v>
      </c>
      <c r="M300" s="157" t="s">
        <v>2383</v>
      </c>
      <c r="N300" s="227">
        <f t="shared" si="46"/>
        <v>184743.39836201118</v>
      </c>
      <c r="O300" s="152">
        <f t="shared" si="47"/>
        <v>1040095.5283620113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2361</v>
      </c>
      <c r="I301" s="152"/>
      <c r="J301" s="157"/>
      <c r="K301" s="157">
        <v>5800360279</v>
      </c>
      <c r="L301" s="227">
        <v>9014.0859999999993</v>
      </c>
      <c r="M301" s="157" t="s">
        <v>2383</v>
      </c>
      <c r="N301" s="227">
        <f t="shared" si="46"/>
        <v>175729.31236201117</v>
      </c>
      <c r="O301" s="152">
        <f t="shared" si="47"/>
        <v>1031081.4423620113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2361</v>
      </c>
      <c r="I302" s="152"/>
      <c r="J302" s="157"/>
      <c r="K302" s="157">
        <v>5800360279</v>
      </c>
      <c r="L302" s="227">
        <v>94182.451000000001</v>
      </c>
      <c r="M302" s="157" t="s">
        <v>2383</v>
      </c>
      <c r="N302" s="227">
        <f t="shared" si="46"/>
        <v>81546.861362011172</v>
      </c>
      <c r="O302" s="152">
        <f t="shared" si="47"/>
        <v>936898.99136201129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2361</v>
      </c>
      <c r="I303" s="152"/>
      <c r="J303" s="157"/>
      <c r="K303" s="157">
        <v>5800360279</v>
      </c>
      <c r="L303" s="227">
        <v>75722.323000000004</v>
      </c>
      <c r="M303" s="157" t="s">
        <v>2383</v>
      </c>
      <c r="N303" s="227">
        <f t="shared" si="46"/>
        <v>5824.5383620111679</v>
      </c>
      <c r="O303" s="152">
        <f t="shared" si="47"/>
        <v>861176.66836201132</v>
      </c>
    </row>
    <row r="304" spans="1:15" x14ac:dyDescent="0.15">
      <c r="A304" s="154"/>
      <c r="B304" s="151"/>
      <c r="C304" s="152"/>
      <c r="D304" s="323"/>
      <c r="E304" s="154"/>
      <c r="F304" s="157"/>
      <c r="G304" s="152"/>
      <c r="H304" s="323" t="s">
        <v>2361</v>
      </c>
      <c r="I304" s="152"/>
      <c r="J304" s="157"/>
      <c r="K304" s="157">
        <v>5800360279</v>
      </c>
      <c r="L304" s="227">
        <v>5824.5383620111679</v>
      </c>
      <c r="M304" s="157" t="s">
        <v>2383</v>
      </c>
      <c r="N304" s="227">
        <f t="shared" si="46"/>
        <v>0</v>
      </c>
      <c r="O304" s="152">
        <f t="shared" si="47"/>
        <v>855352.13000000012</v>
      </c>
    </row>
    <row r="305" spans="1:15" x14ac:dyDescent="0.15">
      <c r="A305" s="154"/>
      <c r="B305" s="151"/>
      <c r="C305" s="152"/>
      <c r="D305" s="323"/>
      <c r="E305" s="154"/>
      <c r="F305" s="157"/>
      <c r="G305" s="152"/>
      <c r="H305" s="323" t="s">
        <v>2361</v>
      </c>
      <c r="I305" s="152"/>
      <c r="J305" s="157"/>
      <c r="K305" s="157">
        <v>5800360292</v>
      </c>
      <c r="L305" s="227">
        <v>6265.2356379888297</v>
      </c>
      <c r="M305" s="157" t="s">
        <v>2384</v>
      </c>
      <c r="N305" s="227">
        <f>G268+G277+G283+N304-I305-L305</f>
        <v>324759.12336201133</v>
      </c>
      <c r="O305" s="152">
        <f t="shared" si="47"/>
        <v>849086.89436201134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2361</v>
      </c>
      <c r="I306" s="152"/>
      <c r="J306" s="157"/>
      <c r="K306" s="157">
        <v>5800360292</v>
      </c>
      <c r="L306" s="227">
        <v>1388.8589999999999</v>
      </c>
      <c r="M306" s="157" t="s">
        <v>2384</v>
      </c>
      <c r="N306" s="227">
        <f t="shared" si="46"/>
        <v>323370.26436201134</v>
      </c>
      <c r="O306" s="152">
        <f t="shared" si="47"/>
        <v>847698.03536201129</v>
      </c>
    </row>
    <row r="307" spans="1:15" x14ac:dyDescent="0.15">
      <c r="A307" s="154"/>
      <c r="B307" s="151"/>
      <c r="C307" s="152"/>
      <c r="D307" s="323" t="s">
        <v>2362</v>
      </c>
      <c r="E307" s="154" t="s">
        <v>72</v>
      </c>
      <c r="F307" s="157" t="s">
        <v>2387</v>
      </c>
      <c r="G307" s="152">
        <v>87831.422000000006</v>
      </c>
      <c r="H307" s="323" t="s">
        <v>2362</v>
      </c>
      <c r="I307" s="152">
        <v>6455.6910000000007</v>
      </c>
      <c r="J307" s="157" t="s">
        <v>2384</v>
      </c>
      <c r="K307" s="157">
        <v>5800360292</v>
      </c>
      <c r="L307" s="227">
        <v>13415.279</v>
      </c>
      <c r="M307" s="157" t="s">
        <v>2384</v>
      </c>
      <c r="N307" s="227">
        <f t="shared" si="46"/>
        <v>303499.29436201137</v>
      </c>
      <c r="O307" s="152">
        <f t="shared" si="47"/>
        <v>915658.48736201134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2362</v>
      </c>
      <c r="I308" s="152"/>
      <c r="J308" s="157"/>
      <c r="K308" s="157">
        <v>5800360292</v>
      </c>
      <c r="L308" s="227">
        <v>11612.645</v>
      </c>
      <c r="M308" s="157" t="s">
        <v>2384</v>
      </c>
      <c r="N308" s="227">
        <f t="shared" si="46"/>
        <v>291886.64936201135</v>
      </c>
      <c r="O308" s="152">
        <f t="shared" si="47"/>
        <v>904045.84236201132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2362</v>
      </c>
      <c r="I309" s="152"/>
      <c r="J309" s="157"/>
      <c r="K309" s="157">
        <v>5800360292</v>
      </c>
      <c r="L309" s="227">
        <v>15984.758</v>
      </c>
      <c r="M309" s="157" t="s">
        <v>2384</v>
      </c>
      <c r="N309" s="227">
        <f t="shared" si="46"/>
        <v>275901.89136201137</v>
      </c>
      <c r="O309" s="152">
        <f t="shared" si="47"/>
        <v>888061.08436201129</v>
      </c>
    </row>
    <row r="310" spans="1:15" x14ac:dyDescent="0.15">
      <c r="A310" s="154"/>
      <c r="B310" s="151"/>
      <c r="C310" s="152"/>
      <c r="D310" s="323"/>
      <c r="E310" s="154"/>
      <c r="F310" s="157"/>
      <c r="G310" s="152"/>
      <c r="H310" s="323" t="s">
        <v>2362</v>
      </c>
      <c r="I310" s="152"/>
      <c r="J310" s="157"/>
      <c r="K310" s="157">
        <v>5800360292</v>
      </c>
      <c r="L310" s="227">
        <v>9893.9940000000006</v>
      </c>
      <c r="M310" s="157" t="s">
        <v>2384</v>
      </c>
      <c r="N310" s="227">
        <f t="shared" si="46"/>
        <v>266007.89736201137</v>
      </c>
      <c r="O310" s="152">
        <f t="shared" si="47"/>
        <v>878167.09036201134</v>
      </c>
    </row>
    <row r="311" spans="1:15" x14ac:dyDescent="0.15">
      <c r="A311" s="154"/>
      <c r="B311" s="151"/>
      <c r="C311" s="152"/>
      <c r="D311" s="323"/>
      <c r="E311" s="154"/>
      <c r="F311" s="157"/>
      <c r="G311" s="152"/>
      <c r="H311" s="323" t="s">
        <v>2362</v>
      </c>
      <c r="I311" s="152"/>
      <c r="J311" s="157"/>
      <c r="K311" s="157">
        <v>5800360292</v>
      </c>
      <c r="L311" s="227">
        <v>13003.362999999999</v>
      </c>
      <c r="M311" s="157" t="s">
        <v>2384</v>
      </c>
      <c r="N311" s="227">
        <f t="shared" si="46"/>
        <v>253004.53436201136</v>
      </c>
      <c r="O311" s="152">
        <f t="shared" si="47"/>
        <v>865163.72736201133</v>
      </c>
    </row>
    <row r="312" spans="1:15" x14ac:dyDescent="0.15">
      <c r="A312" s="154"/>
      <c r="B312" s="151"/>
      <c r="C312" s="152"/>
      <c r="D312" s="323"/>
      <c r="E312" s="154"/>
      <c r="F312" s="157"/>
      <c r="G312" s="152"/>
      <c r="H312" s="323" t="s">
        <v>2362</v>
      </c>
      <c r="I312" s="152"/>
      <c r="J312" s="157"/>
      <c r="K312" s="157">
        <v>5800360292</v>
      </c>
      <c r="L312" s="227">
        <v>9530.1010000000006</v>
      </c>
      <c r="M312" s="157" t="s">
        <v>2384</v>
      </c>
      <c r="N312" s="227">
        <f t="shared" si="46"/>
        <v>243474.43336201136</v>
      </c>
      <c r="O312" s="152">
        <f t="shared" si="47"/>
        <v>855633.6263620113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2362</v>
      </c>
      <c r="I313" s="152"/>
      <c r="J313" s="157"/>
      <c r="K313" s="157">
        <v>5800360292</v>
      </c>
      <c r="L313" s="227">
        <v>9113.2279999999992</v>
      </c>
      <c r="M313" s="157" t="s">
        <v>2384</v>
      </c>
      <c r="N313" s="227">
        <f t="shared" si="46"/>
        <v>234361.20536201136</v>
      </c>
      <c r="O313" s="152">
        <f t="shared" si="47"/>
        <v>846520.3983620113</v>
      </c>
    </row>
    <row r="314" spans="1:15" x14ac:dyDescent="0.15">
      <c r="A314" s="154"/>
      <c r="B314" s="151"/>
      <c r="C314" s="152"/>
      <c r="D314" s="323"/>
      <c r="E314" s="154"/>
      <c r="F314" s="157"/>
      <c r="G314" s="152"/>
      <c r="H314" s="323" t="s">
        <v>2362</v>
      </c>
      <c r="I314" s="152"/>
      <c r="J314" s="157"/>
      <c r="K314" s="157">
        <v>5800360292</v>
      </c>
      <c r="L314" s="227">
        <v>4684.5749999999998</v>
      </c>
      <c r="M314" s="157" t="s">
        <v>2384</v>
      </c>
      <c r="N314" s="227">
        <f t="shared" si="46"/>
        <v>229676.63036201135</v>
      </c>
      <c r="O314" s="152">
        <f t="shared" si="47"/>
        <v>841835.82336201135</v>
      </c>
    </row>
    <row r="315" spans="1:15" x14ac:dyDescent="0.15">
      <c r="A315" s="154"/>
      <c r="B315" s="151"/>
      <c r="C315" s="152"/>
      <c r="D315" s="323"/>
      <c r="E315" s="154"/>
      <c r="F315" s="157"/>
      <c r="G315" s="152"/>
      <c r="H315" s="323" t="s">
        <v>2362</v>
      </c>
      <c r="I315" s="152"/>
      <c r="J315" s="157"/>
      <c r="K315" s="157">
        <v>5800360292</v>
      </c>
      <c r="L315" s="227">
        <v>14241.666999999999</v>
      </c>
      <c r="M315" s="157" t="s">
        <v>2384</v>
      </c>
      <c r="N315" s="227">
        <f t="shared" si="46"/>
        <v>215434.96336201136</v>
      </c>
      <c r="O315" s="152">
        <f t="shared" si="47"/>
        <v>827594.15636201133</v>
      </c>
    </row>
    <row r="316" spans="1:15" x14ac:dyDescent="0.15">
      <c r="A316" s="154"/>
      <c r="B316" s="151"/>
      <c r="C316" s="152"/>
      <c r="D316" s="323" t="s">
        <v>2363</v>
      </c>
      <c r="E316" s="154" t="s">
        <v>72</v>
      </c>
      <c r="F316" s="157" t="s">
        <v>2387</v>
      </c>
      <c r="G316" s="152">
        <v>219624.62299999999</v>
      </c>
      <c r="H316" s="323" t="s">
        <v>2363</v>
      </c>
      <c r="I316" s="152">
        <v>12704.558000000001</v>
      </c>
      <c r="J316" s="157" t="s">
        <v>2384</v>
      </c>
      <c r="K316" s="157">
        <v>5800360292</v>
      </c>
      <c r="L316" s="227">
        <v>31993.774000000001</v>
      </c>
      <c r="M316" s="157" t="s">
        <v>2384</v>
      </c>
      <c r="N316" s="227">
        <f t="shared" si="46"/>
        <v>170736.63136201137</v>
      </c>
      <c r="O316" s="152">
        <f t="shared" si="47"/>
        <v>1002520.4473620114</v>
      </c>
    </row>
    <row r="317" spans="1:15" x14ac:dyDescent="0.15">
      <c r="A317" s="154"/>
      <c r="B317" s="151"/>
      <c r="C317" s="152"/>
      <c r="D317" s="323"/>
      <c r="E317" s="154"/>
      <c r="F317" s="157"/>
      <c r="G317" s="152"/>
      <c r="H317" s="323" t="s">
        <v>2363</v>
      </c>
      <c r="I317" s="152"/>
      <c r="J317" s="157"/>
      <c r="K317" s="157">
        <v>5800360292</v>
      </c>
      <c r="L317" s="227">
        <v>17168.293000000001</v>
      </c>
      <c r="M317" s="157" t="s">
        <v>2384</v>
      </c>
      <c r="N317" s="227">
        <f t="shared" si="46"/>
        <v>153568.33836201136</v>
      </c>
      <c r="O317" s="152">
        <f t="shared" si="47"/>
        <v>985352.15436201147</v>
      </c>
    </row>
    <row r="318" spans="1:15" x14ac:dyDescent="0.15">
      <c r="A318" s="154"/>
      <c r="B318" s="151"/>
      <c r="C318" s="152"/>
      <c r="D318" s="323"/>
      <c r="E318" s="154"/>
      <c r="F318" s="157"/>
      <c r="G318" s="152"/>
      <c r="H318" s="323" t="s">
        <v>2363</v>
      </c>
      <c r="I318" s="152"/>
      <c r="J318" s="157"/>
      <c r="K318" s="157">
        <v>5800360292</v>
      </c>
      <c r="L318" s="227">
        <v>11726.053</v>
      </c>
      <c r="M318" s="157" t="s">
        <v>2384</v>
      </c>
      <c r="N318" s="227">
        <f t="shared" si="46"/>
        <v>141842.28536201135</v>
      </c>
      <c r="O318" s="152">
        <f t="shared" si="47"/>
        <v>973626.10136201151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2363</v>
      </c>
      <c r="I319" s="152"/>
      <c r="J319" s="157"/>
      <c r="K319" s="157">
        <v>5800360292</v>
      </c>
      <c r="L319" s="227">
        <v>14271.762000000001</v>
      </c>
      <c r="M319" s="157" t="s">
        <v>2384</v>
      </c>
      <c r="N319" s="227">
        <f t="shared" si="46"/>
        <v>127570.52336201134</v>
      </c>
      <c r="O319" s="152">
        <f t="shared" si="47"/>
        <v>959354.33936201152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2363</v>
      </c>
      <c r="I320" s="152"/>
      <c r="J320" s="157"/>
      <c r="K320" s="157">
        <v>5800360292</v>
      </c>
      <c r="L320" s="227">
        <v>9123.3729999999996</v>
      </c>
      <c r="M320" s="157" t="s">
        <v>2384</v>
      </c>
      <c r="N320" s="227">
        <f t="shared" si="46"/>
        <v>118447.15036201134</v>
      </c>
      <c r="O320" s="152">
        <f t="shared" si="47"/>
        <v>950230.9663620115</v>
      </c>
    </row>
    <row r="321" spans="1:15" x14ac:dyDescent="0.15">
      <c r="A321" s="154"/>
      <c r="B321" s="151"/>
      <c r="C321" s="152"/>
      <c r="D321" s="323"/>
      <c r="E321" s="154"/>
      <c r="F321" s="157"/>
      <c r="G321" s="152"/>
      <c r="H321" s="323" t="s">
        <v>2363</v>
      </c>
      <c r="I321" s="152"/>
      <c r="J321" s="157"/>
      <c r="K321" s="157">
        <v>5800360292</v>
      </c>
      <c r="L321" s="227">
        <v>74037.452000000005</v>
      </c>
      <c r="M321" s="157" t="s">
        <v>2384</v>
      </c>
      <c r="N321" s="227">
        <f t="shared" si="46"/>
        <v>44409.698362011331</v>
      </c>
      <c r="O321" s="152">
        <f t="shared" si="47"/>
        <v>876193.51436201145</v>
      </c>
    </row>
    <row r="322" spans="1:15" x14ac:dyDescent="0.15">
      <c r="A322" s="154"/>
      <c r="B322" s="151"/>
      <c r="C322" s="152"/>
      <c r="D322" s="323"/>
      <c r="E322" s="154"/>
      <c r="F322" s="157"/>
      <c r="G322" s="152"/>
      <c r="H322" s="323" t="s">
        <v>2363</v>
      </c>
      <c r="I322" s="152"/>
      <c r="J322" s="157"/>
      <c r="K322" s="157">
        <v>5800360292</v>
      </c>
      <c r="L322" s="227">
        <v>14769.51</v>
      </c>
      <c r="M322" s="157" t="s">
        <v>2384</v>
      </c>
      <c r="N322" s="227">
        <f t="shared" si="46"/>
        <v>29640.188362011329</v>
      </c>
      <c r="O322" s="152">
        <f t="shared" si="47"/>
        <v>861424.00436201144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2363</v>
      </c>
      <c r="I323" s="152"/>
      <c r="J323" s="157"/>
      <c r="K323" s="157">
        <v>5800360292</v>
      </c>
      <c r="L323" s="227">
        <v>3182.386</v>
      </c>
      <c r="M323" s="157" t="s">
        <v>2384</v>
      </c>
      <c r="N323" s="227">
        <f t="shared" si="46"/>
        <v>26457.802362011331</v>
      </c>
      <c r="O323" s="152">
        <f t="shared" si="47"/>
        <v>858241.61836201139</v>
      </c>
    </row>
    <row r="324" spans="1:15" x14ac:dyDescent="0.15">
      <c r="A324" s="154"/>
      <c r="B324" s="151"/>
      <c r="C324" s="152"/>
      <c r="D324" s="323"/>
      <c r="E324" s="154"/>
      <c r="F324" s="157"/>
      <c r="G324" s="152"/>
      <c r="H324" s="323" t="s">
        <v>2363</v>
      </c>
      <c r="I324" s="152"/>
      <c r="J324" s="157"/>
      <c r="K324" s="157">
        <v>5800360292</v>
      </c>
      <c r="L324" s="227">
        <v>13675.065000000001</v>
      </c>
      <c r="M324" s="157" t="s">
        <v>2384</v>
      </c>
      <c r="N324" s="227">
        <f t="shared" ref="N324:N329" si="50">+N323-I324-L324</f>
        <v>12782.73736201133</v>
      </c>
      <c r="O324" s="152">
        <f t="shared" ref="O324:O329" si="51">O323+G324-I324-L324</f>
        <v>844566.55336201144</v>
      </c>
    </row>
    <row r="325" spans="1:15" x14ac:dyDescent="0.15">
      <c r="A325" s="154"/>
      <c r="B325" s="151"/>
      <c r="C325" s="152"/>
      <c r="D325" s="323" t="s">
        <v>2364</v>
      </c>
      <c r="E325" s="154" t="s">
        <v>72</v>
      </c>
      <c r="F325" s="157" t="s">
        <v>2387</v>
      </c>
      <c r="G325" s="152">
        <v>87921.842000000004</v>
      </c>
      <c r="H325" s="323" t="s">
        <v>2364</v>
      </c>
      <c r="I325" s="152">
        <v>12782.73736201133</v>
      </c>
      <c r="J325" s="157" t="s">
        <v>2384</v>
      </c>
      <c r="K325" s="157"/>
      <c r="L325" s="227"/>
      <c r="M325" s="157"/>
      <c r="N325" s="227">
        <f t="shared" si="50"/>
        <v>0</v>
      </c>
      <c r="O325" s="152">
        <f t="shared" si="51"/>
        <v>919705.65800000005</v>
      </c>
    </row>
    <row r="326" spans="1:15" x14ac:dyDescent="0.15">
      <c r="A326" s="154"/>
      <c r="B326" s="151"/>
      <c r="C326" s="152"/>
      <c r="D326" s="323"/>
      <c r="E326" s="154"/>
      <c r="F326" s="157"/>
      <c r="G326" s="152"/>
      <c r="H326" s="323" t="s">
        <v>2364</v>
      </c>
      <c r="I326" s="152">
        <v>1461.59363798866</v>
      </c>
      <c r="J326" s="157" t="s">
        <v>2385</v>
      </c>
      <c r="K326" s="157">
        <v>5800360279</v>
      </c>
      <c r="L326" s="227">
        <v>11581.950999999999</v>
      </c>
      <c r="M326" s="157" t="s">
        <v>2385</v>
      </c>
      <c r="N326" s="227">
        <f>G284+N325-I326-L326</f>
        <v>134687.45636201138</v>
      </c>
      <c r="O326" s="152">
        <f t="shared" si="51"/>
        <v>906662.11336201138</v>
      </c>
    </row>
    <row r="327" spans="1:15" x14ac:dyDescent="0.15">
      <c r="A327" s="154"/>
      <c r="B327" s="151"/>
      <c r="C327" s="152"/>
      <c r="D327" s="323"/>
      <c r="E327" s="154"/>
      <c r="F327" s="157"/>
      <c r="G327" s="152"/>
      <c r="H327" s="323" t="s">
        <v>2364</v>
      </c>
      <c r="I327" s="152"/>
      <c r="J327" s="157"/>
      <c r="K327" s="157">
        <v>5800360279</v>
      </c>
      <c r="L327" s="227">
        <v>15697.446</v>
      </c>
      <c r="M327" s="157" t="s">
        <v>2385</v>
      </c>
      <c r="N327" s="227">
        <f t="shared" si="50"/>
        <v>118990.01036201138</v>
      </c>
      <c r="O327" s="152">
        <f t="shared" si="51"/>
        <v>890964.66736201139</v>
      </c>
    </row>
    <row r="328" spans="1:15" x14ac:dyDescent="0.15">
      <c r="A328" s="154"/>
      <c r="B328" s="151"/>
      <c r="C328" s="152"/>
      <c r="D328" s="323"/>
      <c r="E328" s="154"/>
      <c r="F328" s="157"/>
      <c r="G328" s="152"/>
      <c r="H328" s="323" t="s">
        <v>2364</v>
      </c>
      <c r="I328" s="152"/>
      <c r="J328" s="157"/>
      <c r="K328" s="157">
        <v>5800360279</v>
      </c>
      <c r="L328" s="227">
        <v>68090.557000000001</v>
      </c>
      <c r="M328" s="157" t="s">
        <v>2385</v>
      </c>
      <c r="N328" s="227">
        <f t="shared" si="50"/>
        <v>50899.45336201138</v>
      </c>
      <c r="O328" s="152">
        <f t="shared" si="51"/>
        <v>822874.11036201136</v>
      </c>
    </row>
    <row r="329" spans="1:15" x14ac:dyDescent="0.15">
      <c r="A329" s="154"/>
      <c r="B329" s="151"/>
      <c r="C329" s="152"/>
      <c r="D329" s="323"/>
      <c r="E329" s="154"/>
      <c r="F329" s="157"/>
      <c r="G329" s="152"/>
      <c r="H329" s="323" t="s">
        <v>2364</v>
      </c>
      <c r="I329" s="152"/>
      <c r="J329" s="157"/>
      <c r="K329" s="157">
        <v>5800360279</v>
      </c>
      <c r="L329" s="227">
        <v>50899.45336201138</v>
      </c>
      <c r="M329" s="157" t="s">
        <v>2385</v>
      </c>
      <c r="N329" s="227">
        <f t="shared" si="50"/>
        <v>0</v>
      </c>
      <c r="O329" s="152">
        <f t="shared" si="51"/>
        <v>771974.65700000001</v>
      </c>
    </row>
    <row r="330" spans="1:15" x14ac:dyDescent="0.15">
      <c r="A330" s="154"/>
      <c r="B330" s="151"/>
      <c r="C330" s="152"/>
      <c r="D330" s="323"/>
      <c r="E330" s="154"/>
      <c r="F330" s="157"/>
      <c r="G330" s="152"/>
      <c r="H330" s="323" t="s">
        <v>2364</v>
      </c>
      <c r="I330" s="152"/>
      <c r="J330" s="157"/>
      <c r="K330" s="157">
        <v>5800360279</v>
      </c>
      <c r="L330" s="227">
        <v>27482.8396379886</v>
      </c>
      <c r="M330" s="157" t="s">
        <v>2386</v>
      </c>
      <c r="N330" s="227">
        <f>G285+G297+N329-I330-L330</f>
        <v>349113.93036201142</v>
      </c>
      <c r="O330" s="152">
        <f t="shared" ref="O330:O334" si="52">O329+G330-I330-L330</f>
        <v>744491.81736201141</v>
      </c>
    </row>
    <row r="331" spans="1:15" x14ac:dyDescent="0.15">
      <c r="A331" s="154"/>
      <c r="B331" s="151"/>
      <c r="C331" s="152"/>
      <c r="D331" s="323"/>
      <c r="E331" s="154"/>
      <c r="F331" s="157"/>
      <c r="G331" s="152"/>
      <c r="H331" s="323" t="s">
        <v>2364</v>
      </c>
      <c r="I331" s="152"/>
      <c r="J331" s="157"/>
      <c r="K331" s="157">
        <v>5800360279</v>
      </c>
      <c r="L331" s="227">
        <v>10973.321</v>
      </c>
      <c r="M331" s="157" t="s">
        <v>2386</v>
      </c>
      <c r="N331" s="227">
        <f t="shared" ref="N331:N334" si="53">+N330-I331-L331</f>
        <v>338140.60936201143</v>
      </c>
      <c r="O331" s="152">
        <f t="shared" si="52"/>
        <v>733518.49636201141</v>
      </c>
    </row>
    <row r="332" spans="1:15" x14ac:dyDescent="0.15">
      <c r="A332" s="154"/>
      <c r="B332" s="151"/>
      <c r="C332" s="152"/>
      <c r="D332" s="323"/>
      <c r="E332" s="154"/>
      <c r="F332" s="157"/>
      <c r="G332" s="152"/>
      <c r="H332" s="323" t="s">
        <v>2364</v>
      </c>
      <c r="I332" s="152"/>
      <c r="J332" s="157"/>
      <c r="K332" s="157">
        <v>5800360279</v>
      </c>
      <c r="L332" s="227">
        <v>3997.567</v>
      </c>
      <c r="M332" s="157" t="s">
        <v>2386</v>
      </c>
      <c r="N332" s="227">
        <f t="shared" si="53"/>
        <v>334143.04236201145</v>
      </c>
      <c r="O332" s="152">
        <f t="shared" si="52"/>
        <v>729520.92936201137</v>
      </c>
    </row>
    <row r="333" spans="1:15" x14ac:dyDescent="0.15">
      <c r="A333" s="154"/>
      <c r="B333" s="151"/>
      <c r="C333" s="152"/>
      <c r="D333" s="323"/>
      <c r="E333" s="154"/>
      <c r="F333" s="157"/>
      <c r="G333" s="152"/>
      <c r="H333" s="323" t="s">
        <v>2364</v>
      </c>
      <c r="I333" s="152"/>
      <c r="J333" s="157"/>
      <c r="K333" s="157">
        <v>5800360279</v>
      </c>
      <c r="L333" s="227">
        <v>76971.152000000002</v>
      </c>
      <c r="M333" s="157" t="s">
        <v>2386</v>
      </c>
      <c r="N333" s="227">
        <f t="shared" si="53"/>
        <v>257171.89036201144</v>
      </c>
      <c r="O333" s="152">
        <f t="shared" si="52"/>
        <v>652549.77736201137</v>
      </c>
    </row>
    <row r="334" spans="1:15" x14ac:dyDescent="0.15">
      <c r="A334" s="154"/>
      <c r="B334" s="151"/>
      <c r="C334" s="152"/>
      <c r="D334" s="323"/>
      <c r="E334" s="154"/>
      <c r="F334" s="157"/>
      <c r="G334" s="152"/>
      <c r="H334" s="323" t="s">
        <v>2364</v>
      </c>
      <c r="I334" s="152"/>
      <c r="J334" s="157"/>
      <c r="K334" s="157">
        <v>5800360279</v>
      </c>
      <c r="L334" s="227">
        <v>76793.259999999995</v>
      </c>
      <c r="M334" s="157" t="s">
        <v>2386</v>
      </c>
      <c r="N334" s="227">
        <f t="shared" si="53"/>
        <v>180378.63036201143</v>
      </c>
      <c r="O334" s="152">
        <f t="shared" si="52"/>
        <v>575756.51736201136</v>
      </c>
    </row>
    <row r="335" spans="1:15" x14ac:dyDescent="0.15">
      <c r="A335" s="154"/>
      <c r="B335" s="151"/>
      <c r="C335" s="152"/>
      <c r="D335" s="323"/>
      <c r="E335" s="154"/>
      <c r="F335" s="157"/>
      <c r="G335" s="152"/>
      <c r="H335" s="323" t="s">
        <v>2364</v>
      </c>
      <c r="I335" s="152"/>
      <c r="J335" s="157"/>
      <c r="K335" s="157">
        <v>5800360279</v>
      </c>
      <c r="L335" s="227">
        <v>4696.1419999999998</v>
      </c>
      <c r="M335" s="157" t="s">
        <v>2386</v>
      </c>
      <c r="N335" s="227">
        <f t="shared" si="46"/>
        <v>175682.48836201144</v>
      </c>
      <c r="O335" s="152">
        <f t="shared" si="47"/>
        <v>571060.37536201137</v>
      </c>
    </row>
    <row r="336" spans="1:15" x14ac:dyDescent="0.15">
      <c r="A336" s="154"/>
      <c r="B336" s="151"/>
      <c r="C336" s="152"/>
      <c r="D336" s="323" t="s">
        <v>2365</v>
      </c>
      <c r="E336" s="154" t="s">
        <v>72</v>
      </c>
      <c r="F336" s="157" t="s">
        <v>2387</v>
      </c>
      <c r="G336" s="152">
        <v>43960.008000000002</v>
      </c>
      <c r="H336" s="323" t="s">
        <v>2365</v>
      </c>
      <c r="I336" s="152">
        <v>14098.419000000002</v>
      </c>
      <c r="J336" s="157" t="s">
        <v>2386</v>
      </c>
      <c r="K336" s="157">
        <v>5800360279</v>
      </c>
      <c r="L336" s="227">
        <v>14611.107</v>
      </c>
      <c r="M336" s="157" t="s">
        <v>2386</v>
      </c>
      <c r="N336" s="227">
        <f t="shared" si="46"/>
        <v>146972.96236201146</v>
      </c>
      <c r="O336" s="152">
        <f t="shared" si="47"/>
        <v>586310.85736201145</v>
      </c>
    </row>
    <row r="337" spans="1:15" x14ac:dyDescent="0.15">
      <c r="A337" s="154"/>
      <c r="B337" s="151"/>
      <c r="C337" s="152"/>
      <c r="D337" s="323" t="s">
        <v>2365</v>
      </c>
      <c r="E337" s="154" t="s">
        <v>72</v>
      </c>
      <c r="F337" s="157" t="s">
        <v>2388</v>
      </c>
      <c r="G337" s="152">
        <v>175813.511</v>
      </c>
      <c r="H337" s="323" t="s">
        <v>2365</v>
      </c>
      <c r="I337" s="152"/>
      <c r="J337" s="157"/>
      <c r="K337" s="157">
        <v>5800360279</v>
      </c>
      <c r="L337" s="227">
        <v>15040.846</v>
      </c>
      <c r="M337" s="157" t="s">
        <v>2386</v>
      </c>
      <c r="N337" s="227">
        <f t="shared" si="46"/>
        <v>131932.11636201147</v>
      </c>
      <c r="O337" s="152">
        <f t="shared" si="47"/>
        <v>747083.52236201137</v>
      </c>
    </row>
    <row r="338" spans="1:15" x14ac:dyDescent="0.15">
      <c r="A338" s="154"/>
      <c r="B338" s="151"/>
      <c r="C338" s="152"/>
      <c r="D338" s="323"/>
      <c r="E338" s="154"/>
      <c r="F338" s="157"/>
      <c r="G338" s="152"/>
      <c r="H338" s="323" t="s">
        <v>2365</v>
      </c>
      <c r="I338" s="152"/>
      <c r="J338" s="157"/>
      <c r="K338" s="157">
        <v>5800360279</v>
      </c>
      <c r="L338" s="227">
        <v>12632.311</v>
      </c>
      <c r="M338" s="157" t="s">
        <v>2386</v>
      </c>
      <c r="N338" s="227">
        <f t="shared" si="46"/>
        <v>119299.80536201147</v>
      </c>
      <c r="O338" s="152">
        <f t="shared" si="47"/>
        <v>734451.21136201138</v>
      </c>
    </row>
    <row r="339" spans="1:15" x14ac:dyDescent="0.15">
      <c r="A339" s="154"/>
      <c r="B339" s="151"/>
      <c r="C339" s="152"/>
      <c r="D339" s="323"/>
      <c r="E339" s="154"/>
      <c r="F339" s="157"/>
      <c r="G339" s="152"/>
      <c r="H339" s="323" t="s">
        <v>2365</v>
      </c>
      <c r="I339" s="152"/>
      <c r="J339" s="157"/>
      <c r="K339" s="157">
        <v>5800360279</v>
      </c>
      <c r="L339" s="227">
        <v>13048.058000000001</v>
      </c>
      <c r="M339" s="157" t="s">
        <v>2386</v>
      </c>
      <c r="N339" s="227">
        <f t="shared" si="46"/>
        <v>106251.74736201146</v>
      </c>
      <c r="O339" s="152">
        <f t="shared" si="47"/>
        <v>721403.15336201142</v>
      </c>
    </row>
    <row r="340" spans="1:15" x14ac:dyDescent="0.15">
      <c r="A340" s="154"/>
      <c r="B340" s="151"/>
      <c r="C340" s="152"/>
      <c r="D340" s="323"/>
      <c r="E340" s="154"/>
      <c r="F340" s="157"/>
      <c r="G340" s="152"/>
      <c r="H340" s="323" t="s">
        <v>2365</v>
      </c>
      <c r="I340" s="152"/>
      <c r="J340" s="157"/>
      <c r="K340" s="157">
        <v>5800360279</v>
      </c>
      <c r="L340" s="227">
        <v>11858.781999999999</v>
      </c>
      <c r="M340" s="157" t="s">
        <v>2386</v>
      </c>
      <c r="N340" s="227">
        <f t="shared" si="46"/>
        <v>94392.965362011455</v>
      </c>
      <c r="O340" s="152">
        <f t="shared" si="47"/>
        <v>709544.37136201141</v>
      </c>
    </row>
    <row r="341" spans="1:15" x14ac:dyDescent="0.15">
      <c r="A341" s="154"/>
      <c r="B341" s="151"/>
      <c r="C341" s="152"/>
      <c r="D341" s="323"/>
      <c r="E341" s="154"/>
      <c r="F341" s="157"/>
      <c r="G341" s="152"/>
      <c r="H341" s="323" t="s">
        <v>2365</v>
      </c>
      <c r="I341" s="152"/>
      <c r="J341" s="157"/>
      <c r="K341" s="157">
        <v>5800360279</v>
      </c>
      <c r="L341" s="227">
        <v>13277.919</v>
      </c>
      <c r="M341" s="157" t="s">
        <v>2386</v>
      </c>
      <c r="N341" s="227">
        <f t="shared" si="46"/>
        <v>81115.046362011461</v>
      </c>
      <c r="O341" s="152">
        <f t="shared" si="47"/>
        <v>696266.45236201142</v>
      </c>
    </row>
    <row r="342" spans="1:15" x14ac:dyDescent="0.15">
      <c r="A342" s="154"/>
      <c r="B342" s="151"/>
      <c r="C342" s="152"/>
      <c r="D342" s="323"/>
      <c r="E342" s="154"/>
      <c r="F342" s="157"/>
      <c r="G342" s="152"/>
      <c r="H342" s="323" t="s">
        <v>2365</v>
      </c>
      <c r="I342" s="152"/>
      <c r="J342" s="157"/>
      <c r="K342" s="157">
        <v>5800360279</v>
      </c>
      <c r="L342" s="227">
        <v>10112.844999999999</v>
      </c>
      <c r="M342" s="157" t="s">
        <v>2386</v>
      </c>
      <c r="N342" s="227">
        <f t="shared" si="46"/>
        <v>71002.201362011459</v>
      </c>
      <c r="O342" s="152">
        <f t="shared" si="47"/>
        <v>686153.60736201145</v>
      </c>
    </row>
    <row r="343" spans="1:15" x14ac:dyDescent="0.15">
      <c r="A343" s="154"/>
      <c r="B343" s="151"/>
      <c r="C343" s="152"/>
      <c r="D343" s="323"/>
      <c r="E343" s="154"/>
      <c r="F343" s="157"/>
      <c r="G343" s="152"/>
      <c r="H343" s="323" t="s">
        <v>2365</v>
      </c>
      <c r="I343" s="152"/>
      <c r="J343" s="157"/>
      <c r="K343" s="157">
        <v>5800360279</v>
      </c>
      <c r="L343" s="227">
        <v>12342.487999999999</v>
      </c>
      <c r="M343" s="157" t="s">
        <v>2386</v>
      </c>
      <c r="N343" s="227">
        <f t="shared" si="46"/>
        <v>58659.713362011462</v>
      </c>
      <c r="O343" s="152">
        <f t="shared" si="47"/>
        <v>673811.11936201144</v>
      </c>
    </row>
    <row r="344" spans="1:15" x14ac:dyDescent="0.15">
      <c r="A344" s="154"/>
      <c r="B344" s="151"/>
      <c r="C344" s="152"/>
      <c r="D344" s="323"/>
      <c r="E344" s="154"/>
      <c r="F344" s="157"/>
      <c r="G344" s="152"/>
      <c r="H344" s="323" t="s">
        <v>2365</v>
      </c>
      <c r="I344" s="152"/>
      <c r="J344" s="157"/>
      <c r="K344" s="157">
        <v>5800360279</v>
      </c>
      <c r="L344" s="227">
        <v>1103.329</v>
      </c>
      <c r="M344" s="157" t="s">
        <v>2386</v>
      </c>
      <c r="N344" s="227">
        <f t="shared" si="46"/>
        <v>57556.384362011464</v>
      </c>
      <c r="O344" s="152">
        <f t="shared" si="47"/>
        <v>672707.79036201141</v>
      </c>
    </row>
    <row r="345" spans="1:15" x14ac:dyDescent="0.15">
      <c r="A345" s="154"/>
      <c r="B345" s="151"/>
      <c r="C345" s="152"/>
      <c r="D345" s="323"/>
      <c r="E345" s="154"/>
      <c r="F345" s="157"/>
      <c r="G345" s="152"/>
      <c r="H345" s="323" t="s">
        <v>2365</v>
      </c>
      <c r="I345" s="152"/>
      <c r="J345" s="157"/>
      <c r="K345" s="157">
        <v>5800360279</v>
      </c>
      <c r="L345" s="227">
        <v>14028.462</v>
      </c>
      <c r="M345" s="157" t="s">
        <v>2386</v>
      </c>
      <c r="N345" s="227">
        <f t="shared" si="46"/>
        <v>43527.922362011464</v>
      </c>
      <c r="O345" s="152">
        <f t="shared" si="47"/>
        <v>658679.32836201135</v>
      </c>
    </row>
    <row r="346" spans="1:15" x14ac:dyDescent="0.15">
      <c r="A346" s="154"/>
      <c r="B346" s="151"/>
      <c r="C346" s="152"/>
      <c r="D346" s="323" t="s">
        <v>2366</v>
      </c>
      <c r="E346" s="154" t="s">
        <v>72</v>
      </c>
      <c r="F346" s="157" t="s">
        <v>2388</v>
      </c>
      <c r="G346" s="152">
        <v>175694.20299999998</v>
      </c>
      <c r="H346" s="323" t="s">
        <v>2366</v>
      </c>
      <c r="I346" s="152">
        <v>13580.219000000001</v>
      </c>
      <c r="J346" s="157" t="s">
        <v>2386</v>
      </c>
      <c r="K346" s="157">
        <v>5800360279</v>
      </c>
      <c r="L346" s="227">
        <v>13561.237999999999</v>
      </c>
      <c r="M346" s="157" t="s">
        <v>2386</v>
      </c>
      <c r="N346" s="227">
        <f t="shared" si="46"/>
        <v>16386.465362011462</v>
      </c>
      <c r="O346" s="152">
        <f t="shared" si="47"/>
        <v>807232.07436201128</v>
      </c>
    </row>
    <row r="347" spans="1:15" x14ac:dyDescent="0.15">
      <c r="A347" s="154"/>
      <c r="B347" s="151"/>
      <c r="C347" s="152"/>
      <c r="D347" s="323" t="s">
        <v>2366</v>
      </c>
      <c r="E347" s="154" t="s">
        <v>72</v>
      </c>
      <c r="F347" s="157" t="s">
        <v>2389</v>
      </c>
      <c r="G347" s="152">
        <v>43932.14</v>
      </c>
      <c r="H347" s="323" t="s">
        <v>2366</v>
      </c>
      <c r="I347" s="152"/>
      <c r="J347" s="157"/>
      <c r="K347" s="157">
        <v>5800360279</v>
      </c>
      <c r="L347" s="227">
        <v>12269.549000000001</v>
      </c>
      <c r="M347" s="157" t="s">
        <v>2386</v>
      </c>
      <c r="N347" s="227">
        <f t="shared" si="46"/>
        <v>4116.9163620114614</v>
      </c>
      <c r="O347" s="152">
        <f t="shared" si="47"/>
        <v>838894.66536201129</v>
      </c>
    </row>
    <row r="348" spans="1:15" x14ac:dyDescent="0.15">
      <c r="A348" s="154"/>
      <c r="B348" s="151"/>
      <c r="C348" s="152"/>
      <c r="D348" s="323"/>
      <c r="E348" s="154"/>
      <c r="F348" s="157"/>
      <c r="G348" s="152"/>
      <c r="H348" s="323" t="s">
        <v>2366</v>
      </c>
      <c r="I348" s="152"/>
      <c r="J348" s="157"/>
      <c r="K348" s="157">
        <v>5800360279</v>
      </c>
      <c r="L348" s="227">
        <v>4116.9163620114614</v>
      </c>
      <c r="M348" s="157" t="s">
        <v>2386</v>
      </c>
      <c r="N348" s="227">
        <f t="shared" si="46"/>
        <v>0</v>
      </c>
      <c r="O348" s="152">
        <f t="shared" si="47"/>
        <v>834777.74899999984</v>
      </c>
    </row>
    <row r="349" spans="1:15" x14ac:dyDescent="0.15">
      <c r="A349" s="154"/>
      <c r="B349" s="151"/>
      <c r="C349" s="152"/>
      <c r="D349" s="323"/>
      <c r="E349" s="154"/>
      <c r="F349" s="157"/>
      <c r="G349" s="152"/>
      <c r="H349" s="323" t="s">
        <v>2366</v>
      </c>
      <c r="I349" s="152"/>
      <c r="J349" s="157"/>
      <c r="K349" s="157">
        <v>5800360279</v>
      </c>
      <c r="L349" s="227">
        <v>10443.307637988501</v>
      </c>
      <c r="M349" s="157" t="s">
        <v>2387</v>
      </c>
      <c r="N349" s="227">
        <f>G307+G316+G325+G336+N348-I349-L349</f>
        <v>428894.58736201155</v>
      </c>
      <c r="O349" s="152">
        <f t="shared" si="47"/>
        <v>824334.44136201136</v>
      </c>
    </row>
    <row r="350" spans="1:15" x14ac:dyDescent="0.15">
      <c r="A350" s="154"/>
      <c r="B350" s="151"/>
      <c r="C350" s="152"/>
      <c r="D350" s="323"/>
      <c r="E350" s="154"/>
      <c r="F350" s="157"/>
      <c r="G350" s="152"/>
      <c r="H350" s="323" t="s">
        <v>2366</v>
      </c>
      <c r="I350" s="152"/>
      <c r="J350" s="157"/>
      <c r="K350" s="157">
        <v>5800360279</v>
      </c>
      <c r="L350" s="227">
        <v>14095.696</v>
      </c>
      <c r="M350" s="157" t="s">
        <v>2387</v>
      </c>
      <c r="N350" s="227">
        <f t="shared" si="46"/>
        <v>414798.89136201155</v>
      </c>
      <c r="O350" s="152">
        <f t="shared" si="47"/>
        <v>810238.74536201137</v>
      </c>
    </row>
    <row r="351" spans="1:15" x14ac:dyDescent="0.15">
      <c r="A351" s="154"/>
      <c r="B351" s="151"/>
      <c r="C351" s="152"/>
      <c r="D351" s="323"/>
      <c r="E351" s="154"/>
      <c r="F351" s="157"/>
      <c r="G351" s="152"/>
      <c r="H351" s="323" t="s">
        <v>2366</v>
      </c>
      <c r="I351" s="152"/>
      <c r="J351" s="157"/>
      <c r="K351" s="157">
        <v>5800360279</v>
      </c>
      <c r="L351" s="227">
        <v>15098.678</v>
      </c>
      <c r="M351" s="157" t="s">
        <v>2387</v>
      </c>
      <c r="N351" s="227">
        <f t="shared" ref="N351:N353" si="54">+N350-I351-L351</f>
        <v>399700.21336201153</v>
      </c>
      <c r="O351" s="152">
        <f t="shared" ref="O351:O353" si="55">O350+G351-I351-L351</f>
        <v>795140.06736201141</v>
      </c>
    </row>
    <row r="352" spans="1:15" x14ac:dyDescent="0.15">
      <c r="A352" s="154"/>
      <c r="B352" s="151"/>
      <c r="C352" s="152"/>
      <c r="D352" s="323"/>
      <c r="E352" s="154"/>
      <c r="F352" s="157"/>
      <c r="G352" s="152"/>
      <c r="H352" s="323" t="s">
        <v>2366</v>
      </c>
      <c r="I352" s="152"/>
      <c r="J352" s="157"/>
      <c r="K352" s="157">
        <v>5800360279</v>
      </c>
      <c r="L352" s="227">
        <v>12277.540999999999</v>
      </c>
      <c r="M352" s="157" t="s">
        <v>2387</v>
      </c>
      <c r="N352" s="227">
        <f t="shared" si="54"/>
        <v>387422.67236201151</v>
      </c>
      <c r="O352" s="152">
        <f t="shared" si="55"/>
        <v>782862.52636201144</v>
      </c>
    </row>
    <row r="353" spans="1:15" x14ac:dyDescent="0.15">
      <c r="A353" s="154"/>
      <c r="B353" s="151"/>
      <c r="C353" s="152"/>
      <c r="D353" s="323"/>
      <c r="E353" s="154"/>
      <c r="F353" s="157"/>
      <c r="G353" s="152"/>
      <c r="H353" s="323" t="s">
        <v>2366</v>
      </c>
      <c r="I353" s="152"/>
      <c r="J353" s="157"/>
      <c r="K353" s="157">
        <v>5800360279</v>
      </c>
      <c r="L353" s="227">
        <v>12255.563</v>
      </c>
      <c r="M353" s="157" t="s">
        <v>2387</v>
      </c>
      <c r="N353" s="227">
        <f t="shared" si="54"/>
        <v>375167.10936201148</v>
      </c>
      <c r="O353" s="152">
        <f t="shared" si="55"/>
        <v>770606.96336201148</v>
      </c>
    </row>
    <row r="354" spans="1:15" x14ac:dyDescent="0.15">
      <c r="A354" s="154"/>
      <c r="B354" s="151"/>
      <c r="C354" s="152"/>
      <c r="D354" s="323"/>
      <c r="E354" s="154"/>
      <c r="F354" s="157"/>
      <c r="G354" s="152"/>
      <c r="H354" s="323" t="s">
        <v>2366</v>
      </c>
      <c r="I354" s="152"/>
      <c r="J354" s="157"/>
      <c r="K354" s="157">
        <v>5800360279</v>
      </c>
      <c r="L354" s="227">
        <v>5970.9409999999998</v>
      </c>
      <c r="M354" s="157" t="s">
        <v>2387</v>
      </c>
      <c r="N354" s="227">
        <f t="shared" ref="N354:N369" si="56">+N353-I354-L354</f>
        <v>369196.16836201149</v>
      </c>
      <c r="O354" s="152">
        <f t="shared" ref="O354:O369" si="57">O353+G354-I354-L354</f>
        <v>764636.02236201148</v>
      </c>
    </row>
    <row r="355" spans="1:15" hidden="1" x14ac:dyDescent="0.15">
      <c r="A355" s="154"/>
      <c r="B355" s="151"/>
      <c r="C355" s="152"/>
      <c r="D355" s="323"/>
      <c r="E355" s="154"/>
      <c r="F355" s="157"/>
      <c r="G355" s="152"/>
      <c r="H355" s="323"/>
      <c r="I355" s="152"/>
      <c r="J355" s="157"/>
      <c r="K355" s="157"/>
      <c r="L355" s="227"/>
      <c r="M355" s="157"/>
      <c r="N355" s="227">
        <f t="shared" si="56"/>
        <v>369196.16836201149</v>
      </c>
      <c r="O355" s="152">
        <f t="shared" si="57"/>
        <v>764636.02236201148</v>
      </c>
    </row>
    <row r="356" spans="1:15" hidden="1" x14ac:dyDescent="0.15">
      <c r="A356" s="154"/>
      <c r="B356" s="151"/>
      <c r="C356" s="152"/>
      <c r="D356" s="323"/>
      <c r="E356" s="154"/>
      <c r="F356" s="157"/>
      <c r="G356" s="152"/>
      <c r="H356" s="323"/>
      <c r="I356" s="152"/>
      <c r="J356" s="157"/>
      <c r="K356" s="157"/>
      <c r="L356" s="227"/>
      <c r="M356" s="157"/>
      <c r="N356" s="227">
        <f t="shared" si="56"/>
        <v>369196.16836201149</v>
      </c>
      <c r="O356" s="152">
        <f t="shared" si="57"/>
        <v>764636.02236201148</v>
      </c>
    </row>
    <row r="357" spans="1:15" hidden="1" x14ac:dyDescent="0.15">
      <c r="A357" s="154"/>
      <c r="B357" s="151"/>
      <c r="C357" s="152"/>
      <c r="D357" s="323"/>
      <c r="E357" s="154"/>
      <c r="F357" s="157"/>
      <c r="G357" s="152"/>
      <c r="H357" s="323"/>
      <c r="I357" s="152"/>
      <c r="J357" s="157"/>
      <c r="K357" s="157"/>
      <c r="L357" s="227"/>
      <c r="M357" s="157"/>
      <c r="N357" s="227">
        <f t="shared" si="56"/>
        <v>369196.16836201149</v>
      </c>
      <c r="O357" s="152">
        <f t="shared" si="57"/>
        <v>764636.02236201148</v>
      </c>
    </row>
    <row r="358" spans="1:15" hidden="1" x14ac:dyDescent="0.15">
      <c r="A358" s="154"/>
      <c r="B358" s="151"/>
      <c r="C358" s="152"/>
      <c r="D358" s="323"/>
      <c r="E358" s="154"/>
      <c r="F358" s="157"/>
      <c r="G358" s="152"/>
      <c r="H358" s="323"/>
      <c r="I358" s="152"/>
      <c r="J358" s="157"/>
      <c r="K358" s="157"/>
      <c r="L358" s="227"/>
      <c r="M358" s="157"/>
      <c r="N358" s="227">
        <f t="shared" si="56"/>
        <v>369196.16836201149</v>
      </c>
      <c r="O358" s="152">
        <f t="shared" si="57"/>
        <v>764636.02236201148</v>
      </c>
    </row>
    <row r="359" spans="1:15" hidden="1" x14ac:dyDescent="0.15">
      <c r="A359" s="154"/>
      <c r="B359" s="151"/>
      <c r="C359" s="152"/>
      <c r="D359" s="323"/>
      <c r="E359" s="154"/>
      <c r="F359" s="157"/>
      <c r="G359" s="152"/>
      <c r="H359" s="323"/>
      <c r="I359" s="152"/>
      <c r="J359" s="157"/>
      <c r="K359" s="157"/>
      <c r="L359" s="227"/>
      <c r="M359" s="157"/>
      <c r="N359" s="227">
        <f t="shared" si="56"/>
        <v>369196.16836201149</v>
      </c>
      <c r="O359" s="152">
        <f t="shared" si="57"/>
        <v>764636.02236201148</v>
      </c>
    </row>
    <row r="360" spans="1:15" hidden="1" x14ac:dyDescent="0.15">
      <c r="A360" s="154"/>
      <c r="B360" s="151"/>
      <c r="C360" s="152"/>
      <c r="D360" s="323"/>
      <c r="E360" s="154"/>
      <c r="F360" s="157"/>
      <c r="G360" s="152"/>
      <c r="H360" s="323"/>
      <c r="I360" s="152"/>
      <c r="J360" s="157"/>
      <c r="K360" s="157"/>
      <c r="L360" s="227"/>
      <c r="M360" s="157"/>
      <c r="N360" s="227">
        <f t="shared" si="56"/>
        <v>369196.16836201149</v>
      </c>
      <c r="O360" s="152">
        <f t="shared" si="57"/>
        <v>764636.02236201148</v>
      </c>
    </row>
    <row r="361" spans="1:15" hidden="1" x14ac:dyDescent="0.15">
      <c r="A361" s="154"/>
      <c r="B361" s="151"/>
      <c r="C361" s="152"/>
      <c r="D361" s="323"/>
      <c r="E361" s="154"/>
      <c r="F361" s="157"/>
      <c r="G361" s="152"/>
      <c r="H361" s="323"/>
      <c r="I361" s="152"/>
      <c r="J361" s="157"/>
      <c r="K361" s="157"/>
      <c r="L361" s="227"/>
      <c r="M361" s="157"/>
      <c r="N361" s="227">
        <f t="shared" si="56"/>
        <v>369196.16836201149</v>
      </c>
      <c r="O361" s="152">
        <f t="shared" si="57"/>
        <v>764636.02236201148</v>
      </c>
    </row>
    <row r="362" spans="1:15" hidden="1" x14ac:dyDescent="0.15">
      <c r="A362" s="154"/>
      <c r="B362" s="151"/>
      <c r="C362" s="152"/>
      <c r="D362" s="323"/>
      <c r="E362" s="155"/>
      <c r="F362" s="157"/>
      <c r="G362" s="152"/>
      <c r="H362" s="323"/>
      <c r="I362" s="152"/>
      <c r="J362" s="157"/>
      <c r="K362" s="154"/>
      <c r="L362" s="227"/>
      <c r="M362" s="157"/>
      <c r="N362" s="227">
        <f t="shared" si="56"/>
        <v>369196.16836201149</v>
      </c>
      <c r="O362" s="152">
        <f t="shared" si="57"/>
        <v>764636.02236201148</v>
      </c>
    </row>
    <row r="363" spans="1:15" hidden="1" x14ac:dyDescent="0.15">
      <c r="A363" s="154"/>
      <c r="B363" s="151"/>
      <c r="C363" s="152"/>
      <c r="D363" s="323"/>
      <c r="E363" s="154"/>
      <c r="F363" s="157"/>
      <c r="G363" s="152"/>
      <c r="H363" s="323"/>
      <c r="I363" s="152"/>
      <c r="J363" s="157"/>
      <c r="K363" s="154"/>
      <c r="L363" s="227"/>
      <c r="M363" s="157"/>
      <c r="N363" s="227">
        <f t="shared" si="56"/>
        <v>369196.16836201149</v>
      </c>
      <c r="O363" s="152">
        <f t="shared" si="57"/>
        <v>764636.02236201148</v>
      </c>
    </row>
    <row r="364" spans="1:15" hidden="1" x14ac:dyDescent="0.15">
      <c r="A364" s="154"/>
      <c r="B364" s="151"/>
      <c r="C364" s="152"/>
      <c r="D364" s="323"/>
      <c r="E364" s="154"/>
      <c r="F364" s="157"/>
      <c r="G364" s="152"/>
      <c r="H364" s="323"/>
      <c r="I364" s="152"/>
      <c r="J364" s="154"/>
      <c r="K364" s="154"/>
      <c r="L364" s="227"/>
      <c r="M364" s="157"/>
      <c r="N364" s="227">
        <f t="shared" si="56"/>
        <v>369196.16836201149</v>
      </c>
      <c r="O364" s="152">
        <f t="shared" si="57"/>
        <v>764636.02236201148</v>
      </c>
    </row>
    <row r="365" spans="1:15" hidden="1" x14ac:dyDescent="0.15">
      <c r="A365" s="154"/>
      <c r="B365" s="151"/>
      <c r="C365" s="151"/>
      <c r="D365" s="323"/>
      <c r="E365" s="154"/>
      <c r="F365" s="157"/>
      <c r="G365" s="152"/>
      <c r="H365" s="323"/>
      <c r="I365" s="152"/>
      <c r="J365" s="154"/>
      <c r="K365" s="154"/>
      <c r="L365" s="227"/>
      <c r="M365" s="157"/>
      <c r="N365" s="227">
        <f t="shared" si="56"/>
        <v>369196.16836201149</v>
      </c>
      <c r="O365" s="152">
        <f t="shared" si="57"/>
        <v>764636.02236201148</v>
      </c>
    </row>
    <row r="366" spans="1:15" hidden="1" x14ac:dyDescent="0.15">
      <c r="A366" s="154"/>
      <c r="B366" s="151"/>
      <c r="C366" s="151"/>
      <c r="D366" s="323"/>
      <c r="E366" s="155"/>
      <c r="F366" s="157"/>
      <c r="G366" s="152"/>
      <c r="H366" s="323"/>
      <c r="I366" s="152"/>
      <c r="J366" s="154"/>
      <c r="K366" s="154"/>
      <c r="L366" s="227"/>
      <c r="M366" s="157"/>
      <c r="N366" s="227">
        <f t="shared" si="56"/>
        <v>369196.16836201149</v>
      </c>
      <c r="O366" s="152">
        <f t="shared" si="57"/>
        <v>764636.02236201148</v>
      </c>
    </row>
    <row r="367" spans="1:15" hidden="1" x14ac:dyDescent="0.15">
      <c r="A367" s="154"/>
      <c r="B367" s="151"/>
      <c r="C367" s="151"/>
      <c r="D367" s="323"/>
      <c r="E367" s="154"/>
      <c r="F367" s="160"/>
      <c r="G367" s="152"/>
      <c r="H367" s="323"/>
      <c r="I367" s="152"/>
      <c r="J367" s="157"/>
      <c r="K367" s="154"/>
      <c r="L367" s="227"/>
      <c r="M367" s="157"/>
      <c r="N367" s="227">
        <f t="shared" si="56"/>
        <v>369196.16836201149</v>
      </c>
      <c r="O367" s="152">
        <f t="shared" si="57"/>
        <v>764636.02236201148</v>
      </c>
    </row>
    <row r="368" spans="1:15" hidden="1" x14ac:dyDescent="0.15">
      <c r="A368" s="154"/>
      <c r="B368" s="151"/>
      <c r="C368" s="151"/>
      <c r="D368" s="323"/>
      <c r="E368" s="154"/>
      <c r="F368" s="160"/>
      <c r="G368" s="152"/>
      <c r="H368" s="323"/>
      <c r="I368" s="152"/>
      <c r="J368" s="150"/>
      <c r="K368" s="154"/>
      <c r="L368" s="227"/>
      <c r="M368" s="157"/>
      <c r="N368" s="227">
        <f t="shared" si="56"/>
        <v>369196.16836201149</v>
      </c>
      <c r="O368" s="152">
        <f t="shared" si="57"/>
        <v>764636.02236201148</v>
      </c>
    </row>
    <row r="369" spans="1:15" x14ac:dyDescent="0.15">
      <c r="A369" s="173"/>
      <c r="B369" s="173"/>
      <c r="C369" s="174"/>
      <c r="D369" s="323"/>
      <c r="E369" s="173"/>
      <c r="F369" s="173"/>
      <c r="G369" s="174"/>
      <c r="H369" s="323"/>
      <c r="I369" s="174"/>
      <c r="J369" s="173"/>
      <c r="K369" s="154"/>
      <c r="L369" s="228"/>
      <c r="M369" s="173"/>
      <c r="N369" s="227">
        <f t="shared" si="56"/>
        <v>369196.16836201149</v>
      </c>
      <c r="O369" s="152">
        <f t="shared" si="57"/>
        <v>764636.02236201148</v>
      </c>
    </row>
    <row r="370" spans="1:15" x14ac:dyDescent="0.15">
      <c r="A370" s="177"/>
      <c r="B370" s="177"/>
      <c r="C370" s="178">
        <f>SUM(C7:C368)</f>
        <v>516989.33636201045</v>
      </c>
      <c r="D370" s="177"/>
      <c r="E370" s="177"/>
      <c r="F370" s="177"/>
      <c r="G370" s="178">
        <f>SUM(G7:G369)</f>
        <v>6987429.4919999987</v>
      </c>
      <c r="H370" s="179"/>
      <c r="I370" s="178">
        <f>SUM(I7:I369)</f>
        <v>429527.98399999994</v>
      </c>
      <c r="J370" s="177"/>
      <c r="K370" s="177"/>
      <c r="L370" s="178">
        <f>SUM(L7:L369)</f>
        <v>6310254.8219999969</v>
      </c>
      <c r="M370" s="177"/>
      <c r="N370" s="180"/>
      <c r="O370" s="181">
        <f>C370+G370-I370-L370</f>
        <v>764636.02236201242</v>
      </c>
    </row>
    <row r="371" spans="1:15" x14ac:dyDescent="0.15">
      <c r="A371" s="182"/>
      <c r="B371" s="465"/>
      <c r="C371" s="465"/>
      <c r="D371" s="465"/>
      <c r="E371" s="183"/>
      <c r="F371" s="284"/>
      <c r="G371" s="185"/>
      <c r="H371" s="186"/>
      <c r="I371" s="187"/>
      <c r="J371" s="188"/>
      <c r="K371" s="189" t="s">
        <v>139</v>
      </c>
      <c r="L371" s="190">
        <f>+L370+I370</f>
        <v>6739782.8059999971</v>
      </c>
      <c r="M371" s="197"/>
      <c r="N371" s="230">
        <f>+N369</f>
        <v>369196.16836201149</v>
      </c>
      <c r="O371" s="195" t="s">
        <v>2387</v>
      </c>
    </row>
    <row r="372" spans="1:15" x14ac:dyDescent="0.15">
      <c r="A372" s="133"/>
      <c r="B372" s="395"/>
      <c r="C372" s="395"/>
      <c r="D372" s="395"/>
      <c r="E372" s="183"/>
      <c r="F372" s="396"/>
      <c r="G372" s="219"/>
      <c r="H372" s="186"/>
      <c r="I372" s="187"/>
      <c r="J372" s="210"/>
      <c r="N372" s="230">
        <f>+G337+G346</f>
        <v>351507.71399999998</v>
      </c>
      <c r="O372" s="334" t="s">
        <v>2388</v>
      </c>
    </row>
    <row r="373" spans="1:15" x14ac:dyDescent="0.15">
      <c r="A373" s="188" t="s">
        <v>2367</v>
      </c>
      <c r="B373" s="131" t="s">
        <v>2403</v>
      </c>
      <c r="E373" s="183" t="s">
        <v>55</v>
      </c>
      <c r="F373" s="397">
        <v>61873767.140000001</v>
      </c>
      <c r="G373" s="219" t="s">
        <v>56</v>
      </c>
      <c r="H373" s="186">
        <v>42073</v>
      </c>
      <c r="I373" s="187" t="s">
        <v>71</v>
      </c>
      <c r="J373" s="210">
        <v>206327.4040000001</v>
      </c>
      <c r="N373" s="230">
        <f>+G347</f>
        <v>43932.14</v>
      </c>
      <c r="O373" s="334" t="s">
        <v>2389</v>
      </c>
    </row>
    <row r="374" spans="1:15" x14ac:dyDescent="0.15">
      <c r="A374" s="188" t="s">
        <v>2368</v>
      </c>
      <c r="B374" s="131" t="s">
        <v>2404</v>
      </c>
      <c r="E374" s="183" t="s">
        <v>55</v>
      </c>
      <c r="F374" s="397">
        <v>77932303.370000005</v>
      </c>
      <c r="G374" s="219" t="s">
        <v>56</v>
      </c>
      <c r="H374" s="186">
        <v>42073</v>
      </c>
      <c r="I374" s="187" t="s">
        <v>71</v>
      </c>
      <c r="J374" s="210">
        <v>88503.162999999942</v>
      </c>
      <c r="K374" s="297"/>
      <c r="N374" s="230"/>
      <c r="O374" s="195"/>
    </row>
    <row r="375" spans="1:15" x14ac:dyDescent="0.15">
      <c r="A375" s="381" t="s">
        <v>2370</v>
      </c>
      <c r="B375" s="131" t="s">
        <v>2405</v>
      </c>
      <c r="E375" s="183" t="s">
        <v>55</v>
      </c>
      <c r="F375" s="397">
        <v>15452137.960000001</v>
      </c>
      <c r="G375" s="219" t="s">
        <v>56</v>
      </c>
      <c r="H375" s="186">
        <v>42075</v>
      </c>
      <c r="I375" s="187" t="s">
        <v>71</v>
      </c>
      <c r="J375" s="210">
        <v>163283.56900000002</v>
      </c>
      <c r="K375" s="333"/>
      <c r="N375" s="230"/>
      <c r="O375" s="195"/>
    </row>
    <row r="376" spans="1:15" x14ac:dyDescent="0.15">
      <c r="A376" s="193" t="s">
        <v>2371</v>
      </c>
      <c r="B376" s="131" t="s">
        <v>2406</v>
      </c>
      <c r="E376" s="183" t="s">
        <v>55</v>
      </c>
      <c r="F376" s="397">
        <v>66838451.609999999</v>
      </c>
      <c r="G376" s="219" t="s">
        <v>56</v>
      </c>
      <c r="H376" s="186">
        <v>42076</v>
      </c>
      <c r="I376" s="187" t="s">
        <v>71</v>
      </c>
      <c r="J376" s="210">
        <v>250898.802</v>
      </c>
      <c r="N376" s="230"/>
      <c r="O376" s="195"/>
    </row>
    <row r="377" spans="1:15" x14ac:dyDescent="0.15">
      <c r="A377" s="193" t="s">
        <v>2372</v>
      </c>
      <c r="B377" s="131" t="s">
        <v>2407</v>
      </c>
      <c r="E377" s="183" t="s">
        <v>55</v>
      </c>
      <c r="F377" s="397">
        <v>85202839.530000001</v>
      </c>
      <c r="G377" s="219" t="s">
        <v>56</v>
      </c>
      <c r="H377" s="186">
        <v>42079</v>
      </c>
      <c r="I377" s="187" t="s">
        <v>71</v>
      </c>
      <c r="J377" s="210">
        <v>206515.55500000002</v>
      </c>
      <c r="K377" s="333"/>
      <c r="N377" s="230"/>
      <c r="O377" s="195"/>
    </row>
    <row r="378" spans="1:15" x14ac:dyDescent="0.15">
      <c r="A378" s="193" t="s">
        <v>2373</v>
      </c>
      <c r="B378" s="131" t="s">
        <v>2408</v>
      </c>
      <c r="E378" s="183" t="s">
        <v>55</v>
      </c>
      <c r="F378" s="397">
        <v>35954321.280000001</v>
      </c>
      <c r="G378" s="219" t="s">
        <v>56</v>
      </c>
      <c r="H378" s="186">
        <v>42080</v>
      </c>
      <c r="I378" s="187" t="s">
        <v>71</v>
      </c>
      <c r="J378" s="210">
        <v>542656.1540000001</v>
      </c>
      <c r="N378" s="206" t="s">
        <v>33</v>
      </c>
      <c r="O378" s="207">
        <f>SUM(N371:N377)</f>
        <v>764636.02236201148</v>
      </c>
    </row>
    <row r="379" spans="1:15" x14ac:dyDescent="0.15">
      <c r="A379" s="193" t="s">
        <v>2374</v>
      </c>
      <c r="B379" s="131" t="s">
        <v>2409</v>
      </c>
      <c r="E379" s="183" t="s">
        <v>55</v>
      </c>
      <c r="F379" s="397">
        <v>55215407.109999999</v>
      </c>
      <c r="G379" s="219" t="s">
        <v>56</v>
      </c>
      <c r="H379" s="186">
        <v>42081</v>
      </c>
      <c r="I379" s="187" t="s">
        <v>71</v>
      </c>
      <c r="J379" s="210">
        <v>366954.37300000002</v>
      </c>
      <c r="K379" s="193"/>
      <c r="O379" s="190">
        <f>+O370-O378</f>
        <v>9.3132257461547852E-10</v>
      </c>
    </row>
    <row r="380" spans="1:15" s="132" customFormat="1" x14ac:dyDescent="0.15">
      <c r="A380" s="188" t="s">
        <v>2375</v>
      </c>
      <c r="B380" s="131" t="s">
        <v>2410</v>
      </c>
      <c r="D380" s="133"/>
      <c r="E380" s="183" t="s">
        <v>55</v>
      </c>
      <c r="F380" s="397">
        <v>2337691.21</v>
      </c>
      <c r="G380" s="219" t="s">
        <v>56</v>
      </c>
      <c r="H380" s="186">
        <v>42082</v>
      </c>
      <c r="I380" s="187" t="s">
        <v>71</v>
      </c>
      <c r="J380" s="210">
        <v>479795.8330000001</v>
      </c>
      <c r="K380" s="193"/>
      <c r="M380" s="134"/>
    </row>
    <row r="381" spans="1:15" s="132" customFormat="1" x14ac:dyDescent="0.15">
      <c r="A381" s="193" t="s">
        <v>2378</v>
      </c>
      <c r="B381" s="131" t="s">
        <v>2411</v>
      </c>
      <c r="D381" s="133"/>
      <c r="E381" s="183" t="s">
        <v>55</v>
      </c>
      <c r="F381" s="397">
        <v>47448719.060000002</v>
      </c>
      <c r="G381" s="219" t="s">
        <v>56</v>
      </c>
      <c r="H381" s="186">
        <v>42087</v>
      </c>
      <c r="I381" s="187" t="s">
        <v>71</v>
      </c>
      <c r="J381" s="210">
        <v>159452.45699999999</v>
      </c>
      <c r="K381" s="133"/>
      <c r="M381" s="134"/>
    </row>
    <row r="382" spans="1:15" s="132" customFormat="1" x14ac:dyDescent="0.15">
      <c r="A382" s="193" t="s">
        <v>2384</v>
      </c>
      <c r="B382" s="131" t="s">
        <v>2412</v>
      </c>
      <c r="D382" s="133"/>
      <c r="E382" s="183" t="s">
        <v>55</v>
      </c>
      <c r="F382" s="397">
        <v>116882921.06999999</v>
      </c>
      <c r="G382" s="219" t="s">
        <v>56</v>
      </c>
      <c r="H382" s="186">
        <v>42094</v>
      </c>
      <c r="I382" s="187" t="s">
        <v>71</v>
      </c>
      <c r="J382" s="210">
        <v>299081.37263798882</v>
      </c>
      <c r="K382" s="193"/>
      <c r="M382" s="134"/>
    </row>
    <row r="383" spans="1:15" s="132" customFormat="1" ht="12" thickBot="1" x14ac:dyDescent="0.2">
      <c r="A383" s="133"/>
      <c r="B383" s="395"/>
      <c r="C383" s="395"/>
      <c r="D383" s="395"/>
      <c r="E383" s="183"/>
      <c r="F383" s="396"/>
      <c r="G383" s="219"/>
      <c r="H383" s="186"/>
      <c r="I383" s="217" t="s">
        <v>856</v>
      </c>
      <c r="J383" s="211">
        <f>SUM(J373:J382)</f>
        <v>2763468.6826379895</v>
      </c>
      <c r="K383" s="193"/>
      <c r="M383" s="134"/>
    </row>
    <row r="384" spans="1:15" s="132" customFormat="1" ht="12" thickTop="1" x14ac:dyDescent="0.15">
      <c r="A384" s="193" t="s">
        <v>2290</v>
      </c>
      <c r="B384" s="131" t="s">
        <v>2390</v>
      </c>
      <c r="D384" s="133"/>
      <c r="E384" s="183" t="s">
        <v>55</v>
      </c>
      <c r="F384" s="397">
        <v>76109391.469999999</v>
      </c>
      <c r="G384" s="219" t="s">
        <v>56</v>
      </c>
      <c r="H384" s="186">
        <v>42068</v>
      </c>
      <c r="I384" s="187" t="s">
        <v>71</v>
      </c>
      <c r="J384" s="210">
        <v>67797.786362010491</v>
      </c>
      <c r="K384" s="193"/>
      <c r="M384" s="134"/>
    </row>
    <row r="385" spans="1:15" s="132" customFormat="1" x14ac:dyDescent="0.15">
      <c r="A385" s="185" t="s">
        <v>2291</v>
      </c>
      <c r="B385" s="131" t="s">
        <v>2391</v>
      </c>
      <c r="D385" s="133"/>
      <c r="E385" s="183" t="s">
        <v>55</v>
      </c>
      <c r="F385" s="397">
        <v>76713574</v>
      </c>
      <c r="G385" s="219" t="s">
        <v>56</v>
      </c>
      <c r="H385" s="186">
        <v>42072</v>
      </c>
      <c r="I385" s="187" t="s">
        <v>71</v>
      </c>
      <c r="J385" s="210">
        <v>388895.84800000011</v>
      </c>
      <c r="K385" s="193"/>
      <c r="M385" s="134"/>
    </row>
    <row r="386" spans="1:15" s="132" customFormat="1" x14ac:dyDescent="0.15">
      <c r="A386" s="193" t="s">
        <v>2334</v>
      </c>
      <c r="B386" s="131" t="s">
        <v>2392</v>
      </c>
      <c r="D386" s="133"/>
      <c r="E386" s="183" t="s">
        <v>55</v>
      </c>
      <c r="F386" s="397">
        <v>85308586.950000003</v>
      </c>
      <c r="G386" s="219" t="s">
        <v>56</v>
      </c>
      <c r="H386" s="186">
        <v>42072</v>
      </c>
      <c r="I386" s="187" t="s">
        <v>71</v>
      </c>
      <c r="J386" s="210">
        <v>398988.47199999995</v>
      </c>
      <c r="K386" s="133"/>
      <c r="M386" s="134"/>
    </row>
    <row r="387" spans="1:15" s="132" customFormat="1" x14ac:dyDescent="0.15">
      <c r="A387" s="193" t="s">
        <v>2369</v>
      </c>
      <c r="B387" s="131" t="s">
        <v>2393</v>
      </c>
      <c r="D387" s="133"/>
      <c r="E387" s="183" t="s">
        <v>55</v>
      </c>
      <c r="F387" s="397">
        <v>58472513.359999999</v>
      </c>
      <c r="G387" s="219" t="s">
        <v>56</v>
      </c>
      <c r="H387" s="186">
        <v>42073</v>
      </c>
      <c r="I387" s="187" t="s">
        <v>71</v>
      </c>
      <c r="J387" s="210">
        <v>327790.20699999999</v>
      </c>
      <c r="K387" s="193"/>
      <c r="M387" s="134"/>
    </row>
    <row r="388" spans="1:15" s="132" customFormat="1" x14ac:dyDescent="0.15">
      <c r="A388" s="185" t="s">
        <v>2376</v>
      </c>
      <c r="B388" s="131" t="s">
        <v>2394</v>
      </c>
      <c r="D388" s="133"/>
      <c r="E388" s="183" t="s">
        <v>55</v>
      </c>
      <c r="F388" s="397">
        <v>95783278.840000004</v>
      </c>
      <c r="G388" s="219" t="s">
        <v>56</v>
      </c>
      <c r="H388" s="186">
        <v>42082</v>
      </c>
      <c r="I388" s="187" t="s">
        <v>71</v>
      </c>
      <c r="J388" s="210">
        <v>156937.87999999998</v>
      </c>
      <c r="K388" s="193"/>
      <c r="M388" s="134"/>
    </row>
    <row r="389" spans="1:15" s="132" customFormat="1" x14ac:dyDescent="0.15">
      <c r="A389" s="133" t="s">
        <v>2377</v>
      </c>
      <c r="B389" s="131" t="s">
        <v>2395</v>
      </c>
      <c r="D389" s="133"/>
      <c r="E389" s="183" t="s">
        <v>55</v>
      </c>
      <c r="F389" s="397">
        <v>102353800.63</v>
      </c>
      <c r="G389" s="219" t="s">
        <v>56</v>
      </c>
      <c r="H389" s="186">
        <v>42086</v>
      </c>
      <c r="I389" s="187" t="s">
        <v>71</v>
      </c>
      <c r="J389" s="210">
        <v>382995.73499999999</v>
      </c>
      <c r="K389" s="193"/>
      <c r="M389" s="134"/>
    </row>
    <row r="390" spans="1:15" s="132" customFormat="1" x14ac:dyDescent="0.15">
      <c r="A390" s="193" t="s">
        <v>2379</v>
      </c>
      <c r="B390" s="131" t="s">
        <v>2396</v>
      </c>
      <c r="D390" s="133"/>
      <c r="E390" s="183" t="s">
        <v>55</v>
      </c>
      <c r="F390" s="397">
        <v>68230725.829999998</v>
      </c>
      <c r="G390" s="219" t="s">
        <v>56</v>
      </c>
      <c r="H390" s="186">
        <v>42086</v>
      </c>
      <c r="I390" s="187" t="s">
        <v>71</v>
      </c>
      <c r="J390" s="210">
        <v>246775.64500000008</v>
      </c>
      <c r="K390" s="193"/>
      <c r="M390" s="134"/>
    </row>
    <row r="391" spans="1:15" s="132" customFormat="1" x14ac:dyDescent="0.15">
      <c r="A391" s="193" t="s">
        <v>2380</v>
      </c>
      <c r="B391" s="131" t="s">
        <v>2397</v>
      </c>
      <c r="D391" s="133"/>
      <c r="E391" s="183" t="s">
        <v>55</v>
      </c>
      <c r="F391" s="397">
        <v>129032695.42</v>
      </c>
      <c r="G391" s="219" t="s">
        <v>56</v>
      </c>
      <c r="H391" s="186">
        <v>42087</v>
      </c>
      <c r="I391" s="187" t="s">
        <v>71</v>
      </c>
      <c r="J391" s="210">
        <v>157534.84700000004</v>
      </c>
      <c r="K391" s="193"/>
      <c r="M391" s="134"/>
    </row>
    <row r="392" spans="1:15" s="132" customFormat="1" x14ac:dyDescent="0.15">
      <c r="A392" s="193" t="s">
        <v>2381</v>
      </c>
      <c r="B392" s="131" t="s">
        <v>2398</v>
      </c>
      <c r="D392" s="133"/>
      <c r="E392" s="183" t="s">
        <v>55</v>
      </c>
      <c r="F392" s="397">
        <v>64820709.390000001</v>
      </c>
      <c r="G392" s="219" t="s">
        <v>56</v>
      </c>
      <c r="H392" s="186">
        <v>42088</v>
      </c>
      <c r="I392" s="187" t="s">
        <v>71</v>
      </c>
      <c r="J392" s="210">
        <v>252969.09300000005</v>
      </c>
      <c r="K392" s="193"/>
      <c r="M392" s="134"/>
    </row>
    <row r="393" spans="1:15" s="133" customFormat="1" x14ac:dyDescent="0.15">
      <c r="A393" s="193" t="s">
        <v>2382</v>
      </c>
      <c r="B393" s="131" t="s">
        <v>2399</v>
      </c>
      <c r="C393" s="132"/>
      <c r="E393" s="183" t="s">
        <v>55</v>
      </c>
      <c r="F393" s="397">
        <v>103712190.53</v>
      </c>
      <c r="G393" s="219" t="s">
        <v>56</v>
      </c>
      <c r="H393" s="186">
        <v>42090</v>
      </c>
      <c r="I393" s="187" t="s">
        <v>71</v>
      </c>
      <c r="J393" s="210">
        <v>284485.95799999998</v>
      </c>
      <c r="K393" s="193"/>
      <c r="L393" s="132"/>
      <c r="M393" s="134"/>
      <c r="N393" s="132"/>
      <c r="O393" s="132"/>
    </row>
    <row r="394" spans="1:15" s="133" customFormat="1" x14ac:dyDescent="0.15">
      <c r="A394" s="193" t="s">
        <v>2383</v>
      </c>
      <c r="B394" s="131" t="s">
        <v>2400</v>
      </c>
      <c r="C394" s="132"/>
      <c r="E394" s="183" t="s">
        <v>55</v>
      </c>
      <c r="F394" s="397">
        <v>79170635.810000002</v>
      </c>
      <c r="G394" s="219" t="s">
        <v>56</v>
      </c>
      <c r="H394" s="186">
        <v>42093</v>
      </c>
      <c r="I394" s="187" t="s">
        <v>71</v>
      </c>
      <c r="J394" s="210">
        <v>316285.40200000023</v>
      </c>
      <c r="K394" s="193"/>
      <c r="L394" s="132"/>
      <c r="M394" s="134"/>
      <c r="N394" s="132"/>
      <c r="O394" s="132"/>
    </row>
    <row r="395" spans="1:15" s="133" customFormat="1" x14ac:dyDescent="0.15">
      <c r="A395" s="193" t="s">
        <v>2385</v>
      </c>
      <c r="B395" s="131" t="s">
        <v>2401</v>
      </c>
      <c r="C395" s="132"/>
      <c r="E395" s="183" t="s">
        <v>55</v>
      </c>
      <c r="F395" s="397">
        <v>158818000.41</v>
      </c>
      <c r="G395" s="219" t="s">
        <v>56</v>
      </c>
      <c r="H395" s="186">
        <v>42093</v>
      </c>
      <c r="I395" s="187" t="s">
        <v>71</v>
      </c>
      <c r="J395" s="210">
        <v>146269.40736201138</v>
      </c>
      <c r="L395" s="132"/>
      <c r="M395" s="134"/>
      <c r="N395" s="132"/>
      <c r="O395" s="132"/>
    </row>
    <row r="396" spans="1:15" s="133" customFormat="1" x14ac:dyDescent="0.15">
      <c r="A396" s="193" t="s">
        <v>2386</v>
      </c>
      <c r="B396" s="131" t="s">
        <v>2402</v>
      </c>
      <c r="C396" s="132"/>
      <c r="E396" s="183" t="s">
        <v>55</v>
      </c>
      <c r="F396" s="397">
        <v>87573420.140000001</v>
      </c>
      <c r="G396" s="219" t="s">
        <v>56</v>
      </c>
      <c r="H396" s="186">
        <v>42094</v>
      </c>
      <c r="I396" s="187" t="s">
        <v>71</v>
      </c>
      <c r="J396" s="210">
        <v>348918.13199999998</v>
      </c>
      <c r="L396" s="132"/>
      <c r="M396" s="134"/>
      <c r="N396" s="132"/>
      <c r="O396" s="132"/>
    </row>
    <row r="397" spans="1:15" s="133" customFormat="1" x14ac:dyDescent="0.15">
      <c r="A397" s="193" t="s">
        <v>2387</v>
      </c>
      <c r="B397" s="131" t="s">
        <v>2468</v>
      </c>
      <c r="C397" s="132"/>
      <c r="E397" s="183" t="s">
        <v>55</v>
      </c>
      <c r="F397" s="397">
        <v>60809550.020000003</v>
      </c>
      <c r="G397" s="219" t="s">
        <v>56</v>
      </c>
      <c r="H397" s="186">
        <v>42096</v>
      </c>
      <c r="I397" s="187" t="s">
        <v>71</v>
      </c>
      <c r="J397" s="210">
        <v>70141.726637988497</v>
      </c>
      <c r="L397" s="132"/>
      <c r="M397" s="134"/>
      <c r="N397" s="132"/>
      <c r="O397" s="132"/>
    </row>
    <row r="398" spans="1:15" s="133" customFormat="1" ht="12" thickBot="1" x14ac:dyDescent="0.2">
      <c r="B398" s="395"/>
      <c r="C398" s="395"/>
      <c r="D398" s="395"/>
      <c r="E398" s="183"/>
      <c r="F398" s="396"/>
      <c r="G398" s="219"/>
      <c r="H398" s="186"/>
      <c r="I398" s="217" t="s">
        <v>106</v>
      </c>
      <c r="J398" s="211">
        <f>SUM(J384:J397)</f>
        <v>3546786.1393620102</v>
      </c>
      <c r="L398" s="132"/>
      <c r="M398" s="134"/>
      <c r="N398" s="132"/>
      <c r="O398" s="132"/>
    </row>
    <row r="399" spans="1:15" s="133" customFormat="1" ht="12" thickTop="1" x14ac:dyDescent="0.15">
      <c r="B399" s="395"/>
      <c r="C399" s="395"/>
      <c r="D399" s="395"/>
      <c r="E399" s="183"/>
      <c r="F399" s="396"/>
      <c r="G399" s="219"/>
      <c r="H399" s="186"/>
      <c r="I399" s="187"/>
      <c r="J399" s="210"/>
      <c r="L399" s="132"/>
      <c r="M399" s="134"/>
      <c r="N399" s="132"/>
      <c r="O399" s="132"/>
    </row>
    <row r="400" spans="1:15" s="132" customFormat="1" x14ac:dyDescent="0.15">
      <c r="A400" s="133"/>
      <c r="B400" s="133" t="s">
        <v>9</v>
      </c>
      <c r="C400" s="220" t="s">
        <v>2311</v>
      </c>
      <c r="D400" s="133" t="s">
        <v>570</v>
      </c>
      <c r="E400" s="133" t="s">
        <v>571</v>
      </c>
      <c r="F400" s="133" t="s">
        <v>16</v>
      </c>
      <c r="G400" s="134"/>
      <c r="H400" s="134"/>
      <c r="J400" s="205"/>
      <c r="K400" s="133"/>
      <c r="M400" s="134"/>
    </row>
    <row r="401" spans="1:13" s="132" customFormat="1" x14ac:dyDescent="0.15">
      <c r="A401" s="188" t="s">
        <v>2367</v>
      </c>
      <c r="B401" s="210">
        <v>206327</v>
      </c>
      <c r="C401" s="221">
        <v>0.2</v>
      </c>
      <c r="D401" s="235">
        <f>+B401*C401</f>
        <v>41265.4</v>
      </c>
      <c r="E401" s="235">
        <f t="shared" ref="E401:E410" si="58">+D401*0.1</f>
        <v>4126.54</v>
      </c>
      <c r="F401" s="236">
        <f t="shared" ref="F401:F410" si="59">SUM(D401:E401)</f>
        <v>45391.94</v>
      </c>
      <c r="G401" s="134"/>
      <c r="H401" s="134"/>
      <c r="J401" s="205"/>
      <c r="K401" s="133"/>
      <c r="M401" s="134"/>
    </row>
    <row r="402" spans="1:13" s="132" customFormat="1" x14ac:dyDescent="0.15">
      <c r="A402" s="188" t="s">
        <v>2368</v>
      </c>
      <c r="B402" s="210">
        <v>88503</v>
      </c>
      <c r="C402" s="221">
        <v>0.2</v>
      </c>
      <c r="D402" s="235">
        <f t="shared" ref="D402:D410" si="60">+B402*C402</f>
        <v>17700.600000000002</v>
      </c>
      <c r="E402" s="235">
        <f t="shared" si="58"/>
        <v>1770.0600000000004</v>
      </c>
      <c r="F402" s="236">
        <f t="shared" si="59"/>
        <v>19470.660000000003</v>
      </c>
      <c r="G402" s="133"/>
      <c r="H402" s="133"/>
      <c r="J402" s="205"/>
      <c r="K402" s="133"/>
      <c r="M402" s="134"/>
    </row>
    <row r="403" spans="1:13" s="132" customFormat="1" x14ac:dyDescent="0.15">
      <c r="A403" s="381" t="s">
        <v>2370</v>
      </c>
      <c r="B403" s="210">
        <v>163284</v>
      </c>
      <c r="C403" s="221">
        <v>0.2</v>
      </c>
      <c r="D403" s="235">
        <f t="shared" si="60"/>
        <v>32656.800000000003</v>
      </c>
      <c r="E403" s="235">
        <f t="shared" si="58"/>
        <v>3265.6800000000003</v>
      </c>
      <c r="F403" s="236">
        <f t="shared" si="59"/>
        <v>35922.480000000003</v>
      </c>
      <c r="G403" s="133"/>
      <c r="H403" s="133"/>
      <c r="J403" s="205"/>
      <c r="K403" s="133"/>
      <c r="M403" s="134"/>
    </row>
    <row r="404" spans="1:13" s="132" customFormat="1" x14ac:dyDescent="0.15">
      <c r="A404" s="193" t="s">
        <v>2371</v>
      </c>
      <c r="B404" s="210">
        <v>250899</v>
      </c>
      <c r="C404" s="221">
        <v>0.2</v>
      </c>
      <c r="D404" s="235">
        <f t="shared" si="60"/>
        <v>50179.8</v>
      </c>
      <c r="E404" s="235">
        <f t="shared" si="58"/>
        <v>5017.9800000000005</v>
      </c>
      <c r="F404" s="236">
        <f t="shared" si="59"/>
        <v>55197.780000000006</v>
      </c>
      <c r="G404" s="134"/>
      <c r="H404" s="134"/>
      <c r="J404" s="205"/>
      <c r="K404" s="133"/>
      <c r="M404" s="134"/>
    </row>
    <row r="405" spans="1:13" s="132" customFormat="1" x14ac:dyDescent="0.15">
      <c r="A405" s="193" t="s">
        <v>2372</v>
      </c>
      <c r="B405" s="210">
        <v>206516</v>
      </c>
      <c r="C405" s="221">
        <v>0.2</v>
      </c>
      <c r="D405" s="235">
        <f t="shared" si="60"/>
        <v>41303.200000000004</v>
      </c>
      <c r="E405" s="235">
        <f t="shared" si="58"/>
        <v>4130.3200000000006</v>
      </c>
      <c r="F405" s="236">
        <f t="shared" si="59"/>
        <v>45433.520000000004</v>
      </c>
      <c r="G405" s="186"/>
      <c r="H405" s="186"/>
      <c r="J405" s="205"/>
      <c r="K405" s="133"/>
      <c r="M405" s="134"/>
    </row>
    <row r="406" spans="1:13" s="132" customFormat="1" x14ac:dyDescent="0.15">
      <c r="A406" s="193" t="s">
        <v>2373</v>
      </c>
      <c r="B406" s="210">
        <v>542656</v>
      </c>
      <c r="C406" s="221">
        <v>0.2</v>
      </c>
      <c r="D406" s="235">
        <f t="shared" si="60"/>
        <v>108531.20000000001</v>
      </c>
      <c r="E406" s="235">
        <f t="shared" si="58"/>
        <v>10853.120000000003</v>
      </c>
      <c r="F406" s="236">
        <f t="shared" si="59"/>
        <v>119384.32000000001</v>
      </c>
      <c r="G406" s="186"/>
      <c r="H406" s="186"/>
      <c r="J406" s="134"/>
      <c r="K406" s="133"/>
      <c r="M406" s="134"/>
    </row>
    <row r="407" spans="1:13" s="132" customFormat="1" x14ac:dyDescent="0.15">
      <c r="A407" s="193" t="s">
        <v>2374</v>
      </c>
      <c r="B407" s="210">
        <v>366954</v>
      </c>
      <c r="C407" s="221">
        <v>0.2</v>
      </c>
      <c r="D407" s="235">
        <f t="shared" si="60"/>
        <v>73390.8</v>
      </c>
      <c r="E407" s="235">
        <f t="shared" si="58"/>
        <v>7339.0800000000008</v>
      </c>
      <c r="F407" s="236">
        <f t="shared" si="59"/>
        <v>80729.88</v>
      </c>
      <c r="G407" s="186"/>
      <c r="H407" s="186"/>
      <c r="J407" s="134"/>
      <c r="K407" s="133"/>
      <c r="M407" s="134"/>
    </row>
    <row r="408" spans="1:13" s="132" customFormat="1" x14ac:dyDescent="0.15">
      <c r="A408" s="188" t="s">
        <v>2375</v>
      </c>
      <c r="B408" s="210">
        <v>479796</v>
      </c>
      <c r="C408" s="221">
        <v>0.2</v>
      </c>
      <c r="D408" s="235">
        <f t="shared" si="60"/>
        <v>95959.200000000012</v>
      </c>
      <c r="E408" s="235">
        <f t="shared" si="58"/>
        <v>9595.9200000000019</v>
      </c>
      <c r="F408" s="236">
        <f t="shared" si="59"/>
        <v>105555.12000000001</v>
      </c>
      <c r="G408" s="186"/>
      <c r="H408" s="186"/>
      <c r="J408" s="134"/>
      <c r="K408" s="133"/>
      <c r="M408" s="134"/>
    </row>
    <row r="409" spans="1:13" s="132" customFormat="1" x14ac:dyDescent="0.15">
      <c r="A409" s="193" t="s">
        <v>2378</v>
      </c>
      <c r="B409" s="210">
        <v>159452</v>
      </c>
      <c r="C409" s="221">
        <v>0.2</v>
      </c>
      <c r="D409" s="235">
        <f t="shared" si="60"/>
        <v>31890.400000000001</v>
      </c>
      <c r="E409" s="235">
        <f t="shared" si="58"/>
        <v>3189.0400000000004</v>
      </c>
      <c r="F409" s="236">
        <f t="shared" si="59"/>
        <v>35079.440000000002</v>
      </c>
      <c r="G409" s="186"/>
      <c r="H409" s="186"/>
      <c r="J409" s="134"/>
      <c r="K409" s="133"/>
      <c r="M409" s="134"/>
    </row>
    <row r="410" spans="1:13" s="132" customFormat="1" x14ac:dyDescent="0.15">
      <c r="A410" s="193" t="s">
        <v>2384</v>
      </c>
      <c r="B410" s="210">
        <v>299081</v>
      </c>
      <c r="C410" s="221">
        <v>0.2</v>
      </c>
      <c r="D410" s="235">
        <f t="shared" si="60"/>
        <v>59816.200000000004</v>
      </c>
      <c r="E410" s="235">
        <f t="shared" si="58"/>
        <v>5981.6200000000008</v>
      </c>
      <c r="F410" s="236">
        <f t="shared" si="59"/>
        <v>65797.820000000007</v>
      </c>
      <c r="G410" s="186"/>
      <c r="H410" s="186"/>
      <c r="J410" s="134"/>
      <c r="K410" s="133"/>
      <c r="M410" s="134"/>
    </row>
    <row r="411" spans="1:13" s="132" customFormat="1" ht="12" thickBot="1" x14ac:dyDescent="0.2">
      <c r="A411" s="133"/>
      <c r="B411" s="211">
        <f>SUM(B401:B410)</f>
        <v>2763468</v>
      </c>
      <c r="C411" s="221"/>
      <c r="D411" s="242">
        <f>SUM(D401:D410)</f>
        <v>552693.6</v>
      </c>
      <c r="E411" s="242">
        <f t="shared" ref="E411:F411" si="61">SUM(E401:E410)</f>
        <v>55269.360000000015</v>
      </c>
      <c r="F411" s="242">
        <f t="shared" si="61"/>
        <v>607962.96</v>
      </c>
      <c r="G411" s="186"/>
      <c r="H411" s="186"/>
      <c r="J411" s="134"/>
      <c r="K411" s="133"/>
      <c r="M411" s="134"/>
    </row>
    <row r="412" spans="1:13" s="132" customFormat="1" ht="12" thickTop="1" x14ac:dyDescent="0.15">
      <c r="A412" s="193" t="s">
        <v>2290</v>
      </c>
      <c r="B412" s="210">
        <v>67798</v>
      </c>
      <c r="C412" s="221">
        <v>0.2</v>
      </c>
      <c r="D412" s="235">
        <f>+B412*C412</f>
        <v>13559.6</v>
      </c>
      <c r="E412" s="235">
        <f t="shared" ref="E412:E422" si="62">+D412*0.1</f>
        <v>1355.96</v>
      </c>
      <c r="F412" s="236">
        <f t="shared" ref="F412:F422" si="63">SUM(D412:E412)</f>
        <v>14915.560000000001</v>
      </c>
      <c r="G412" s="186"/>
      <c r="H412" s="186"/>
      <c r="J412" s="134"/>
      <c r="K412" s="133"/>
      <c r="M412" s="134"/>
    </row>
    <row r="413" spans="1:13" s="132" customFormat="1" x14ac:dyDescent="0.15">
      <c r="A413" s="185" t="s">
        <v>2291</v>
      </c>
      <c r="B413" s="210">
        <v>388896</v>
      </c>
      <c r="C413" s="221">
        <v>0.2</v>
      </c>
      <c r="D413" s="235">
        <f t="shared" ref="D413:D422" si="64">+B413*C413</f>
        <v>77779.199999999997</v>
      </c>
      <c r="E413" s="235">
        <f t="shared" si="62"/>
        <v>7777.92</v>
      </c>
      <c r="F413" s="236">
        <f t="shared" si="63"/>
        <v>85557.119999999995</v>
      </c>
      <c r="G413" s="186"/>
      <c r="H413" s="186"/>
      <c r="J413" s="134"/>
      <c r="K413" s="133"/>
      <c r="M413" s="134"/>
    </row>
    <row r="414" spans="1:13" s="132" customFormat="1" x14ac:dyDescent="0.15">
      <c r="A414" s="193" t="s">
        <v>2334</v>
      </c>
      <c r="B414" s="210">
        <v>398988</v>
      </c>
      <c r="C414" s="221">
        <v>0.2</v>
      </c>
      <c r="D414" s="235">
        <f t="shared" si="64"/>
        <v>79797.600000000006</v>
      </c>
      <c r="E414" s="235">
        <f t="shared" si="62"/>
        <v>7979.7600000000011</v>
      </c>
      <c r="F414" s="236">
        <f t="shared" si="63"/>
        <v>87777.36</v>
      </c>
      <c r="G414" s="186"/>
      <c r="H414" s="186"/>
      <c r="J414" s="134"/>
      <c r="K414" s="133"/>
      <c r="M414" s="134"/>
    </row>
    <row r="415" spans="1:13" s="132" customFormat="1" x14ac:dyDescent="0.15">
      <c r="A415" s="193" t="s">
        <v>2369</v>
      </c>
      <c r="B415" s="210">
        <v>327790</v>
      </c>
      <c r="C415" s="221">
        <v>0.2</v>
      </c>
      <c r="D415" s="235">
        <f t="shared" si="64"/>
        <v>65558</v>
      </c>
      <c r="E415" s="235">
        <f t="shared" si="62"/>
        <v>6555.8</v>
      </c>
      <c r="F415" s="236">
        <f t="shared" si="63"/>
        <v>72113.8</v>
      </c>
      <c r="G415" s="186"/>
      <c r="H415" s="186"/>
      <c r="J415" s="134"/>
      <c r="K415" s="133"/>
      <c r="M415" s="134"/>
    </row>
    <row r="416" spans="1:13" s="132" customFormat="1" x14ac:dyDescent="0.15">
      <c r="A416" s="185" t="s">
        <v>2376</v>
      </c>
      <c r="B416" s="210">
        <v>156938</v>
      </c>
      <c r="C416" s="221">
        <v>0.2</v>
      </c>
      <c r="D416" s="235">
        <f t="shared" si="64"/>
        <v>31387.600000000002</v>
      </c>
      <c r="E416" s="235">
        <f t="shared" si="62"/>
        <v>3138.76</v>
      </c>
      <c r="F416" s="236">
        <f t="shared" si="63"/>
        <v>34526.36</v>
      </c>
      <c r="G416" s="186"/>
      <c r="H416" s="186"/>
      <c r="J416" s="134"/>
      <c r="K416" s="133"/>
      <c r="M416" s="134"/>
    </row>
    <row r="417" spans="1:13" s="132" customFormat="1" x14ac:dyDescent="0.15">
      <c r="A417" s="133" t="s">
        <v>2377</v>
      </c>
      <c r="B417" s="210">
        <v>382996</v>
      </c>
      <c r="C417" s="221">
        <v>0.2</v>
      </c>
      <c r="D417" s="235">
        <f t="shared" si="64"/>
        <v>76599.199999999997</v>
      </c>
      <c r="E417" s="235">
        <f t="shared" si="62"/>
        <v>7659.92</v>
      </c>
      <c r="F417" s="236">
        <f t="shared" si="63"/>
        <v>84259.12</v>
      </c>
      <c r="G417" s="186"/>
      <c r="H417" s="186"/>
      <c r="J417" s="134"/>
      <c r="K417" s="133"/>
      <c r="M417" s="134"/>
    </row>
    <row r="418" spans="1:13" s="132" customFormat="1" x14ac:dyDescent="0.15">
      <c r="A418" s="193" t="s">
        <v>2379</v>
      </c>
      <c r="B418" s="210">
        <v>246776</v>
      </c>
      <c r="C418" s="221">
        <v>0.2</v>
      </c>
      <c r="D418" s="235">
        <f t="shared" si="64"/>
        <v>49355.200000000004</v>
      </c>
      <c r="E418" s="235">
        <f t="shared" si="62"/>
        <v>4935.5200000000004</v>
      </c>
      <c r="F418" s="236">
        <f t="shared" si="63"/>
        <v>54290.720000000001</v>
      </c>
      <c r="G418" s="186"/>
      <c r="H418" s="186"/>
      <c r="J418" s="210"/>
      <c r="K418" s="133"/>
      <c r="M418" s="134"/>
    </row>
    <row r="419" spans="1:13" s="132" customFormat="1" x14ac:dyDescent="0.15">
      <c r="A419" s="193" t="s">
        <v>2380</v>
      </c>
      <c r="B419" s="210">
        <v>157535</v>
      </c>
      <c r="C419" s="221">
        <v>0.2</v>
      </c>
      <c r="D419" s="235">
        <f t="shared" si="64"/>
        <v>31507</v>
      </c>
      <c r="E419" s="235">
        <f t="shared" si="62"/>
        <v>3150.7000000000003</v>
      </c>
      <c r="F419" s="236">
        <f t="shared" si="63"/>
        <v>34657.699999999997</v>
      </c>
      <c r="G419" s="186"/>
      <c r="H419" s="186"/>
      <c r="J419" s="134"/>
      <c r="K419" s="133"/>
      <c r="M419" s="134"/>
    </row>
    <row r="420" spans="1:13" s="132" customFormat="1" x14ac:dyDescent="0.15">
      <c r="A420" s="193" t="s">
        <v>2381</v>
      </c>
      <c r="B420" s="210">
        <v>252969</v>
      </c>
      <c r="C420" s="221">
        <v>0.2</v>
      </c>
      <c r="D420" s="235">
        <f t="shared" si="64"/>
        <v>50593.8</v>
      </c>
      <c r="E420" s="235">
        <f t="shared" si="62"/>
        <v>5059.380000000001</v>
      </c>
      <c r="F420" s="236">
        <f t="shared" si="63"/>
        <v>55653.180000000008</v>
      </c>
      <c r="G420" s="186"/>
      <c r="H420" s="186"/>
      <c r="J420" s="134"/>
      <c r="K420" s="133"/>
      <c r="M420" s="134"/>
    </row>
    <row r="421" spans="1:13" s="132" customFormat="1" x14ac:dyDescent="0.15">
      <c r="A421" s="193" t="s">
        <v>2382</v>
      </c>
      <c r="B421" s="210">
        <v>284486</v>
      </c>
      <c r="C421" s="221">
        <v>0.2</v>
      </c>
      <c r="D421" s="235">
        <f t="shared" si="64"/>
        <v>56897.200000000004</v>
      </c>
      <c r="E421" s="235">
        <f t="shared" si="62"/>
        <v>5689.7200000000012</v>
      </c>
      <c r="F421" s="236">
        <f t="shared" si="63"/>
        <v>62586.920000000006</v>
      </c>
      <c r="G421" s="186"/>
      <c r="H421" s="186"/>
      <c r="J421" s="134"/>
      <c r="K421" s="133"/>
      <c r="M421" s="134"/>
    </row>
    <row r="422" spans="1:13" s="132" customFormat="1" x14ac:dyDescent="0.15">
      <c r="A422" s="193" t="s">
        <v>2383</v>
      </c>
      <c r="B422" s="210">
        <v>316285</v>
      </c>
      <c r="C422" s="221">
        <v>0.2</v>
      </c>
      <c r="D422" s="235">
        <f t="shared" si="64"/>
        <v>63257</v>
      </c>
      <c r="E422" s="235">
        <f t="shared" si="62"/>
        <v>6325.7000000000007</v>
      </c>
      <c r="F422" s="236">
        <f t="shared" si="63"/>
        <v>69582.7</v>
      </c>
      <c r="G422" s="186"/>
      <c r="H422" s="186"/>
      <c r="J422" s="134"/>
      <c r="K422" s="133"/>
      <c r="M422" s="134"/>
    </row>
    <row r="423" spans="1:13" s="132" customFormat="1" x14ac:dyDescent="0.15">
      <c r="A423" s="193" t="s">
        <v>2385</v>
      </c>
      <c r="B423" s="210">
        <v>146269</v>
      </c>
      <c r="C423" s="221">
        <v>0.2</v>
      </c>
      <c r="D423" s="235">
        <f t="shared" ref="D423:D425" si="65">+B423*C423</f>
        <v>29253.800000000003</v>
      </c>
      <c r="E423" s="235">
        <f t="shared" ref="E423:E425" si="66">+D423*0.1</f>
        <v>2925.3800000000006</v>
      </c>
      <c r="F423" s="236">
        <f t="shared" ref="F423:F425" si="67">SUM(D423:E423)</f>
        <v>32179.180000000004</v>
      </c>
      <c r="G423" s="186"/>
      <c r="H423" s="186"/>
      <c r="J423" s="134"/>
      <c r="K423" s="133"/>
      <c r="M423" s="134"/>
    </row>
    <row r="424" spans="1:13" s="132" customFormat="1" x14ac:dyDescent="0.15">
      <c r="A424" s="193" t="s">
        <v>2386</v>
      </c>
      <c r="B424" s="210">
        <v>348918</v>
      </c>
      <c r="C424" s="221">
        <v>0.2</v>
      </c>
      <c r="D424" s="235">
        <f t="shared" si="65"/>
        <v>69783.600000000006</v>
      </c>
      <c r="E424" s="235">
        <f t="shared" si="66"/>
        <v>6978.3600000000006</v>
      </c>
      <c r="F424" s="236">
        <f t="shared" si="67"/>
        <v>76761.960000000006</v>
      </c>
      <c r="G424" s="186"/>
      <c r="H424" s="186"/>
      <c r="J424" s="134"/>
      <c r="K424" s="133"/>
      <c r="M424" s="134"/>
    </row>
    <row r="425" spans="1:13" s="132" customFormat="1" x14ac:dyDescent="0.15">
      <c r="A425" s="193" t="s">
        <v>2387</v>
      </c>
      <c r="B425" s="210">
        <v>70142</v>
      </c>
      <c r="C425" s="221">
        <v>0.2</v>
      </c>
      <c r="D425" s="235">
        <f t="shared" si="65"/>
        <v>14028.400000000001</v>
      </c>
      <c r="E425" s="235">
        <f t="shared" si="66"/>
        <v>1402.8400000000001</v>
      </c>
      <c r="F425" s="236">
        <f t="shared" si="67"/>
        <v>15431.240000000002</v>
      </c>
      <c r="G425" s="186"/>
      <c r="H425" s="186"/>
      <c r="J425" s="134"/>
      <c r="K425" s="133"/>
      <c r="M425" s="134"/>
    </row>
    <row r="426" spans="1:13" s="132" customFormat="1" ht="12" thickBot="1" x14ac:dyDescent="0.2">
      <c r="A426" s="133"/>
      <c r="B426" s="211">
        <f>SUM(B412:B425)</f>
        <v>3546786</v>
      </c>
      <c r="C426" s="221"/>
      <c r="D426" s="242">
        <f>SUM(D412:D425)</f>
        <v>709357.20000000007</v>
      </c>
      <c r="E426" s="242">
        <f t="shared" ref="E426:F426" si="68">SUM(E412:E425)</f>
        <v>70935.72</v>
      </c>
      <c r="F426" s="242">
        <f t="shared" si="68"/>
        <v>780292.91999999993</v>
      </c>
      <c r="G426" s="219"/>
      <c r="H426" s="186"/>
      <c r="I426" s="187"/>
      <c r="J426" s="134"/>
      <c r="K426" s="133"/>
      <c r="M426" s="134"/>
    </row>
    <row r="427" spans="1:13" s="132" customFormat="1" ht="12" thickTop="1" x14ac:dyDescent="0.15">
      <c r="A427" s="193"/>
      <c r="B427" s="131"/>
      <c r="D427" s="133"/>
      <c r="E427" s="183"/>
      <c r="F427" s="397"/>
      <c r="H427" s="133"/>
      <c r="J427" s="134"/>
      <c r="K427" s="133"/>
      <c r="M427" s="134"/>
    </row>
  </sheetData>
  <mergeCells count="7">
    <mergeCell ref="B371:D37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500"/>
  <sheetViews>
    <sheetView zoomScale="115" zoomScaleNormal="115" workbookViewId="0">
      <pane ySplit="6" topLeftCell="A454" activePane="bottomLeft" state="frozen"/>
      <selection pane="bottomLeft" activeCell="B468" sqref="B468:H469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2261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2233</v>
      </c>
      <c r="B7" s="146"/>
      <c r="C7" s="152">
        <v>75062.100362010169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75062.100362010169</v>
      </c>
      <c r="O7" s="147">
        <f>+C443</f>
        <v>487872.83636201022</v>
      </c>
    </row>
    <row r="8" spans="1:15" x14ac:dyDescent="0.15">
      <c r="A8" s="154" t="s">
        <v>2234</v>
      </c>
      <c r="B8" s="151"/>
      <c r="C8" s="152">
        <v>104890.444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75062.100362010169</v>
      </c>
      <c r="O8" s="152">
        <f t="shared" ref="O8:O9" si="0">O7+G8-I8-L8</f>
        <v>487872.83636201022</v>
      </c>
    </row>
    <row r="9" spans="1:15" x14ac:dyDescent="0.15">
      <c r="A9" s="157" t="s">
        <v>2235</v>
      </c>
      <c r="B9" s="151"/>
      <c r="C9" s="152">
        <v>307920.29200000002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" si="1">+N8-I9-L9</f>
        <v>75062.100362010169</v>
      </c>
      <c r="O9" s="152">
        <f t="shared" si="0"/>
        <v>487872.83636201022</v>
      </c>
    </row>
    <row r="10" spans="1:15" x14ac:dyDescent="0.15">
      <c r="A10" s="154"/>
      <c r="B10" s="151"/>
      <c r="C10" s="152"/>
      <c r="D10" s="323" t="s">
        <v>2262</v>
      </c>
      <c r="E10" s="154" t="s">
        <v>72</v>
      </c>
      <c r="F10" s="157" t="str">
        <f>+'[1]รับ 0215'!$F$211</f>
        <v>TOP 290115</v>
      </c>
      <c r="G10" s="152">
        <f>+'[1]รับ 0215'!$D$212</f>
        <v>175958.728</v>
      </c>
      <c r="H10" s="323" t="s">
        <v>2262</v>
      </c>
      <c r="I10" s="152">
        <v>15226.496999999999</v>
      </c>
      <c r="J10" s="157" t="s">
        <v>2233</v>
      </c>
      <c r="K10" s="157">
        <v>5800360286</v>
      </c>
      <c r="L10" s="227">
        <v>11179.751</v>
      </c>
      <c r="M10" s="157" t="s">
        <v>2233</v>
      </c>
      <c r="N10" s="227">
        <f t="shared" ref="N10:N72" si="2">+N9-I10-L10</f>
        <v>48655.852362010162</v>
      </c>
      <c r="O10" s="152">
        <f t="shared" ref="O10:O72" si="3">O9+G10-I10-L10</f>
        <v>637425.3163620102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 t="s">
        <v>2262</v>
      </c>
      <c r="I11" s="152"/>
      <c r="J11" s="157"/>
      <c r="K11" s="157">
        <v>5800360286</v>
      </c>
      <c r="L11" s="227">
        <v>14129.016</v>
      </c>
      <c r="M11" s="157" t="s">
        <v>2233</v>
      </c>
      <c r="N11" s="227">
        <f t="shared" si="2"/>
        <v>34526.836362010159</v>
      </c>
      <c r="O11" s="152">
        <f t="shared" si="3"/>
        <v>623296.30036201025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2262</v>
      </c>
      <c r="I12" s="152"/>
      <c r="J12" s="157"/>
      <c r="K12" s="157">
        <v>5800360286</v>
      </c>
      <c r="L12" s="227">
        <v>10783.91</v>
      </c>
      <c r="M12" s="157" t="s">
        <v>2233</v>
      </c>
      <c r="N12" s="227">
        <f t="shared" si="2"/>
        <v>23742.926362010159</v>
      </c>
      <c r="O12" s="152">
        <f t="shared" si="3"/>
        <v>612512.39036201022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2262</v>
      </c>
      <c r="I13" s="152"/>
      <c r="J13" s="157"/>
      <c r="K13" s="157">
        <v>5800360286</v>
      </c>
      <c r="L13" s="227">
        <v>11526.486999999999</v>
      </c>
      <c r="M13" s="157" t="s">
        <v>2233</v>
      </c>
      <c r="N13" s="227">
        <f t="shared" si="2"/>
        <v>12216.43936201016</v>
      </c>
      <c r="O13" s="152">
        <f t="shared" si="3"/>
        <v>600985.90336201026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2262</v>
      </c>
      <c r="I14" s="152"/>
      <c r="J14" s="157"/>
      <c r="K14" s="157">
        <v>5800360286</v>
      </c>
      <c r="L14" s="227">
        <v>10054.36</v>
      </c>
      <c r="M14" s="157" t="s">
        <v>2233</v>
      </c>
      <c r="N14" s="227">
        <f t="shared" si="2"/>
        <v>2162.0793620101595</v>
      </c>
      <c r="O14" s="152">
        <f t="shared" si="3"/>
        <v>590931.54336201027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2262</v>
      </c>
      <c r="I15" s="152"/>
      <c r="J15" s="157"/>
      <c r="K15" s="157">
        <v>5800360286</v>
      </c>
      <c r="L15" s="227">
        <v>2162.0793620101595</v>
      </c>
      <c r="M15" s="157" t="s">
        <v>2233</v>
      </c>
      <c r="N15" s="227">
        <f t="shared" ref="N15:N17" si="4">+N14-I15-L15</f>
        <v>0</v>
      </c>
      <c r="O15" s="152">
        <f t="shared" ref="O15:O17" si="5">O14+G15-I15-L15</f>
        <v>588769.46400000015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2262</v>
      </c>
      <c r="I16" s="152"/>
      <c r="J16" s="157"/>
      <c r="K16" s="157">
        <v>5800360268</v>
      </c>
      <c r="L16" s="227">
        <v>77457.065637989799</v>
      </c>
      <c r="M16" s="157" t="s">
        <v>2234</v>
      </c>
      <c r="N16" s="227">
        <f>C8+N15-I16-L16</f>
        <v>27433.378362010204</v>
      </c>
      <c r="O16" s="152">
        <f t="shared" si="5"/>
        <v>511312.39836201037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2262</v>
      </c>
      <c r="I17" s="152"/>
      <c r="J17" s="157"/>
      <c r="K17" s="157">
        <v>5800360268</v>
      </c>
      <c r="L17" s="227">
        <v>27433.378362010204</v>
      </c>
      <c r="M17" s="154" t="s">
        <v>2234</v>
      </c>
      <c r="N17" s="227">
        <f t="shared" si="4"/>
        <v>0</v>
      </c>
      <c r="O17" s="152">
        <f t="shared" si="5"/>
        <v>483879.02000000014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/>
      <c r="I18" s="152"/>
      <c r="J18" s="157"/>
      <c r="K18" s="157">
        <v>5800360268</v>
      </c>
      <c r="L18" s="227">
        <v>50093.3216379898</v>
      </c>
      <c r="M18" s="157" t="s">
        <v>2235</v>
      </c>
      <c r="N18" s="227">
        <f>C9+G10+G21+G31+N17-I18-L18</f>
        <v>785783.87236201018</v>
      </c>
      <c r="O18" s="152">
        <f t="shared" ref="O18:O23" si="6">O17+G18-I18-L18</f>
        <v>433785.69836201036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2262</v>
      </c>
      <c r="I19" s="152"/>
      <c r="J19" s="157"/>
      <c r="K19" s="157">
        <v>5800360268</v>
      </c>
      <c r="L19" s="227">
        <v>78919.926999999996</v>
      </c>
      <c r="M19" s="157" t="s">
        <v>2235</v>
      </c>
      <c r="N19" s="227">
        <f t="shared" ref="N19:N23" si="7">+N18-I19-L19</f>
        <v>706863.94536201016</v>
      </c>
      <c r="O19" s="152">
        <f t="shared" si="6"/>
        <v>354865.77136201039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2262</v>
      </c>
      <c r="I20" s="152"/>
      <c r="J20" s="157"/>
      <c r="K20" s="157">
        <v>5800360268</v>
      </c>
      <c r="L20" s="227">
        <v>2264.2930000000001</v>
      </c>
      <c r="M20" s="157" t="s">
        <v>2235</v>
      </c>
      <c r="N20" s="227">
        <f t="shared" si="7"/>
        <v>704599.65236201021</v>
      </c>
      <c r="O20" s="152">
        <f t="shared" si="6"/>
        <v>352601.47836201038</v>
      </c>
    </row>
    <row r="21" spans="1:15" x14ac:dyDescent="0.15">
      <c r="A21" s="154"/>
      <c r="B21" s="151"/>
      <c r="C21" s="152"/>
      <c r="D21" s="323" t="s">
        <v>2263</v>
      </c>
      <c r="E21" s="154" t="s">
        <v>72</v>
      </c>
      <c r="F21" s="157" t="str">
        <f>+'[1]รับ 0215'!$F$211</f>
        <v>TOP 290115</v>
      </c>
      <c r="G21" s="152">
        <f>+'[1]รับ 0215'!$D$213</f>
        <v>176055.81200000001</v>
      </c>
      <c r="H21" s="323" t="s">
        <v>2263</v>
      </c>
      <c r="I21" s="152">
        <v>10936.392</v>
      </c>
      <c r="J21" s="157" t="s">
        <v>2235</v>
      </c>
      <c r="K21" s="157">
        <v>5800360268</v>
      </c>
      <c r="L21" s="227">
        <v>37949.938999999998</v>
      </c>
      <c r="M21" s="157" t="s">
        <v>2235</v>
      </c>
      <c r="N21" s="227">
        <f t="shared" si="7"/>
        <v>655713.3213620102</v>
      </c>
      <c r="O21" s="152">
        <f t="shared" si="6"/>
        <v>479770.95936201036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2263</v>
      </c>
      <c r="I22" s="152"/>
      <c r="J22" s="157"/>
      <c r="K22" s="157">
        <v>5800360268</v>
      </c>
      <c r="L22" s="227">
        <v>29737.132000000001</v>
      </c>
      <c r="M22" s="157" t="s">
        <v>2235</v>
      </c>
      <c r="N22" s="227">
        <f t="shared" si="7"/>
        <v>625976.18936201022</v>
      </c>
      <c r="O22" s="152">
        <f t="shared" si="6"/>
        <v>450033.82736201037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2263</v>
      </c>
      <c r="I23" s="152"/>
      <c r="J23" s="157"/>
      <c r="K23" s="157">
        <v>5800360268</v>
      </c>
      <c r="L23" s="227">
        <v>11438.052</v>
      </c>
      <c r="M23" s="157" t="s">
        <v>2235</v>
      </c>
      <c r="N23" s="227">
        <f t="shared" si="7"/>
        <v>614538.13736201019</v>
      </c>
      <c r="O23" s="152">
        <f t="shared" si="6"/>
        <v>438595.77536201035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2263</v>
      </c>
      <c r="I24" s="152"/>
      <c r="J24" s="157"/>
      <c r="K24" s="157">
        <v>5800360268</v>
      </c>
      <c r="L24" s="227">
        <v>14523.111000000001</v>
      </c>
      <c r="M24" s="157" t="s">
        <v>2235</v>
      </c>
      <c r="N24" s="227">
        <f t="shared" si="2"/>
        <v>600015.02636201016</v>
      </c>
      <c r="O24" s="152">
        <f t="shared" si="3"/>
        <v>424072.66436201037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2263</v>
      </c>
      <c r="I25" s="152"/>
      <c r="J25" s="157"/>
      <c r="K25" s="157">
        <v>5800360268</v>
      </c>
      <c r="L25" s="227">
        <v>14010.437</v>
      </c>
      <c r="M25" s="157" t="s">
        <v>2235</v>
      </c>
      <c r="N25" s="227">
        <f t="shared" si="2"/>
        <v>586004.58936201013</v>
      </c>
      <c r="O25" s="152">
        <f t="shared" si="3"/>
        <v>410062.2273620104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2263</v>
      </c>
      <c r="I26" s="152"/>
      <c r="J26" s="154"/>
      <c r="K26" s="157">
        <v>5800360268</v>
      </c>
      <c r="L26" s="227">
        <v>12649.646000000001</v>
      </c>
      <c r="M26" s="157" t="s">
        <v>2235</v>
      </c>
      <c r="N26" s="227">
        <f t="shared" si="2"/>
        <v>573354.94336201018</v>
      </c>
      <c r="O26" s="152">
        <f t="shared" si="3"/>
        <v>397412.58136201039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2263</v>
      </c>
      <c r="I27" s="152"/>
      <c r="J27" s="157"/>
      <c r="K27" s="157">
        <v>5800360268</v>
      </c>
      <c r="L27" s="227">
        <v>11627.300999999999</v>
      </c>
      <c r="M27" s="157" t="s">
        <v>2235</v>
      </c>
      <c r="N27" s="227">
        <f t="shared" si="2"/>
        <v>561727.6423620102</v>
      </c>
      <c r="O27" s="152">
        <f t="shared" si="3"/>
        <v>385785.28036201041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2263</v>
      </c>
      <c r="I28" s="152"/>
      <c r="J28" s="154"/>
      <c r="K28" s="157">
        <v>5800360268</v>
      </c>
      <c r="L28" s="227">
        <v>14498.078</v>
      </c>
      <c r="M28" s="157" t="s">
        <v>2235</v>
      </c>
      <c r="N28" s="227">
        <f t="shared" si="2"/>
        <v>547229.56436201022</v>
      </c>
      <c r="O28" s="152">
        <f t="shared" si="3"/>
        <v>371287.20236201043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2263</v>
      </c>
      <c r="I29" s="152"/>
      <c r="J29" s="157"/>
      <c r="K29" s="157">
        <v>5800360268</v>
      </c>
      <c r="L29" s="227">
        <v>489.64400000000001</v>
      </c>
      <c r="M29" s="157" t="s">
        <v>2235</v>
      </c>
      <c r="N29" s="227">
        <f t="shared" si="2"/>
        <v>546739.92036201025</v>
      </c>
      <c r="O29" s="152">
        <f t="shared" si="3"/>
        <v>370797.55836201046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2263</v>
      </c>
      <c r="I30" s="152"/>
      <c r="J30" s="157"/>
      <c r="K30" s="157">
        <v>5800360268</v>
      </c>
      <c r="L30" s="227">
        <v>14498.078</v>
      </c>
      <c r="M30" s="157" t="s">
        <v>2235</v>
      </c>
      <c r="N30" s="227">
        <f t="shared" si="2"/>
        <v>532241.84236201027</v>
      </c>
      <c r="O30" s="152">
        <f t="shared" si="3"/>
        <v>356299.48036201048</v>
      </c>
    </row>
    <row r="31" spans="1:15" x14ac:dyDescent="0.15">
      <c r="A31" s="154"/>
      <c r="B31" s="151"/>
      <c r="C31" s="152"/>
      <c r="D31" s="323" t="s">
        <v>2264</v>
      </c>
      <c r="E31" s="154" t="s">
        <v>72</v>
      </c>
      <c r="F31" s="157" t="str">
        <f>+'[1]รับ 0215'!$F$211</f>
        <v>TOP 290115</v>
      </c>
      <c r="G31" s="152">
        <f>+'[1]รับ 0215'!$D$214</f>
        <v>175942.36199999999</v>
      </c>
      <c r="H31" s="323" t="s">
        <v>2264</v>
      </c>
      <c r="I31" s="152">
        <v>12529.35</v>
      </c>
      <c r="J31" s="157" t="s">
        <v>2235</v>
      </c>
      <c r="K31" s="157">
        <v>5800360268</v>
      </c>
      <c r="L31" s="227">
        <v>33040.195</v>
      </c>
      <c r="M31" s="157" t="s">
        <v>2235</v>
      </c>
      <c r="N31" s="227">
        <f t="shared" si="2"/>
        <v>486672.29736201029</v>
      </c>
      <c r="O31" s="152">
        <f t="shared" si="3"/>
        <v>486672.29736201052</v>
      </c>
    </row>
    <row r="32" spans="1:15" x14ac:dyDescent="0.15">
      <c r="A32" s="154"/>
      <c r="B32" s="151"/>
      <c r="C32" s="152"/>
      <c r="D32" s="323" t="s">
        <v>2264</v>
      </c>
      <c r="E32" s="154" t="s">
        <v>72</v>
      </c>
      <c r="F32" s="157" t="str">
        <f>+'[1]รับ 0215'!$F$215</f>
        <v>GC 310115</v>
      </c>
      <c r="G32" s="152">
        <f>+'[1]รับ 0215'!$D$215</f>
        <v>87935.673999999999</v>
      </c>
      <c r="H32" s="323" t="s">
        <v>2264</v>
      </c>
      <c r="I32" s="152"/>
      <c r="J32" s="154"/>
      <c r="K32" s="157">
        <v>5800360268</v>
      </c>
      <c r="L32" s="227">
        <v>12893.294</v>
      </c>
      <c r="M32" s="157" t="s">
        <v>2235</v>
      </c>
      <c r="N32" s="227">
        <f t="shared" si="2"/>
        <v>473779.00336201029</v>
      </c>
      <c r="O32" s="152">
        <f t="shared" si="3"/>
        <v>561714.67736201058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2264</v>
      </c>
      <c r="I33" s="152"/>
      <c r="J33" s="154"/>
      <c r="K33" s="157">
        <v>5800360268</v>
      </c>
      <c r="L33" s="227">
        <v>14118.268</v>
      </c>
      <c r="M33" s="157" t="s">
        <v>2235</v>
      </c>
      <c r="N33" s="227">
        <f t="shared" si="2"/>
        <v>459660.73536201031</v>
      </c>
      <c r="O33" s="152">
        <f t="shared" si="3"/>
        <v>547596.40936201054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2264</v>
      </c>
      <c r="I34" s="152"/>
      <c r="J34" s="154"/>
      <c r="K34" s="157">
        <v>5800360268</v>
      </c>
      <c r="L34" s="227">
        <v>13773.431</v>
      </c>
      <c r="M34" s="157" t="s">
        <v>2235</v>
      </c>
      <c r="N34" s="227">
        <f t="shared" si="2"/>
        <v>445887.30436201033</v>
      </c>
      <c r="O34" s="152">
        <f t="shared" si="3"/>
        <v>533822.97836201056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2264</v>
      </c>
      <c r="I35" s="152"/>
      <c r="J35" s="154"/>
      <c r="K35" s="157">
        <v>5800360268</v>
      </c>
      <c r="L35" s="227">
        <v>968.49099999999999</v>
      </c>
      <c r="M35" s="157" t="s">
        <v>2235</v>
      </c>
      <c r="N35" s="227">
        <f t="shared" si="2"/>
        <v>444918.81336201035</v>
      </c>
      <c r="O35" s="152">
        <f t="shared" si="3"/>
        <v>532854.48736201052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2264</v>
      </c>
      <c r="I36" s="152"/>
      <c r="J36" s="157"/>
      <c r="K36" s="157">
        <v>5800360268</v>
      </c>
      <c r="L36" s="227">
        <v>12099.13</v>
      </c>
      <c r="M36" s="157" t="s">
        <v>2235</v>
      </c>
      <c r="N36" s="227">
        <f t="shared" si="2"/>
        <v>432819.68336201034</v>
      </c>
      <c r="O36" s="152">
        <f t="shared" si="3"/>
        <v>520755.35736201052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2264</v>
      </c>
      <c r="I37" s="152"/>
      <c r="J37" s="157"/>
      <c r="K37" s="157">
        <v>5800360268</v>
      </c>
      <c r="L37" s="227">
        <v>465.23599999999999</v>
      </c>
      <c r="M37" s="157" t="s">
        <v>2235</v>
      </c>
      <c r="N37" s="227">
        <f t="shared" si="2"/>
        <v>432354.44736201037</v>
      </c>
      <c r="O37" s="152">
        <f t="shared" si="3"/>
        <v>520290.12136201054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2264</v>
      </c>
      <c r="I38" s="152"/>
      <c r="J38" s="157"/>
      <c r="K38" s="157">
        <v>5800360268</v>
      </c>
      <c r="L38" s="227">
        <v>34297.375999999997</v>
      </c>
      <c r="M38" s="157" t="s">
        <v>2235</v>
      </c>
      <c r="N38" s="227">
        <f t="shared" si="2"/>
        <v>398057.07136201038</v>
      </c>
      <c r="O38" s="152">
        <f t="shared" si="3"/>
        <v>485992.74536201055</v>
      </c>
    </row>
    <row r="39" spans="1:15" x14ac:dyDescent="0.15">
      <c r="A39" s="154"/>
      <c r="B39" s="151"/>
      <c r="C39" s="152"/>
      <c r="D39" s="323" t="s">
        <v>2265</v>
      </c>
      <c r="E39" s="154" t="s">
        <v>72</v>
      </c>
      <c r="F39" s="157" t="str">
        <f>+'[1]รับ 0215'!$F$215</f>
        <v>GC 310115</v>
      </c>
      <c r="G39" s="152">
        <f>+'[1]รับ 0215'!$D$216</f>
        <v>176058.07199999999</v>
      </c>
      <c r="H39" s="323" t="s">
        <v>2265</v>
      </c>
      <c r="I39" s="152">
        <v>12201.123</v>
      </c>
      <c r="J39" s="157" t="s">
        <v>2235</v>
      </c>
      <c r="K39" s="157">
        <v>5800360268</v>
      </c>
      <c r="L39" s="227">
        <v>12230.148999999999</v>
      </c>
      <c r="M39" s="157" t="s">
        <v>2235</v>
      </c>
      <c r="N39" s="227">
        <f t="shared" si="2"/>
        <v>373625.79936201038</v>
      </c>
      <c r="O39" s="152">
        <f t="shared" si="3"/>
        <v>637619.54536201048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2265</v>
      </c>
      <c r="I40" s="152"/>
      <c r="J40" s="157"/>
      <c r="K40" s="157">
        <v>5800360268</v>
      </c>
      <c r="L40" s="227">
        <v>12546.437</v>
      </c>
      <c r="M40" s="157" t="s">
        <v>2235</v>
      </c>
      <c r="N40" s="227">
        <f t="shared" si="2"/>
        <v>361079.3623620104</v>
      </c>
      <c r="O40" s="152">
        <f t="shared" si="3"/>
        <v>625073.10836201045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2265</v>
      </c>
      <c r="I41" s="152"/>
      <c r="J41" s="154"/>
      <c r="K41" s="157">
        <v>5800360268</v>
      </c>
      <c r="L41" s="227">
        <v>10388.469999999999</v>
      </c>
      <c r="M41" s="157" t="s">
        <v>2235</v>
      </c>
      <c r="N41" s="227">
        <f t="shared" si="2"/>
        <v>350690.89236201043</v>
      </c>
      <c r="O41" s="152">
        <f t="shared" si="3"/>
        <v>614684.63836201048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2265</v>
      </c>
      <c r="I42" s="152"/>
      <c r="J42" s="157"/>
      <c r="K42" s="157">
        <v>5800360268</v>
      </c>
      <c r="L42" s="227">
        <v>11495.478999999999</v>
      </c>
      <c r="M42" s="157" t="s">
        <v>2235</v>
      </c>
      <c r="N42" s="227">
        <f t="shared" si="2"/>
        <v>339195.41336201044</v>
      </c>
      <c r="O42" s="152">
        <f t="shared" si="3"/>
        <v>603189.15936201042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2265</v>
      </c>
      <c r="I43" s="152"/>
      <c r="J43" s="157"/>
      <c r="K43" s="157">
        <v>5800360268</v>
      </c>
      <c r="L43" s="227">
        <v>65450.663</v>
      </c>
      <c r="M43" s="157" t="s">
        <v>2235</v>
      </c>
      <c r="N43" s="227">
        <f t="shared" si="2"/>
        <v>273744.75036201044</v>
      </c>
      <c r="O43" s="152">
        <f t="shared" si="3"/>
        <v>537738.49636201048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2265</v>
      </c>
      <c r="I44" s="152"/>
      <c r="J44" s="157"/>
      <c r="K44" s="157">
        <v>5800360268</v>
      </c>
      <c r="L44" s="227">
        <v>89421.514999999999</v>
      </c>
      <c r="M44" s="157" t="s">
        <v>2235</v>
      </c>
      <c r="N44" s="227">
        <f t="shared" si="2"/>
        <v>184323.23536201043</v>
      </c>
      <c r="O44" s="152">
        <f t="shared" si="3"/>
        <v>448316.98136201047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2265</v>
      </c>
      <c r="I45" s="152"/>
      <c r="J45" s="154"/>
      <c r="K45" s="157">
        <v>5800360268</v>
      </c>
      <c r="L45" s="227">
        <v>10854.895</v>
      </c>
      <c r="M45" s="157" t="s">
        <v>2235</v>
      </c>
      <c r="N45" s="227">
        <f t="shared" si="2"/>
        <v>173468.34036201044</v>
      </c>
      <c r="O45" s="152">
        <f t="shared" si="3"/>
        <v>437462.08636201045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2265</v>
      </c>
      <c r="I46" s="152"/>
      <c r="J46" s="157"/>
      <c r="K46" s="157">
        <v>5800360268</v>
      </c>
      <c r="L46" s="227">
        <v>72331.936000000002</v>
      </c>
      <c r="M46" s="157" t="s">
        <v>2235</v>
      </c>
      <c r="N46" s="227">
        <f t="shared" si="2"/>
        <v>101136.40436201043</v>
      </c>
      <c r="O46" s="152">
        <f t="shared" si="3"/>
        <v>365130.15036201046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2265</v>
      </c>
      <c r="I47" s="152"/>
      <c r="J47" s="157"/>
      <c r="K47" s="157">
        <v>5800360268</v>
      </c>
      <c r="L47" s="227">
        <v>16948.45</v>
      </c>
      <c r="M47" s="157" t="s">
        <v>2235</v>
      </c>
      <c r="N47" s="227">
        <f t="shared" si="2"/>
        <v>84187.954362010438</v>
      </c>
      <c r="O47" s="152">
        <f t="shared" si="3"/>
        <v>348181.70036201045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2265</v>
      </c>
      <c r="I48" s="152"/>
      <c r="J48" s="157"/>
      <c r="K48" s="157">
        <v>5800360268</v>
      </c>
      <c r="L48" s="227">
        <v>14047.806</v>
      </c>
      <c r="M48" s="157" t="s">
        <v>2235</v>
      </c>
      <c r="N48" s="227">
        <f t="shared" si="2"/>
        <v>70140.148362010441</v>
      </c>
      <c r="O48" s="152">
        <f t="shared" si="3"/>
        <v>334133.89436201047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2265</v>
      </c>
      <c r="I49" s="152"/>
      <c r="J49" s="157"/>
      <c r="K49" s="157">
        <v>5800360268</v>
      </c>
      <c r="L49" s="227">
        <v>14500.218000000001</v>
      </c>
      <c r="M49" s="157" t="s">
        <v>2235</v>
      </c>
      <c r="N49" s="227">
        <f t="shared" si="2"/>
        <v>55639.93036201044</v>
      </c>
      <c r="O49" s="152">
        <f t="shared" si="3"/>
        <v>319633.67636201048</v>
      </c>
    </row>
    <row r="50" spans="1:15" x14ac:dyDescent="0.15">
      <c r="A50" s="154"/>
      <c r="B50" s="151"/>
      <c r="C50" s="152"/>
      <c r="D50" s="323" t="s">
        <v>2266</v>
      </c>
      <c r="E50" s="154" t="s">
        <v>72</v>
      </c>
      <c r="F50" s="157" t="str">
        <f>+'[1]รับ 0215'!$F$215</f>
        <v>GC 310115</v>
      </c>
      <c r="G50" s="152">
        <f>+'[1]รับ 0215'!$D$217</f>
        <v>175924.12599999999</v>
      </c>
      <c r="H50" s="323" t="s">
        <v>2266</v>
      </c>
      <c r="I50" s="152">
        <v>10960.832999999999</v>
      </c>
      <c r="J50" s="157" t="s">
        <v>2235</v>
      </c>
      <c r="K50" s="157">
        <v>5800360268</v>
      </c>
      <c r="L50" s="227">
        <v>13300.281999999999</v>
      </c>
      <c r="M50" s="157" t="s">
        <v>2235</v>
      </c>
      <c r="N50" s="227">
        <f t="shared" si="2"/>
        <v>31378.815362010442</v>
      </c>
      <c r="O50" s="152">
        <f t="shared" si="3"/>
        <v>471296.68736201047</v>
      </c>
    </row>
    <row r="51" spans="1:15" x14ac:dyDescent="0.15">
      <c r="A51" s="154"/>
      <c r="B51" s="151"/>
      <c r="C51" s="152"/>
      <c r="D51" s="323" t="s">
        <v>2266</v>
      </c>
      <c r="E51" s="154" t="s">
        <v>72</v>
      </c>
      <c r="F51" s="157" t="str">
        <f>+'[1]รับ 0215'!$F$218</f>
        <v>TOP 020215</v>
      </c>
      <c r="G51" s="152">
        <f>+'[1]รับ 0215'!$D$218</f>
        <v>132107.052</v>
      </c>
      <c r="H51" s="323" t="s">
        <v>2266</v>
      </c>
      <c r="I51" s="152"/>
      <c r="J51" s="157"/>
      <c r="K51" s="157">
        <v>5800360268</v>
      </c>
      <c r="L51" s="227">
        <v>28970.315999999999</v>
      </c>
      <c r="M51" s="157" t="s">
        <v>2235</v>
      </c>
      <c r="N51" s="227">
        <f t="shared" si="2"/>
        <v>2408.4993620104433</v>
      </c>
      <c r="O51" s="152">
        <f t="shared" si="3"/>
        <v>574433.42336201051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2266</v>
      </c>
      <c r="I52" s="152"/>
      <c r="J52" s="157"/>
      <c r="K52" s="157">
        <v>5800360268</v>
      </c>
      <c r="L52" s="227">
        <v>2408.4993620104433</v>
      </c>
      <c r="M52" s="157" t="s">
        <v>2235</v>
      </c>
      <c r="N52" s="227">
        <f t="shared" ref="N52:N56" si="8">+N51-I52-L52</f>
        <v>0</v>
      </c>
      <c r="O52" s="152">
        <f t="shared" ref="O52:O56" si="9">O51+G52-I52-L52</f>
        <v>572024.92400000012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2266</v>
      </c>
      <c r="I53" s="152"/>
      <c r="J53" s="157"/>
      <c r="K53" s="157">
        <v>5800360286</v>
      </c>
      <c r="L53" s="227">
        <v>11114.3226379896</v>
      </c>
      <c r="M53" s="157" t="str">
        <f>+F32</f>
        <v>GC 310115</v>
      </c>
      <c r="N53" s="227">
        <f>G32+G39+G50+N52-I53-L53</f>
        <v>428803.54936201038</v>
      </c>
      <c r="O53" s="152">
        <f t="shared" si="9"/>
        <v>560910.60136201046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2266</v>
      </c>
      <c r="I54" s="152"/>
      <c r="J54" s="157"/>
      <c r="K54" s="157">
        <v>5800360286</v>
      </c>
      <c r="L54" s="227">
        <v>14841.022000000001</v>
      </c>
      <c r="M54" s="157" t="str">
        <f>+'[1]รับ 0215'!$F$215</f>
        <v>GC 310115</v>
      </c>
      <c r="N54" s="227">
        <f t="shared" si="8"/>
        <v>413962.52736201038</v>
      </c>
      <c r="O54" s="152">
        <f t="shared" si="9"/>
        <v>546069.57936201047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2266</v>
      </c>
      <c r="I55" s="152"/>
      <c r="J55" s="157"/>
      <c r="K55" s="157">
        <v>5800360286</v>
      </c>
      <c r="L55" s="227">
        <v>12754.959000000001</v>
      </c>
      <c r="M55" s="157" t="str">
        <f>+'[1]รับ 0215'!$F$215</f>
        <v>GC 310115</v>
      </c>
      <c r="N55" s="227">
        <f t="shared" si="8"/>
        <v>401207.56836201041</v>
      </c>
      <c r="O55" s="152">
        <f t="shared" si="9"/>
        <v>533314.62036201044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2266</v>
      </c>
      <c r="I56" s="152"/>
      <c r="J56" s="157"/>
      <c r="K56" s="157">
        <v>5800360286</v>
      </c>
      <c r="L56" s="227">
        <v>10595.718000000001</v>
      </c>
      <c r="M56" s="157" t="str">
        <f>+'[1]รับ 0215'!$F$215</f>
        <v>GC 310115</v>
      </c>
      <c r="N56" s="227">
        <f t="shared" si="8"/>
        <v>390611.85036201042</v>
      </c>
      <c r="O56" s="152">
        <f t="shared" si="9"/>
        <v>522718.90236201044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2266</v>
      </c>
      <c r="I57" s="152"/>
      <c r="J57" s="157"/>
      <c r="K57" s="157">
        <v>5800360286</v>
      </c>
      <c r="L57" s="227">
        <v>75513.285000000003</v>
      </c>
      <c r="M57" s="157" t="str">
        <f>+'[1]รับ 0215'!$F$215</f>
        <v>GC 310115</v>
      </c>
      <c r="N57" s="227">
        <f t="shared" si="2"/>
        <v>315098.56536201038</v>
      </c>
      <c r="O57" s="152">
        <f t="shared" si="3"/>
        <v>447205.61736201041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2266</v>
      </c>
      <c r="I58" s="152"/>
      <c r="J58" s="157"/>
      <c r="K58" s="157">
        <v>5800360286</v>
      </c>
      <c r="L58" s="227">
        <v>73644.311000000002</v>
      </c>
      <c r="M58" s="157" t="str">
        <f>+'[1]รับ 0215'!$F$215</f>
        <v>GC 310115</v>
      </c>
      <c r="N58" s="227">
        <f t="shared" si="2"/>
        <v>241454.2543620104</v>
      </c>
      <c r="O58" s="152">
        <f t="shared" si="3"/>
        <v>373561.30636201042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2266</v>
      </c>
      <c r="I59" s="152"/>
      <c r="J59" s="157"/>
      <c r="K59" s="157">
        <v>5800360286</v>
      </c>
      <c r="L59" s="227">
        <v>12369.267</v>
      </c>
      <c r="M59" s="157" t="str">
        <f>+'[1]รับ 0215'!$F$215</f>
        <v>GC 310115</v>
      </c>
      <c r="N59" s="227">
        <f t="shared" si="2"/>
        <v>229084.9873620104</v>
      </c>
      <c r="O59" s="152">
        <f t="shared" si="3"/>
        <v>361192.03936201043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2266</v>
      </c>
      <c r="I60" s="152"/>
      <c r="J60" s="157"/>
      <c r="K60" s="157">
        <v>5800360286</v>
      </c>
      <c r="L60" s="227">
        <v>14440.316000000001</v>
      </c>
      <c r="M60" s="157" t="str">
        <f>+'[1]รับ 0215'!$F$215</f>
        <v>GC 310115</v>
      </c>
      <c r="N60" s="227">
        <f t="shared" si="2"/>
        <v>214644.67136201041</v>
      </c>
      <c r="O60" s="152">
        <f t="shared" si="3"/>
        <v>346751.72336201044</v>
      </c>
    </row>
    <row r="61" spans="1:15" x14ac:dyDescent="0.15">
      <c r="A61" s="154"/>
      <c r="B61" s="151"/>
      <c r="C61" s="152"/>
      <c r="D61" s="323" t="s">
        <v>2267</v>
      </c>
      <c r="E61" s="154" t="s">
        <v>72</v>
      </c>
      <c r="F61" s="157" t="str">
        <f>+'[1]รับ 0215'!$F$218</f>
        <v>TOP 020215</v>
      </c>
      <c r="G61" s="152">
        <f>+'[1]รับ 0215'!$D$219</f>
        <v>132107.08599999998</v>
      </c>
      <c r="H61" s="323" t="s">
        <v>2267</v>
      </c>
      <c r="I61" s="152">
        <v>11240.384000000002</v>
      </c>
      <c r="J61" s="157" t="str">
        <f>+'[1]รับ 0215'!$F$215</f>
        <v>GC 310115</v>
      </c>
      <c r="K61" s="157">
        <v>5800360286</v>
      </c>
      <c r="L61" s="227">
        <v>13880.057000000001</v>
      </c>
      <c r="M61" s="157" t="str">
        <f>+'[1]รับ 0215'!$F$215</f>
        <v>GC 310115</v>
      </c>
      <c r="N61" s="227">
        <f t="shared" si="2"/>
        <v>189524.23036201042</v>
      </c>
      <c r="O61" s="152">
        <f t="shared" si="3"/>
        <v>453738.36836201046</v>
      </c>
    </row>
    <row r="62" spans="1:15" x14ac:dyDescent="0.15">
      <c r="A62" s="154"/>
      <c r="B62" s="151"/>
      <c r="C62" s="152"/>
      <c r="D62" s="323" t="s">
        <v>2267</v>
      </c>
      <c r="E62" s="154" t="s">
        <v>72</v>
      </c>
      <c r="F62" s="157" t="str">
        <f>+'[1]รับ 0215'!$F$220</f>
        <v>GC 030215</v>
      </c>
      <c r="G62" s="152">
        <f>+'[1]รับ 0215'!$D$220</f>
        <v>219863.72</v>
      </c>
      <c r="H62" s="323" t="s">
        <v>2267</v>
      </c>
      <c r="I62" s="152"/>
      <c r="J62" s="157"/>
      <c r="K62" s="157">
        <v>5800360286</v>
      </c>
      <c r="L62" s="227">
        <v>13723.898999999999</v>
      </c>
      <c r="M62" s="157" t="str">
        <f>+'[1]รับ 0215'!$F$215</f>
        <v>GC 310115</v>
      </c>
      <c r="N62" s="227">
        <f t="shared" si="2"/>
        <v>175800.33136201042</v>
      </c>
      <c r="O62" s="152">
        <f t="shared" si="3"/>
        <v>659878.18936201045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2267</v>
      </c>
      <c r="I63" s="152"/>
      <c r="J63" s="157"/>
      <c r="K63" s="157">
        <v>5800360286</v>
      </c>
      <c r="L63" s="227">
        <v>14065.245000000001</v>
      </c>
      <c r="M63" s="157" t="str">
        <f>+'[1]รับ 0215'!$F$215</f>
        <v>GC 310115</v>
      </c>
      <c r="N63" s="227">
        <f t="shared" si="2"/>
        <v>161735.08636201042</v>
      </c>
      <c r="O63" s="152">
        <f t="shared" si="3"/>
        <v>645812.94436201046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2267</v>
      </c>
      <c r="I64" s="152"/>
      <c r="J64" s="157"/>
      <c r="K64" s="157">
        <v>5800360286</v>
      </c>
      <c r="L64" s="227">
        <v>16562.774000000001</v>
      </c>
      <c r="M64" s="157" t="str">
        <f>+'[1]รับ 0215'!$F$215</f>
        <v>GC 310115</v>
      </c>
      <c r="N64" s="227">
        <f t="shared" si="2"/>
        <v>145172.31236201042</v>
      </c>
      <c r="O64" s="152">
        <f t="shared" si="3"/>
        <v>629250.17036201048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2267</v>
      </c>
      <c r="I65" s="152"/>
      <c r="J65" s="157"/>
      <c r="K65" s="157">
        <v>5800360286</v>
      </c>
      <c r="L65" s="227">
        <v>16182.388999999999</v>
      </c>
      <c r="M65" s="157" t="str">
        <f>+'[1]รับ 0215'!$F$215</f>
        <v>GC 310115</v>
      </c>
      <c r="N65" s="227">
        <f t="shared" si="2"/>
        <v>128989.92336201042</v>
      </c>
      <c r="O65" s="152">
        <f t="shared" si="3"/>
        <v>613067.78136201052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2267</v>
      </c>
      <c r="I66" s="152"/>
      <c r="J66" s="157"/>
      <c r="K66" s="157">
        <v>5800360286</v>
      </c>
      <c r="L66" s="227">
        <v>36176.637999999999</v>
      </c>
      <c r="M66" s="157" t="str">
        <f>+'[1]รับ 0215'!$F$215</f>
        <v>GC 310115</v>
      </c>
      <c r="N66" s="227">
        <f t="shared" si="2"/>
        <v>92813.285362010414</v>
      </c>
      <c r="O66" s="152">
        <f t="shared" si="3"/>
        <v>576891.14336201048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2267</v>
      </c>
      <c r="I67" s="152"/>
      <c r="J67" s="157"/>
      <c r="K67" s="157">
        <v>5800360286</v>
      </c>
      <c r="L67" s="227">
        <v>10606.742</v>
      </c>
      <c r="M67" s="157" t="str">
        <f>+'[1]รับ 0215'!$F$215</f>
        <v>GC 310115</v>
      </c>
      <c r="N67" s="227">
        <f t="shared" si="2"/>
        <v>82206.543362010416</v>
      </c>
      <c r="O67" s="152">
        <f t="shared" si="3"/>
        <v>566284.40136201051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2267</v>
      </c>
      <c r="I68" s="152"/>
      <c r="J68" s="157"/>
      <c r="K68" s="157">
        <v>5800360286</v>
      </c>
      <c r="L68" s="227">
        <v>10640.777</v>
      </c>
      <c r="M68" s="157" t="str">
        <f>+'[1]รับ 0215'!$F$215</f>
        <v>GC 310115</v>
      </c>
      <c r="N68" s="227">
        <f t="shared" si="2"/>
        <v>71565.766362010414</v>
      </c>
      <c r="O68" s="152">
        <f t="shared" si="3"/>
        <v>555643.62436201051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2267</v>
      </c>
      <c r="I69" s="152"/>
      <c r="J69" s="157"/>
      <c r="K69" s="157">
        <v>5800360286</v>
      </c>
      <c r="L69" s="227">
        <v>14446.630999999999</v>
      </c>
      <c r="M69" s="157" t="str">
        <f>+'[1]รับ 0215'!$F$215</f>
        <v>GC 310115</v>
      </c>
      <c r="N69" s="227">
        <f t="shared" si="2"/>
        <v>57119.135362010413</v>
      </c>
      <c r="O69" s="152">
        <f t="shared" si="3"/>
        <v>541196.99336201046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2267</v>
      </c>
      <c r="I70" s="152"/>
      <c r="J70" s="157"/>
      <c r="K70" s="157">
        <v>5800360286</v>
      </c>
      <c r="L70" s="227">
        <v>12133.288</v>
      </c>
      <c r="M70" s="157" t="str">
        <f>+'[1]รับ 0215'!$F$215</f>
        <v>GC 310115</v>
      </c>
      <c r="N70" s="227">
        <f t="shared" si="2"/>
        <v>44985.847362010412</v>
      </c>
      <c r="O70" s="152">
        <f t="shared" si="3"/>
        <v>529063.70536201051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2267</v>
      </c>
      <c r="I71" s="152"/>
      <c r="J71" s="157"/>
      <c r="K71" s="157">
        <v>5800360286</v>
      </c>
      <c r="L71" s="227">
        <v>1130.145</v>
      </c>
      <c r="M71" s="157" t="str">
        <f>+'[1]รับ 0215'!$F$215</f>
        <v>GC 310115</v>
      </c>
      <c r="N71" s="227">
        <f t="shared" si="2"/>
        <v>43855.702362010416</v>
      </c>
      <c r="O71" s="152">
        <f t="shared" si="3"/>
        <v>527933.5603620105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2267</v>
      </c>
      <c r="I72" s="152"/>
      <c r="J72" s="157"/>
      <c r="K72" s="157">
        <v>5800360286</v>
      </c>
      <c r="L72" s="227">
        <v>12776.94</v>
      </c>
      <c r="M72" s="157" t="str">
        <f>+'[1]รับ 0215'!$F$215</f>
        <v>GC 310115</v>
      </c>
      <c r="N72" s="227">
        <f t="shared" si="2"/>
        <v>31078.762362010413</v>
      </c>
      <c r="O72" s="152">
        <f t="shared" si="3"/>
        <v>515156.62036201049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2267</v>
      </c>
      <c r="I73" s="152"/>
      <c r="J73" s="157"/>
      <c r="K73" s="157">
        <v>5800360286</v>
      </c>
      <c r="L73" s="227">
        <v>13705.880999999999</v>
      </c>
      <c r="M73" s="157" t="str">
        <f>+'[1]รับ 0215'!$F$215</f>
        <v>GC 310115</v>
      </c>
      <c r="N73" s="227">
        <f t="shared" ref="N73:N78" si="10">+N72-I73-L73</f>
        <v>17372.881362010412</v>
      </c>
      <c r="O73" s="152">
        <f t="shared" ref="O73:O78" si="11">O72+G73-I73-L73</f>
        <v>501450.7393620105</v>
      </c>
    </row>
    <row r="74" spans="1:15" x14ac:dyDescent="0.15">
      <c r="A74" s="154"/>
      <c r="B74" s="151"/>
      <c r="C74" s="152"/>
      <c r="D74" s="323" t="s">
        <v>2268</v>
      </c>
      <c r="E74" s="154" t="s">
        <v>72</v>
      </c>
      <c r="F74" s="157" t="str">
        <f>+'[1]รับ 0215'!$F$220</f>
        <v>GC 030215</v>
      </c>
      <c r="G74" s="152">
        <f>+'[1]รับ 0215'!$D$221</f>
        <v>219947.20099999997</v>
      </c>
      <c r="H74" s="323" t="s">
        <v>2268</v>
      </c>
      <c r="I74" s="152">
        <v>13730.111999999999</v>
      </c>
      <c r="J74" s="157" t="str">
        <f>+'[1]รับ 0215'!$F$215</f>
        <v>GC 310115</v>
      </c>
      <c r="K74" s="157">
        <v>5800360286</v>
      </c>
      <c r="L74" s="227">
        <v>3642.7693620104128</v>
      </c>
      <c r="M74" s="157" t="str">
        <f>+'[1]รับ 0215'!$F$215</f>
        <v>GC 310115</v>
      </c>
      <c r="N74" s="227">
        <f t="shared" si="10"/>
        <v>0</v>
      </c>
      <c r="O74" s="152">
        <f t="shared" si="11"/>
        <v>704025.05900000012</v>
      </c>
    </row>
    <row r="75" spans="1:15" x14ac:dyDescent="0.15">
      <c r="A75" s="154"/>
      <c r="B75" s="151"/>
      <c r="C75" s="152"/>
      <c r="D75" s="323" t="s">
        <v>2268</v>
      </c>
      <c r="E75" s="154" t="s">
        <v>72</v>
      </c>
      <c r="F75" s="157" t="str">
        <f>+'[1]รับ 0215'!$F$222</f>
        <v>TOP 040215</v>
      </c>
      <c r="G75" s="152">
        <f>+'[1]รับ 0215'!$D$222</f>
        <v>44120.631000000001</v>
      </c>
      <c r="H75" s="323" t="s">
        <v>2268</v>
      </c>
      <c r="I75" s="152"/>
      <c r="J75" s="157"/>
      <c r="K75" s="157">
        <v>5800360268</v>
      </c>
      <c r="L75" s="227">
        <v>10941.2136379896</v>
      </c>
      <c r="M75" s="157" t="str">
        <f>+'[1]รับ 0215'!$F$218</f>
        <v>TOP 020215</v>
      </c>
      <c r="N75" s="227">
        <f>G51+G61+N74-I75-L75</f>
        <v>253272.92436201038</v>
      </c>
      <c r="O75" s="152">
        <f t="shared" si="11"/>
        <v>737204.47636201058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2268</v>
      </c>
      <c r="I76" s="152"/>
      <c r="J76" s="157"/>
      <c r="K76" s="157">
        <v>5800360268</v>
      </c>
      <c r="L76" s="227">
        <v>32649.361000000001</v>
      </c>
      <c r="M76" s="157" t="str">
        <f>+'[1]รับ 0215'!$F$218</f>
        <v>TOP 020215</v>
      </c>
      <c r="N76" s="227">
        <f t="shared" si="10"/>
        <v>220623.56336201038</v>
      </c>
      <c r="O76" s="152">
        <f t="shared" si="11"/>
        <v>704555.11536201055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2268</v>
      </c>
      <c r="I77" s="152"/>
      <c r="J77" s="157"/>
      <c r="K77" s="157">
        <v>5800360268</v>
      </c>
      <c r="L77" s="227">
        <v>13344.349</v>
      </c>
      <c r="M77" s="157" t="str">
        <f>+'[1]รับ 0215'!$F$218</f>
        <v>TOP 020215</v>
      </c>
      <c r="N77" s="227">
        <f t="shared" si="10"/>
        <v>207279.21436201039</v>
      </c>
      <c r="O77" s="152">
        <f t="shared" si="11"/>
        <v>691210.7663620105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2268</v>
      </c>
      <c r="I78" s="152"/>
      <c r="J78" s="157"/>
      <c r="K78" s="157">
        <v>5800360268</v>
      </c>
      <c r="L78" s="227">
        <v>12597.763000000001</v>
      </c>
      <c r="M78" s="157" t="str">
        <f>+'[1]รับ 0215'!$F$218</f>
        <v>TOP 020215</v>
      </c>
      <c r="N78" s="227">
        <f t="shared" si="10"/>
        <v>194681.45136201038</v>
      </c>
      <c r="O78" s="152">
        <f t="shared" si="11"/>
        <v>678613.00336201047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2268</v>
      </c>
      <c r="I79" s="152"/>
      <c r="J79" s="157"/>
      <c r="K79" s="157">
        <v>5800360268</v>
      </c>
      <c r="L79" s="227">
        <v>9380.9290000000001</v>
      </c>
      <c r="M79" s="157" t="str">
        <f>+'[1]รับ 0215'!$F$218</f>
        <v>TOP 020215</v>
      </c>
      <c r="N79" s="227">
        <f t="shared" ref="N79:N139" si="12">+N78-I79-L79</f>
        <v>185300.52236201038</v>
      </c>
      <c r="O79" s="152">
        <f t="shared" ref="O79:O139" si="13">O78+G79-I79-L79</f>
        <v>669232.07436201046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2268</v>
      </c>
      <c r="I80" s="152"/>
      <c r="J80" s="157"/>
      <c r="K80" s="157">
        <v>5800360268</v>
      </c>
      <c r="L80" s="227">
        <v>76712.971000000005</v>
      </c>
      <c r="M80" s="157" t="str">
        <f>+'[1]รับ 0215'!$F$218</f>
        <v>TOP 020215</v>
      </c>
      <c r="N80" s="227">
        <f t="shared" si="12"/>
        <v>108587.55136201037</v>
      </c>
      <c r="O80" s="152">
        <f t="shared" si="13"/>
        <v>592519.10336201044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2268</v>
      </c>
      <c r="I81" s="152"/>
      <c r="J81" s="157"/>
      <c r="K81" s="157">
        <v>5800360268</v>
      </c>
      <c r="L81" s="227">
        <v>13006.59</v>
      </c>
      <c r="M81" s="157" t="str">
        <f>+'[1]รับ 0215'!$F$218</f>
        <v>TOP 020215</v>
      </c>
      <c r="N81" s="227">
        <f t="shared" si="12"/>
        <v>95580.961362010377</v>
      </c>
      <c r="O81" s="152">
        <f t="shared" si="13"/>
        <v>579512.51336201048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2268</v>
      </c>
      <c r="I82" s="152"/>
      <c r="J82" s="157"/>
      <c r="K82" s="157">
        <v>5800360268</v>
      </c>
      <c r="L82" s="227">
        <v>15795.002</v>
      </c>
      <c r="M82" s="157" t="str">
        <f>+'[1]รับ 0215'!$F$218</f>
        <v>TOP 020215</v>
      </c>
      <c r="N82" s="227">
        <f t="shared" si="12"/>
        <v>79785.959362010384</v>
      </c>
      <c r="O82" s="152">
        <f t="shared" si="13"/>
        <v>563717.5113620105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2268</v>
      </c>
      <c r="I83" s="152"/>
      <c r="J83" s="157"/>
      <c r="K83" s="157">
        <v>5800360268</v>
      </c>
      <c r="L83" s="227">
        <v>32096.260999999999</v>
      </c>
      <c r="M83" s="157" t="str">
        <f>+'[1]รับ 0215'!$F$218</f>
        <v>TOP 020215</v>
      </c>
      <c r="N83" s="227">
        <f t="shared" si="12"/>
        <v>47689.698362010386</v>
      </c>
      <c r="O83" s="152">
        <f t="shared" si="13"/>
        <v>531621.25036201044</v>
      </c>
    </row>
    <row r="84" spans="1:15" x14ac:dyDescent="0.15">
      <c r="A84" s="154"/>
      <c r="B84" s="151"/>
      <c r="C84" s="152"/>
      <c r="D84" s="323" t="s">
        <v>2269</v>
      </c>
      <c r="E84" s="154" t="s">
        <v>72</v>
      </c>
      <c r="F84" s="157" t="str">
        <f>+'[1]รับ 0215'!$F$222</f>
        <v>TOP 040215</v>
      </c>
      <c r="G84" s="152">
        <f>+'[1]รับ 0215'!$D$223</f>
        <v>263917.913</v>
      </c>
      <c r="H84" s="323" t="s">
        <v>2269</v>
      </c>
      <c r="I84" s="152">
        <v>12751.33</v>
      </c>
      <c r="J84" s="157" t="str">
        <f>+'[1]รับ 0215'!$F$218</f>
        <v>TOP 020215</v>
      </c>
      <c r="K84" s="157">
        <v>5800360268</v>
      </c>
      <c r="L84" s="227">
        <v>15297.393</v>
      </c>
      <c r="M84" s="157" t="str">
        <f>+'[1]รับ 0215'!$F$218</f>
        <v>TOP 020215</v>
      </c>
      <c r="N84" s="227">
        <f t="shared" si="12"/>
        <v>19640.975362010384</v>
      </c>
      <c r="O84" s="152">
        <f t="shared" si="13"/>
        <v>767490.44036201038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2269</v>
      </c>
      <c r="I85" s="152"/>
      <c r="J85" s="157"/>
      <c r="K85" s="157">
        <v>5800360268</v>
      </c>
      <c r="L85" s="227">
        <v>13834.208000000001</v>
      </c>
      <c r="M85" s="157" t="str">
        <f>+'[1]รับ 0215'!$F$218</f>
        <v>TOP 020215</v>
      </c>
      <c r="N85" s="227">
        <f t="shared" si="12"/>
        <v>5806.7673620103833</v>
      </c>
      <c r="O85" s="152">
        <f t="shared" si="13"/>
        <v>753656.2323620104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2269</v>
      </c>
      <c r="I86" s="152"/>
      <c r="J86" s="157"/>
      <c r="K86" s="157">
        <v>5800360268</v>
      </c>
      <c r="L86" s="227">
        <v>5806.7673620103833</v>
      </c>
      <c r="M86" s="157" t="str">
        <f>+'[1]รับ 0215'!$F$218</f>
        <v>TOP 020215</v>
      </c>
      <c r="N86" s="227">
        <f t="shared" ref="N86:N89" si="14">+N85-I86-L86</f>
        <v>0</v>
      </c>
      <c r="O86" s="152">
        <f t="shared" ref="O86:O89" si="15">O85+G86-I86-L86</f>
        <v>747849.46499999997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2269</v>
      </c>
      <c r="I87" s="152"/>
      <c r="J87" s="157"/>
      <c r="K87" s="157">
        <v>5800360286</v>
      </c>
      <c r="L87" s="227">
        <v>5100.0686379896197</v>
      </c>
      <c r="M87" s="157" t="str">
        <f>+'[1]รับ 0215'!$F$220</f>
        <v>GC 030215</v>
      </c>
      <c r="N87" s="227">
        <f>G62+G74+N86-I87-L87</f>
        <v>434710.85236201034</v>
      </c>
      <c r="O87" s="152">
        <f t="shared" si="15"/>
        <v>742749.39636201039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2269</v>
      </c>
      <c r="I88" s="152"/>
      <c r="J88" s="157"/>
      <c r="K88" s="157">
        <v>5800360286</v>
      </c>
      <c r="L88" s="227">
        <v>15688.71</v>
      </c>
      <c r="M88" s="157" t="str">
        <f>+'[1]รับ 0215'!$F$220</f>
        <v>GC 030215</v>
      </c>
      <c r="N88" s="227">
        <f t="shared" si="14"/>
        <v>419022.14236201032</v>
      </c>
      <c r="O88" s="152">
        <f t="shared" si="15"/>
        <v>727060.68636201043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2269</v>
      </c>
      <c r="I89" s="152"/>
      <c r="J89" s="157"/>
      <c r="K89" s="157">
        <v>5800360286</v>
      </c>
      <c r="L89" s="227">
        <v>11329.178</v>
      </c>
      <c r="M89" s="157" t="str">
        <f>+'[1]รับ 0215'!$F$220</f>
        <v>GC 030215</v>
      </c>
      <c r="N89" s="227">
        <f t="shared" si="14"/>
        <v>407692.9643620103</v>
      </c>
      <c r="O89" s="152">
        <f t="shared" si="15"/>
        <v>715731.50836201047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2269</v>
      </c>
      <c r="I90" s="152"/>
      <c r="J90" s="157"/>
      <c r="K90" s="157">
        <v>5800360286</v>
      </c>
      <c r="L90" s="227">
        <v>14359.633</v>
      </c>
      <c r="M90" s="157" t="str">
        <f>+'[1]รับ 0215'!$F$220</f>
        <v>GC 030215</v>
      </c>
      <c r="N90" s="227">
        <f t="shared" si="12"/>
        <v>393333.33136201033</v>
      </c>
      <c r="O90" s="152">
        <f t="shared" si="13"/>
        <v>701371.87536201044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2269</v>
      </c>
      <c r="I91" s="152"/>
      <c r="J91" s="157"/>
      <c r="K91" s="157">
        <v>5800360286</v>
      </c>
      <c r="L91" s="227">
        <v>76552.017000000007</v>
      </c>
      <c r="M91" s="157" t="str">
        <f>+'[1]รับ 0215'!$F$220</f>
        <v>GC 030215</v>
      </c>
      <c r="N91" s="227">
        <f t="shared" si="12"/>
        <v>316781.31436201034</v>
      </c>
      <c r="O91" s="152">
        <f t="shared" si="13"/>
        <v>624819.85836201045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2269</v>
      </c>
      <c r="I92" s="152"/>
      <c r="J92" s="157"/>
      <c r="K92" s="157">
        <v>5800360286</v>
      </c>
      <c r="L92" s="227">
        <v>12116.816000000001</v>
      </c>
      <c r="M92" s="157" t="str">
        <f>+'[1]รับ 0215'!$F$220</f>
        <v>GC 030215</v>
      </c>
      <c r="N92" s="227">
        <f t="shared" si="12"/>
        <v>304664.49836201034</v>
      </c>
      <c r="O92" s="152">
        <f t="shared" si="13"/>
        <v>612703.04236201046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2269</v>
      </c>
      <c r="I93" s="152"/>
      <c r="J93" s="157"/>
      <c r="K93" s="157">
        <v>5800360286</v>
      </c>
      <c r="L93" s="227">
        <v>16047</v>
      </c>
      <c r="M93" s="157" t="str">
        <f>+'[1]รับ 0215'!$F$220</f>
        <v>GC 030215</v>
      </c>
      <c r="N93" s="227">
        <f t="shared" si="12"/>
        <v>288617.49836201034</v>
      </c>
      <c r="O93" s="152">
        <f t="shared" si="13"/>
        <v>596656.04236201046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2269</v>
      </c>
      <c r="I94" s="152"/>
      <c r="J94" s="157"/>
      <c r="K94" s="157">
        <v>5800360286</v>
      </c>
      <c r="L94" s="227">
        <v>76081.635999999999</v>
      </c>
      <c r="M94" s="157" t="str">
        <f>+'[1]รับ 0215'!$F$220</f>
        <v>GC 030215</v>
      </c>
      <c r="N94" s="227">
        <f t="shared" si="12"/>
        <v>212535.86236201035</v>
      </c>
      <c r="O94" s="152">
        <f t="shared" si="13"/>
        <v>520574.40636201046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2269</v>
      </c>
      <c r="I95" s="152"/>
      <c r="J95" s="154"/>
      <c r="K95" s="157">
        <v>5800360286</v>
      </c>
      <c r="L95" s="227">
        <v>72749.937000000005</v>
      </c>
      <c r="M95" s="157" t="str">
        <f>+'[1]รับ 0215'!$F$220</f>
        <v>GC 030215</v>
      </c>
      <c r="N95" s="227">
        <f t="shared" si="12"/>
        <v>139785.92536201034</v>
      </c>
      <c r="O95" s="152">
        <f t="shared" si="13"/>
        <v>447824.46936201048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2269</v>
      </c>
      <c r="I96" s="152"/>
      <c r="J96" s="154"/>
      <c r="K96" s="157">
        <v>5800360286</v>
      </c>
      <c r="L96" s="227">
        <v>14871.047</v>
      </c>
      <c r="M96" s="157" t="str">
        <f>+'[1]รับ 0215'!$F$220</f>
        <v>GC 030215</v>
      </c>
      <c r="N96" s="227">
        <f t="shared" si="12"/>
        <v>124914.87836201033</v>
      </c>
      <c r="O96" s="152">
        <f t="shared" si="13"/>
        <v>432953.42236201046</v>
      </c>
    </row>
    <row r="97" spans="1:15" x14ac:dyDescent="0.15">
      <c r="A97" s="154"/>
      <c r="B97" s="151"/>
      <c r="C97" s="152"/>
      <c r="D97" s="323" t="s">
        <v>2270</v>
      </c>
      <c r="E97" s="154" t="s">
        <v>72</v>
      </c>
      <c r="F97" s="157" t="str">
        <f>+'[1]รับ 0215'!$F$222</f>
        <v>TOP 040215</v>
      </c>
      <c r="G97" s="152">
        <f>+'[1]รับ 0215'!$D$224</f>
        <v>107808.45199999987</v>
      </c>
      <c r="H97" s="323" t="s">
        <v>2270</v>
      </c>
      <c r="I97" s="152">
        <v>14176.004999999999</v>
      </c>
      <c r="J97" s="157" t="str">
        <f>+'[1]รับ 0215'!$F$220</f>
        <v>GC 030215</v>
      </c>
      <c r="K97" s="157">
        <v>5800360286</v>
      </c>
      <c r="L97" s="227">
        <v>14353.493</v>
      </c>
      <c r="M97" s="157" t="str">
        <f>+'[1]รับ 0215'!$F$220</f>
        <v>GC 030215</v>
      </c>
      <c r="N97" s="227">
        <f t="shared" si="12"/>
        <v>96385.380362010328</v>
      </c>
      <c r="O97" s="152">
        <f t="shared" si="13"/>
        <v>512232.37636201025</v>
      </c>
    </row>
    <row r="98" spans="1:15" x14ac:dyDescent="0.15">
      <c r="A98" s="154"/>
      <c r="B98" s="151"/>
      <c r="C98" s="152"/>
      <c r="D98" s="323" t="s">
        <v>2270</v>
      </c>
      <c r="E98" s="154" t="s">
        <v>72</v>
      </c>
      <c r="F98" s="157" t="str">
        <f>+'[1]รับ 0215'!$F$225</f>
        <v>TOP 050215</v>
      </c>
      <c r="G98" s="152">
        <f>+'[1]รับ 0215'!$D$225</f>
        <v>112322.503</v>
      </c>
      <c r="H98" s="323" t="s">
        <v>2270</v>
      </c>
      <c r="I98" s="152"/>
      <c r="J98" s="157"/>
      <c r="K98" s="157">
        <v>5800360286</v>
      </c>
      <c r="L98" s="227">
        <v>27448.312000000002</v>
      </c>
      <c r="M98" s="157" t="str">
        <f>+'[1]รับ 0215'!$F$220</f>
        <v>GC 030215</v>
      </c>
      <c r="N98" s="227">
        <f t="shared" si="12"/>
        <v>68937.068362010323</v>
      </c>
      <c r="O98" s="152">
        <f t="shared" si="13"/>
        <v>597106.56736201025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2270</v>
      </c>
      <c r="I99" s="152"/>
      <c r="J99" s="157"/>
      <c r="K99" s="157">
        <v>5800360286</v>
      </c>
      <c r="L99" s="227">
        <v>2710.759</v>
      </c>
      <c r="M99" s="157" t="str">
        <f>+'[1]รับ 0215'!$F$220</f>
        <v>GC 030215</v>
      </c>
      <c r="N99" s="227">
        <f t="shared" si="12"/>
        <v>66226.309362010317</v>
      </c>
      <c r="O99" s="152">
        <f t="shared" si="13"/>
        <v>594395.80836201028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2270</v>
      </c>
      <c r="I100" s="152"/>
      <c r="J100" s="157"/>
      <c r="K100" s="157">
        <v>5800360286</v>
      </c>
      <c r="L100" s="227">
        <v>12187.892</v>
      </c>
      <c r="M100" s="157" t="str">
        <f>+'[1]รับ 0215'!$F$220</f>
        <v>GC 030215</v>
      </c>
      <c r="N100" s="227">
        <f t="shared" si="12"/>
        <v>54038.417362010317</v>
      </c>
      <c r="O100" s="152">
        <f t="shared" si="13"/>
        <v>582207.91636201029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2270</v>
      </c>
      <c r="I101" s="152"/>
      <c r="J101" s="157"/>
      <c r="K101" s="157">
        <v>5800360286</v>
      </c>
      <c r="L101" s="227">
        <v>12143.799000000001</v>
      </c>
      <c r="M101" s="157" t="str">
        <f>+'[1]รับ 0215'!$F$220</f>
        <v>GC 030215</v>
      </c>
      <c r="N101" s="227">
        <f t="shared" si="12"/>
        <v>41894.618362010318</v>
      </c>
      <c r="O101" s="152">
        <f t="shared" si="13"/>
        <v>570064.11736201029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2270</v>
      </c>
      <c r="I102" s="152"/>
      <c r="J102" s="157"/>
      <c r="K102" s="157">
        <v>5800360286</v>
      </c>
      <c r="L102" s="227">
        <v>12869.34</v>
      </c>
      <c r="M102" s="157" t="str">
        <f>+'[1]รับ 0215'!$F$220</f>
        <v>GC 030215</v>
      </c>
      <c r="N102" s="227">
        <f t="shared" si="12"/>
        <v>29025.278362010318</v>
      </c>
      <c r="O102" s="152">
        <f t="shared" si="13"/>
        <v>557194.77736201033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2270</v>
      </c>
      <c r="I103" s="152"/>
      <c r="J103" s="157"/>
      <c r="K103" s="157">
        <v>5800360286</v>
      </c>
      <c r="L103" s="227">
        <v>12677.933000000001</v>
      </c>
      <c r="M103" s="157" t="str">
        <f>+'[1]รับ 0215'!$F$220</f>
        <v>GC 030215</v>
      </c>
      <c r="N103" s="227">
        <f t="shared" si="12"/>
        <v>16347.345362010317</v>
      </c>
      <c r="O103" s="152">
        <f t="shared" si="13"/>
        <v>544516.84436201036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2270</v>
      </c>
      <c r="I104" s="152"/>
      <c r="J104" s="154"/>
      <c r="K104" s="157">
        <v>5800360286</v>
      </c>
      <c r="L104" s="227">
        <v>11432.579</v>
      </c>
      <c r="M104" s="157" t="str">
        <f>+'[1]รับ 0215'!$F$220</f>
        <v>GC 030215</v>
      </c>
      <c r="N104" s="227">
        <f t="shared" si="12"/>
        <v>4914.7663620103176</v>
      </c>
      <c r="O104" s="152">
        <f t="shared" si="13"/>
        <v>533084.26536201034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2270</v>
      </c>
      <c r="I105" s="152"/>
      <c r="J105" s="157"/>
      <c r="K105" s="157">
        <v>5800360286</v>
      </c>
      <c r="L105" s="227">
        <v>4914.7663620103176</v>
      </c>
      <c r="M105" s="157" t="str">
        <f>+'[1]รับ 0215'!$F$220</f>
        <v>GC 030215</v>
      </c>
      <c r="N105" s="227">
        <f t="shared" ref="N105:N110" si="16">+N104-I105-L105</f>
        <v>0</v>
      </c>
      <c r="O105" s="152">
        <f t="shared" ref="O105:O110" si="17">O104+G105-I105-L105</f>
        <v>528169.49900000007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2270</v>
      </c>
      <c r="I106" s="152"/>
      <c r="J106" s="157"/>
      <c r="K106" s="157">
        <v>5800360268</v>
      </c>
      <c r="L106" s="227">
        <v>9115.4426379896795</v>
      </c>
      <c r="M106" s="157" t="str">
        <f>+'[1]รับ 0215'!$F$222</f>
        <v>TOP 040215</v>
      </c>
      <c r="N106" s="227">
        <f>G75+G84+G97+N105-I106-L106</f>
        <v>406731.55336201016</v>
      </c>
      <c r="O106" s="152">
        <f t="shared" si="17"/>
        <v>519054.05636201036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2270</v>
      </c>
      <c r="I107" s="152"/>
      <c r="J107" s="157"/>
      <c r="K107" s="157">
        <v>5800360268</v>
      </c>
      <c r="L107" s="227">
        <v>14997.189</v>
      </c>
      <c r="M107" s="157" t="str">
        <f>+'[1]รับ 0215'!$F$222</f>
        <v>TOP 040215</v>
      </c>
      <c r="N107" s="227">
        <f t="shared" si="16"/>
        <v>391734.36436201015</v>
      </c>
      <c r="O107" s="152">
        <f t="shared" si="17"/>
        <v>504056.86736201035</v>
      </c>
    </row>
    <row r="108" spans="1:15" x14ac:dyDescent="0.15">
      <c r="A108" s="154"/>
      <c r="B108" s="151"/>
      <c r="C108" s="152"/>
      <c r="D108" s="323" t="s">
        <v>2271</v>
      </c>
      <c r="E108" s="154" t="s">
        <v>72</v>
      </c>
      <c r="F108" s="157" t="str">
        <f>+'[1]รับ 0215'!$F$225</f>
        <v>TOP 050215</v>
      </c>
      <c r="G108" s="152">
        <f>+'[1]รับ 0215'!$D$226</f>
        <v>175963.25200000001</v>
      </c>
      <c r="H108" s="323" t="s">
        <v>2271</v>
      </c>
      <c r="I108" s="152">
        <v>14295.482</v>
      </c>
      <c r="J108" s="157" t="str">
        <f>+'[1]รับ 0215'!$F$222</f>
        <v>TOP 040215</v>
      </c>
      <c r="K108" s="157">
        <v>5800360268</v>
      </c>
      <c r="L108" s="227">
        <v>14679.698</v>
      </c>
      <c r="M108" s="157" t="str">
        <f>+'[1]รับ 0215'!$F$222</f>
        <v>TOP 040215</v>
      </c>
      <c r="N108" s="227">
        <f t="shared" si="16"/>
        <v>362759.18436201016</v>
      </c>
      <c r="O108" s="152">
        <f t="shared" si="17"/>
        <v>651044.93936201045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2271</v>
      </c>
      <c r="I109" s="152"/>
      <c r="J109" s="157"/>
      <c r="K109" s="157">
        <v>5800360268</v>
      </c>
      <c r="L109" s="227">
        <v>10210.656999999999</v>
      </c>
      <c r="M109" s="157" t="str">
        <f>+'[1]รับ 0215'!$F$222</f>
        <v>TOP 040215</v>
      </c>
      <c r="N109" s="227">
        <f t="shared" si="16"/>
        <v>352548.52736201015</v>
      </c>
      <c r="O109" s="152">
        <f t="shared" si="17"/>
        <v>640834.28236201045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2271</v>
      </c>
      <c r="I110" s="152"/>
      <c r="J110" s="157"/>
      <c r="K110" s="157">
        <v>5800360268</v>
      </c>
      <c r="L110" s="227">
        <v>12364.013000000001</v>
      </c>
      <c r="M110" s="157" t="str">
        <f>+'[1]รับ 0215'!$F$222</f>
        <v>TOP 040215</v>
      </c>
      <c r="N110" s="227">
        <f t="shared" si="16"/>
        <v>340184.51436201017</v>
      </c>
      <c r="O110" s="152">
        <f t="shared" si="17"/>
        <v>628470.26936201041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2271</v>
      </c>
      <c r="I111" s="152"/>
      <c r="J111" s="157"/>
      <c r="K111" s="157">
        <v>5800360268</v>
      </c>
      <c r="L111" s="227">
        <v>14699.739</v>
      </c>
      <c r="M111" s="157" t="str">
        <f>+'[1]รับ 0215'!$F$222</f>
        <v>TOP 040215</v>
      </c>
      <c r="N111" s="227">
        <f t="shared" si="12"/>
        <v>325484.77536201017</v>
      </c>
      <c r="O111" s="152">
        <f t="shared" si="13"/>
        <v>613770.53036201047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2271</v>
      </c>
      <c r="I112" s="152"/>
      <c r="J112" s="157"/>
      <c r="K112" s="157">
        <v>5800360268</v>
      </c>
      <c r="L112" s="227">
        <v>13302.913</v>
      </c>
      <c r="M112" s="157" t="str">
        <f>+'[1]รับ 0215'!$F$222</f>
        <v>TOP 040215</v>
      </c>
      <c r="N112" s="227">
        <f t="shared" si="12"/>
        <v>312181.86236201017</v>
      </c>
      <c r="O112" s="152">
        <f t="shared" si="13"/>
        <v>600467.61736201053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2271</v>
      </c>
      <c r="I113" s="152"/>
      <c r="J113" s="157"/>
      <c r="K113" s="157">
        <v>5800360268</v>
      </c>
      <c r="L113" s="227">
        <v>14439.210999999999</v>
      </c>
      <c r="M113" s="157" t="str">
        <f>+'[1]รับ 0215'!$F$222</f>
        <v>TOP 040215</v>
      </c>
      <c r="N113" s="227">
        <f t="shared" si="12"/>
        <v>297742.65136201016</v>
      </c>
      <c r="O113" s="152">
        <f t="shared" si="13"/>
        <v>586028.40636201052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2271</v>
      </c>
      <c r="I114" s="152"/>
      <c r="J114" s="157"/>
      <c r="K114" s="157">
        <v>5800360268</v>
      </c>
      <c r="L114" s="227">
        <v>16043.457</v>
      </c>
      <c r="M114" s="157" t="str">
        <f>+'[1]รับ 0215'!$F$222</f>
        <v>TOP 040215</v>
      </c>
      <c r="N114" s="227">
        <f t="shared" si="12"/>
        <v>281699.19436201017</v>
      </c>
      <c r="O114" s="152">
        <f t="shared" si="13"/>
        <v>569984.94936201046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2271</v>
      </c>
      <c r="I115" s="152"/>
      <c r="J115" s="157"/>
      <c r="K115" s="157">
        <v>5800360268</v>
      </c>
      <c r="L115" s="227">
        <v>10985.224</v>
      </c>
      <c r="M115" s="157" t="str">
        <f>+'[1]รับ 0215'!$F$222</f>
        <v>TOP 040215</v>
      </c>
      <c r="N115" s="227">
        <f t="shared" si="12"/>
        <v>270713.97036201018</v>
      </c>
      <c r="O115" s="152">
        <f t="shared" si="13"/>
        <v>558999.72536201042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2271</v>
      </c>
      <c r="I116" s="152"/>
      <c r="J116" s="157"/>
      <c r="K116" s="157">
        <v>5800360268</v>
      </c>
      <c r="L116" s="227">
        <v>12543.433000000001</v>
      </c>
      <c r="M116" s="157" t="str">
        <f>+'[1]รับ 0215'!$F$222</f>
        <v>TOP 040215</v>
      </c>
      <c r="N116" s="227">
        <f t="shared" si="12"/>
        <v>258170.53736201019</v>
      </c>
      <c r="O116" s="152">
        <f t="shared" si="13"/>
        <v>546456.29236201046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2271</v>
      </c>
      <c r="I117" s="152"/>
      <c r="J117" s="157"/>
      <c r="K117" s="157">
        <v>5800360268</v>
      </c>
      <c r="L117" s="227">
        <v>14749.444</v>
      </c>
      <c r="M117" s="157" t="str">
        <f>+'[1]รับ 0215'!$F$222</f>
        <v>TOP 040215</v>
      </c>
      <c r="N117" s="227">
        <f t="shared" si="12"/>
        <v>243421.0933620102</v>
      </c>
      <c r="O117" s="152">
        <f t="shared" si="13"/>
        <v>531706.84836201044</v>
      </c>
    </row>
    <row r="118" spans="1:15" x14ac:dyDescent="0.15">
      <c r="A118" s="154"/>
      <c r="B118" s="151"/>
      <c r="C118" s="152"/>
      <c r="D118" s="323" t="s">
        <v>2272</v>
      </c>
      <c r="E118" s="154" t="s">
        <v>72</v>
      </c>
      <c r="F118" s="157" t="str">
        <f>+'[1]รับ 0215'!$F$227</f>
        <v>GC 060215</v>
      </c>
      <c r="G118" s="152">
        <f>+'[1]รับ 0215'!$D$227</f>
        <v>132004.12899999999</v>
      </c>
      <c r="H118" s="323" t="s">
        <v>2272</v>
      </c>
      <c r="I118" s="152">
        <v>13581.932999999999</v>
      </c>
      <c r="J118" s="157" t="str">
        <f>+'[1]รับ 0215'!$F$222</f>
        <v>TOP 040215</v>
      </c>
      <c r="K118" s="157">
        <v>5800360268</v>
      </c>
      <c r="L118" s="227">
        <v>15743.216</v>
      </c>
      <c r="M118" s="157" t="str">
        <f>+'[1]รับ 0215'!$F$222</f>
        <v>TOP 040215</v>
      </c>
      <c r="N118" s="227">
        <f t="shared" si="12"/>
        <v>214095.94436201022</v>
      </c>
      <c r="O118" s="152">
        <f t="shared" si="13"/>
        <v>634385.82836201042</v>
      </c>
    </row>
    <row r="119" spans="1:15" x14ac:dyDescent="0.15">
      <c r="A119" s="154"/>
      <c r="B119" s="151"/>
      <c r="C119" s="152"/>
      <c r="D119" s="323" t="s">
        <v>2272</v>
      </c>
      <c r="E119" s="154" t="s">
        <v>72</v>
      </c>
      <c r="F119" s="157" t="str">
        <f>+'[1]รับ 0215'!$F$228</f>
        <v>GC 070215</v>
      </c>
      <c r="G119" s="152">
        <f>+'[1]รับ 0215'!$D$228</f>
        <v>88054.907999999996</v>
      </c>
      <c r="H119" s="323" t="s">
        <v>2272</v>
      </c>
      <c r="I119" s="152"/>
      <c r="J119" s="157"/>
      <c r="K119" s="157">
        <v>5800360268</v>
      </c>
      <c r="L119" s="227">
        <v>14217.512000000001</v>
      </c>
      <c r="M119" s="157" t="str">
        <f>+'[1]รับ 0215'!$F$222</f>
        <v>TOP 040215</v>
      </c>
      <c r="N119" s="227">
        <f t="shared" si="12"/>
        <v>199878.43236201024</v>
      </c>
      <c r="O119" s="152">
        <f t="shared" si="13"/>
        <v>708223.22436201049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2272</v>
      </c>
      <c r="I120" s="152"/>
      <c r="J120" s="157"/>
      <c r="K120" s="157">
        <v>5800360268</v>
      </c>
      <c r="L120" s="227">
        <v>9746.6589999999997</v>
      </c>
      <c r="M120" s="157" t="str">
        <f>+'[1]รับ 0215'!$F$222</f>
        <v>TOP 040215</v>
      </c>
      <c r="N120" s="227">
        <f t="shared" si="12"/>
        <v>190131.77336201025</v>
      </c>
      <c r="O120" s="152">
        <f t="shared" si="13"/>
        <v>698476.5653620105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2272</v>
      </c>
      <c r="I121" s="152"/>
      <c r="J121" s="157"/>
      <c r="K121" s="157">
        <v>5800360268</v>
      </c>
      <c r="L121" s="227">
        <v>13653.142</v>
      </c>
      <c r="M121" s="157" t="str">
        <f>+'[1]รับ 0215'!$F$222</f>
        <v>TOP 040215</v>
      </c>
      <c r="N121" s="227">
        <f t="shared" si="12"/>
        <v>176478.63136201026</v>
      </c>
      <c r="O121" s="152">
        <f t="shared" si="13"/>
        <v>684823.42336201051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2272</v>
      </c>
      <c r="I122" s="152"/>
      <c r="J122" s="157"/>
      <c r="K122" s="157">
        <v>5800360268</v>
      </c>
      <c r="L122" s="227">
        <v>9112.1190000000006</v>
      </c>
      <c r="M122" s="157" t="str">
        <f>+'[1]รับ 0215'!$F$222</f>
        <v>TOP 040215</v>
      </c>
      <c r="N122" s="227">
        <f t="shared" si="12"/>
        <v>167366.51236201025</v>
      </c>
      <c r="O122" s="152">
        <f t="shared" si="13"/>
        <v>675711.30436201056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2272</v>
      </c>
      <c r="I123" s="152"/>
      <c r="J123" s="157"/>
      <c r="K123" s="157">
        <v>5800360268</v>
      </c>
      <c r="L123" s="227">
        <v>14395.945</v>
      </c>
      <c r="M123" s="157" t="str">
        <f>+'[1]รับ 0215'!$F$222</f>
        <v>TOP 040215</v>
      </c>
      <c r="N123" s="227">
        <f t="shared" si="12"/>
        <v>152970.56736201025</v>
      </c>
      <c r="O123" s="152">
        <f t="shared" si="13"/>
        <v>661315.35936201061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2272</v>
      </c>
      <c r="I124" s="152"/>
      <c r="J124" s="157"/>
      <c r="K124" s="157">
        <v>5800360268</v>
      </c>
      <c r="L124" s="227">
        <v>12096.362999999999</v>
      </c>
      <c r="M124" s="157" t="str">
        <f>+'[1]รับ 0215'!$F$222</f>
        <v>TOP 040215</v>
      </c>
      <c r="N124" s="227">
        <f t="shared" si="12"/>
        <v>140874.20436201023</v>
      </c>
      <c r="O124" s="152">
        <f t="shared" si="13"/>
        <v>649218.9963620106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2272</v>
      </c>
      <c r="I125" s="152"/>
      <c r="J125" s="157"/>
      <c r="K125" s="157">
        <v>5800360268</v>
      </c>
      <c r="L125" s="227">
        <v>13660.159</v>
      </c>
      <c r="M125" s="157" t="str">
        <f>+'[1]รับ 0215'!$F$222</f>
        <v>TOP 040215</v>
      </c>
      <c r="N125" s="227">
        <f t="shared" si="12"/>
        <v>127214.04536201023</v>
      </c>
      <c r="O125" s="152">
        <f t="shared" si="13"/>
        <v>635558.83736201061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2272</v>
      </c>
      <c r="I126" s="152"/>
      <c r="J126" s="157"/>
      <c r="K126" s="157">
        <v>5800360268</v>
      </c>
      <c r="L126" s="227">
        <v>16376.753000000001</v>
      </c>
      <c r="M126" s="157" t="str">
        <f>+'[1]รับ 0215'!$F$222</f>
        <v>TOP 040215</v>
      </c>
      <c r="N126" s="227">
        <f t="shared" si="12"/>
        <v>110837.29236201024</v>
      </c>
      <c r="O126" s="152">
        <f t="shared" si="13"/>
        <v>619182.08436201059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2272</v>
      </c>
      <c r="I127" s="152"/>
      <c r="J127" s="157"/>
      <c r="K127" s="157">
        <v>5800360268</v>
      </c>
      <c r="L127" s="227">
        <v>89968.392000000007</v>
      </c>
      <c r="M127" s="157" t="str">
        <f>+'[1]รับ 0215'!$F$222</f>
        <v>TOP 040215</v>
      </c>
      <c r="N127" s="227">
        <f t="shared" si="12"/>
        <v>20868.90036201023</v>
      </c>
      <c r="O127" s="152">
        <f t="shared" si="13"/>
        <v>529213.6923620106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2272</v>
      </c>
      <c r="I128" s="152"/>
      <c r="J128" s="157"/>
      <c r="K128" s="157">
        <v>5800360268</v>
      </c>
      <c r="L128" s="227">
        <v>11755.536</v>
      </c>
      <c r="M128" s="157" t="str">
        <f>+'[1]รับ 0215'!$F$222</f>
        <v>TOP 040215</v>
      </c>
      <c r="N128" s="227">
        <f t="shared" si="12"/>
        <v>9113.3643620102303</v>
      </c>
      <c r="O128" s="152">
        <f t="shared" si="13"/>
        <v>517458.15636201057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2272</v>
      </c>
      <c r="I129" s="152"/>
      <c r="J129" s="157"/>
      <c r="K129" s="157">
        <v>5800360268</v>
      </c>
      <c r="L129" s="227">
        <v>9113.3643620102303</v>
      </c>
      <c r="M129" s="157" t="str">
        <f>+'[1]รับ 0215'!$F$222</f>
        <v>TOP 040215</v>
      </c>
      <c r="N129" s="227">
        <f t="shared" ref="N129:N132" si="18">+N128-I129-L129</f>
        <v>0</v>
      </c>
      <c r="O129" s="152">
        <f t="shared" ref="O129:O132" si="19">O128+G129-I129-L129</f>
        <v>508344.79200000037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2272</v>
      </c>
      <c r="I130" s="152"/>
      <c r="J130" s="157"/>
      <c r="K130" s="157">
        <v>5800360268</v>
      </c>
      <c r="L130" s="227">
        <v>63370.585637989803</v>
      </c>
      <c r="M130" s="157" t="str">
        <f>+'[1]รับ 0215'!$F$225</f>
        <v>TOP 050215</v>
      </c>
      <c r="N130" s="227">
        <f>G98+G108+N129-I130-L130</f>
        <v>224915.1693620102</v>
      </c>
      <c r="O130" s="152">
        <f t="shared" si="19"/>
        <v>444974.20636201056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2272</v>
      </c>
      <c r="I131" s="152"/>
      <c r="J131" s="157"/>
      <c r="K131" s="157">
        <v>5800360268</v>
      </c>
      <c r="L131" s="227">
        <v>11363.51</v>
      </c>
      <c r="M131" s="157" t="str">
        <f>+'[1]รับ 0215'!$F$225</f>
        <v>TOP 050215</v>
      </c>
      <c r="N131" s="227">
        <f t="shared" si="18"/>
        <v>213551.65936201019</v>
      </c>
      <c r="O131" s="152">
        <f t="shared" si="19"/>
        <v>433610.69636201055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2272</v>
      </c>
      <c r="I132" s="152"/>
      <c r="J132" s="157"/>
      <c r="K132" s="157">
        <v>5800360268</v>
      </c>
      <c r="L132" s="227">
        <v>15478.678</v>
      </c>
      <c r="M132" s="157" t="str">
        <f>+'[1]รับ 0215'!$F$225</f>
        <v>TOP 050215</v>
      </c>
      <c r="N132" s="227">
        <f t="shared" si="18"/>
        <v>198072.98136201018</v>
      </c>
      <c r="O132" s="152">
        <f t="shared" si="19"/>
        <v>418132.01836201054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2272</v>
      </c>
      <c r="I133" s="152"/>
      <c r="J133" s="157"/>
      <c r="K133" s="157">
        <v>5800360268</v>
      </c>
      <c r="L133" s="227">
        <v>14779.97</v>
      </c>
      <c r="M133" s="157" t="str">
        <f>+'[1]รับ 0215'!$F$225</f>
        <v>TOP 050215</v>
      </c>
      <c r="N133" s="227">
        <f t="shared" si="12"/>
        <v>183293.01136201018</v>
      </c>
      <c r="O133" s="152">
        <f t="shared" si="13"/>
        <v>403352.04836201057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2272</v>
      </c>
      <c r="I134" s="152"/>
      <c r="J134" s="157"/>
      <c r="K134" s="157">
        <v>5800360268</v>
      </c>
      <c r="L134" s="227">
        <v>33794.228999999999</v>
      </c>
      <c r="M134" s="157" t="str">
        <f>+'[1]รับ 0215'!$F$225</f>
        <v>TOP 050215</v>
      </c>
      <c r="N134" s="227">
        <f t="shared" si="12"/>
        <v>149498.78236201018</v>
      </c>
      <c r="O134" s="152">
        <f t="shared" si="13"/>
        <v>369557.81936201057</v>
      </c>
    </row>
    <row r="135" spans="1:15" x14ac:dyDescent="0.15">
      <c r="A135" s="154"/>
      <c r="B135" s="151"/>
      <c r="C135" s="152"/>
      <c r="D135" s="323" t="s">
        <v>2273</v>
      </c>
      <c r="E135" s="154" t="s">
        <v>72</v>
      </c>
      <c r="F135" s="157" t="str">
        <f>+'[1]รับ 0215'!$F$228</f>
        <v>GC 070215</v>
      </c>
      <c r="G135" s="152">
        <f>+'[1]รับ 0215'!$D$229</f>
        <v>220072.92100000003</v>
      </c>
      <c r="H135" s="323" t="s">
        <v>2273</v>
      </c>
      <c r="I135" s="152">
        <v>16261.917000000001</v>
      </c>
      <c r="J135" s="157" t="str">
        <f>+'[1]รับ 0215'!$F$225</f>
        <v>TOP 050215</v>
      </c>
      <c r="K135" s="157">
        <v>5800360268</v>
      </c>
      <c r="L135" s="227">
        <v>32004.748</v>
      </c>
      <c r="M135" s="157" t="str">
        <f>+'[1]รับ 0215'!$F$225</f>
        <v>TOP 050215</v>
      </c>
      <c r="N135" s="227">
        <f t="shared" si="12"/>
        <v>101232.11736201021</v>
      </c>
      <c r="O135" s="152">
        <f t="shared" si="13"/>
        <v>541364.07536201063</v>
      </c>
    </row>
    <row r="136" spans="1:15" x14ac:dyDescent="0.15">
      <c r="A136" s="154"/>
      <c r="B136" s="151"/>
      <c r="C136" s="152"/>
      <c r="D136" s="323" t="s">
        <v>2273</v>
      </c>
      <c r="E136" s="154" t="s">
        <v>72</v>
      </c>
      <c r="F136" s="157" t="str">
        <f>+'[1]รับ 0215'!$F$230</f>
        <v>GC 090215</v>
      </c>
      <c r="G136" s="152">
        <f>+'[1]รับ 0215'!$D$230</f>
        <v>44039.332000000002</v>
      </c>
      <c r="H136" s="323" t="s">
        <v>2273</v>
      </c>
      <c r="I136" s="152"/>
      <c r="J136" s="157"/>
      <c r="K136" s="157">
        <v>5800360268</v>
      </c>
      <c r="L136" s="227">
        <v>13753.825000000001</v>
      </c>
      <c r="M136" s="157" t="str">
        <f>+'[1]รับ 0215'!$F$225</f>
        <v>TOP 050215</v>
      </c>
      <c r="N136" s="227">
        <f t="shared" si="12"/>
        <v>87478.292362010208</v>
      </c>
      <c r="O136" s="152">
        <f t="shared" si="13"/>
        <v>571649.58236201073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2273</v>
      </c>
      <c r="I137" s="152"/>
      <c r="J137" s="157"/>
      <c r="K137" s="157">
        <v>5800360268</v>
      </c>
      <c r="L137" s="227">
        <v>12932.163</v>
      </c>
      <c r="M137" s="157" t="str">
        <f>+'[1]รับ 0215'!$F$225</f>
        <v>TOP 050215</v>
      </c>
      <c r="N137" s="227">
        <f t="shared" si="12"/>
        <v>74546.129362010208</v>
      </c>
      <c r="O137" s="152">
        <f t="shared" si="13"/>
        <v>558717.41936201067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2273</v>
      </c>
      <c r="I138" s="152"/>
      <c r="J138" s="157"/>
      <c r="K138" s="157">
        <v>5800360268</v>
      </c>
      <c r="L138" s="227">
        <v>12252.788</v>
      </c>
      <c r="M138" s="157" t="str">
        <f>+'[1]รับ 0215'!$F$225</f>
        <v>TOP 050215</v>
      </c>
      <c r="N138" s="227">
        <f t="shared" si="12"/>
        <v>62293.341362010207</v>
      </c>
      <c r="O138" s="152">
        <f t="shared" si="13"/>
        <v>546464.63136201072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2273</v>
      </c>
      <c r="I139" s="152"/>
      <c r="J139" s="157"/>
      <c r="K139" s="157">
        <v>5800360268</v>
      </c>
      <c r="L139" s="227">
        <v>11177.612999999999</v>
      </c>
      <c r="M139" s="157" t="str">
        <f>+'[1]รับ 0215'!$F$225</f>
        <v>TOP 050215</v>
      </c>
      <c r="N139" s="227">
        <f t="shared" si="12"/>
        <v>51115.72836201021</v>
      </c>
      <c r="O139" s="152">
        <f t="shared" si="13"/>
        <v>535287.01836201071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2273</v>
      </c>
      <c r="I140" s="152"/>
      <c r="J140" s="157"/>
      <c r="K140" s="157">
        <v>5800360268</v>
      </c>
      <c r="L140" s="227">
        <v>51115.72836201021</v>
      </c>
      <c r="M140" s="157" t="str">
        <f>+'[1]รับ 0215'!$F$225</f>
        <v>TOP 050215</v>
      </c>
      <c r="N140" s="227">
        <f t="shared" ref="N140:N143" si="20">+N139-I140-L140</f>
        <v>0</v>
      </c>
      <c r="O140" s="152">
        <f t="shared" ref="O140:O143" si="21">O139+G140-I140-L140</f>
        <v>484171.2900000005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2273</v>
      </c>
      <c r="I141" s="152"/>
      <c r="J141" s="157"/>
      <c r="K141" s="157">
        <v>5800360286</v>
      </c>
      <c r="L141" s="227">
        <v>43475.635637989799</v>
      </c>
      <c r="M141" s="157" t="str">
        <f>+'[1]รับ 0215'!$F$227</f>
        <v>GC 060215</v>
      </c>
      <c r="N141" s="227">
        <f>G118+N140-I141-L141</f>
        <v>88528.493362010195</v>
      </c>
      <c r="O141" s="152">
        <f t="shared" si="21"/>
        <v>440695.65436201071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2273</v>
      </c>
      <c r="I142" s="152"/>
      <c r="J142" s="157"/>
      <c r="K142" s="157">
        <v>5800360286</v>
      </c>
      <c r="L142" s="227">
        <v>76855.483999999997</v>
      </c>
      <c r="M142" s="157" t="str">
        <f>+'[1]รับ 0215'!$F$227</f>
        <v>GC 060215</v>
      </c>
      <c r="N142" s="227">
        <f t="shared" si="20"/>
        <v>11673.009362010198</v>
      </c>
      <c r="O142" s="152">
        <f t="shared" si="21"/>
        <v>363840.17036201071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2273</v>
      </c>
      <c r="I143" s="152"/>
      <c r="J143" s="157"/>
      <c r="K143" s="157">
        <v>5800360286</v>
      </c>
      <c r="L143" s="227">
        <v>11673.009362010198</v>
      </c>
      <c r="M143" s="157" t="str">
        <f>+'[1]รับ 0215'!$F$227</f>
        <v>GC 060215</v>
      </c>
      <c r="N143" s="227">
        <f t="shared" si="20"/>
        <v>0</v>
      </c>
      <c r="O143" s="152">
        <f t="shared" si="21"/>
        <v>352167.16100000055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2273</v>
      </c>
      <c r="I144" s="152"/>
      <c r="J144" s="157"/>
      <c r="K144" s="157">
        <v>5800360286</v>
      </c>
      <c r="L144" s="227">
        <v>1330.5286379898</v>
      </c>
      <c r="M144" s="157" t="str">
        <f>+'[1]รับ 0215'!$F$228</f>
        <v>GC 070215</v>
      </c>
      <c r="N144" s="227">
        <f>G119+G135+N143-I144-L144</f>
        <v>306797.30036201025</v>
      </c>
      <c r="O144" s="152">
        <f t="shared" ref="O144:O147" si="22">O143+G144-I144-L144</f>
        <v>350836.63236201077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2273</v>
      </c>
      <c r="I145" s="152"/>
      <c r="J145" s="157"/>
      <c r="K145" s="157">
        <v>5800360286</v>
      </c>
      <c r="L145" s="227">
        <v>1107.8979999999999</v>
      </c>
      <c r="M145" s="157" t="str">
        <f>+'[1]รับ 0215'!$F$228</f>
        <v>GC 070215</v>
      </c>
      <c r="N145" s="227">
        <f t="shared" ref="N145:N147" si="23">+N144-I145-L145</f>
        <v>305689.40236201027</v>
      </c>
      <c r="O145" s="152">
        <f t="shared" si="22"/>
        <v>349728.73436201079</v>
      </c>
    </row>
    <row r="146" spans="1:15" x14ac:dyDescent="0.15">
      <c r="A146" s="154"/>
      <c r="B146" s="151"/>
      <c r="C146" s="152"/>
      <c r="D146" s="323" t="s">
        <v>2274</v>
      </c>
      <c r="E146" s="154" t="s">
        <v>72</v>
      </c>
      <c r="F146" s="157" t="str">
        <f>+'[1]รับ 0215'!$F$230</f>
        <v>GC 090215</v>
      </c>
      <c r="G146" s="152">
        <f>+'[1]รับ 0215'!$D$231</f>
        <v>264022.06099999999</v>
      </c>
      <c r="H146" s="323" t="s">
        <v>2274</v>
      </c>
      <c r="I146" s="152">
        <v>12145.761</v>
      </c>
      <c r="J146" s="157" t="str">
        <f>+'[1]รับ 0215'!$F$228</f>
        <v>GC 070215</v>
      </c>
      <c r="K146" s="157">
        <v>5800360286</v>
      </c>
      <c r="L146" s="227">
        <v>15570.77</v>
      </c>
      <c r="M146" s="157" t="str">
        <f>+'[1]รับ 0215'!$F$228</f>
        <v>GC 070215</v>
      </c>
      <c r="N146" s="227">
        <f t="shared" si="23"/>
        <v>277972.87136201025</v>
      </c>
      <c r="O146" s="152">
        <f t="shared" si="22"/>
        <v>586034.26436201076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2274</v>
      </c>
      <c r="I147" s="152"/>
      <c r="J147" s="157"/>
      <c r="K147" s="157">
        <v>5800360286</v>
      </c>
      <c r="L147" s="227">
        <v>13906.084000000001</v>
      </c>
      <c r="M147" s="157" t="str">
        <f>+'[1]รับ 0215'!$F$228</f>
        <v>GC 070215</v>
      </c>
      <c r="N147" s="227">
        <f t="shared" si="23"/>
        <v>264066.78736201028</v>
      </c>
      <c r="O147" s="152">
        <f t="shared" si="22"/>
        <v>572128.18036201072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2274</v>
      </c>
      <c r="I148" s="152"/>
      <c r="J148" s="157"/>
      <c r="K148" s="157">
        <v>5800360286</v>
      </c>
      <c r="L148" s="227">
        <v>13653.828</v>
      </c>
      <c r="M148" s="157" t="str">
        <f>+'[1]รับ 0215'!$F$228</f>
        <v>GC 070215</v>
      </c>
      <c r="N148" s="227">
        <f t="shared" ref="N148:N210" si="24">+N147-I148-L148</f>
        <v>250412.95936201027</v>
      </c>
      <c r="O148" s="152">
        <f t="shared" ref="O148:O210" si="25">O147+G148-I148-L148</f>
        <v>558474.35236201074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2274</v>
      </c>
      <c r="I149" s="152"/>
      <c r="J149" s="157"/>
      <c r="K149" s="157">
        <v>5800360286</v>
      </c>
      <c r="L149" s="227">
        <v>9719.8439999999991</v>
      </c>
      <c r="M149" s="157" t="str">
        <f>+'[1]รับ 0215'!$F$228</f>
        <v>GC 070215</v>
      </c>
      <c r="N149" s="227">
        <f t="shared" si="24"/>
        <v>240693.11536201026</v>
      </c>
      <c r="O149" s="152">
        <f t="shared" si="25"/>
        <v>548754.5083620107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2274</v>
      </c>
      <c r="I150" s="152"/>
      <c r="J150" s="157"/>
      <c r="K150" s="157">
        <v>5800360286</v>
      </c>
      <c r="L150" s="227">
        <v>17317.539000000001</v>
      </c>
      <c r="M150" s="157" t="str">
        <f>+'[1]รับ 0215'!$F$228</f>
        <v>GC 070215</v>
      </c>
      <c r="N150" s="227">
        <f t="shared" si="24"/>
        <v>223375.57636201027</v>
      </c>
      <c r="O150" s="152">
        <f t="shared" si="25"/>
        <v>531436.96936201071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2274</v>
      </c>
      <c r="I151" s="152"/>
      <c r="J151" s="157"/>
      <c r="K151" s="157">
        <v>5800360286</v>
      </c>
      <c r="L151" s="227">
        <v>8661.7720000000008</v>
      </c>
      <c r="M151" s="157" t="str">
        <f>+'[1]รับ 0215'!$F$228</f>
        <v>GC 070215</v>
      </c>
      <c r="N151" s="227">
        <f t="shared" si="24"/>
        <v>214713.80436201027</v>
      </c>
      <c r="O151" s="152">
        <f t="shared" si="25"/>
        <v>522775.19736201072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2274</v>
      </c>
      <c r="I152" s="152"/>
      <c r="J152" s="157"/>
      <c r="K152" s="157">
        <v>5800360286</v>
      </c>
      <c r="L152" s="227">
        <v>12838.002</v>
      </c>
      <c r="M152" s="157" t="str">
        <f>+'[1]รับ 0215'!$F$228</f>
        <v>GC 070215</v>
      </c>
      <c r="N152" s="227">
        <f t="shared" si="24"/>
        <v>201875.80236201026</v>
      </c>
      <c r="O152" s="152">
        <f t="shared" si="25"/>
        <v>509937.19536201074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2274</v>
      </c>
      <c r="I153" s="152"/>
      <c r="J153" s="157"/>
      <c r="K153" s="157">
        <v>5800360286</v>
      </c>
      <c r="L153" s="227">
        <v>14211.393</v>
      </c>
      <c r="M153" s="157" t="str">
        <f>+'[1]รับ 0215'!$F$228</f>
        <v>GC 070215</v>
      </c>
      <c r="N153" s="227">
        <f t="shared" si="24"/>
        <v>187664.40936201025</v>
      </c>
      <c r="O153" s="152">
        <f t="shared" si="25"/>
        <v>495725.80236201076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2274</v>
      </c>
      <c r="I154" s="152"/>
      <c r="J154" s="157"/>
      <c r="K154" s="157">
        <v>5800360286</v>
      </c>
      <c r="L154" s="227">
        <v>13966.144</v>
      </c>
      <c r="M154" s="157" t="str">
        <f>+'[1]รับ 0215'!$F$228</f>
        <v>GC 070215</v>
      </c>
      <c r="N154" s="227">
        <f t="shared" si="24"/>
        <v>173698.26536201025</v>
      </c>
      <c r="O154" s="152">
        <f t="shared" si="25"/>
        <v>481759.65836201073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2274</v>
      </c>
      <c r="I155" s="152"/>
      <c r="J155" s="157"/>
      <c r="K155" s="157">
        <v>5800360286</v>
      </c>
      <c r="L155" s="227">
        <v>1223.752</v>
      </c>
      <c r="M155" s="157" t="str">
        <f>+'[1]รับ 0215'!$F$228</f>
        <v>GC 070215</v>
      </c>
      <c r="N155" s="227">
        <f t="shared" si="24"/>
        <v>172474.51336201024</v>
      </c>
      <c r="O155" s="152">
        <f t="shared" si="25"/>
        <v>480535.90636201075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2274</v>
      </c>
      <c r="I156" s="152"/>
      <c r="J156" s="157"/>
      <c r="K156" s="157">
        <v>5800360286</v>
      </c>
      <c r="L156" s="227">
        <v>9474.0789999999997</v>
      </c>
      <c r="M156" s="157" t="str">
        <f>+'[1]รับ 0215'!$F$228</f>
        <v>GC 070215</v>
      </c>
      <c r="N156" s="227">
        <f t="shared" si="24"/>
        <v>163000.43436201024</v>
      </c>
      <c r="O156" s="152">
        <f t="shared" si="25"/>
        <v>471061.82736201072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2274</v>
      </c>
      <c r="I157" s="152"/>
      <c r="J157" s="157"/>
      <c r="K157" s="157">
        <v>5800360286</v>
      </c>
      <c r="L157" s="227">
        <v>7190.5420000000004</v>
      </c>
      <c r="M157" s="157" t="str">
        <f>+'[1]รับ 0215'!$F$228</f>
        <v>GC 070215</v>
      </c>
      <c r="N157" s="227">
        <f t="shared" si="24"/>
        <v>155809.89236201026</v>
      </c>
      <c r="O157" s="152">
        <f t="shared" si="25"/>
        <v>463871.28536201071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2274</v>
      </c>
      <c r="I158" s="152"/>
      <c r="J158" s="157"/>
      <c r="K158" s="157">
        <v>5800360286</v>
      </c>
      <c r="L158" s="227">
        <v>13721.217000000001</v>
      </c>
      <c r="M158" s="157" t="str">
        <f>+'[1]รับ 0215'!$F$228</f>
        <v>GC 070215</v>
      </c>
      <c r="N158" s="227">
        <f t="shared" si="24"/>
        <v>142088.67536201025</v>
      </c>
      <c r="O158" s="152">
        <f t="shared" si="25"/>
        <v>450150.0683620107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2274</v>
      </c>
      <c r="I159" s="152"/>
      <c r="J159" s="157"/>
      <c r="K159" s="157">
        <v>5800360286</v>
      </c>
      <c r="L159" s="227">
        <v>14935.971</v>
      </c>
      <c r="M159" s="157" t="str">
        <f>+'[1]รับ 0215'!$F$228</f>
        <v>GC 070215</v>
      </c>
      <c r="N159" s="227">
        <f t="shared" si="24"/>
        <v>127152.70436201025</v>
      </c>
      <c r="O159" s="152">
        <f t="shared" si="25"/>
        <v>435214.09736201068</v>
      </c>
    </row>
    <row r="160" spans="1:15" x14ac:dyDescent="0.15">
      <c r="A160" s="154"/>
      <c r="B160" s="151"/>
      <c r="C160" s="152"/>
      <c r="D160" s="323" t="s">
        <v>2275</v>
      </c>
      <c r="E160" s="154" t="s">
        <v>72</v>
      </c>
      <c r="F160" s="157" t="str">
        <f>+'[1]รับ 0215'!$F$230</f>
        <v>GC 090215</v>
      </c>
      <c r="G160" s="152">
        <f>+'[1]รับ 0215'!$D$232</f>
        <v>25427.695999999938</v>
      </c>
      <c r="H160" s="323" t="s">
        <v>2275</v>
      </c>
      <c r="I160" s="152">
        <v>19303.503000000001</v>
      </c>
      <c r="J160" s="157" t="str">
        <f>+'[1]รับ 0215'!$F$228</f>
        <v>GC 070215</v>
      </c>
      <c r="K160" s="157">
        <v>5800360286</v>
      </c>
      <c r="L160" s="227">
        <v>28321.547999999999</v>
      </c>
      <c r="M160" s="157" t="str">
        <f>+'[1]รับ 0215'!$F$228</f>
        <v>GC 070215</v>
      </c>
      <c r="N160" s="227">
        <f t="shared" si="24"/>
        <v>79527.653362010256</v>
      </c>
      <c r="O160" s="152">
        <f t="shared" si="25"/>
        <v>413016.74236201058</v>
      </c>
    </row>
    <row r="161" spans="1:15" x14ac:dyDescent="0.15">
      <c r="A161" s="154"/>
      <c r="B161" s="151"/>
      <c r="C161" s="152"/>
      <c r="D161" s="323" t="s">
        <v>2275</v>
      </c>
      <c r="E161" s="154" t="s">
        <v>72</v>
      </c>
      <c r="F161" s="157" t="str">
        <f>+'[1]รับ 0215'!$F$233</f>
        <v>TOP 100215</v>
      </c>
      <c r="G161" s="152">
        <f>+'[1]รับ 0215'!$D$233</f>
        <v>194514.04800000001</v>
      </c>
      <c r="H161" s="323" t="s">
        <v>2275</v>
      </c>
      <c r="I161" s="152"/>
      <c r="J161" s="157"/>
      <c r="K161" s="157">
        <v>5800360286</v>
      </c>
      <c r="L161" s="227">
        <v>14826.516</v>
      </c>
      <c r="M161" s="157" t="str">
        <f>+'[1]รับ 0215'!$F$228</f>
        <v>GC 070215</v>
      </c>
      <c r="N161" s="227">
        <f t="shared" si="24"/>
        <v>64701.137362010253</v>
      </c>
      <c r="O161" s="152">
        <f t="shared" si="25"/>
        <v>592704.27436201065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2275</v>
      </c>
      <c r="I162" s="152"/>
      <c r="J162" s="157"/>
      <c r="K162" s="157">
        <v>5800360286</v>
      </c>
      <c r="L162" s="227">
        <v>13658.214</v>
      </c>
      <c r="M162" s="157" t="str">
        <f>+'[1]รับ 0215'!$F$228</f>
        <v>GC 070215</v>
      </c>
      <c r="N162" s="227">
        <f t="shared" si="24"/>
        <v>51042.923362010253</v>
      </c>
      <c r="O162" s="152">
        <f t="shared" si="25"/>
        <v>579046.06036201061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2275</v>
      </c>
      <c r="I163" s="152"/>
      <c r="J163" s="157"/>
      <c r="K163" s="157">
        <v>5800360286</v>
      </c>
      <c r="L163" s="227">
        <v>10221.386</v>
      </c>
      <c r="M163" s="157" t="str">
        <f>+'[1]รับ 0215'!$F$228</f>
        <v>GC 070215</v>
      </c>
      <c r="N163" s="227">
        <f t="shared" si="24"/>
        <v>40821.537362010255</v>
      </c>
      <c r="O163" s="152">
        <f t="shared" si="25"/>
        <v>568824.67436201056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2275</v>
      </c>
      <c r="I164" s="152"/>
      <c r="J164" s="157"/>
      <c r="K164" s="157">
        <v>5800360286</v>
      </c>
      <c r="L164" s="227">
        <v>13755.322</v>
      </c>
      <c r="M164" s="157" t="str">
        <f>+'[1]รับ 0215'!$F$228</f>
        <v>GC 070215</v>
      </c>
      <c r="N164" s="227">
        <f t="shared" si="24"/>
        <v>27066.215362010254</v>
      </c>
      <c r="O164" s="152">
        <f t="shared" si="25"/>
        <v>555069.35236201051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2275</v>
      </c>
      <c r="I165" s="152"/>
      <c r="J165" s="157"/>
      <c r="K165" s="157">
        <v>5800360286</v>
      </c>
      <c r="L165" s="227">
        <v>12634.073</v>
      </c>
      <c r="M165" s="157" t="str">
        <f>+'[1]รับ 0215'!$F$228</f>
        <v>GC 070215</v>
      </c>
      <c r="N165" s="227">
        <f t="shared" si="24"/>
        <v>14432.142362010254</v>
      </c>
      <c r="O165" s="152">
        <f t="shared" si="25"/>
        <v>542435.27936201054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2275</v>
      </c>
      <c r="I166" s="152"/>
      <c r="J166" s="157"/>
      <c r="K166" s="157">
        <v>5800360286</v>
      </c>
      <c r="L166" s="227">
        <v>10541.743</v>
      </c>
      <c r="M166" s="157" t="str">
        <f>+'[1]รับ 0215'!$F$228</f>
        <v>GC 070215</v>
      </c>
      <c r="N166" s="227">
        <f t="shared" si="24"/>
        <v>3890.3993620102538</v>
      </c>
      <c r="O166" s="152">
        <f t="shared" si="25"/>
        <v>531893.53636201052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2275</v>
      </c>
      <c r="I167" s="152"/>
      <c r="J167" s="157"/>
      <c r="K167" s="157">
        <v>5800360286</v>
      </c>
      <c r="L167" s="227">
        <v>3890.3993620102538</v>
      </c>
      <c r="M167" s="157" t="str">
        <f>+'[1]รับ 0215'!$F$228</f>
        <v>GC 070215</v>
      </c>
      <c r="N167" s="227">
        <f t="shared" si="24"/>
        <v>0</v>
      </c>
      <c r="O167" s="152">
        <f t="shared" si="25"/>
        <v>528003.13700000022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2275</v>
      </c>
      <c r="I168" s="152"/>
      <c r="J168" s="157"/>
      <c r="K168" s="157">
        <v>5800360286</v>
      </c>
      <c r="L168" s="227">
        <v>10825.993637989701</v>
      </c>
      <c r="M168" s="157" t="str">
        <f>+'[1]รับ 0215'!$F$230</f>
        <v>GC 090215</v>
      </c>
      <c r="N168" s="227">
        <f>G136+G146+G160+N167-I168-L168</f>
        <v>322663.09536201024</v>
      </c>
      <c r="O168" s="152">
        <f t="shared" ref="O168:O173" si="26">O167+G168-I168-L168</f>
        <v>517177.14336201054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2275</v>
      </c>
      <c r="I169" s="152"/>
      <c r="J169" s="157"/>
      <c r="K169" s="157">
        <v>5800360286</v>
      </c>
      <c r="L169" s="227">
        <v>11117.384</v>
      </c>
      <c r="M169" s="157" t="str">
        <f>+'[1]รับ 0215'!$F$230</f>
        <v>GC 090215</v>
      </c>
      <c r="N169" s="227">
        <f t="shared" ref="N169:N173" si="27">+N168-I169-L169</f>
        <v>311545.71136201022</v>
      </c>
      <c r="O169" s="152">
        <f t="shared" si="26"/>
        <v>506059.75936201052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2275</v>
      </c>
      <c r="I170" s="152"/>
      <c r="J170" s="157"/>
      <c r="K170" s="157">
        <v>5800360286</v>
      </c>
      <c r="L170" s="227">
        <v>76635.365999999995</v>
      </c>
      <c r="M170" s="157" t="str">
        <f>+'[1]รับ 0215'!$F$230</f>
        <v>GC 090215</v>
      </c>
      <c r="N170" s="227">
        <f t="shared" si="27"/>
        <v>234910.34536201024</v>
      </c>
      <c r="O170" s="152">
        <f t="shared" si="26"/>
        <v>429424.39336201054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2275</v>
      </c>
      <c r="I171" s="152"/>
      <c r="J171" s="157"/>
      <c r="K171" s="157">
        <v>5800360286</v>
      </c>
      <c r="L171" s="227">
        <v>10881.120999999999</v>
      </c>
      <c r="M171" s="157" t="str">
        <f>+'[1]รับ 0215'!$F$230</f>
        <v>GC 090215</v>
      </c>
      <c r="N171" s="227">
        <f t="shared" si="27"/>
        <v>224029.22436201025</v>
      </c>
      <c r="O171" s="152">
        <f t="shared" si="26"/>
        <v>418543.27236201055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2275</v>
      </c>
      <c r="I172" s="152"/>
      <c r="J172" s="157"/>
      <c r="K172" s="157">
        <v>5800360286</v>
      </c>
      <c r="L172" s="227">
        <v>12595.03</v>
      </c>
      <c r="M172" s="157" t="str">
        <f>+'[1]รับ 0215'!$F$230</f>
        <v>GC 090215</v>
      </c>
      <c r="N172" s="227">
        <f t="shared" si="27"/>
        <v>211434.19436201025</v>
      </c>
      <c r="O172" s="152">
        <f t="shared" si="26"/>
        <v>405948.24236201053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2275</v>
      </c>
      <c r="I173" s="152"/>
      <c r="J173" s="157"/>
      <c r="K173" s="157">
        <v>5800360286</v>
      </c>
      <c r="L173" s="227">
        <v>3293.6689999999999</v>
      </c>
      <c r="M173" s="157" t="str">
        <f>+'[1]รับ 0215'!$F$230</f>
        <v>GC 090215</v>
      </c>
      <c r="N173" s="227">
        <f t="shared" si="27"/>
        <v>208140.52536201026</v>
      </c>
      <c r="O173" s="152">
        <f t="shared" si="26"/>
        <v>402654.57336201053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2275</v>
      </c>
      <c r="I174" s="152"/>
      <c r="J174" s="157"/>
      <c r="K174" s="157">
        <v>5800360286</v>
      </c>
      <c r="L174" s="227">
        <v>14972.678</v>
      </c>
      <c r="M174" s="157" t="str">
        <f>+'[1]รับ 0215'!$F$230</f>
        <v>GC 090215</v>
      </c>
      <c r="N174" s="227">
        <f t="shared" si="24"/>
        <v>193167.84736201027</v>
      </c>
      <c r="O174" s="152">
        <f t="shared" si="25"/>
        <v>387681.89536201052</v>
      </c>
    </row>
    <row r="175" spans="1:15" x14ac:dyDescent="0.15">
      <c r="A175" s="154"/>
      <c r="B175" s="151"/>
      <c r="C175" s="152"/>
      <c r="D175" s="323" t="s">
        <v>2276</v>
      </c>
      <c r="E175" s="154" t="s">
        <v>72</v>
      </c>
      <c r="F175" s="157" t="str">
        <f>+'[1]รับ 0215'!$F$233</f>
        <v>TOP 100215</v>
      </c>
      <c r="G175" s="152">
        <f>+'[1]รับ 0215'!$D$234</f>
        <v>88000.91399999999</v>
      </c>
      <c r="H175" s="323" t="s">
        <v>2276</v>
      </c>
      <c r="I175" s="152">
        <v>16317.138999999999</v>
      </c>
      <c r="J175" s="157" t="str">
        <f>+'[1]รับ 0215'!$F$230</f>
        <v>GC 090215</v>
      </c>
      <c r="K175" s="157">
        <v>5800360286</v>
      </c>
      <c r="L175" s="227">
        <v>14101.839</v>
      </c>
      <c r="M175" s="157" t="str">
        <f>+'[1]รับ 0215'!$F$230</f>
        <v>GC 090215</v>
      </c>
      <c r="N175" s="227">
        <f t="shared" si="24"/>
        <v>162748.86936201027</v>
      </c>
      <c r="O175" s="152">
        <f t="shared" si="25"/>
        <v>445263.8313620105</v>
      </c>
    </row>
    <row r="176" spans="1:15" x14ac:dyDescent="0.15">
      <c r="A176" s="154"/>
      <c r="B176" s="151"/>
      <c r="C176" s="152"/>
      <c r="D176" s="323" t="s">
        <v>2276</v>
      </c>
      <c r="E176" s="154" t="s">
        <v>72</v>
      </c>
      <c r="F176" s="157" t="str">
        <f>+'[1]รับ 0215'!$F$235</f>
        <v>GC 120215</v>
      </c>
      <c r="G176" s="152">
        <f>+'[1]รับ 0215'!$D$235</f>
        <v>219984.53599999999</v>
      </c>
      <c r="H176" s="323" t="s">
        <v>2276</v>
      </c>
      <c r="I176" s="152"/>
      <c r="J176" s="157"/>
      <c r="K176" s="157">
        <v>5800360286</v>
      </c>
      <c r="L176" s="227">
        <v>9103.7440000000006</v>
      </c>
      <c r="M176" s="157" t="str">
        <f>+'[1]รับ 0215'!$F$230</f>
        <v>GC 090215</v>
      </c>
      <c r="N176" s="227">
        <f t="shared" si="24"/>
        <v>153645.12536201027</v>
      </c>
      <c r="O176" s="152">
        <f t="shared" si="25"/>
        <v>656144.62336201058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2276</v>
      </c>
      <c r="I177" s="152"/>
      <c r="J177" s="157"/>
      <c r="K177" s="157">
        <v>5800360286</v>
      </c>
      <c r="L177" s="227">
        <v>13521.9</v>
      </c>
      <c r="M177" s="157" t="str">
        <f>+'[1]รับ 0215'!$F$230</f>
        <v>GC 090215</v>
      </c>
      <c r="N177" s="227">
        <f t="shared" si="24"/>
        <v>140123.22536201027</v>
      </c>
      <c r="O177" s="152">
        <f t="shared" si="25"/>
        <v>642622.72336201055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2276</v>
      </c>
      <c r="I178" s="152"/>
      <c r="J178" s="157"/>
      <c r="K178" s="157">
        <v>5800360286</v>
      </c>
      <c r="L178" s="227">
        <v>15093.445</v>
      </c>
      <c r="M178" s="157" t="str">
        <f>+'[1]รับ 0215'!$F$230</f>
        <v>GC 090215</v>
      </c>
      <c r="N178" s="227">
        <f t="shared" si="24"/>
        <v>125029.78036201026</v>
      </c>
      <c r="O178" s="152">
        <f t="shared" si="25"/>
        <v>627529.27836201061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2276</v>
      </c>
      <c r="I179" s="152"/>
      <c r="J179" s="157"/>
      <c r="K179" s="157">
        <v>5800360286</v>
      </c>
      <c r="L179" s="227">
        <v>17678.632000000001</v>
      </c>
      <c r="M179" s="157" t="str">
        <f>+'[1]รับ 0215'!$F$230</f>
        <v>GC 090215</v>
      </c>
      <c r="N179" s="227">
        <f t="shared" si="24"/>
        <v>107351.14836201027</v>
      </c>
      <c r="O179" s="152">
        <f t="shared" si="25"/>
        <v>609850.64636201062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2276</v>
      </c>
      <c r="I180" s="152"/>
      <c r="J180" s="157"/>
      <c r="K180" s="157">
        <v>5800360286</v>
      </c>
      <c r="L180" s="227">
        <v>10285.659</v>
      </c>
      <c r="M180" s="157" t="str">
        <f>+'[1]รับ 0215'!$F$230</f>
        <v>GC 090215</v>
      </c>
      <c r="N180" s="227">
        <f t="shared" si="24"/>
        <v>97065.489362010267</v>
      </c>
      <c r="O180" s="152">
        <f t="shared" si="25"/>
        <v>599564.98736201064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2276</v>
      </c>
      <c r="I181" s="152"/>
      <c r="J181" s="157"/>
      <c r="K181" s="157">
        <v>5800360286</v>
      </c>
      <c r="L181" s="227">
        <v>64780.919000000002</v>
      </c>
      <c r="M181" s="157" t="str">
        <f>+'[1]รับ 0215'!$F$230</f>
        <v>GC 090215</v>
      </c>
      <c r="N181" s="227">
        <f t="shared" si="24"/>
        <v>32284.570362010265</v>
      </c>
      <c r="O181" s="152">
        <f t="shared" si="25"/>
        <v>534784.06836201064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2276</v>
      </c>
      <c r="I182" s="152"/>
      <c r="J182" s="157"/>
      <c r="K182" s="157">
        <v>5800360286</v>
      </c>
      <c r="L182" s="227">
        <v>13953.599</v>
      </c>
      <c r="M182" s="157" t="str">
        <f>+'[1]รับ 0215'!$F$230</f>
        <v>GC 090215</v>
      </c>
      <c r="N182" s="227">
        <f t="shared" si="24"/>
        <v>18330.971362010263</v>
      </c>
      <c r="O182" s="152">
        <f t="shared" si="25"/>
        <v>520830.46936201066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2276</v>
      </c>
      <c r="I183" s="152"/>
      <c r="J183" s="157"/>
      <c r="K183" s="157">
        <v>5800360286</v>
      </c>
      <c r="L183" s="227">
        <v>18330.971362010263</v>
      </c>
      <c r="M183" s="157" t="str">
        <f>+'[1]รับ 0215'!$F$230</f>
        <v>GC 090215</v>
      </c>
      <c r="N183" s="227">
        <f t="shared" si="24"/>
        <v>0</v>
      </c>
      <c r="O183" s="152">
        <f t="shared" si="25"/>
        <v>502499.49800000037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2276</v>
      </c>
      <c r="I184" s="152"/>
      <c r="J184" s="157"/>
      <c r="K184" s="157">
        <v>5800360268</v>
      </c>
      <c r="L184" s="227">
        <v>59965.837637989702</v>
      </c>
      <c r="M184" s="157" t="str">
        <f>+'[1]รับ 0215'!$F$233</f>
        <v>TOP 100215</v>
      </c>
      <c r="N184" s="227">
        <f>G161+G175+N183-I184-L184</f>
        <v>222549.12436201031</v>
      </c>
      <c r="O184" s="152">
        <f t="shared" ref="O184:O188" si="28">O183+G184-I184-L184</f>
        <v>442533.66036201065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2276</v>
      </c>
      <c r="I185" s="152"/>
      <c r="J185" s="157"/>
      <c r="K185" s="157">
        <v>5800360268</v>
      </c>
      <c r="L185" s="227">
        <v>74093.001000000004</v>
      </c>
      <c r="M185" s="157" t="str">
        <f>+'[1]รับ 0215'!$F$233</f>
        <v>TOP 100215</v>
      </c>
      <c r="N185" s="227">
        <f t="shared" ref="N185:N188" si="29">+N184-I185-L185</f>
        <v>148456.12336201029</v>
      </c>
      <c r="O185" s="152">
        <f t="shared" si="28"/>
        <v>368440.65936201066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2276</v>
      </c>
      <c r="I186" s="152"/>
      <c r="J186" s="157"/>
      <c r="K186" s="157">
        <v>5800360268</v>
      </c>
      <c r="L186" s="227">
        <v>71966.557000000001</v>
      </c>
      <c r="M186" s="157" t="str">
        <f>+'[1]รับ 0215'!$F$233</f>
        <v>TOP 100215</v>
      </c>
      <c r="N186" s="227">
        <f t="shared" si="29"/>
        <v>76489.566362010286</v>
      </c>
      <c r="O186" s="152">
        <f t="shared" si="28"/>
        <v>296474.10236201063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2276</v>
      </c>
      <c r="I187" s="152"/>
      <c r="J187" s="157"/>
      <c r="K187" s="157">
        <v>5800360268</v>
      </c>
      <c r="L187" s="227">
        <v>5229</v>
      </c>
      <c r="M187" s="157" t="str">
        <f>+'[1]รับ 0215'!$F$233</f>
        <v>TOP 100215</v>
      </c>
      <c r="N187" s="227">
        <f t="shared" si="29"/>
        <v>71260.566362010286</v>
      </c>
      <c r="O187" s="152">
        <f t="shared" si="28"/>
        <v>291245.10236201063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2276</v>
      </c>
      <c r="I188" s="152"/>
      <c r="J188" s="157"/>
      <c r="K188" s="157">
        <v>5800360268</v>
      </c>
      <c r="L188" s="227">
        <v>14280</v>
      </c>
      <c r="M188" s="157" t="str">
        <f>+'[1]รับ 0215'!$F$233</f>
        <v>TOP 100215</v>
      </c>
      <c r="N188" s="227">
        <f t="shared" si="29"/>
        <v>56980.566362010286</v>
      </c>
      <c r="O188" s="152">
        <f t="shared" si="28"/>
        <v>276965.10236201063</v>
      </c>
    </row>
    <row r="189" spans="1:15" x14ac:dyDescent="0.15">
      <c r="A189" s="154"/>
      <c r="B189" s="151"/>
      <c r="C189" s="152"/>
      <c r="D189" s="323" t="s">
        <v>2277</v>
      </c>
      <c r="E189" s="154" t="s">
        <v>72</v>
      </c>
      <c r="F189" s="157" t="str">
        <f>+'[1]รับ 0215'!$F$235</f>
        <v>GC 120215</v>
      </c>
      <c r="G189" s="152">
        <f>+'[1]รับ 0215'!$D$236</f>
        <v>44000.000000000029</v>
      </c>
      <c r="H189" s="323" t="s">
        <v>2277</v>
      </c>
      <c r="I189" s="152">
        <v>17274.938000000002</v>
      </c>
      <c r="J189" s="157" t="str">
        <f>+'[1]รับ 0215'!$F$233</f>
        <v>TOP 100215</v>
      </c>
      <c r="K189" s="157">
        <v>5800360268</v>
      </c>
      <c r="L189" s="227">
        <v>30651.304</v>
      </c>
      <c r="M189" s="157" t="str">
        <f>+'[1]รับ 0215'!$F$233</f>
        <v>TOP 100215</v>
      </c>
      <c r="N189" s="227">
        <f t="shared" si="24"/>
        <v>9054.3243620102839</v>
      </c>
      <c r="O189" s="152">
        <f t="shared" si="25"/>
        <v>273038.8603620106</v>
      </c>
    </row>
    <row r="190" spans="1:15" x14ac:dyDescent="0.15">
      <c r="A190" s="154"/>
      <c r="B190" s="151"/>
      <c r="C190" s="152"/>
      <c r="D190" s="323" t="s">
        <v>2277</v>
      </c>
      <c r="E190" s="154" t="s">
        <v>72</v>
      </c>
      <c r="F190" s="157" t="str">
        <f>+'[1]รับ 0215'!$F$237</f>
        <v>TOP 130215</v>
      </c>
      <c r="G190" s="152">
        <f>+'[1]รับ 0215'!$D$237</f>
        <v>352036.09100000001</v>
      </c>
      <c r="H190" s="323" t="s">
        <v>2277</v>
      </c>
      <c r="I190" s="152"/>
      <c r="J190" s="157"/>
      <c r="K190" s="157">
        <v>5800360268</v>
      </c>
      <c r="L190" s="227">
        <v>9054.3243620102839</v>
      </c>
      <c r="M190" s="157" t="str">
        <f>+'[1]รับ 0215'!$F$233</f>
        <v>TOP 100215</v>
      </c>
      <c r="N190" s="227">
        <f t="shared" si="24"/>
        <v>0</v>
      </c>
      <c r="O190" s="152">
        <f t="shared" si="25"/>
        <v>616020.62700000033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2277</v>
      </c>
      <c r="I191" s="152"/>
      <c r="J191" s="157"/>
      <c r="K191" s="157">
        <v>5800360286</v>
      </c>
      <c r="L191" s="227">
        <v>4752.7946379897203</v>
      </c>
      <c r="M191" s="157" t="str">
        <f>+'[1]รับ 0215'!$F$235</f>
        <v>GC 120215</v>
      </c>
      <c r="N191" s="227">
        <f>G176+G189+N190-I191-L191</f>
        <v>259231.7413620103</v>
      </c>
      <c r="O191" s="152">
        <f t="shared" ref="O191:O197" si="30">O190+G191-I191-L191</f>
        <v>611267.83236201061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2277</v>
      </c>
      <c r="I192" s="152"/>
      <c r="J192" s="157"/>
      <c r="K192" s="157">
        <v>5800360286</v>
      </c>
      <c r="L192" s="227">
        <v>13657.772000000001</v>
      </c>
      <c r="M192" s="157" t="str">
        <f>+'[1]รับ 0215'!$F$235</f>
        <v>GC 120215</v>
      </c>
      <c r="N192" s="227">
        <f t="shared" ref="N192:N197" si="31">+N191-I192-L192</f>
        <v>245573.96936201031</v>
      </c>
      <c r="O192" s="152">
        <f t="shared" si="30"/>
        <v>597610.06036201061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2277</v>
      </c>
      <c r="I193" s="152"/>
      <c r="J193" s="157"/>
      <c r="K193" s="157">
        <v>5800360286</v>
      </c>
      <c r="L193" s="227">
        <v>12168.307000000001</v>
      </c>
      <c r="M193" s="157" t="str">
        <f>+'[1]รับ 0215'!$F$235</f>
        <v>GC 120215</v>
      </c>
      <c r="N193" s="227">
        <f t="shared" si="31"/>
        <v>233405.66236201031</v>
      </c>
      <c r="O193" s="152">
        <f t="shared" si="30"/>
        <v>585441.75336201058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2277</v>
      </c>
      <c r="I194" s="152"/>
      <c r="J194" s="157"/>
      <c r="K194" s="157">
        <v>5800360286</v>
      </c>
      <c r="L194" s="227">
        <v>8532.85</v>
      </c>
      <c r="M194" s="157" t="str">
        <f>+'[1]รับ 0215'!$F$235</f>
        <v>GC 120215</v>
      </c>
      <c r="N194" s="227">
        <f t="shared" si="31"/>
        <v>224872.8123620103</v>
      </c>
      <c r="O194" s="152">
        <f t="shared" si="30"/>
        <v>576908.90336201061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2277</v>
      </c>
      <c r="I195" s="152"/>
      <c r="J195" s="157"/>
      <c r="K195" s="157">
        <v>5800360286</v>
      </c>
      <c r="L195" s="227">
        <v>14393.483</v>
      </c>
      <c r="M195" s="157" t="str">
        <f>+'[1]รับ 0215'!$F$235</f>
        <v>GC 120215</v>
      </c>
      <c r="N195" s="227">
        <f t="shared" si="31"/>
        <v>210479.32936201029</v>
      </c>
      <c r="O195" s="152">
        <f t="shared" si="30"/>
        <v>562515.4203620106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2277</v>
      </c>
      <c r="I196" s="152"/>
      <c r="J196" s="157"/>
      <c r="K196" s="157">
        <v>5800360286</v>
      </c>
      <c r="L196" s="227">
        <v>11864.601000000001</v>
      </c>
      <c r="M196" s="157" t="str">
        <f>+'[1]รับ 0215'!$F$235</f>
        <v>GC 120215</v>
      </c>
      <c r="N196" s="227">
        <f t="shared" si="31"/>
        <v>198614.7283620103</v>
      </c>
      <c r="O196" s="152">
        <f t="shared" si="30"/>
        <v>550650.81936201057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2277</v>
      </c>
      <c r="I197" s="152"/>
      <c r="J197" s="157"/>
      <c r="K197" s="157">
        <v>5800360286</v>
      </c>
      <c r="L197" s="227">
        <v>12942.107</v>
      </c>
      <c r="M197" s="157" t="str">
        <f>+'[1]รับ 0215'!$F$235</f>
        <v>GC 120215</v>
      </c>
      <c r="N197" s="227">
        <f t="shared" si="31"/>
        <v>185672.62136201031</v>
      </c>
      <c r="O197" s="152">
        <f t="shared" si="30"/>
        <v>537708.71236201061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2277</v>
      </c>
      <c r="I198" s="152"/>
      <c r="J198" s="157"/>
      <c r="K198" s="157">
        <v>5800360286</v>
      </c>
      <c r="L198" s="227">
        <v>10033.34</v>
      </c>
      <c r="M198" s="157" t="str">
        <f>+'[1]รับ 0215'!$F$235</f>
        <v>GC 120215</v>
      </c>
      <c r="N198" s="227">
        <f t="shared" si="24"/>
        <v>175639.28136201031</v>
      </c>
      <c r="O198" s="152">
        <f t="shared" si="25"/>
        <v>527675.37236201065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2277</v>
      </c>
      <c r="I199" s="152"/>
      <c r="J199" s="157"/>
      <c r="K199" s="157">
        <v>5800360286</v>
      </c>
      <c r="L199" s="227">
        <v>15970.151</v>
      </c>
      <c r="M199" s="157" t="str">
        <f>+'[1]รับ 0215'!$F$235</f>
        <v>GC 120215</v>
      </c>
      <c r="N199" s="227">
        <f t="shared" si="24"/>
        <v>159669.1303620103</v>
      </c>
      <c r="O199" s="152">
        <f t="shared" si="25"/>
        <v>511705.22136201063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2277</v>
      </c>
      <c r="I200" s="152"/>
      <c r="J200" s="157"/>
      <c r="K200" s="157">
        <v>5800360286</v>
      </c>
      <c r="L200" s="227">
        <v>10901.36</v>
      </c>
      <c r="M200" s="157" t="str">
        <f>+'[1]รับ 0215'!$F$235</f>
        <v>GC 120215</v>
      </c>
      <c r="N200" s="227">
        <f t="shared" si="24"/>
        <v>148767.77036201028</v>
      </c>
      <c r="O200" s="152">
        <f t="shared" si="25"/>
        <v>500803.86136201065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2277</v>
      </c>
      <c r="I201" s="152"/>
      <c r="J201" s="157"/>
      <c r="K201" s="157">
        <v>5800360286</v>
      </c>
      <c r="L201" s="227">
        <v>11980.870999999999</v>
      </c>
      <c r="M201" s="157" t="str">
        <f>+'[1]รับ 0215'!$F$235</f>
        <v>GC 120215</v>
      </c>
      <c r="N201" s="227">
        <f t="shared" si="24"/>
        <v>136786.8993620103</v>
      </c>
      <c r="O201" s="152">
        <f t="shared" si="25"/>
        <v>488822.99036201066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2277</v>
      </c>
      <c r="I202" s="152"/>
      <c r="J202" s="157"/>
      <c r="K202" s="157">
        <v>5800360286</v>
      </c>
      <c r="L202" s="227">
        <v>15876.933999999999</v>
      </c>
      <c r="M202" s="157" t="str">
        <f>+'[1]รับ 0215'!$F$235</f>
        <v>GC 120215</v>
      </c>
      <c r="N202" s="227">
        <f t="shared" si="24"/>
        <v>120909.96536201031</v>
      </c>
      <c r="O202" s="152">
        <f t="shared" si="25"/>
        <v>472946.05636201065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2277</v>
      </c>
      <c r="I203" s="152"/>
      <c r="J203" s="157"/>
      <c r="K203" s="157">
        <v>5800360286</v>
      </c>
      <c r="L203" s="227">
        <v>12579.263000000001</v>
      </c>
      <c r="M203" s="157" t="str">
        <f>+'[1]รับ 0215'!$F$235</f>
        <v>GC 120215</v>
      </c>
      <c r="N203" s="227">
        <f t="shared" si="24"/>
        <v>108330.7023620103</v>
      </c>
      <c r="O203" s="152">
        <f t="shared" si="25"/>
        <v>460366.79336201068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2277</v>
      </c>
      <c r="I204" s="152"/>
      <c r="J204" s="157"/>
      <c r="K204" s="157">
        <v>5800360286</v>
      </c>
      <c r="L204" s="227">
        <v>12879.963</v>
      </c>
      <c r="M204" s="157" t="str">
        <f>+'[1]รับ 0215'!$F$235</f>
        <v>GC 120215</v>
      </c>
      <c r="N204" s="227">
        <f t="shared" si="24"/>
        <v>95450.739362010296</v>
      </c>
      <c r="O204" s="152">
        <f t="shared" si="25"/>
        <v>447486.83036201069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2277</v>
      </c>
      <c r="I205" s="152"/>
      <c r="J205" s="157"/>
      <c r="K205" s="157">
        <v>5800360286</v>
      </c>
      <c r="L205" s="227">
        <v>9116.6190000000006</v>
      </c>
      <c r="M205" s="157" t="str">
        <f>+'[1]รับ 0215'!$F$235</f>
        <v>GC 120215</v>
      </c>
      <c r="N205" s="227">
        <f t="shared" si="24"/>
        <v>86334.12036201029</v>
      </c>
      <c r="O205" s="152">
        <f t="shared" si="25"/>
        <v>438370.21136201068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2277</v>
      </c>
      <c r="I206" s="152"/>
      <c r="J206" s="157"/>
      <c r="K206" s="157">
        <v>5800360286</v>
      </c>
      <c r="L206" s="227">
        <v>1944.9849999999999</v>
      </c>
      <c r="M206" s="157" t="str">
        <f>+'[1]รับ 0215'!$F$235</f>
        <v>GC 120215</v>
      </c>
      <c r="N206" s="227">
        <f t="shared" si="24"/>
        <v>84389.135362010289</v>
      </c>
      <c r="O206" s="152">
        <f t="shared" si="25"/>
        <v>436425.2263620107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2277</v>
      </c>
      <c r="I207" s="152"/>
      <c r="J207" s="157"/>
      <c r="K207" s="157">
        <v>5800360286</v>
      </c>
      <c r="L207" s="227">
        <v>13315.745999999999</v>
      </c>
      <c r="M207" s="157" t="str">
        <f>+'[1]รับ 0215'!$F$235</f>
        <v>GC 120215</v>
      </c>
      <c r="N207" s="227">
        <f t="shared" si="24"/>
        <v>71073.38936201029</v>
      </c>
      <c r="O207" s="152">
        <f t="shared" si="25"/>
        <v>423109.48036201071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2277</v>
      </c>
      <c r="I208" s="152"/>
      <c r="J208" s="157"/>
      <c r="K208" s="157">
        <v>5800360286</v>
      </c>
      <c r="L208" s="227">
        <v>15451.829</v>
      </c>
      <c r="M208" s="157" t="str">
        <f>+'[1]รับ 0215'!$F$235</f>
        <v>GC 120215</v>
      </c>
      <c r="N208" s="227">
        <f t="shared" si="24"/>
        <v>55621.560362010292</v>
      </c>
      <c r="O208" s="152">
        <f t="shared" si="25"/>
        <v>407657.65136201069</v>
      </c>
    </row>
    <row r="209" spans="1:15" x14ac:dyDescent="0.15">
      <c r="A209" s="154"/>
      <c r="B209" s="151"/>
      <c r="C209" s="152"/>
      <c r="D209" s="323" t="s">
        <v>2278</v>
      </c>
      <c r="E209" s="154" t="s">
        <v>72</v>
      </c>
      <c r="F209" s="157" t="str">
        <f>+'[1]รับ 0215'!$F$237</f>
        <v>TOP 130215</v>
      </c>
      <c r="G209" s="152">
        <f>+'[1]รับ 0215'!$D$238</f>
        <v>132012.77399999998</v>
      </c>
      <c r="H209" s="323" t="s">
        <v>2278</v>
      </c>
      <c r="I209" s="152">
        <v>11653.488000000001</v>
      </c>
      <c r="J209" s="157" t="str">
        <f>+'[1]รับ 0215'!$F$235</f>
        <v>GC 120215</v>
      </c>
      <c r="K209" s="157">
        <v>5800360286</v>
      </c>
      <c r="L209" s="227">
        <v>13363.534</v>
      </c>
      <c r="M209" s="157" t="str">
        <f>+'[1]รับ 0215'!$F$235</f>
        <v>GC 120215</v>
      </c>
      <c r="N209" s="227">
        <f t="shared" si="24"/>
        <v>30604.538362010295</v>
      </c>
      <c r="O209" s="152">
        <f t="shared" si="25"/>
        <v>514653.40336201072</v>
      </c>
    </row>
    <row r="210" spans="1:15" x14ac:dyDescent="0.15">
      <c r="A210" s="154"/>
      <c r="B210" s="151"/>
      <c r="C210" s="152"/>
      <c r="D210" s="323" t="s">
        <v>2278</v>
      </c>
      <c r="E210" s="154" t="s">
        <v>72</v>
      </c>
      <c r="F210" s="157" t="str">
        <f>+'[1]รับ 0215'!$F$239</f>
        <v>GC 140215</v>
      </c>
      <c r="G210" s="152">
        <f>+'[1]รับ 0215'!$D$239</f>
        <v>132075.81400000001</v>
      </c>
      <c r="H210" s="323" t="s">
        <v>2278</v>
      </c>
      <c r="I210" s="152"/>
      <c r="J210" s="157"/>
      <c r="K210" s="157">
        <v>5800360286</v>
      </c>
      <c r="L210" s="227">
        <v>12841.004999999999</v>
      </c>
      <c r="M210" s="157" t="str">
        <f>+'[1]รับ 0215'!$F$235</f>
        <v>GC 120215</v>
      </c>
      <c r="N210" s="227">
        <f t="shared" si="24"/>
        <v>17763.533362010297</v>
      </c>
      <c r="O210" s="152">
        <f t="shared" si="25"/>
        <v>633888.21236201073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2278</v>
      </c>
      <c r="I211" s="152"/>
      <c r="J211" s="157"/>
      <c r="K211" s="157">
        <v>5800360286</v>
      </c>
      <c r="L211" s="227">
        <v>13110.278</v>
      </c>
      <c r="M211" s="157" t="str">
        <f>+'[1]รับ 0215'!$F$235</f>
        <v>GC 120215</v>
      </c>
      <c r="N211" s="227">
        <f t="shared" ref="N211:N277" si="32">+N210-I211-L211</f>
        <v>4653.2553620102972</v>
      </c>
      <c r="O211" s="152">
        <f t="shared" ref="O211:O277" si="33">O210+G211-I211-L211</f>
        <v>620777.93436201068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2278</v>
      </c>
      <c r="I212" s="152"/>
      <c r="J212" s="157"/>
      <c r="K212" s="157">
        <v>5800360286</v>
      </c>
      <c r="L212" s="227">
        <v>4653.2553620102972</v>
      </c>
      <c r="M212" s="157" t="str">
        <f>+'[1]รับ 0215'!$F$235</f>
        <v>GC 120215</v>
      </c>
      <c r="N212" s="227">
        <f t="shared" ref="N212:N217" si="34">+N211-I212-L212</f>
        <v>0</v>
      </c>
      <c r="O212" s="152">
        <f t="shared" ref="O212:O217" si="35">O211+G212-I212-L212</f>
        <v>616124.67900000035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2278</v>
      </c>
      <c r="I213" s="152"/>
      <c r="J213" s="157"/>
      <c r="K213" s="157">
        <v>5800360268</v>
      </c>
      <c r="L213" s="227">
        <v>11162.762637989699</v>
      </c>
      <c r="M213" s="157" t="str">
        <f>+'[1]รับ 0215'!$F$237</f>
        <v>TOP 130215</v>
      </c>
      <c r="N213" s="227">
        <f>G190+G209+N212-I213-L213</f>
        <v>472886.10236201028</v>
      </c>
      <c r="O213" s="152">
        <f t="shared" si="35"/>
        <v>604961.91636201064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2278</v>
      </c>
      <c r="I214" s="152"/>
      <c r="J214" s="157"/>
      <c r="K214" s="157">
        <v>5800360268</v>
      </c>
      <c r="L214" s="227">
        <v>14216.397999999999</v>
      </c>
      <c r="M214" s="157" t="str">
        <f>+'[1]รับ 0215'!$F$237</f>
        <v>TOP 130215</v>
      </c>
      <c r="N214" s="227">
        <f t="shared" si="34"/>
        <v>458669.70436201029</v>
      </c>
      <c r="O214" s="152">
        <f t="shared" si="35"/>
        <v>590745.5183620106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2278</v>
      </c>
      <c r="I215" s="152"/>
      <c r="J215" s="157"/>
      <c r="K215" s="157">
        <v>5800360268</v>
      </c>
      <c r="L215" s="227">
        <v>14905.094999999999</v>
      </c>
      <c r="M215" s="157" t="str">
        <f>+'[1]รับ 0215'!$F$237</f>
        <v>TOP 130215</v>
      </c>
      <c r="N215" s="227">
        <f t="shared" si="34"/>
        <v>443764.60936201032</v>
      </c>
      <c r="O215" s="152">
        <f t="shared" si="35"/>
        <v>575840.42336201062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2278</v>
      </c>
      <c r="I216" s="152"/>
      <c r="J216" s="157"/>
      <c r="K216" s="157">
        <v>5800360268</v>
      </c>
      <c r="L216" s="227">
        <v>10881.02</v>
      </c>
      <c r="M216" s="157" t="str">
        <f>+'[1]รับ 0215'!$F$237</f>
        <v>TOP 130215</v>
      </c>
      <c r="N216" s="227">
        <f t="shared" si="34"/>
        <v>432883.5893620103</v>
      </c>
      <c r="O216" s="152">
        <f t="shared" si="35"/>
        <v>564959.40336201061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2278</v>
      </c>
      <c r="I217" s="152"/>
      <c r="J217" s="157"/>
      <c r="K217" s="157">
        <v>5800360268</v>
      </c>
      <c r="L217" s="227">
        <v>13583.757</v>
      </c>
      <c r="M217" s="157" t="str">
        <f>+'[1]รับ 0215'!$F$237</f>
        <v>TOP 130215</v>
      </c>
      <c r="N217" s="227">
        <f t="shared" si="34"/>
        <v>419299.83236201032</v>
      </c>
      <c r="O217" s="152">
        <f t="shared" si="35"/>
        <v>551375.64636201062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2278</v>
      </c>
      <c r="I218" s="152"/>
      <c r="J218" s="157"/>
      <c r="K218" s="157">
        <v>5800360268</v>
      </c>
      <c r="L218" s="227">
        <v>254.10300000000001</v>
      </c>
      <c r="M218" s="157" t="str">
        <f>+'[1]รับ 0215'!$F$237</f>
        <v>TOP 130215</v>
      </c>
      <c r="N218" s="227">
        <f t="shared" si="32"/>
        <v>419045.72936201032</v>
      </c>
      <c r="O218" s="152">
        <f t="shared" si="33"/>
        <v>551121.54336201062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2278</v>
      </c>
      <c r="I219" s="152"/>
      <c r="J219" s="157"/>
      <c r="K219" s="157">
        <v>5800360268</v>
      </c>
      <c r="L219" s="227">
        <v>11020.467000000001</v>
      </c>
      <c r="M219" s="157" t="str">
        <f>+'[1]รับ 0215'!$F$237</f>
        <v>TOP 130215</v>
      </c>
      <c r="N219" s="227">
        <f t="shared" si="32"/>
        <v>408025.26236201031</v>
      </c>
      <c r="O219" s="152">
        <f t="shared" si="33"/>
        <v>540101.07636201067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2278</v>
      </c>
      <c r="I220" s="152"/>
      <c r="J220" s="157"/>
      <c r="K220" s="157">
        <v>5800360268</v>
      </c>
      <c r="L220" s="227">
        <v>4206.7049999999999</v>
      </c>
      <c r="M220" s="157" t="str">
        <f>+'[1]รับ 0215'!$F$237</f>
        <v>TOP 130215</v>
      </c>
      <c r="N220" s="227">
        <f t="shared" si="32"/>
        <v>403818.5573620103</v>
      </c>
      <c r="O220" s="152">
        <f t="shared" si="33"/>
        <v>535894.37136201072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2278</v>
      </c>
      <c r="I221" s="152"/>
      <c r="J221" s="157"/>
      <c r="K221" s="157">
        <v>5800360268</v>
      </c>
      <c r="L221" s="227">
        <v>6876.7879999999996</v>
      </c>
      <c r="M221" s="157" t="str">
        <f>+'[1]รับ 0215'!$F$237</f>
        <v>TOP 130215</v>
      </c>
      <c r="N221" s="227">
        <f t="shared" si="32"/>
        <v>396941.76936201029</v>
      </c>
      <c r="O221" s="152">
        <f t="shared" si="33"/>
        <v>529017.58336201077</v>
      </c>
    </row>
    <row r="222" spans="1:15" x14ac:dyDescent="0.15">
      <c r="A222" s="154"/>
      <c r="B222" s="151"/>
      <c r="C222" s="152"/>
      <c r="D222" s="323" t="s">
        <v>2279</v>
      </c>
      <c r="E222" s="154" t="s">
        <v>72</v>
      </c>
      <c r="F222" s="157" t="str">
        <f>+'[1]รับ 0215'!$F$239</f>
        <v>GC 140215</v>
      </c>
      <c r="G222" s="152">
        <f>+'[1]รับ 0215'!$D$240</f>
        <v>175975.84499999997</v>
      </c>
      <c r="H222" s="323" t="s">
        <v>2279</v>
      </c>
      <c r="I222" s="152">
        <v>13508.112000000001</v>
      </c>
      <c r="J222" s="157" t="str">
        <f>+'[1]รับ 0215'!$F$237</f>
        <v>TOP 130215</v>
      </c>
      <c r="K222" s="157">
        <v>5800360268</v>
      </c>
      <c r="L222" s="227">
        <v>14037.731</v>
      </c>
      <c r="M222" s="157" t="str">
        <f>+'[1]รับ 0215'!$F$237</f>
        <v>TOP 130215</v>
      </c>
      <c r="N222" s="227">
        <f t="shared" si="32"/>
        <v>369395.9263620103</v>
      </c>
      <c r="O222" s="152">
        <f t="shared" si="33"/>
        <v>677447.58536201075</v>
      </c>
    </row>
    <row r="223" spans="1:15" x14ac:dyDescent="0.15">
      <c r="A223" s="154"/>
      <c r="B223" s="151"/>
      <c r="C223" s="152"/>
      <c r="D223" s="323" t="s">
        <v>2279</v>
      </c>
      <c r="E223" s="154" t="s">
        <v>72</v>
      </c>
      <c r="F223" s="157" t="str">
        <f>+'[1]รับ 0215'!$F$241</f>
        <v>GC 150215</v>
      </c>
      <c r="G223" s="152">
        <f>+'[1]รับ 0215'!$D$241</f>
        <v>176042.54</v>
      </c>
      <c r="H223" s="323" t="s">
        <v>2279</v>
      </c>
      <c r="I223" s="152"/>
      <c r="J223" s="157"/>
      <c r="K223" s="157">
        <v>5800360268</v>
      </c>
      <c r="L223" s="227">
        <v>14449.397999999999</v>
      </c>
      <c r="M223" s="157" t="str">
        <f>+'[1]รับ 0215'!$F$237</f>
        <v>TOP 130215</v>
      </c>
      <c r="N223" s="227">
        <f t="shared" si="32"/>
        <v>354946.52836201031</v>
      </c>
      <c r="O223" s="152">
        <f t="shared" si="33"/>
        <v>839040.72736201074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2279</v>
      </c>
      <c r="I224" s="152"/>
      <c r="J224" s="157"/>
      <c r="K224" s="157">
        <v>5800360268</v>
      </c>
      <c r="L224" s="227">
        <v>15720.456</v>
      </c>
      <c r="M224" s="157" t="str">
        <f>+'[1]รับ 0215'!$F$237</f>
        <v>TOP 130215</v>
      </c>
      <c r="N224" s="227">
        <f t="shared" si="32"/>
        <v>339226.07236201031</v>
      </c>
      <c r="O224" s="152">
        <f t="shared" si="33"/>
        <v>823320.27136201074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2279</v>
      </c>
      <c r="I225" s="152"/>
      <c r="J225" s="157"/>
      <c r="K225" s="157">
        <v>5800360268</v>
      </c>
      <c r="L225" s="227">
        <v>8313.4619999999995</v>
      </c>
      <c r="M225" s="157" t="str">
        <f>+'[1]รับ 0215'!$F$237</f>
        <v>TOP 130215</v>
      </c>
      <c r="N225" s="227">
        <f t="shared" si="32"/>
        <v>330912.61036201031</v>
      </c>
      <c r="O225" s="152">
        <f t="shared" si="33"/>
        <v>815006.8093620108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2279</v>
      </c>
      <c r="I226" s="152"/>
      <c r="J226" s="157"/>
      <c r="K226" s="157">
        <v>5800360268</v>
      </c>
      <c r="L226" s="227">
        <v>14520.513000000001</v>
      </c>
      <c r="M226" s="157" t="str">
        <f>+'[1]รับ 0215'!$F$237</f>
        <v>TOP 130215</v>
      </c>
      <c r="N226" s="227">
        <f t="shared" si="32"/>
        <v>316392.09736201033</v>
      </c>
      <c r="O226" s="152">
        <f t="shared" si="33"/>
        <v>800486.29636201076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2279</v>
      </c>
      <c r="I227" s="152"/>
      <c r="J227" s="157"/>
      <c r="K227" s="157">
        <v>5800360268</v>
      </c>
      <c r="L227" s="227">
        <v>10385.816999999999</v>
      </c>
      <c r="M227" s="157" t="str">
        <f>+'[1]รับ 0215'!$F$237</f>
        <v>TOP 130215</v>
      </c>
      <c r="N227" s="227">
        <f t="shared" si="32"/>
        <v>306006.28036201035</v>
      </c>
      <c r="O227" s="152">
        <f t="shared" si="33"/>
        <v>790100.47936201072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2279</v>
      </c>
      <c r="I228" s="152"/>
      <c r="J228" s="157"/>
      <c r="K228" s="157">
        <v>5800360268</v>
      </c>
      <c r="L228" s="227">
        <v>12197.751</v>
      </c>
      <c r="M228" s="157" t="str">
        <f>+'[1]รับ 0215'!$F$237</f>
        <v>TOP 130215</v>
      </c>
      <c r="N228" s="227">
        <f t="shared" si="32"/>
        <v>293808.52936201036</v>
      </c>
      <c r="O228" s="152">
        <f t="shared" si="33"/>
        <v>777902.72836201068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2279</v>
      </c>
      <c r="I229" s="152"/>
      <c r="J229" s="157"/>
      <c r="K229" s="157">
        <v>5800360268</v>
      </c>
      <c r="L229" s="227">
        <v>17558.432000000001</v>
      </c>
      <c r="M229" s="157" t="str">
        <f>+'[1]รับ 0215'!$F$237</f>
        <v>TOP 130215</v>
      </c>
      <c r="N229" s="227">
        <f t="shared" si="32"/>
        <v>276250.09736201039</v>
      </c>
      <c r="O229" s="152">
        <f t="shared" si="33"/>
        <v>760344.29636201065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2279</v>
      </c>
      <c r="I230" s="152"/>
      <c r="J230" s="157"/>
      <c r="K230" s="157">
        <v>5800360268</v>
      </c>
      <c r="L230" s="227">
        <v>13951.591</v>
      </c>
      <c r="M230" s="157" t="str">
        <f>+'[1]รับ 0215'!$F$237</f>
        <v>TOP 130215</v>
      </c>
      <c r="N230" s="227">
        <f t="shared" si="32"/>
        <v>262298.50636201038</v>
      </c>
      <c r="O230" s="152">
        <f t="shared" si="33"/>
        <v>746392.70536201063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2279</v>
      </c>
      <c r="I231" s="152"/>
      <c r="J231" s="157"/>
      <c r="K231" s="157">
        <v>5800360268</v>
      </c>
      <c r="L231" s="227">
        <v>14533.534</v>
      </c>
      <c r="M231" s="157" t="str">
        <f>+'[1]รับ 0215'!$F$237</f>
        <v>TOP 130215</v>
      </c>
      <c r="N231" s="227">
        <f t="shared" si="32"/>
        <v>247764.97236201039</v>
      </c>
      <c r="O231" s="152">
        <f t="shared" si="33"/>
        <v>731859.17136201065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2279</v>
      </c>
      <c r="I232" s="152"/>
      <c r="J232" s="157"/>
      <c r="K232" s="157">
        <v>5800360268</v>
      </c>
      <c r="L232" s="227">
        <v>16787.183000000001</v>
      </c>
      <c r="M232" s="157" t="str">
        <f>+'[1]รับ 0215'!$F$237</f>
        <v>TOP 130215</v>
      </c>
      <c r="N232" s="227">
        <f t="shared" si="32"/>
        <v>230977.7893620104</v>
      </c>
      <c r="O232" s="152">
        <f t="shared" si="33"/>
        <v>715071.98836201068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2279</v>
      </c>
      <c r="I233" s="152"/>
      <c r="J233" s="157"/>
      <c r="K233" s="157">
        <v>5800360268</v>
      </c>
      <c r="L233" s="227">
        <v>93351.160999999993</v>
      </c>
      <c r="M233" s="157" t="str">
        <f>+'[1]รับ 0215'!$F$237</f>
        <v>TOP 130215</v>
      </c>
      <c r="N233" s="227">
        <f t="shared" si="32"/>
        <v>137626.62836201041</v>
      </c>
      <c r="O233" s="152">
        <f t="shared" si="33"/>
        <v>621720.82736201072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2279</v>
      </c>
      <c r="I234" s="152"/>
      <c r="J234" s="157"/>
      <c r="K234" s="157">
        <v>5800360268</v>
      </c>
      <c r="L234" s="227">
        <v>14247.07</v>
      </c>
      <c r="M234" s="157" t="str">
        <f>+'[1]รับ 0215'!$F$237</f>
        <v>TOP 130215</v>
      </c>
      <c r="N234" s="227">
        <f t="shared" si="32"/>
        <v>123379.5583620104</v>
      </c>
      <c r="O234" s="152">
        <f t="shared" si="33"/>
        <v>607473.75736201077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2279</v>
      </c>
      <c r="I235" s="152"/>
      <c r="J235" s="157"/>
      <c r="K235" s="157">
        <v>5800360268</v>
      </c>
      <c r="L235" s="227">
        <v>77429.379000000001</v>
      </c>
      <c r="M235" s="157" t="str">
        <f>+'[1]รับ 0215'!$F$237</f>
        <v>TOP 130215</v>
      </c>
      <c r="N235" s="227">
        <f t="shared" si="32"/>
        <v>45950.1793620104</v>
      </c>
      <c r="O235" s="152">
        <f t="shared" si="33"/>
        <v>530044.37836201082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2279</v>
      </c>
      <c r="I236" s="152"/>
      <c r="J236" s="157"/>
      <c r="K236" s="157">
        <v>5800360268</v>
      </c>
      <c r="L236" s="227">
        <v>8573.6830000000009</v>
      </c>
      <c r="M236" s="157" t="str">
        <f>+'[1]รับ 0215'!$F$237</f>
        <v>TOP 130215</v>
      </c>
      <c r="N236" s="227">
        <f t="shared" si="32"/>
        <v>37376.496362010395</v>
      </c>
      <c r="O236" s="152">
        <f t="shared" si="33"/>
        <v>521470.6953620108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2279</v>
      </c>
      <c r="I237" s="152"/>
      <c r="J237" s="157"/>
      <c r="K237" s="157">
        <v>5800360268</v>
      </c>
      <c r="L237" s="227">
        <v>6076.1540000000005</v>
      </c>
      <c r="M237" s="157" t="str">
        <f>+'[1]รับ 0215'!$F$237</f>
        <v>TOP 130215</v>
      </c>
      <c r="N237" s="227">
        <f t="shared" si="32"/>
        <v>31300.342362010393</v>
      </c>
      <c r="O237" s="152">
        <f t="shared" si="33"/>
        <v>515394.54136201082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2279</v>
      </c>
      <c r="I238" s="152"/>
      <c r="J238" s="157"/>
      <c r="K238" s="157">
        <v>5800360268</v>
      </c>
      <c r="L238" s="227">
        <v>14900.09</v>
      </c>
      <c r="M238" s="157" t="str">
        <f>+'[1]รับ 0215'!$F$237</f>
        <v>TOP 130215</v>
      </c>
      <c r="N238" s="227">
        <f t="shared" si="32"/>
        <v>16400.252362010393</v>
      </c>
      <c r="O238" s="152">
        <f t="shared" si="33"/>
        <v>500494.45136201079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2279</v>
      </c>
      <c r="I239" s="152"/>
      <c r="J239" s="157"/>
      <c r="K239" s="157">
        <v>5800360268</v>
      </c>
      <c r="L239" s="227">
        <v>13806.983</v>
      </c>
      <c r="M239" s="157" t="str">
        <f>+'[1]รับ 0215'!$F$237</f>
        <v>TOP 130215</v>
      </c>
      <c r="N239" s="227">
        <f t="shared" ref="N239:N245" si="36">+N238-I239-L239</f>
        <v>2593.2693620103928</v>
      </c>
      <c r="O239" s="152">
        <f t="shared" ref="O239:O245" si="37">O238+G239-I239-L239</f>
        <v>486687.46836201078</v>
      </c>
    </row>
    <row r="240" spans="1:15" x14ac:dyDescent="0.15">
      <c r="A240" s="154"/>
      <c r="B240" s="151"/>
      <c r="C240" s="152"/>
      <c r="D240" s="323" t="s">
        <v>2280</v>
      </c>
      <c r="E240" s="154" t="s">
        <v>72</v>
      </c>
      <c r="F240" s="157" t="str">
        <f>+'[1]รับ 0215'!$F$241</f>
        <v>GC 150215</v>
      </c>
      <c r="G240" s="152">
        <f>+'[1]รับ 0215'!$D$242</f>
        <v>176025.59400000001</v>
      </c>
      <c r="H240" s="323" t="s">
        <v>2280</v>
      </c>
      <c r="I240" s="152">
        <v>2593.2693620103928</v>
      </c>
      <c r="J240" s="157" t="str">
        <f>+'[1]รับ 0215'!$F$237</f>
        <v>TOP 130215</v>
      </c>
      <c r="K240" s="157"/>
      <c r="L240" s="227"/>
      <c r="M240" s="157"/>
      <c r="N240" s="227">
        <f t="shared" si="36"/>
        <v>0</v>
      </c>
      <c r="O240" s="152">
        <f t="shared" si="37"/>
        <v>660119.79300000041</v>
      </c>
    </row>
    <row r="241" spans="1:15" x14ac:dyDescent="0.15">
      <c r="A241" s="154"/>
      <c r="B241" s="151"/>
      <c r="C241" s="152"/>
      <c r="D241" s="323" t="s">
        <v>2280</v>
      </c>
      <c r="E241" s="154" t="s">
        <v>72</v>
      </c>
      <c r="F241" s="157" t="str">
        <f>+'[1]รับ 0215'!$F$243</f>
        <v>TOP 160215</v>
      </c>
      <c r="G241" s="152">
        <f>+'[1]รับ 0215'!$D$243</f>
        <v>131996.09099999999</v>
      </c>
      <c r="H241" s="323" t="s">
        <v>2280</v>
      </c>
      <c r="I241" s="152">
        <v>10099.8626379896</v>
      </c>
      <c r="J241" s="157" t="str">
        <f>+'[1]รับ 0215'!$F$239</f>
        <v>GC 140215</v>
      </c>
      <c r="K241" s="157">
        <v>5800360286</v>
      </c>
      <c r="L241" s="227">
        <v>15813.815000000001</v>
      </c>
      <c r="M241" s="157" t="str">
        <f>+'[1]รับ 0215'!$F$239</f>
        <v>GC 140215</v>
      </c>
      <c r="N241" s="227">
        <f>G210+G222+N240-I241-L241</f>
        <v>282137.98136201041</v>
      </c>
      <c r="O241" s="152">
        <f t="shared" si="37"/>
        <v>766202.20636201091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2280</v>
      </c>
      <c r="I242" s="152"/>
      <c r="J242" s="157"/>
      <c r="K242" s="157">
        <v>5800360286</v>
      </c>
      <c r="L242" s="227">
        <v>13469.915999999999</v>
      </c>
      <c r="M242" s="157" t="str">
        <f>+'[1]รับ 0215'!$F$239</f>
        <v>GC 140215</v>
      </c>
      <c r="N242" s="227">
        <f t="shared" si="36"/>
        <v>268668.06536201038</v>
      </c>
      <c r="O242" s="152">
        <f t="shared" si="37"/>
        <v>752732.29036201094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2280</v>
      </c>
      <c r="I243" s="152"/>
      <c r="J243" s="157"/>
      <c r="K243" s="157">
        <v>5800360286</v>
      </c>
      <c r="L243" s="227">
        <v>30304.558000000001</v>
      </c>
      <c r="M243" s="157" t="str">
        <f>+'[1]รับ 0215'!$F$239</f>
        <v>GC 140215</v>
      </c>
      <c r="N243" s="227">
        <f t="shared" si="36"/>
        <v>238363.50736201039</v>
      </c>
      <c r="O243" s="152">
        <f t="shared" si="37"/>
        <v>722427.73236201098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2280</v>
      </c>
      <c r="I244" s="152"/>
      <c r="J244" s="157"/>
      <c r="K244" s="157">
        <v>5800360286</v>
      </c>
      <c r="L244" s="227">
        <v>13300.779</v>
      </c>
      <c r="M244" s="157" t="str">
        <f>+'[1]รับ 0215'!$F$239</f>
        <v>GC 140215</v>
      </c>
      <c r="N244" s="227">
        <f t="shared" si="36"/>
        <v>225062.72836201038</v>
      </c>
      <c r="O244" s="152">
        <f t="shared" si="37"/>
        <v>709126.953362011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2280</v>
      </c>
      <c r="I245" s="152"/>
      <c r="J245" s="157"/>
      <c r="K245" s="157">
        <v>5800360286</v>
      </c>
      <c r="L245" s="227">
        <v>12411.058000000001</v>
      </c>
      <c r="M245" s="157" t="str">
        <f>+'[1]รับ 0215'!$F$239</f>
        <v>GC 140215</v>
      </c>
      <c r="N245" s="227">
        <f t="shared" si="36"/>
        <v>212651.67036201039</v>
      </c>
      <c r="O245" s="152">
        <f t="shared" si="37"/>
        <v>696715.89536201104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2280</v>
      </c>
      <c r="I246" s="152"/>
      <c r="J246" s="157"/>
      <c r="K246" s="157">
        <v>5800360286</v>
      </c>
      <c r="L246" s="227">
        <v>12554.174000000001</v>
      </c>
      <c r="M246" s="157" t="str">
        <f>+'[1]รับ 0215'!$F$239</f>
        <v>GC 140215</v>
      </c>
      <c r="N246" s="227">
        <f t="shared" si="32"/>
        <v>200097.4963620104</v>
      </c>
      <c r="O246" s="152">
        <f t="shared" si="33"/>
        <v>684161.72136201104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2280</v>
      </c>
      <c r="I247" s="152"/>
      <c r="J247" s="157"/>
      <c r="K247" s="157">
        <v>5800360286</v>
      </c>
      <c r="L247" s="227">
        <v>10302.349</v>
      </c>
      <c r="M247" s="157" t="str">
        <f>+'[1]รับ 0215'!$F$239</f>
        <v>GC 140215</v>
      </c>
      <c r="N247" s="227">
        <f t="shared" si="32"/>
        <v>189795.14736201041</v>
      </c>
      <c r="O247" s="152">
        <f t="shared" si="33"/>
        <v>673859.372362011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2280</v>
      </c>
      <c r="I248" s="152"/>
      <c r="J248" s="157"/>
      <c r="K248" s="157">
        <v>5800360286</v>
      </c>
      <c r="L248" s="227">
        <v>8640.0020000000004</v>
      </c>
      <c r="M248" s="157" t="str">
        <f>+'[1]รับ 0215'!$F$239</f>
        <v>GC 140215</v>
      </c>
      <c r="N248" s="227">
        <f t="shared" si="32"/>
        <v>181155.1453620104</v>
      </c>
      <c r="O248" s="152">
        <f t="shared" si="33"/>
        <v>665219.37036201102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2280</v>
      </c>
      <c r="I249" s="152"/>
      <c r="J249" s="157"/>
      <c r="K249" s="157">
        <v>5800360286</v>
      </c>
      <c r="L249" s="227">
        <v>10708.678</v>
      </c>
      <c r="M249" s="157" t="str">
        <f>+'[1]รับ 0215'!$F$239</f>
        <v>GC 140215</v>
      </c>
      <c r="N249" s="227">
        <f t="shared" si="32"/>
        <v>170446.46736201039</v>
      </c>
      <c r="O249" s="152">
        <f t="shared" si="33"/>
        <v>654510.69236201106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2280</v>
      </c>
      <c r="I250" s="152"/>
      <c r="J250" s="157"/>
      <c r="K250" s="157">
        <v>5800360286</v>
      </c>
      <c r="L250" s="227">
        <v>4301.4859999999999</v>
      </c>
      <c r="M250" s="157" t="str">
        <f>+'[1]รับ 0215'!$F$239</f>
        <v>GC 140215</v>
      </c>
      <c r="N250" s="227">
        <f t="shared" si="32"/>
        <v>166144.98136201038</v>
      </c>
      <c r="O250" s="152">
        <f t="shared" si="33"/>
        <v>650209.20636201103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2280</v>
      </c>
      <c r="I251" s="152"/>
      <c r="J251" s="157"/>
      <c r="K251" s="157">
        <v>5800360286</v>
      </c>
      <c r="L251" s="227">
        <v>99110.316000000006</v>
      </c>
      <c r="M251" s="157" t="str">
        <f>+'[1]รับ 0215'!$F$239</f>
        <v>GC 140215</v>
      </c>
      <c r="N251" s="227">
        <f t="shared" si="32"/>
        <v>67034.665362010375</v>
      </c>
      <c r="O251" s="152">
        <f t="shared" si="33"/>
        <v>551098.89036201104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2280</v>
      </c>
      <c r="I252" s="152"/>
      <c r="J252" s="157"/>
      <c r="K252" s="157">
        <v>5800360286</v>
      </c>
      <c r="L252" s="227">
        <v>9678.8439999999991</v>
      </c>
      <c r="M252" s="157" t="str">
        <f>+'[1]รับ 0215'!$F$239</f>
        <v>GC 140215</v>
      </c>
      <c r="N252" s="227">
        <f t="shared" si="32"/>
        <v>57355.821362010378</v>
      </c>
      <c r="O252" s="152">
        <f t="shared" si="33"/>
        <v>541420.04636201099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2280</v>
      </c>
      <c r="I253" s="152"/>
      <c r="J253" s="157"/>
      <c r="K253" s="157">
        <v>5800360286</v>
      </c>
      <c r="L253" s="227">
        <v>57355.821362010378</v>
      </c>
      <c r="M253" s="157" t="str">
        <f>+'[1]รับ 0215'!$F$239</f>
        <v>GC 140215</v>
      </c>
      <c r="N253" s="227">
        <f t="shared" ref="N253:N258" si="38">+N252-I253-L253</f>
        <v>0</v>
      </c>
      <c r="O253" s="152">
        <f t="shared" ref="O253:O258" si="39">O252+G253-I253-L253</f>
        <v>484064.22500000062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2280</v>
      </c>
      <c r="I254" s="152"/>
      <c r="J254" s="157"/>
      <c r="K254" s="157">
        <v>5800360286</v>
      </c>
      <c r="L254" s="227">
        <v>17865.135637989599</v>
      </c>
      <c r="M254" s="157" t="str">
        <f>+'[1]รับ 0215'!$F$241</f>
        <v>GC 150215</v>
      </c>
      <c r="N254" s="227">
        <f>G223+G240+N253-I254-L254</f>
        <v>334202.9983620104</v>
      </c>
      <c r="O254" s="152">
        <f t="shared" si="39"/>
        <v>466199.089362011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2280</v>
      </c>
      <c r="I255" s="152"/>
      <c r="J255" s="157"/>
      <c r="K255" s="157">
        <v>5800360286</v>
      </c>
      <c r="L255" s="227">
        <v>11469</v>
      </c>
      <c r="M255" s="157" t="str">
        <f>+'[1]รับ 0215'!$F$241</f>
        <v>GC 150215</v>
      </c>
      <c r="N255" s="227">
        <f t="shared" si="38"/>
        <v>322733.9983620104</v>
      </c>
      <c r="O255" s="152">
        <f t="shared" si="39"/>
        <v>454730.089362011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2280</v>
      </c>
      <c r="I256" s="152"/>
      <c r="J256" s="157"/>
      <c r="K256" s="157">
        <v>5800360286</v>
      </c>
      <c r="L256" s="227">
        <v>8595</v>
      </c>
      <c r="M256" s="157" t="str">
        <f>+'[1]รับ 0215'!$F$241</f>
        <v>GC 150215</v>
      </c>
      <c r="N256" s="227">
        <f t="shared" si="38"/>
        <v>314138.9983620104</v>
      </c>
      <c r="O256" s="152">
        <f t="shared" si="39"/>
        <v>446135.089362011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2280</v>
      </c>
      <c r="I257" s="152"/>
      <c r="J257" s="157"/>
      <c r="K257" s="157">
        <v>5800360286</v>
      </c>
      <c r="L257" s="227">
        <v>6092</v>
      </c>
      <c r="M257" s="157" t="str">
        <f>+'[1]รับ 0215'!$F$241</f>
        <v>GC 150215</v>
      </c>
      <c r="N257" s="227">
        <f t="shared" si="38"/>
        <v>308046.9983620104</v>
      </c>
      <c r="O257" s="152">
        <f t="shared" si="39"/>
        <v>440043.089362011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2280</v>
      </c>
      <c r="I258" s="152"/>
      <c r="J258" s="157"/>
      <c r="K258" s="157">
        <v>5800360286</v>
      </c>
      <c r="L258" s="227">
        <v>14616</v>
      </c>
      <c r="M258" s="157" t="str">
        <f>+'[1]รับ 0215'!$F$241</f>
        <v>GC 150215</v>
      </c>
      <c r="N258" s="227">
        <f t="shared" si="38"/>
        <v>293430.9983620104</v>
      </c>
      <c r="O258" s="152">
        <f t="shared" si="39"/>
        <v>425427.089362011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2280</v>
      </c>
      <c r="I259" s="152"/>
      <c r="J259" s="157"/>
      <c r="K259" s="157">
        <v>5800360286</v>
      </c>
      <c r="L259" s="227">
        <v>12154</v>
      </c>
      <c r="M259" s="157" t="str">
        <f>+'[1]รับ 0215'!$F$241</f>
        <v>GC 150215</v>
      </c>
      <c r="N259" s="227">
        <f t="shared" si="32"/>
        <v>281276.9983620104</v>
      </c>
      <c r="O259" s="152">
        <f t="shared" si="33"/>
        <v>413273.089362011</v>
      </c>
    </row>
    <row r="260" spans="1:15" x14ac:dyDescent="0.15">
      <c r="A260" s="154"/>
      <c r="B260" s="151"/>
      <c r="C260" s="152"/>
      <c r="D260" s="323" t="s">
        <v>2281</v>
      </c>
      <c r="E260" s="154" t="s">
        <v>72</v>
      </c>
      <c r="F260" s="157" t="str">
        <f>+'[1]รับ 0215'!$F$243</f>
        <v>TOP 160215</v>
      </c>
      <c r="G260" s="152">
        <f>+'[1]รับ 0215'!$D$244</f>
        <v>175994.80000000002</v>
      </c>
      <c r="H260" s="323" t="s">
        <v>2281</v>
      </c>
      <c r="I260" s="152">
        <v>17063.846000000001</v>
      </c>
      <c r="J260" s="157" t="str">
        <f>+'[1]รับ 0215'!$F$241</f>
        <v>GC 150215</v>
      </c>
      <c r="K260" s="157">
        <v>5800360286</v>
      </c>
      <c r="L260" s="227">
        <v>11058.602999999999</v>
      </c>
      <c r="M260" s="157" t="str">
        <f>+'[1]รับ 0215'!$F$241</f>
        <v>GC 150215</v>
      </c>
      <c r="N260" s="227">
        <f t="shared" si="32"/>
        <v>253154.54936201038</v>
      </c>
      <c r="O260" s="152">
        <f t="shared" si="33"/>
        <v>561145.44036201097</v>
      </c>
    </row>
    <row r="261" spans="1:15" x14ac:dyDescent="0.15">
      <c r="A261" s="154"/>
      <c r="B261" s="151"/>
      <c r="C261" s="152"/>
      <c r="D261" s="323" t="s">
        <v>2281</v>
      </c>
      <c r="E261" s="154" t="s">
        <v>72</v>
      </c>
      <c r="F261" s="157" t="str">
        <f>+'[1]รับ 0215'!$F$245</f>
        <v>TOP 170215</v>
      </c>
      <c r="G261" s="152">
        <f>+'[1]รับ 0215'!$D$245</f>
        <v>87964.53</v>
      </c>
      <c r="H261" s="323" t="s">
        <v>2281</v>
      </c>
      <c r="I261" s="152"/>
      <c r="J261" s="157"/>
      <c r="K261" s="157">
        <v>5800360286</v>
      </c>
      <c r="L261" s="227">
        <v>9602.8649999999998</v>
      </c>
      <c r="M261" s="157" t="str">
        <f>+'[1]รับ 0215'!$F$241</f>
        <v>GC 150215</v>
      </c>
      <c r="N261" s="227">
        <f t="shared" si="32"/>
        <v>243551.68436201039</v>
      </c>
      <c r="O261" s="152">
        <f t="shared" si="33"/>
        <v>639507.105362011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2281</v>
      </c>
      <c r="I262" s="152"/>
      <c r="J262" s="157"/>
      <c r="K262" s="157">
        <v>5800360286</v>
      </c>
      <c r="L262" s="227">
        <v>4120.0870000000004</v>
      </c>
      <c r="M262" s="157" t="str">
        <f>+'[1]รับ 0215'!$F$241</f>
        <v>GC 150215</v>
      </c>
      <c r="N262" s="227">
        <f t="shared" si="32"/>
        <v>239431.59736201039</v>
      </c>
      <c r="O262" s="152">
        <f t="shared" si="33"/>
        <v>635387.01836201095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2281</v>
      </c>
      <c r="I263" s="152"/>
      <c r="J263" s="157"/>
      <c r="K263" s="157">
        <v>5800360286</v>
      </c>
      <c r="L263" s="227">
        <v>8882.5</v>
      </c>
      <c r="M263" s="157" t="str">
        <f>+'[1]รับ 0215'!$F$241</f>
        <v>GC 150215</v>
      </c>
      <c r="N263" s="227">
        <f t="shared" si="32"/>
        <v>230549.09736201039</v>
      </c>
      <c r="O263" s="152">
        <f t="shared" si="33"/>
        <v>626504.51836201095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2281</v>
      </c>
      <c r="I264" s="152"/>
      <c r="J264" s="157"/>
      <c r="K264" s="157">
        <v>5800360286</v>
      </c>
      <c r="L264" s="227">
        <v>12966.569</v>
      </c>
      <c r="M264" s="157" t="str">
        <f>+'[1]รับ 0215'!$F$241</f>
        <v>GC 150215</v>
      </c>
      <c r="N264" s="227">
        <f t="shared" si="32"/>
        <v>217582.5283620104</v>
      </c>
      <c r="O264" s="152">
        <f t="shared" si="33"/>
        <v>613537.94936201093</v>
      </c>
    </row>
    <row r="265" spans="1:15" x14ac:dyDescent="0.15">
      <c r="A265" s="154"/>
      <c r="B265" s="151"/>
      <c r="C265" s="152"/>
      <c r="D265" s="323"/>
      <c r="E265" s="154"/>
      <c r="F265" s="157"/>
      <c r="G265" s="152"/>
      <c r="H265" s="323" t="s">
        <v>2281</v>
      </c>
      <c r="I265" s="152"/>
      <c r="J265" s="157"/>
      <c r="K265" s="157">
        <v>5800360286</v>
      </c>
      <c r="L265" s="227">
        <v>13382.78</v>
      </c>
      <c r="M265" s="157" t="str">
        <f>+'[1]รับ 0215'!$F$241</f>
        <v>GC 150215</v>
      </c>
      <c r="N265" s="227">
        <f t="shared" si="32"/>
        <v>204199.7483620104</v>
      </c>
      <c r="O265" s="152">
        <f t="shared" si="33"/>
        <v>600155.1693620109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2281</v>
      </c>
      <c r="I266" s="152"/>
      <c r="J266" s="157"/>
      <c r="K266" s="157">
        <v>5800360286</v>
      </c>
      <c r="L266" s="227">
        <v>13087.804</v>
      </c>
      <c r="M266" s="157" t="str">
        <f>+'[1]รับ 0215'!$F$241</f>
        <v>GC 150215</v>
      </c>
      <c r="N266" s="227">
        <f t="shared" si="32"/>
        <v>191111.9443620104</v>
      </c>
      <c r="O266" s="152">
        <f t="shared" si="33"/>
        <v>587067.3653620109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2281</v>
      </c>
      <c r="I267" s="152"/>
      <c r="J267" s="157"/>
      <c r="K267" s="157">
        <v>5800360286</v>
      </c>
      <c r="L267" s="227">
        <v>14695.218999999999</v>
      </c>
      <c r="M267" s="157" t="str">
        <f>+'[1]รับ 0215'!$F$241</f>
        <v>GC 150215</v>
      </c>
      <c r="N267" s="227">
        <f t="shared" si="32"/>
        <v>176416.72536201039</v>
      </c>
      <c r="O267" s="152">
        <f t="shared" si="33"/>
        <v>572372.14636201086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2281</v>
      </c>
      <c r="I268" s="152"/>
      <c r="J268" s="157"/>
      <c r="K268" s="157">
        <v>5800360286</v>
      </c>
      <c r="L268" s="227">
        <v>10739.816000000001</v>
      </c>
      <c r="M268" s="157" t="str">
        <f>+'[1]รับ 0215'!$F$241</f>
        <v>GC 150215</v>
      </c>
      <c r="N268" s="227">
        <f t="shared" si="32"/>
        <v>165676.9093620104</v>
      </c>
      <c r="O268" s="152">
        <f t="shared" si="33"/>
        <v>561632.33036201086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2281</v>
      </c>
      <c r="I269" s="152"/>
      <c r="J269" s="157"/>
      <c r="K269" s="157">
        <v>5800360286</v>
      </c>
      <c r="L269" s="227">
        <v>14672.17</v>
      </c>
      <c r="M269" s="157" t="str">
        <f>+'[1]รับ 0215'!$F$241</f>
        <v>GC 150215</v>
      </c>
      <c r="N269" s="227">
        <f t="shared" si="32"/>
        <v>151004.73936201038</v>
      </c>
      <c r="O269" s="152">
        <f t="shared" si="33"/>
        <v>546960.16036201082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2281</v>
      </c>
      <c r="I270" s="152"/>
      <c r="J270" s="157"/>
      <c r="K270" s="157">
        <v>5800360286</v>
      </c>
      <c r="L270" s="227">
        <v>14310.402</v>
      </c>
      <c r="M270" s="157" t="str">
        <f>+'[1]รับ 0215'!$F$241</f>
        <v>GC 150215</v>
      </c>
      <c r="N270" s="227">
        <f t="shared" si="32"/>
        <v>136694.33736201038</v>
      </c>
      <c r="O270" s="152">
        <f t="shared" si="33"/>
        <v>532649.75836201082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2281</v>
      </c>
      <c r="I271" s="152"/>
      <c r="J271" s="157"/>
      <c r="K271" s="157">
        <v>5800360286</v>
      </c>
      <c r="L271" s="227">
        <v>15551.037</v>
      </c>
      <c r="M271" s="157" t="str">
        <f>+'[1]รับ 0215'!$F$241</f>
        <v>GC 150215</v>
      </c>
      <c r="N271" s="227">
        <f t="shared" si="32"/>
        <v>121143.30036201038</v>
      </c>
      <c r="O271" s="152">
        <f t="shared" si="33"/>
        <v>517098.72136201081</v>
      </c>
    </row>
    <row r="272" spans="1:15" x14ac:dyDescent="0.15">
      <c r="A272" s="154"/>
      <c r="B272" s="151"/>
      <c r="C272" s="152"/>
      <c r="D272" s="323"/>
      <c r="E272" s="154"/>
      <c r="F272" s="157"/>
      <c r="G272" s="152"/>
      <c r="H272" s="323" t="s">
        <v>2281</v>
      </c>
      <c r="I272" s="152"/>
      <c r="J272" s="157"/>
      <c r="K272" s="157">
        <v>5800360286</v>
      </c>
      <c r="L272" s="227">
        <v>8227.4789999999994</v>
      </c>
      <c r="M272" s="157" t="str">
        <f>+'[1]รับ 0215'!$F$241</f>
        <v>GC 150215</v>
      </c>
      <c r="N272" s="227">
        <f t="shared" si="32"/>
        <v>112915.82136201038</v>
      </c>
      <c r="O272" s="152">
        <f t="shared" si="33"/>
        <v>508871.24236201082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2281</v>
      </c>
      <c r="I273" s="152"/>
      <c r="J273" s="157"/>
      <c r="K273" s="157">
        <v>5800360286</v>
      </c>
      <c r="L273" s="227">
        <v>16887.877</v>
      </c>
      <c r="M273" s="157" t="str">
        <f>+'[1]รับ 0215'!$F$241</f>
        <v>GC 150215</v>
      </c>
      <c r="N273" s="227">
        <f t="shared" si="32"/>
        <v>96027.94436201037</v>
      </c>
      <c r="O273" s="152">
        <f t="shared" si="33"/>
        <v>491983.36536201084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2281</v>
      </c>
      <c r="I274" s="152"/>
      <c r="J274" s="157"/>
      <c r="K274" s="157">
        <v>5800360286</v>
      </c>
      <c r="L274" s="227">
        <v>10605.531000000001</v>
      </c>
      <c r="M274" s="157" t="str">
        <f>+'[1]รับ 0215'!$F$241</f>
        <v>GC 150215</v>
      </c>
      <c r="N274" s="227">
        <f t="shared" si="32"/>
        <v>85422.413362010368</v>
      </c>
      <c r="O274" s="152">
        <f t="shared" si="33"/>
        <v>481377.83436201082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2281</v>
      </c>
      <c r="I275" s="152"/>
      <c r="J275" s="157"/>
      <c r="K275" s="157">
        <v>5800360286</v>
      </c>
      <c r="L275" s="227">
        <v>12755.097</v>
      </c>
      <c r="M275" s="157" t="str">
        <f>+'[1]รับ 0215'!$F$241</f>
        <v>GC 150215</v>
      </c>
      <c r="N275" s="227">
        <f t="shared" si="32"/>
        <v>72667.316362010373</v>
      </c>
      <c r="O275" s="152">
        <f t="shared" si="33"/>
        <v>468622.73736201081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2281</v>
      </c>
      <c r="I276" s="152"/>
      <c r="J276" s="157"/>
      <c r="K276" s="157">
        <v>5800360286</v>
      </c>
      <c r="L276" s="227">
        <v>11209.815000000001</v>
      </c>
      <c r="M276" s="157" t="str">
        <f>+'[1]รับ 0215'!$F$241</f>
        <v>GC 150215</v>
      </c>
      <c r="N276" s="227">
        <f t="shared" si="32"/>
        <v>61457.501362010371</v>
      </c>
      <c r="O276" s="152">
        <f t="shared" si="33"/>
        <v>457412.92236201081</v>
      </c>
    </row>
    <row r="277" spans="1:15" x14ac:dyDescent="0.15">
      <c r="A277" s="154"/>
      <c r="B277" s="151"/>
      <c r="C277" s="152"/>
      <c r="D277" s="323"/>
      <c r="E277" s="154"/>
      <c r="F277" s="157"/>
      <c r="G277" s="152"/>
      <c r="H277" s="323" t="s">
        <v>2281</v>
      </c>
      <c r="I277" s="152"/>
      <c r="J277" s="157"/>
      <c r="K277" s="157">
        <v>5800360286</v>
      </c>
      <c r="L277" s="227">
        <v>14465.731</v>
      </c>
      <c r="M277" s="157" t="str">
        <f>+'[1]รับ 0215'!$F$241</f>
        <v>GC 150215</v>
      </c>
      <c r="N277" s="227">
        <f t="shared" si="32"/>
        <v>46991.770362010371</v>
      </c>
      <c r="O277" s="152">
        <f t="shared" si="33"/>
        <v>442947.19136201078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2281</v>
      </c>
      <c r="I278" s="152"/>
      <c r="J278" s="157"/>
      <c r="K278" s="157">
        <v>5800360286</v>
      </c>
      <c r="L278" s="227">
        <v>9413.9989999999998</v>
      </c>
      <c r="M278" s="157" t="str">
        <f>+'[1]รับ 0215'!$F$241</f>
        <v>GC 150215</v>
      </c>
      <c r="N278" s="227">
        <f t="shared" ref="N278:N345" si="40">+N277-I278-L278</f>
        <v>37577.771362010375</v>
      </c>
      <c r="O278" s="152">
        <f t="shared" ref="O278:O345" si="41">O277+G278-I278-L278</f>
        <v>433533.19236201077</v>
      </c>
    </row>
    <row r="279" spans="1:15" x14ac:dyDescent="0.15">
      <c r="A279" s="154"/>
      <c r="B279" s="151"/>
      <c r="C279" s="152"/>
      <c r="D279" s="323" t="s">
        <v>2282</v>
      </c>
      <c r="E279" s="154" t="s">
        <v>72</v>
      </c>
      <c r="F279" s="157" t="str">
        <f>+'[1]รับ 0215'!$F$245</f>
        <v>TOP 170215</v>
      </c>
      <c r="G279" s="152">
        <f>+'[1]รับ 0215'!$D$246</f>
        <v>175956.30100000001</v>
      </c>
      <c r="H279" s="323" t="s">
        <v>2282</v>
      </c>
      <c r="I279" s="152">
        <v>13690.305</v>
      </c>
      <c r="J279" s="157" t="str">
        <f>+'[1]รับ 0215'!$F$241</f>
        <v>GC 150215</v>
      </c>
      <c r="K279" s="157">
        <v>5800360286</v>
      </c>
      <c r="L279" s="227">
        <v>14094.141</v>
      </c>
      <c r="M279" s="157" t="str">
        <f>+'[1]รับ 0215'!$F$241</f>
        <v>GC 150215</v>
      </c>
      <c r="N279" s="227">
        <f t="shared" si="40"/>
        <v>9793.3253620103751</v>
      </c>
      <c r="O279" s="152">
        <f t="shared" si="41"/>
        <v>581705.04736201081</v>
      </c>
    </row>
    <row r="280" spans="1:15" x14ac:dyDescent="0.15">
      <c r="A280" s="154"/>
      <c r="B280" s="151"/>
      <c r="C280" s="152"/>
      <c r="D280" s="323" t="s">
        <v>2282</v>
      </c>
      <c r="E280" s="154" t="s">
        <v>72</v>
      </c>
      <c r="F280" s="157" t="str">
        <f>+'[1]รับ 0215'!$F$247</f>
        <v>GC 180215</v>
      </c>
      <c r="G280" s="152">
        <f>+'[1]รับ 0215'!$D$247</f>
        <v>132013.65299999999</v>
      </c>
      <c r="H280" s="323" t="s">
        <v>2282</v>
      </c>
      <c r="I280" s="152"/>
      <c r="J280" s="157"/>
      <c r="K280" s="157">
        <v>5800360286</v>
      </c>
      <c r="L280" s="227">
        <v>9793.3253620103751</v>
      </c>
      <c r="M280" s="157" t="str">
        <f>+'[1]รับ 0215'!$F$241</f>
        <v>GC 150215</v>
      </c>
      <c r="N280" s="227">
        <f t="shared" si="40"/>
        <v>0</v>
      </c>
      <c r="O280" s="152">
        <f t="shared" si="41"/>
        <v>703925.37500000047</v>
      </c>
    </row>
    <row r="281" spans="1:15" x14ac:dyDescent="0.15">
      <c r="A281" s="154"/>
      <c r="B281" s="151"/>
      <c r="C281" s="152"/>
      <c r="D281" s="323"/>
      <c r="E281" s="154"/>
      <c r="F281" s="157"/>
      <c r="G281" s="152"/>
      <c r="H281" s="323" t="s">
        <v>2282</v>
      </c>
      <c r="I281" s="152"/>
      <c r="J281" s="157"/>
      <c r="K281" s="157">
        <v>5800360268</v>
      </c>
      <c r="L281" s="227">
        <v>24574.0866379896</v>
      </c>
      <c r="M281" s="157" t="str">
        <f>+'[1]รับ 0215'!$F$243</f>
        <v>TOP 160215</v>
      </c>
      <c r="N281" s="227">
        <f>G241+G260+N280-I281-L281</f>
        <v>283416.80436201039</v>
      </c>
      <c r="O281" s="152">
        <f t="shared" ref="O281:O285" si="42">O280+G281-I281-L281</f>
        <v>679351.28836201085</v>
      </c>
    </row>
    <row r="282" spans="1:15" x14ac:dyDescent="0.15">
      <c r="A282" s="154"/>
      <c r="B282" s="151"/>
      <c r="C282" s="152"/>
      <c r="D282" s="323"/>
      <c r="E282" s="154"/>
      <c r="F282" s="157"/>
      <c r="G282" s="152"/>
      <c r="H282" s="323" t="s">
        <v>2282</v>
      </c>
      <c r="I282" s="152"/>
      <c r="J282" s="157"/>
      <c r="K282" s="157">
        <v>5800360268</v>
      </c>
      <c r="L282" s="227">
        <v>14231.21</v>
      </c>
      <c r="M282" s="157" t="str">
        <f>+'[1]รับ 0215'!$F$243</f>
        <v>TOP 160215</v>
      </c>
      <c r="N282" s="227">
        <f t="shared" ref="N282:N285" si="43">+N281-I282-L282</f>
        <v>269185.59436201036</v>
      </c>
      <c r="O282" s="152">
        <f t="shared" si="42"/>
        <v>665120.07836201089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2282</v>
      </c>
      <c r="I283" s="152"/>
      <c r="J283" s="157"/>
      <c r="K283" s="157">
        <v>5800360268</v>
      </c>
      <c r="L283" s="227">
        <v>17306.768</v>
      </c>
      <c r="M283" s="157" t="str">
        <f>+'[1]รับ 0215'!$F$243</f>
        <v>TOP 160215</v>
      </c>
      <c r="N283" s="227">
        <f t="shared" si="43"/>
        <v>251878.82636201035</v>
      </c>
      <c r="O283" s="152">
        <f t="shared" si="42"/>
        <v>647813.31036201084</v>
      </c>
    </row>
    <row r="284" spans="1:15" x14ac:dyDescent="0.15">
      <c r="A284" s="154"/>
      <c r="B284" s="151"/>
      <c r="C284" s="152"/>
      <c r="D284" s="323"/>
      <c r="E284" s="154"/>
      <c r="F284" s="157"/>
      <c r="G284" s="152"/>
      <c r="H284" s="323" t="s">
        <v>2282</v>
      </c>
      <c r="I284" s="152"/>
      <c r="J284" s="157"/>
      <c r="K284" s="157">
        <v>5800360268</v>
      </c>
      <c r="L284" s="227">
        <v>15664.936</v>
      </c>
      <c r="M284" s="157" t="str">
        <f>+'[1]รับ 0215'!$F$243</f>
        <v>TOP 160215</v>
      </c>
      <c r="N284" s="227">
        <f t="shared" si="43"/>
        <v>236213.89036201037</v>
      </c>
      <c r="O284" s="152">
        <f t="shared" si="42"/>
        <v>632148.37436201086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2282</v>
      </c>
      <c r="I285" s="152"/>
      <c r="J285" s="157"/>
      <c r="K285" s="157">
        <v>5800360268</v>
      </c>
      <c r="L285" s="227">
        <v>14965.582</v>
      </c>
      <c r="M285" s="157" t="str">
        <f>+'[1]รับ 0215'!$F$243</f>
        <v>TOP 160215</v>
      </c>
      <c r="N285" s="227">
        <f t="shared" si="43"/>
        <v>221248.30836201037</v>
      </c>
      <c r="O285" s="152">
        <f t="shared" si="42"/>
        <v>617182.7923620108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2282</v>
      </c>
      <c r="I286" s="152"/>
      <c r="J286" s="157"/>
      <c r="K286" s="157">
        <v>5800360268</v>
      </c>
      <c r="L286" s="227">
        <v>16868.545999999998</v>
      </c>
      <c r="M286" s="157" t="str">
        <f>+'[1]รับ 0215'!$F$243</f>
        <v>TOP 160215</v>
      </c>
      <c r="N286" s="227">
        <f t="shared" si="40"/>
        <v>204379.76236201037</v>
      </c>
      <c r="O286" s="152">
        <f t="shared" si="41"/>
        <v>600314.24636201083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2282</v>
      </c>
      <c r="I287" s="152"/>
      <c r="J287" s="157"/>
      <c r="K287" s="157">
        <v>5800360268</v>
      </c>
      <c r="L287" s="227">
        <v>12746.458000000001</v>
      </c>
      <c r="M287" s="157" t="str">
        <f>+'[1]รับ 0215'!$F$243</f>
        <v>TOP 160215</v>
      </c>
      <c r="N287" s="227">
        <f t="shared" si="40"/>
        <v>191633.30436201036</v>
      </c>
      <c r="O287" s="152">
        <f t="shared" si="41"/>
        <v>587567.78836201085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2282</v>
      </c>
      <c r="I288" s="152"/>
      <c r="J288" s="157"/>
      <c r="K288" s="157">
        <v>5800360268</v>
      </c>
      <c r="L288" s="227">
        <v>12276.22</v>
      </c>
      <c r="M288" s="157" t="str">
        <f>+'[1]รับ 0215'!$F$243</f>
        <v>TOP 160215</v>
      </c>
      <c r="N288" s="227">
        <f t="shared" si="40"/>
        <v>179357.08436201036</v>
      </c>
      <c r="O288" s="152">
        <f t="shared" si="41"/>
        <v>575291.56836201088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2282</v>
      </c>
      <c r="I289" s="152"/>
      <c r="J289" s="157"/>
      <c r="K289" s="157">
        <v>5800360268</v>
      </c>
      <c r="L289" s="227">
        <v>16058.136</v>
      </c>
      <c r="M289" s="157" t="str">
        <f>+'[1]รับ 0215'!$F$243</f>
        <v>TOP 160215</v>
      </c>
      <c r="N289" s="227">
        <f t="shared" si="40"/>
        <v>163298.94836201036</v>
      </c>
      <c r="O289" s="152">
        <f t="shared" si="41"/>
        <v>559233.43236201082</v>
      </c>
    </row>
    <row r="290" spans="1:15" x14ac:dyDescent="0.15">
      <c r="A290" s="154"/>
      <c r="B290" s="151"/>
      <c r="C290" s="152"/>
      <c r="D290" s="323"/>
      <c r="E290" s="154"/>
      <c r="F290" s="157"/>
      <c r="G290" s="152"/>
      <c r="H290" s="323" t="s">
        <v>2282</v>
      </c>
      <c r="I290" s="152"/>
      <c r="J290" s="157"/>
      <c r="K290" s="157">
        <v>5800360268</v>
      </c>
      <c r="L290" s="227">
        <v>10108.120999999999</v>
      </c>
      <c r="M290" s="157" t="str">
        <f>+'[1]รับ 0215'!$F$243</f>
        <v>TOP 160215</v>
      </c>
      <c r="N290" s="227">
        <f t="shared" si="40"/>
        <v>153190.82736201037</v>
      </c>
      <c r="O290" s="152">
        <f t="shared" si="41"/>
        <v>549125.31136201078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2282</v>
      </c>
      <c r="I291" s="152"/>
      <c r="J291" s="157"/>
      <c r="K291" s="157">
        <v>5800360268</v>
      </c>
      <c r="L291" s="227">
        <v>75418.210000000006</v>
      </c>
      <c r="M291" s="157" t="str">
        <f>+'[1]รับ 0215'!$F$243</f>
        <v>TOP 160215</v>
      </c>
      <c r="N291" s="227">
        <f t="shared" si="40"/>
        <v>77772.617362010365</v>
      </c>
      <c r="O291" s="152">
        <f t="shared" si="41"/>
        <v>473707.10136201076</v>
      </c>
    </row>
    <row r="292" spans="1:15" x14ac:dyDescent="0.15">
      <c r="A292" s="154"/>
      <c r="B292" s="151"/>
      <c r="C292" s="152"/>
      <c r="D292" s="323"/>
      <c r="E292" s="154"/>
      <c r="F292" s="157"/>
      <c r="G292" s="152"/>
      <c r="H292" s="323" t="s">
        <v>2282</v>
      </c>
      <c r="I292" s="152"/>
      <c r="J292" s="157"/>
      <c r="K292" s="157">
        <v>5800360268</v>
      </c>
      <c r="L292" s="227">
        <v>11632</v>
      </c>
      <c r="M292" s="157" t="str">
        <f>+'[1]รับ 0215'!$F$243</f>
        <v>TOP 160215</v>
      </c>
      <c r="N292" s="227">
        <f t="shared" si="40"/>
        <v>66140.617362010365</v>
      </c>
      <c r="O292" s="152">
        <f t="shared" si="41"/>
        <v>462075.10136201076</v>
      </c>
    </row>
    <row r="293" spans="1:15" x14ac:dyDescent="0.15">
      <c r="A293" s="154"/>
      <c r="B293" s="151"/>
      <c r="C293" s="152"/>
      <c r="D293" s="323"/>
      <c r="E293" s="154"/>
      <c r="F293" s="157"/>
      <c r="G293" s="152"/>
      <c r="H293" s="323" t="s">
        <v>2282</v>
      </c>
      <c r="I293" s="152"/>
      <c r="J293" s="157"/>
      <c r="K293" s="157">
        <v>5800360268</v>
      </c>
      <c r="L293" s="227">
        <v>4056</v>
      </c>
      <c r="M293" s="157" t="str">
        <f>+'[1]รับ 0215'!$F$243</f>
        <v>TOP 160215</v>
      </c>
      <c r="N293" s="227">
        <f t="shared" si="40"/>
        <v>62084.617362010365</v>
      </c>
      <c r="O293" s="152">
        <f t="shared" si="41"/>
        <v>458019.10136201076</v>
      </c>
    </row>
    <row r="294" spans="1:15" x14ac:dyDescent="0.15">
      <c r="A294" s="154"/>
      <c r="B294" s="151"/>
      <c r="C294" s="152"/>
      <c r="D294" s="323"/>
      <c r="E294" s="154"/>
      <c r="F294" s="157"/>
      <c r="G294" s="152"/>
      <c r="H294" s="323" t="s">
        <v>2282</v>
      </c>
      <c r="I294" s="152"/>
      <c r="J294" s="157"/>
      <c r="K294" s="157">
        <v>5800360268</v>
      </c>
      <c r="L294" s="227">
        <v>1000</v>
      </c>
      <c r="M294" s="157" t="str">
        <f>+'[1]รับ 0215'!$F$243</f>
        <v>TOP 160215</v>
      </c>
      <c r="N294" s="227">
        <f t="shared" si="40"/>
        <v>61084.617362010365</v>
      </c>
      <c r="O294" s="152">
        <f t="shared" si="41"/>
        <v>457019.10136201076</v>
      </c>
    </row>
    <row r="295" spans="1:15" x14ac:dyDescent="0.15">
      <c r="A295" s="154"/>
      <c r="B295" s="151"/>
      <c r="C295" s="152"/>
      <c r="D295" s="323"/>
      <c r="E295" s="154"/>
      <c r="F295" s="157"/>
      <c r="G295" s="152"/>
      <c r="H295" s="323" t="s">
        <v>2282</v>
      </c>
      <c r="I295" s="152"/>
      <c r="J295" s="157"/>
      <c r="K295" s="157">
        <v>5800360268</v>
      </c>
      <c r="L295" s="227">
        <v>2285</v>
      </c>
      <c r="M295" s="157" t="str">
        <f>+'[1]รับ 0215'!$F$243</f>
        <v>TOP 160215</v>
      </c>
      <c r="N295" s="227">
        <f t="shared" si="40"/>
        <v>58799.617362010365</v>
      </c>
      <c r="O295" s="152">
        <f t="shared" si="41"/>
        <v>454734.10136201076</v>
      </c>
    </row>
    <row r="296" spans="1:15" x14ac:dyDescent="0.15">
      <c r="A296" s="154"/>
      <c r="B296" s="151"/>
      <c r="C296" s="152"/>
      <c r="D296" s="323"/>
      <c r="E296" s="154"/>
      <c r="F296" s="157"/>
      <c r="G296" s="152"/>
      <c r="H296" s="323" t="s">
        <v>2282</v>
      </c>
      <c r="I296" s="152"/>
      <c r="J296" s="157"/>
      <c r="K296" s="157">
        <v>5800360268</v>
      </c>
      <c r="L296" s="227">
        <v>16177</v>
      </c>
      <c r="M296" s="157" t="str">
        <f>+'[1]รับ 0215'!$F$243</f>
        <v>TOP 160215</v>
      </c>
      <c r="N296" s="227">
        <f t="shared" si="40"/>
        <v>42622.617362010365</v>
      </c>
      <c r="O296" s="152">
        <f t="shared" si="41"/>
        <v>438557.10136201076</v>
      </c>
    </row>
    <row r="297" spans="1:15" x14ac:dyDescent="0.15">
      <c r="A297" s="154"/>
      <c r="B297" s="151"/>
      <c r="C297" s="152"/>
      <c r="D297" s="323" t="s">
        <v>2283</v>
      </c>
      <c r="E297" s="154" t="s">
        <v>72</v>
      </c>
      <c r="F297" s="157" t="str">
        <f>+'[1]รับ 0215'!$F$247</f>
        <v>GC 180215</v>
      </c>
      <c r="G297" s="152">
        <f>+'[1]รับ 0215'!$D$248</f>
        <v>175957.29200000002</v>
      </c>
      <c r="H297" s="323" t="s">
        <v>2283</v>
      </c>
      <c r="I297" s="152">
        <v>14490.120999999999</v>
      </c>
      <c r="J297" s="157" t="str">
        <f>+'[1]รับ 0215'!$F$243</f>
        <v>TOP 160215</v>
      </c>
      <c r="K297" s="157">
        <v>5800360268</v>
      </c>
      <c r="L297" s="227">
        <v>15567.494000000001</v>
      </c>
      <c r="M297" s="157" t="str">
        <f>+'[1]รับ 0215'!$F$243</f>
        <v>TOP 160215</v>
      </c>
      <c r="N297" s="227">
        <f t="shared" si="40"/>
        <v>12565.002362010366</v>
      </c>
      <c r="O297" s="152">
        <f t="shared" si="41"/>
        <v>584456.77836201084</v>
      </c>
    </row>
    <row r="298" spans="1:15" x14ac:dyDescent="0.15">
      <c r="A298" s="154"/>
      <c r="B298" s="151"/>
      <c r="C298" s="152"/>
      <c r="D298" s="323" t="s">
        <v>2283</v>
      </c>
      <c r="E298" s="154" t="s">
        <v>72</v>
      </c>
      <c r="F298" s="157" t="str">
        <f>+'[1]รับ 0215'!$F$249</f>
        <v>TOP 200215</v>
      </c>
      <c r="G298" s="152">
        <f>+'[1]รับ 0215'!$D$249</f>
        <v>131902.76699999999</v>
      </c>
      <c r="H298" s="323" t="s">
        <v>2283</v>
      </c>
      <c r="I298" s="152"/>
      <c r="J298" s="157"/>
      <c r="K298" s="157">
        <v>5800360268</v>
      </c>
      <c r="L298" s="227">
        <v>11000.254000000001</v>
      </c>
      <c r="M298" s="157" t="str">
        <f>+'[1]รับ 0215'!$F$243</f>
        <v>TOP 160215</v>
      </c>
      <c r="N298" s="227">
        <f t="shared" si="40"/>
        <v>1564.7483620103649</v>
      </c>
      <c r="O298" s="152">
        <f t="shared" si="41"/>
        <v>705359.29136201087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2283</v>
      </c>
      <c r="I299" s="152"/>
      <c r="J299" s="157"/>
      <c r="K299" s="157">
        <v>5800360268</v>
      </c>
      <c r="L299" s="227">
        <v>1564.7483620103649</v>
      </c>
      <c r="M299" s="157" t="str">
        <f>+'[1]รับ 0215'!$F$243</f>
        <v>TOP 160215</v>
      </c>
      <c r="N299" s="227">
        <f t="shared" ref="N299:N303" si="44">+N298-I299-L299</f>
        <v>0</v>
      </c>
      <c r="O299" s="152">
        <f t="shared" ref="O299:O303" si="45">O298+G299-I299-L299</f>
        <v>703794.54300000053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2283</v>
      </c>
      <c r="I300" s="152"/>
      <c r="J300" s="157"/>
      <c r="K300" s="157">
        <v>5800360268</v>
      </c>
      <c r="L300" s="227">
        <v>10137.9266379896</v>
      </c>
      <c r="M300" s="157" t="str">
        <f>+'[1]รับ 0215'!$F$245</f>
        <v>TOP 170215</v>
      </c>
      <c r="N300" s="227">
        <f>G261+G279+N299-I300-L300</f>
        <v>253782.90436201042</v>
      </c>
      <c r="O300" s="152">
        <f t="shared" si="45"/>
        <v>693656.61636201094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2283</v>
      </c>
      <c r="I301" s="152"/>
      <c r="J301" s="157"/>
      <c r="K301" s="157">
        <v>5800360268</v>
      </c>
      <c r="L301" s="227">
        <v>11048.352000000001</v>
      </c>
      <c r="M301" s="157" t="str">
        <f>+'[1]รับ 0215'!$F$245</f>
        <v>TOP 170215</v>
      </c>
      <c r="N301" s="227">
        <f t="shared" si="44"/>
        <v>242734.55236201041</v>
      </c>
      <c r="O301" s="152">
        <f t="shared" si="45"/>
        <v>682608.26436201099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2283</v>
      </c>
      <c r="I302" s="152"/>
      <c r="J302" s="157"/>
      <c r="K302" s="157">
        <v>5800360268</v>
      </c>
      <c r="L302" s="227">
        <v>16708.803</v>
      </c>
      <c r="M302" s="157" t="str">
        <f>+'[1]รับ 0215'!$F$245</f>
        <v>TOP 170215</v>
      </c>
      <c r="N302" s="227">
        <f t="shared" si="44"/>
        <v>226025.74936201039</v>
      </c>
      <c r="O302" s="152">
        <f t="shared" si="45"/>
        <v>665899.46136201103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2283</v>
      </c>
      <c r="I303" s="152"/>
      <c r="J303" s="157"/>
      <c r="K303" s="157">
        <v>5800360268</v>
      </c>
      <c r="L303" s="227">
        <v>16246.868</v>
      </c>
      <c r="M303" s="157" t="str">
        <f>+'[1]รับ 0215'!$F$245</f>
        <v>TOP 170215</v>
      </c>
      <c r="N303" s="227">
        <f t="shared" si="44"/>
        <v>209778.8813620104</v>
      </c>
      <c r="O303" s="152">
        <f t="shared" si="45"/>
        <v>649652.59336201102</v>
      </c>
    </row>
    <row r="304" spans="1:15" x14ac:dyDescent="0.15">
      <c r="A304" s="154"/>
      <c r="B304" s="151"/>
      <c r="C304" s="152"/>
      <c r="D304" s="323"/>
      <c r="E304" s="154"/>
      <c r="F304" s="157"/>
      <c r="G304" s="152"/>
      <c r="H304" s="323" t="s">
        <v>2283</v>
      </c>
      <c r="I304" s="152"/>
      <c r="J304" s="157"/>
      <c r="K304" s="157">
        <v>5800360268</v>
      </c>
      <c r="L304" s="227">
        <v>25160.901999999998</v>
      </c>
      <c r="M304" s="157" t="str">
        <f>+'[1]รับ 0215'!$F$245</f>
        <v>TOP 170215</v>
      </c>
      <c r="N304" s="227">
        <f t="shared" si="40"/>
        <v>184617.9793620104</v>
      </c>
      <c r="O304" s="152">
        <f t="shared" si="41"/>
        <v>624491.69136201101</v>
      </c>
    </row>
    <row r="305" spans="1:15" x14ac:dyDescent="0.15">
      <c r="A305" s="154"/>
      <c r="B305" s="151"/>
      <c r="C305" s="152"/>
      <c r="D305" s="323"/>
      <c r="E305" s="154"/>
      <c r="F305" s="157"/>
      <c r="G305" s="152"/>
      <c r="H305" s="323" t="s">
        <v>2283</v>
      </c>
      <c r="I305" s="152"/>
      <c r="J305" s="157"/>
      <c r="K305" s="157">
        <v>5800360268</v>
      </c>
      <c r="L305" s="227">
        <v>12423.133</v>
      </c>
      <c r="M305" s="157" t="str">
        <f>+'[1]รับ 0215'!$F$245</f>
        <v>TOP 170215</v>
      </c>
      <c r="N305" s="227">
        <f t="shared" si="40"/>
        <v>172194.8463620104</v>
      </c>
      <c r="O305" s="152">
        <f t="shared" si="41"/>
        <v>612068.55836201098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2283</v>
      </c>
      <c r="I306" s="152"/>
      <c r="J306" s="157"/>
      <c r="K306" s="157">
        <v>5800360268</v>
      </c>
      <c r="L306" s="227">
        <v>80021.888999999996</v>
      </c>
      <c r="M306" s="157" t="str">
        <f>+'[1]รับ 0215'!$F$245</f>
        <v>TOP 170215</v>
      </c>
      <c r="N306" s="227">
        <f t="shared" si="40"/>
        <v>92172.957362010406</v>
      </c>
      <c r="O306" s="152">
        <f t="shared" si="41"/>
        <v>532046.66936201102</v>
      </c>
    </row>
    <row r="307" spans="1:15" x14ac:dyDescent="0.15">
      <c r="A307" s="154"/>
      <c r="B307" s="151"/>
      <c r="C307" s="152"/>
      <c r="D307" s="323"/>
      <c r="E307" s="154"/>
      <c r="F307" s="157"/>
      <c r="G307" s="152"/>
      <c r="H307" s="323" t="s">
        <v>2283</v>
      </c>
      <c r="I307" s="152"/>
      <c r="J307" s="157"/>
      <c r="K307" s="157">
        <v>5800360268</v>
      </c>
      <c r="L307" s="227">
        <v>74811.347999999998</v>
      </c>
      <c r="M307" s="157" t="str">
        <f>+'[1]รับ 0215'!$F$245</f>
        <v>TOP 170215</v>
      </c>
      <c r="N307" s="227">
        <f t="shared" si="40"/>
        <v>17361.609362010407</v>
      </c>
      <c r="O307" s="152">
        <f t="shared" si="41"/>
        <v>457235.32136201102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2283</v>
      </c>
      <c r="I308" s="152"/>
      <c r="J308" s="157"/>
      <c r="K308" s="157">
        <v>5800360268</v>
      </c>
      <c r="L308" s="227">
        <v>17361.609362010407</v>
      </c>
      <c r="M308" s="157" t="str">
        <f>+'[1]รับ 0215'!$F$245</f>
        <v>TOP 170215</v>
      </c>
      <c r="N308" s="227">
        <f t="shared" ref="N308:N312" si="46">+N307-I308-L308</f>
        <v>0</v>
      </c>
      <c r="O308" s="152">
        <f t="shared" ref="O308:O312" si="47">O307+G308-I308-L308</f>
        <v>439873.71200000064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2283</v>
      </c>
      <c r="I309" s="152"/>
      <c r="J309" s="157"/>
      <c r="K309" s="157">
        <v>5800360286</v>
      </c>
      <c r="L309" s="227">
        <v>55345.4816379896</v>
      </c>
      <c r="M309" s="157" t="str">
        <f>+'[1]รับ 0215'!$F$247</f>
        <v>GC 180215</v>
      </c>
      <c r="N309" s="227">
        <f>G280+G297+N308-I309-L309</f>
        <v>252625.4633620104</v>
      </c>
      <c r="O309" s="152">
        <f t="shared" si="47"/>
        <v>384528.23036201106</v>
      </c>
    </row>
    <row r="310" spans="1:15" x14ac:dyDescent="0.15">
      <c r="A310" s="154"/>
      <c r="B310" s="151"/>
      <c r="C310" s="152"/>
      <c r="D310" s="323"/>
      <c r="E310" s="154"/>
      <c r="F310" s="157"/>
      <c r="G310" s="152"/>
      <c r="H310" s="323" t="s">
        <v>2283</v>
      </c>
      <c r="I310" s="152"/>
      <c r="J310" s="157"/>
      <c r="K310" s="157">
        <v>5800360286</v>
      </c>
      <c r="L310" s="227">
        <v>1598.81</v>
      </c>
      <c r="M310" s="157" t="str">
        <f>+'[1]รับ 0215'!$F$247</f>
        <v>GC 180215</v>
      </c>
      <c r="N310" s="227">
        <f t="shared" si="46"/>
        <v>251026.6533620104</v>
      </c>
      <c r="O310" s="152">
        <f t="shared" si="47"/>
        <v>382929.42036201106</v>
      </c>
    </row>
    <row r="311" spans="1:15" x14ac:dyDescent="0.15">
      <c r="A311" s="154"/>
      <c r="B311" s="151"/>
      <c r="C311" s="152"/>
      <c r="D311" s="323"/>
      <c r="E311" s="154"/>
      <c r="F311" s="157"/>
      <c r="G311" s="152"/>
      <c r="H311" s="323" t="s">
        <v>2283</v>
      </c>
      <c r="I311" s="152"/>
      <c r="J311" s="157"/>
      <c r="K311" s="157">
        <v>5800360286</v>
      </c>
      <c r="L311" s="227">
        <v>14029.107</v>
      </c>
      <c r="M311" s="157" t="str">
        <f>+'[1]รับ 0215'!$F$247</f>
        <v>GC 180215</v>
      </c>
      <c r="N311" s="227">
        <f t="shared" si="46"/>
        <v>236997.54636201041</v>
      </c>
      <c r="O311" s="152">
        <f t="shared" si="47"/>
        <v>368900.31336201105</v>
      </c>
    </row>
    <row r="312" spans="1:15" x14ac:dyDescent="0.15">
      <c r="A312" s="154"/>
      <c r="B312" s="151"/>
      <c r="C312" s="152"/>
      <c r="D312" s="323"/>
      <c r="E312" s="154"/>
      <c r="F312" s="157"/>
      <c r="G312" s="152"/>
      <c r="H312" s="323" t="s">
        <v>2283</v>
      </c>
      <c r="I312" s="152"/>
      <c r="J312" s="157"/>
      <c r="K312" s="157">
        <v>5800360286</v>
      </c>
      <c r="L312" s="227">
        <v>14121.569</v>
      </c>
      <c r="M312" s="157" t="str">
        <f>+'[1]รับ 0215'!$F$247</f>
        <v>GC 180215</v>
      </c>
      <c r="N312" s="227">
        <f t="shared" si="46"/>
        <v>222875.97736201042</v>
      </c>
      <c r="O312" s="152">
        <f t="shared" si="47"/>
        <v>354778.74436201103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2283</v>
      </c>
      <c r="I313" s="152"/>
      <c r="J313" s="157"/>
      <c r="K313" s="157">
        <v>5800360286</v>
      </c>
      <c r="L313" s="227">
        <v>12010.298000000001</v>
      </c>
      <c r="M313" s="157" t="str">
        <f>+'[1]รับ 0215'!$F$247</f>
        <v>GC 180215</v>
      </c>
      <c r="N313" s="227">
        <f t="shared" si="40"/>
        <v>210865.67936201041</v>
      </c>
      <c r="O313" s="152">
        <f t="shared" si="41"/>
        <v>342768.44636201102</v>
      </c>
    </row>
    <row r="314" spans="1:15" x14ac:dyDescent="0.15">
      <c r="A314" s="154"/>
      <c r="B314" s="151"/>
      <c r="C314" s="152"/>
      <c r="D314" s="323" t="s">
        <v>2284</v>
      </c>
      <c r="E314" s="154" t="s">
        <v>72</v>
      </c>
      <c r="F314" s="157" t="str">
        <f>+'[1]รับ 0215'!$F$249</f>
        <v>TOP 200215</v>
      </c>
      <c r="G314" s="152">
        <f>+'[1]รับ 0215'!$D$250</f>
        <v>248881.22699999996</v>
      </c>
      <c r="H314" s="323" t="s">
        <v>2284</v>
      </c>
      <c r="I314" s="152">
        <v>14958.578000000001</v>
      </c>
      <c r="J314" s="157" t="str">
        <f>+'[1]รับ 0215'!$F$247</f>
        <v>GC 180215</v>
      </c>
      <c r="K314" s="157">
        <v>5800360286</v>
      </c>
      <c r="L314" s="227">
        <v>14353.271000000001</v>
      </c>
      <c r="M314" s="157" t="str">
        <f>+'[1]รับ 0215'!$F$247</f>
        <v>GC 180215</v>
      </c>
      <c r="N314" s="227">
        <f t="shared" si="40"/>
        <v>181553.8303620104</v>
      </c>
      <c r="O314" s="152">
        <f t="shared" si="41"/>
        <v>562337.82436201104</v>
      </c>
    </row>
    <row r="315" spans="1:15" x14ac:dyDescent="0.15">
      <c r="A315" s="154"/>
      <c r="B315" s="151"/>
      <c r="C315" s="152"/>
      <c r="D315" s="323" t="s">
        <v>2284</v>
      </c>
      <c r="E315" s="154" t="s">
        <v>72</v>
      </c>
      <c r="F315" s="157" t="str">
        <f>+'[1]รับ 0215'!$F$251</f>
        <v>GC 210215</v>
      </c>
      <c r="G315" s="152">
        <f>+'[1]รับ 0215'!$D$251</f>
        <v>58872.866000000002</v>
      </c>
      <c r="H315" s="323" t="s">
        <v>2284</v>
      </c>
      <c r="I315" s="152"/>
      <c r="J315" s="157"/>
      <c r="K315" s="157">
        <v>5800360286</v>
      </c>
      <c r="L315" s="227">
        <v>27423.893</v>
      </c>
      <c r="M315" s="157" t="str">
        <f>+'[1]รับ 0215'!$F$247</f>
        <v>GC 180215</v>
      </c>
      <c r="N315" s="227">
        <f t="shared" si="40"/>
        <v>154129.93736201039</v>
      </c>
      <c r="O315" s="152">
        <f t="shared" si="41"/>
        <v>593786.79736201104</v>
      </c>
    </row>
    <row r="316" spans="1:15" x14ac:dyDescent="0.15">
      <c r="A316" s="154"/>
      <c r="B316" s="151"/>
      <c r="C316" s="152"/>
      <c r="D316" s="323"/>
      <c r="E316" s="154"/>
      <c r="F316" s="157"/>
      <c r="G316" s="152"/>
      <c r="H316" s="323" t="s">
        <v>2284</v>
      </c>
      <c r="I316" s="152"/>
      <c r="J316" s="157"/>
      <c r="K316" s="157">
        <v>5800360286</v>
      </c>
      <c r="L316" s="227">
        <v>15317.76</v>
      </c>
      <c r="M316" s="157" t="str">
        <f>+'[1]รับ 0215'!$F$247</f>
        <v>GC 180215</v>
      </c>
      <c r="N316" s="227">
        <f t="shared" si="40"/>
        <v>138812.17736201038</v>
      </c>
      <c r="O316" s="152">
        <f t="shared" si="41"/>
        <v>578469.03736201103</v>
      </c>
    </row>
    <row r="317" spans="1:15" x14ac:dyDescent="0.15">
      <c r="A317" s="154"/>
      <c r="B317" s="151"/>
      <c r="C317" s="152"/>
      <c r="D317" s="323"/>
      <c r="E317" s="154"/>
      <c r="F317" s="157"/>
      <c r="G317" s="152"/>
      <c r="H317" s="323" t="s">
        <v>2284</v>
      </c>
      <c r="I317" s="152"/>
      <c r="J317" s="157"/>
      <c r="K317" s="157">
        <v>5800360286</v>
      </c>
      <c r="L317" s="227">
        <v>12876.522999999999</v>
      </c>
      <c r="M317" s="157" t="str">
        <f>+'[1]รับ 0215'!$F$247</f>
        <v>GC 180215</v>
      </c>
      <c r="N317" s="227">
        <f t="shared" si="40"/>
        <v>125935.65436201038</v>
      </c>
      <c r="O317" s="152">
        <f t="shared" si="41"/>
        <v>565592.51436201099</v>
      </c>
    </row>
    <row r="318" spans="1:15" x14ac:dyDescent="0.15">
      <c r="A318" s="154"/>
      <c r="B318" s="151"/>
      <c r="C318" s="152"/>
      <c r="D318" s="323"/>
      <c r="E318" s="154"/>
      <c r="F318" s="157"/>
      <c r="G318" s="152"/>
      <c r="H318" s="323" t="s">
        <v>2284</v>
      </c>
      <c r="I318" s="152"/>
      <c r="J318" s="157"/>
      <c r="K318" s="157">
        <v>5800360286</v>
      </c>
      <c r="L318" s="227">
        <v>9117.6190000000006</v>
      </c>
      <c r="M318" s="157" t="str">
        <f>+'[1]รับ 0215'!$F$247</f>
        <v>GC 180215</v>
      </c>
      <c r="N318" s="227">
        <f t="shared" si="40"/>
        <v>116818.03536201037</v>
      </c>
      <c r="O318" s="152">
        <f t="shared" si="41"/>
        <v>556474.89536201104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2284</v>
      </c>
      <c r="I319" s="152"/>
      <c r="J319" s="157"/>
      <c r="K319" s="157">
        <v>5800360286</v>
      </c>
      <c r="L319" s="227">
        <v>12645.406000000001</v>
      </c>
      <c r="M319" s="157" t="str">
        <f>+'[1]รับ 0215'!$F$247</f>
        <v>GC 180215</v>
      </c>
      <c r="N319" s="227">
        <f t="shared" si="40"/>
        <v>104172.62936201037</v>
      </c>
      <c r="O319" s="152">
        <f t="shared" si="41"/>
        <v>543829.48936201108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2284</v>
      </c>
      <c r="I320" s="152"/>
      <c r="J320" s="157"/>
      <c r="K320" s="157">
        <v>5800360286</v>
      </c>
      <c r="L320" s="227">
        <v>10845.494000000001</v>
      </c>
      <c r="M320" s="157" t="str">
        <f>+'[1]รับ 0215'!$F$247</f>
        <v>GC 180215</v>
      </c>
      <c r="N320" s="227">
        <f t="shared" si="40"/>
        <v>93327.135362010362</v>
      </c>
      <c r="O320" s="152">
        <f t="shared" si="41"/>
        <v>532983.99536201113</v>
      </c>
    </row>
    <row r="321" spans="1:15" x14ac:dyDescent="0.15">
      <c r="A321" s="154"/>
      <c r="B321" s="151"/>
      <c r="C321" s="152"/>
      <c r="D321" s="323"/>
      <c r="E321" s="154"/>
      <c r="F321" s="157"/>
      <c r="G321" s="152"/>
      <c r="H321" s="323" t="s">
        <v>2284</v>
      </c>
      <c r="I321" s="152"/>
      <c r="J321" s="157"/>
      <c r="K321" s="157">
        <v>5800360286</v>
      </c>
      <c r="L321" s="227">
        <v>14567.38</v>
      </c>
      <c r="M321" s="157" t="str">
        <f>+'[1]รับ 0215'!$F$247</f>
        <v>GC 180215</v>
      </c>
      <c r="N321" s="227">
        <f t="shared" si="40"/>
        <v>78759.755362010357</v>
      </c>
      <c r="O321" s="152">
        <f t="shared" si="41"/>
        <v>518416.61536201113</v>
      </c>
    </row>
    <row r="322" spans="1:15" x14ac:dyDescent="0.15">
      <c r="A322" s="154"/>
      <c r="B322" s="151"/>
      <c r="C322" s="152"/>
      <c r="D322" s="323"/>
      <c r="E322" s="154"/>
      <c r="F322" s="157"/>
      <c r="G322" s="152"/>
      <c r="H322" s="323" t="s">
        <v>2284</v>
      </c>
      <c r="I322" s="152"/>
      <c r="J322" s="157"/>
      <c r="K322" s="157">
        <v>5800360286</v>
      </c>
      <c r="L322" s="227">
        <v>14918.558000000001</v>
      </c>
      <c r="M322" s="157" t="str">
        <f>+'[1]รับ 0215'!$F$247</f>
        <v>GC 180215</v>
      </c>
      <c r="N322" s="227">
        <f t="shared" si="40"/>
        <v>63841.197362010353</v>
      </c>
      <c r="O322" s="152">
        <f t="shared" si="41"/>
        <v>503498.05736201111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2284</v>
      </c>
      <c r="I323" s="152"/>
      <c r="J323" s="157"/>
      <c r="K323" s="157">
        <v>5800360286</v>
      </c>
      <c r="L323" s="227">
        <v>16119.165999999999</v>
      </c>
      <c r="M323" s="157" t="str">
        <f>+'[1]รับ 0215'!$F$247</f>
        <v>GC 180215</v>
      </c>
      <c r="N323" s="227">
        <f t="shared" si="40"/>
        <v>47722.031362010355</v>
      </c>
      <c r="O323" s="152">
        <f t="shared" si="41"/>
        <v>487378.89136201108</v>
      </c>
    </row>
    <row r="324" spans="1:15" x14ac:dyDescent="0.15">
      <c r="A324" s="154"/>
      <c r="B324" s="151"/>
      <c r="C324" s="152"/>
      <c r="D324" s="323"/>
      <c r="E324" s="154"/>
      <c r="F324" s="157"/>
      <c r="G324" s="152"/>
      <c r="H324" s="323" t="s">
        <v>2284</v>
      </c>
      <c r="I324" s="152"/>
      <c r="J324" s="157"/>
      <c r="K324" s="157">
        <v>5800360286</v>
      </c>
      <c r="L324" s="227">
        <v>3644.846</v>
      </c>
      <c r="M324" s="157" t="str">
        <f>+'[1]รับ 0215'!$F$247</f>
        <v>GC 180215</v>
      </c>
      <c r="N324" s="227">
        <f t="shared" si="40"/>
        <v>44077.185362010357</v>
      </c>
      <c r="O324" s="152">
        <f t="shared" si="41"/>
        <v>483734.04536201106</v>
      </c>
    </row>
    <row r="325" spans="1:15" x14ac:dyDescent="0.15">
      <c r="A325" s="154"/>
      <c r="B325" s="151"/>
      <c r="C325" s="152"/>
      <c r="D325" s="323"/>
      <c r="E325" s="154"/>
      <c r="F325" s="157"/>
      <c r="G325" s="152"/>
      <c r="H325" s="323" t="s">
        <v>2284</v>
      </c>
      <c r="I325" s="152"/>
      <c r="J325" s="157"/>
      <c r="K325" s="157">
        <v>5800360286</v>
      </c>
      <c r="L325" s="227">
        <v>3383.7139999999999</v>
      </c>
      <c r="M325" s="157" t="str">
        <f>+'[1]รับ 0215'!$F$247</f>
        <v>GC 180215</v>
      </c>
      <c r="N325" s="227">
        <f t="shared" si="40"/>
        <v>40693.471362010358</v>
      </c>
      <c r="O325" s="152">
        <f t="shared" si="41"/>
        <v>480350.33136201109</v>
      </c>
    </row>
    <row r="326" spans="1:15" x14ac:dyDescent="0.15">
      <c r="A326" s="154"/>
      <c r="B326" s="151"/>
      <c r="C326" s="152"/>
      <c r="D326" s="323"/>
      <c r="E326" s="154"/>
      <c r="F326" s="157"/>
      <c r="G326" s="152"/>
      <c r="H326" s="323" t="s">
        <v>2284</v>
      </c>
      <c r="I326" s="152"/>
      <c r="J326" s="157"/>
      <c r="K326" s="157">
        <v>5800360286</v>
      </c>
      <c r="L326" s="227">
        <v>5246.6580000000004</v>
      </c>
      <c r="M326" s="157" t="str">
        <f>+'[1]รับ 0215'!$F$247</f>
        <v>GC 180215</v>
      </c>
      <c r="N326" s="227">
        <f t="shared" si="40"/>
        <v>35446.813362010354</v>
      </c>
      <c r="O326" s="152">
        <f t="shared" si="41"/>
        <v>475103.67336201109</v>
      </c>
    </row>
    <row r="327" spans="1:15" x14ac:dyDescent="0.15">
      <c r="A327" s="154"/>
      <c r="B327" s="151"/>
      <c r="C327" s="152"/>
      <c r="D327" s="323"/>
      <c r="E327" s="154"/>
      <c r="F327" s="157"/>
      <c r="G327" s="152"/>
      <c r="H327" s="323" t="s">
        <v>2284</v>
      </c>
      <c r="I327" s="152"/>
      <c r="J327" s="157"/>
      <c r="K327" s="157">
        <v>5800360286</v>
      </c>
      <c r="L327" s="227">
        <v>1877.951</v>
      </c>
      <c r="M327" s="157" t="str">
        <f>+'[1]รับ 0215'!$F$247</f>
        <v>GC 180215</v>
      </c>
      <c r="N327" s="227">
        <f t="shared" si="40"/>
        <v>33568.862362010354</v>
      </c>
      <c r="O327" s="152">
        <f t="shared" si="41"/>
        <v>473225.72236201109</v>
      </c>
    </row>
    <row r="328" spans="1:15" x14ac:dyDescent="0.15">
      <c r="A328" s="154"/>
      <c r="B328" s="151"/>
      <c r="C328" s="152"/>
      <c r="D328" s="323"/>
      <c r="E328" s="154"/>
      <c r="F328" s="157"/>
      <c r="G328" s="152"/>
      <c r="H328" s="323" t="s">
        <v>2284</v>
      </c>
      <c r="I328" s="152"/>
      <c r="J328" s="157"/>
      <c r="K328" s="157">
        <v>5800360286</v>
      </c>
      <c r="L328" s="227">
        <v>10461.299999999999</v>
      </c>
      <c r="M328" s="157" t="str">
        <f>+'[1]รับ 0215'!$F$247</f>
        <v>GC 180215</v>
      </c>
      <c r="N328" s="227">
        <f t="shared" si="40"/>
        <v>23107.562362010354</v>
      </c>
      <c r="O328" s="152">
        <f t="shared" si="41"/>
        <v>462764.4223620111</v>
      </c>
    </row>
    <row r="329" spans="1:15" x14ac:dyDescent="0.15">
      <c r="A329" s="154"/>
      <c r="B329" s="151"/>
      <c r="C329" s="152"/>
      <c r="D329" s="323"/>
      <c r="E329" s="154"/>
      <c r="F329" s="157"/>
      <c r="G329" s="152"/>
      <c r="H329" s="323" t="s">
        <v>2284</v>
      </c>
      <c r="I329" s="152"/>
      <c r="J329" s="157"/>
      <c r="K329" s="157">
        <v>5800360286</v>
      </c>
      <c r="L329" s="227">
        <v>14234.210999999999</v>
      </c>
      <c r="M329" s="157" t="str">
        <f>+'[1]รับ 0215'!$F$247</f>
        <v>GC 180215</v>
      </c>
      <c r="N329" s="227">
        <f t="shared" si="40"/>
        <v>8873.3513620103549</v>
      </c>
      <c r="O329" s="152">
        <f t="shared" si="41"/>
        <v>448530.21136201109</v>
      </c>
    </row>
    <row r="330" spans="1:15" x14ac:dyDescent="0.15">
      <c r="A330" s="154"/>
      <c r="B330" s="151"/>
      <c r="C330" s="152"/>
      <c r="D330" s="323"/>
      <c r="E330" s="154"/>
      <c r="F330" s="157"/>
      <c r="G330" s="152"/>
      <c r="H330" s="323" t="s">
        <v>2284</v>
      </c>
      <c r="I330" s="152"/>
      <c r="J330" s="157"/>
      <c r="K330" s="157">
        <v>5800360286</v>
      </c>
      <c r="L330" s="227">
        <v>8873.3513620103549</v>
      </c>
      <c r="M330" s="157" t="str">
        <f>+'[1]รับ 0215'!$F$247</f>
        <v>GC 180215</v>
      </c>
      <c r="N330" s="227">
        <f t="shared" ref="N330:N335" si="48">+N329-I330-L330</f>
        <v>0</v>
      </c>
      <c r="O330" s="152">
        <f t="shared" ref="O330:O335" si="49">O329+G330-I330-L330</f>
        <v>439656.86000000074</v>
      </c>
    </row>
    <row r="331" spans="1:15" x14ac:dyDescent="0.15">
      <c r="A331" s="154"/>
      <c r="B331" s="151"/>
      <c r="C331" s="152"/>
      <c r="D331" s="323"/>
      <c r="E331" s="154"/>
      <c r="F331" s="157"/>
      <c r="G331" s="152"/>
      <c r="H331" s="323" t="s">
        <v>2284</v>
      </c>
      <c r="I331" s="152"/>
      <c r="J331" s="157"/>
      <c r="K331" s="157">
        <v>5800360268</v>
      </c>
      <c r="L331" s="227">
        <v>5347.8526379896402</v>
      </c>
      <c r="M331" s="157" t="str">
        <f>+'[1]รับ 0215'!$F$249</f>
        <v>TOP 200215</v>
      </c>
      <c r="N331" s="227">
        <f>G298+G314+N330-I331-L331</f>
        <v>375436.14136201033</v>
      </c>
      <c r="O331" s="152">
        <f t="shared" si="49"/>
        <v>434309.00736201112</v>
      </c>
    </row>
    <row r="332" spans="1:15" x14ac:dyDescent="0.15">
      <c r="A332" s="154"/>
      <c r="B332" s="151"/>
      <c r="C332" s="152"/>
      <c r="D332" s="323"/>
      <c r="E332" s="154"/>
      <c r="F332" s="157"/>
      <c r="G332" s="152"/>
      <c r="H332" s="323" t="s">
        <v>2284</v>
      </c>
      <c r="I332" s="152"/>
      <c r="J332" s="157"/>
      <c r="K332" s="157">
        <v>5800360268</v>
      </c>
      <c r="L332" s="227">
        <v>10466.302</v>
      </c>
      <c r="M332" s="157" t="str">
        <f>+'[1]รับ 0215'!$F$249</f>
        <v>TOP 200215</v>
      </c>
      <c r="N332" s="227">
        <f t="shared" si="48"/>
        <v>364969.8393620103</v>
      </c>
      <c r="O332" s="152">
        <f t="shared" si="49"/>
        <v>423842.7053620111</v>
      </c>
    </row>
    <row r="333" spans="1:15" x14ac:dyDescent="0.15">
      <c r="A333" s="154"/>
      <c r="B333" s="151"/>
      <c r="C333" s="152"/>
      <c r="D333" s="323" t="s">
        <v>2285</v>
      </c>
      <c r="E333" s="154" t="s">
        <v>72</v>
      </c>
      <c r="F333" s="157" t="str">
        <f>+'[1]รับ 0215'!$F$251</f>
        <v>GC 210215</v>
      </c>
      <c r="G333" s="152">
        <f>+'[1]รับ 0215'!$D$252</f>
        <v>307900.467</v>
      </c>
      <c r="H333" s="323" t="s">
        <v>2285</v>
      </c>
      <c r="I333" s="152">
        <v>13414.02</v>
      </c>
      <c r="J333" s="157" t="str">
        <f>+'[1]รับ 0215'!$F$249</f>
        <v>TOP 200215</v>
      </c>
      <c r="K333" s="157">
        <v>5800360268</v>
      </c>
      <c r="L333" s="227">
        <v>13751.144</v>
      </c>
      <c r="M333" s="157" t="str">
        <f>+'[1]รับ 0215'!$F$249</f>
        <v>TOP 200215</v>
      </c>
      <c r="N333" s="227">
        <f t="shared" si="48"/>
        <v>337804.67536201025</v>
      </c>
      <c r="O333" s="152">
        <f t="shared" si="49"/>
        <v>704578.00836201117</v>
      </c>
    </row>
    <row r="334" spans="1:15" x14ac:dyDescent="0.15">
      <c r="A334" s="154"/>
      <c r="B334" s="151"/>
      <c r="C334" s="152"/>
      <c r="D334" s="323"/>
      <c r="E334" s="154"/>
      <c r="F334" s="157"/>
      <c r="G334" s="152"/>
      <c r="H334" s="323" t="s">
        <v>2285</v>
      </c>
      <c r="I334" s="152"/>
      <c r="J334" s="157"/>
      <c r="K334" s="157">
        <v>5800360268</v>
      </c>
      <c r="L334" s="227">
        <v>13773.161</v>
      </c>
      <c r="M334" s="157" t="str">
        <f>+'[1]รับ 0215'!$F$249</f>
        <v>TOP 200215</v>
      </c>
      <c r="N334" s="227">
        <f t="shared" si="48"/>
        <v>324031.51436201023</v>
      </c>
      <c r="O334" s="152">
        <f t="shared" si="49"/>
        <v>690804.84736201121</v>
      </c>
    </row>
    <row r="335" spans="1:15" x14ac:dyDescent="0.15">
      <c r="A335" s="154"/>
      <c r="B335" s="151"/>
      <c r="C335" s="152"/>
      <c r="D335" s="323"/>
      <c r="E335" s="154"/>
      <c r="F335" s="157"/>
      <c r="G335" s="152"/>
      <c r="H335" s="323" t="s">
        <v>2285</v>
      </c>
      <c r="I335" s="152"/>
      <c r="J335" s="157"/>
      <c r="K335" s="157">
        <v>5800360268</v>
      </c>
      <c r="L335" s="227">
        <v>16165.1</v>
      </c>
      <c r="M335" s="157" t="str">
        <f>+'[1]รับ 0215'!$F$249</f>
        <v>TOP 200215</v>
      </c>
      <c r="N335" s="227">
        <f t="shared" si="48"/>
        <v>307866.41436201025</v>
      </c>
      <c r="O335" s="152">
        <f t="shared" si="49"/>
        <v>674639.74736201123</v>
      </c>
    </row>
    <row r="336" spans="1:15" x14ac:dyDescent="0.15">
      <c r="A336" s="154"/>
      <c r="B336" s="151"/>
      <c r="C336" s="152"/>
      <c r="D336" s="323"/>
      <c r="E336" s="154"/>
      <c r="F336" s="157"/>
      <c r="G336" s="152"/>
      <c r="H336" s="323" t="s">
        <v>2285</v>
      </c>
      <c r="I336" s="152"/>
      <c r="J336" s="157"/>
      <c r="K336" s="157">
        <v>5800360268</v>
      </c>
      <c r="L336" s="227">
        <v>13192.691000000001</v>
      </c>
      <c r="M336" s="157" t="str">
        <f>+'[1]รับ 0215'!$F$249</f>
        <v>TOP 200215</v>
      </c>
      <c r="N336" s="227">
        <f t="shared" si="40"/>
        <v>294673.72336201026</v>
      </c>
      <c r="O336" s="152">
        <f t="shared" si="41"/>
        <v>661447.05636201124</v>
      </c>
    </row>
    <row r="337" spans="1:15" x14ac:dyDescent="0.15">
      <c r="A337" s="154"/>
      <c r="B337" s="151"/>
      <c r="C337" s="152"/>
      <c r="D337" s="323"/>
      <c r="E337" s="154"/>
      <c r="F337" s="157"/>
      <c r="G337" s="152"/>
      <c r="H337" s="323" t="s">
        <v>2285</v>
      </c>
      <c r="I337" s="152"/>
      <c r="J337" s="157"/>
      <c r="K337" s="157">
        <v>5800360268</v>
      </c>
      <c r="L337" s="227">
        <v>12256.933000000001</v>
      </c>
      <c r="M337" s="157" t="str">
        <f>+'[1]รับ 0215'!$F$249</f>
        <v>TOP 200215</v>
      </c>
      <c r="N337" s="227">
        <f t="shared" si="40"/>
        <v>282416.79036201024</v>
      </c>
      <c r="O337" s="152">
        <f t="shared" si="41"/>
        <v>649190.12336201128</v>
      </c>
    </row>
    <row r="338" spans="1:15" x14ac:dyDescent="0.15">
      <c r="A338" s="154"/>
      <c r="B338" s="151"/>
      <c r="C338" s="152"/>
      <c r="D338" s="323"/>
      <c r="E338" s="154"/>
      <c r="F338" s="157"/>
      <c r="G338" s="152"/>
      <c r="H338" s="323" t="s">
        <v>2285</v>
      </c>
      <c r="I338" s="152"/>
      <c r="J338" s="157"/>
      <c r="K338" s="157">
        <v>5800360268</v>
      </c>
      <c r="L338" s="227">
        <v>8777.1129999999994</v>
      </c>
      <c r="M338" s="157" t="str">
        <f>+'[1]รับ 0215'!$F$249</f>
        <v>TOP 200215</v>
      </c>
      <c r="N338" s="227">
        <f t="shared" si="40"/>
        <v>273639.67736201023</v>
      </c>
      <c r="O338" s="152">
        <f t="shared" si="41"/>
        <v>640413.01036201126</v>
      </c>
    </row>
    <row r="339" spans="1:15" x14ac:dyDescent="0.15">
      <c r="A339" s="154"/>
      <c r="B339" s="151"/>
      <c r="C339" s="152"/>
      <c r="D339" s="323"/>
      <c r="E339" s="154"/>
      <c r="F339" s="157"/>
      <c r="G339" s="152"/>
      <c r="H339" s="323" t="s">
        <v>2285</v>
      </c>
      <c r="I339" s="152"/>
      <c r="J339" s="157"/>
      <c r="K339" s="157">
        <v>5800360268</v>
      </c>
      <c r="L339" s="227">
        <v>12800.373</v>
      </c>
      <c r="M339" s="157" t="str">
        <f>+'[1]รับ 0215'!$F$249</f>
        <v>TOP 200215</v>
      </c>
      <c r="N339" s="227">
        <f t="shared" si="40"/>
        <v>260839.30436201024</v>
      </c>
      <c r="O339" s="152">
        <f t="shared" si="41"/>
        <v>627612.63736201124</v>
      </c>
    </row>
    <row r="340" spans="1:15" x14ac:dyDescent="0.15">
      <c r="A340" s="154"/>
      <c r="B340" s="151"/>
      <c r="C340" s="152"/>
      <c r="D340" s="323"/>
      <c r="E340" s="154"/>
      <c r="F340" s="157"/>
      <c r="G340" s="152"/>
      <c r="H340" s="323" t="s">
        <v>2285</v>
      </c>
      <c r="I340" s="152"/>
      <c r="J340" s="157"/>
      <c r="K340" s="157">
        <v>5800360268</v>
      </c>
      <c r="L340" s="227">
        <v>14856.039000000001</v>
      </c>
      <c r="M340" s="157" t="str">
        <f>+'[1]รับ 0215'!$F$249</f>
        <v>TOP 200215</v>
      </c>
      <c r="N340" s="227">
        <f t="shared" si="40"/>
        <v>245983.26536201025</v>
      </c>
      <c r="O340" s="152">
        <f t="shared" si="41"/>
        <v>612756.59836201125</v>
      </c>
    </row>
    <row r="341" spans="1:15" x14ac:dyDescent="0.15">
      <c r="A341" s="154"/>
      <c r="B341" s="151"/>
      <c r="C341" s="152"/>
      <c r="D341" s="323"/>
      <c r="E341" s="154"/>
      <c r="F341" s="157"/>
      <c r="G341" s="152"/>
      <c r="H341" s="323" t="s">
        <v>2285</v>
      </c>
      <c r="I341" s="152"/>
      <c r="J341" s="157"/>
      <c r="K341" s="157">
        <v>5800360268</v>
      </c>
      <c r="L341" s="227">
        <v>15381.465</v>
      </c>
      <c r="M341" s="157" t="str">
        <f>+'[1]รับ 0215'!$F$249</f>
        <v>TOP 200215</v>
      </c>
      <c r="N341" s="227">
        <f t="shared" si="40"/>
        <v>230601.80036201025</v>
      </c>
      <c r="O341" s="152">
        <f t="shared" si="41"/>
        <v>597375.13336201129</v>
      </c>
    </row>
    <row r="342" spans="1:15" x14ac:dyDescent="0.15">
      <c r="A342" s="154"/>
      <c r="B342" s="151"/>
      <c r="C342" s="152"/>
      <c r="D342" s="323"/>
      <c r="E342" s="154"/>
      <c r="F342" s="157"/>
      <c r="G342" s="152"/>
      <c r="H342" s="323" t="s">
        <v>2285</v>
      </c>
      <c r="I342" s="152"/>
      <c r="J342" s="157"/>
      <c r="K342" s="157">
        <v>5800360268</v>
      </c>
      <c r="L342" s="227">
        <v>11176.057000000001</v>
      </c>
      <c r="M342" s="157" t="str">
        <f>+'[1]รับ 0215'!$F$249</f>
        <v>TOP 200215</v>
      </c>
      <c r="N342" s="227">
        <f t="shared" si="40"/>
        <v>219425.74336201025</v>
      </c>
      <c r="O342" s="152">
        <f t="shared" si="41"/>
        <v>586199.07636201126</v>
      </c>
    </row>
    <row r="343" spans="1:15" x14ac:dyDescent="0.15">
      <c r="A343" s="154"/>
      <c r="B343" s="151"/>
      <c r="C343" s="152"/>
      <c r="D343" s="323"/>
      <c r="E343" s="154"/>
      <c r="F343" s="157"/>
      <c r="G343" s="152"/>
      <c r="H343" s="323" t="s">
        <v>2285</v>
      </c>
      <c r="I343" s="152"/>
      <c r="J343" s="157"/>
      <c r="K343" s="157">
        <v>5800360268</v>
      </c>
      <c r="L343" s="227">
        <v>3486.826</v>
      </c>
      <c r="M343" s="157" t="str">
        <f>+'[1]รับ 0215'!$F$249</f>
        <v>TOP 200215</v>
      </c>
      <c r="N343" s="227">
        <f t="shared" si="40"/>
        <v>215938.91736201025</v>
      </c>
      <c r="O343" s="152">
        <f t="shared" si="41"/>
        <v>582712.25036201125</v>
      </c>
    </row>
    <row r="344" spans="1:15" x14ac:dyDescent="0.15">
      <c r="A344" s="154"/>
      <c r="B344" s="151"/>
      <c r="C344" s="152"/>
      <c r="D344" s="323"/>
      <c r="E344" s="154"/>
      <c r="F344" s="157"/>
      <c r="G344" s="152"/>
      <c r="H344" s="323" t="s">
        <v>2285</v>
      </c>
      <c r="I344" s="152"/>
      <c r="J344" s="157"/>
      <c r="K344" s="157">
        <v>5800360268</v>
      </c>
      <c r="L344" s="227">
        <v>10989.906000000001</v>
      </c>
      <c r="M344" s="157" t="str">
        <f>+'[1]รับ 0215'!$F$249</f>
        <v>TOP 200215</v>
      </c>
      <c r="N344" s="227">
        <f t="shared" si="40"/>
        <v>204949.01136201026</v>
      </c>
      <c r="O344" s="152">
        <f t="shared" si="41"/>
        <v>571722.3443620113</v>
      </c>
    </row>
    <row r="345" spans="1:15" x14ac:dyDescent="0.15">
      <c r="A345" s="154"/>
      <c r="B345" s="151"/>
      <c r="C345" s="152"/>
      <c r="D345" s="323"/>
      <c r="E345" s="154"/>
      <c r="F345" s="157"/>
      <c r="G345" s="152"/>
      <c r="H345" s="323" t="s">
        <v>2285</v>
      </c>
      <c r="I345" s="152"/>
      <c r="J345" s="157"/>
      <c r="K345" s="157">
        <v>5800360268</v>
      </c>
      <c r="L345" s="227">
        <v>6066.77</v>
      </c>
      <c r="M345" s="157" t="str">
        <f>+'[1]รับ 0215'!$F$249</f>
        <v>TOP 200215</v>
      </c>
      <c r="N345" s="227">
        <f t="shared" si="40"/>
        <v>198882.24136201027</v>
      </c>
      <c r="O345" s="152">
        <f t="shared" si="41"/>
        <v>565655.57436201128</v>
      </c>
    </row>
    <row r="346" spans="1:15" x14ac:dyDescent="0.15">
      <c r="A346" s="154"/>
      <c r="B346" s="151"/>
      <c r="C346" s="152"/>
      <c r="D346" s="323"/>
      <c r="E346" s="154"/>
      <c r="F346" s="157"/>
      <c r="G346" s="152"/>
      <c r="H346" s="323" t="s">
        <v>2285</v>
      </c>
      <c r="I346" s="152"/>
      <c r="J346" s="157"/>
      <c r="K346" s="157">
        <v>5800360268</v>
      </c>
      <c r="L346" s="227">
        <v>212.95699999999999</v>
      </c>
      <c r="M346" s="157" t="str">
        <f>+'[1]รับ 0215'!$F$249</f>
        <v>TOP 200215</v>
      </c>
      <c r="N346" s="227">
        <f t="shared" ref="N346:N411" si="50">+N345-I346-L346</f>
        <v>198669.28436201028</v>
      </c>
      <c r="O346" s="152">
        <f t="shared" ref="O346:O411" si="51">O345+G346-I346-L346</f>
        <v>565442.61736201122</v>
      </c>
    </row>
    <row r="347" spans="1:15" x14ac:dyDescent="0.15">
      <c r="A347" s="154"/>
      <c r="B347" s="151"/>
      <c r="C347" s="152"/>
      <c r="D347" s="323"/>
      <c r="E347" s="154"/>
      <c r="F347" s="157"/>
      <c r="G347" s="152"/>
      <c r="H347" s="323" t="s">
        <v>2285</v>
      </c>
      <c r="I347" s="152"/>
      <c r="J347" s="157"/>
      <c r="K347" s="157">
        <v>5800360268</v>
      </c>
      <c r="L347" s="227">
        <v>12131.54</v>
      </c>
      <c r="M347" s="157" t="str">
        <f>+'[1]รับ 0215'!$F$249</f>
        <v>TOP 200215</v>
      </c>
      <c r="N347" s="227">
        <f t="shared" si="50"/>
        <v>186537.74436201027</v>
      </c>
      <c r="O347" s="152">
        <f t="shared" si="51"/>
        <v>553311.07736201119</v>
      </c>
    </row>
    <row r="348" spans="1:15" x14ac:dyDescent="0.15">
      <c r="A348" s="154"/>
      <c r="B348" s="151"/>
      <c r="C348" s="152"/>
      <c r="D348" s="323"/>
      <c r="E348" s="154"/>
      <c r="F348" s="157"/>
      <c r="G348" s="152"/>
      <c r="H348" s="323" t="s">
        <v>2285</v>
      </c>
      <c r="I348" s="152"/>
      <c r="J348" s="157"/>
      <c r="K348" s="157">
        <v>5800360268</v>
      </c>
      <c r="L348" s="227">
        <v>9538.0660000000007</v>
      </c>
      <c r="M348" s="157" t="str">
        <f>+'[1]รับ 0215'!$F$249</f>
        <v>TOP 200215</v>
      </c>
      <c r="N348" s="227">
        <f t="shared" si="50"/>
        <v>176999.67836201028</v>
      </c>
      <c r="O348" s="152">
        <f t="shared" si="51"/>
        <v>543773.0113620112</v>
      </c>
    </row>
    <row r="349" spans="1:15" x14ac:dyDescent="0.15">
      <c r="A349" s="154"/>
      <c r="B349" s="151"/>
      <c r="C349" s="152"/>
      <c r="D349" s="323"/>
      <c r="E349" s="154"/>
      <c r="F349" s="157"/>
      <c r="G349" s="152"/>
      <c r="H349" s="323" t="s">
        <v>2285</v>
      </c>
      <c r="I349" s="152"/>
      <c r="J349" s="157"/>
      <c r="K349" s="157">
        <v>5800360268</v>
      </c>
      <c r="L349" s="227">
        <v>14059.148999999999</v>
      </c>
      <c r="M349" s="157" t="str">
        <f>+'[1]รับ 0215'!$F$249</f>
        <v>TOP 200215</v>
      </c>
      <c r="N349" s="227">
        <f t="shared" si="50"/>
        <v>162940.52936201027</v>
      </c>
      <c r="O349" s="152">
        <f t="shared" si="51"/>
        <v>529713.86236201122</v>
      </c>
    </row>
    <row r="350" spans="1:15" x14ac:dyDescent="0.15">
      <c r="A350" s="154"/>
      <c r="B350" s="151"/>
      <c r="C350" s="152"/>
      <c r="D350" s="323" t="s">
        <v>2286</v>
      </c>
      <c r="E350" s="154" t="s">
        <v>72</v>
      </c>
      <c r="F350" s="157" t="str">
        <f>+'[1]รับ 0215'!$F$251</f>
        <v>GC 210215</v>
      </c>
      <c r="G350" s="152">
        <f>+'[1]รับ 0215'!$D$253</f>
        <v>220506.65800000035</v>
      </c>
      <c r="H350" s="323" t="s">
        <v>2286</v>
      </c>
      <c r="I350" s="152">
        <v>7790.6070000000009</v>
      </c>
      <c r="J350" s="157" t="str">
        <f>+'[1]รับ 0215'!$F$249</f>
        <v>TOP 200215</v>
      </c>
      <c r="K350" s="157">
        <v>5800360268</v>
      </c>
      <c r="L350" s="227">
        <v>10708.675999999999</v>
      </c>
      <c r="M350" s="157" t="str">
        <f>+'[1]รับ 0215'!$F$249</f>
        <v>TOP 200215</v>
      </c>
      <c r="N350" s="227">
        <f t="shared" si="50"/>
        <v>144441.24636201028</v>
      </c>
      <c r="O350" s="152">
        <f t="shared" si="51"/>
        <v>731721.23736201169</v>
      </c>
    </row>
    <row r="351" spans="1:15" x14ac:dyDescent="0.15">
      <c r="A351" s="154"/>
      <c r="B351" s="151"/>
      <c r="C351" s="152"/>
      <c r="D351" s="323" t="s">
        <v>2286</v>
      </c>
      <c r="E351" s="154" t="s">
        <v>72</v>
      </c>
      <c r="F351" s="157" t="str">
        <f>+'[1]รับ 0215'!$F$254</f>
        <v>GC 240215</v>
      </c>
      <c r="G351" s="152">
        <f>+'[1]รับ 0215'!$D$254</f>
        <v>131423.56299999999</v>
      </c>
      <c r="H351" s="323" t="s">
        <v>2286</v>
      </c>
      <c r="I351" s="152"/>
      <c r="J351" s="157"/>
      <c r="K351" s="157">
        <v>5800360268</v>
      </c>
      <c r="L351" s="227">
        <v>14756.956</v>
      </c>
      <c r="M351" s="157" t="str">
        <f>+'[1]รับ 0215'!$F$249</f>
        <v>TOP 200215</v>
      </c>
      <c r="N351" s="227">
        <f t="shared" si="50"/>
        <v>129684.29036201027</v>
      </c>
      <c r="O351" s="152">
        <f t="shared" si="51"/>
        <v>848387.84436201164</v>
      </c>
    </row>
    <row r="352" spans="1:15" x14ac:dyDescent="0.15">
      <c r="A352" s="154"/>
      <c r="B352" s="151"/>
      <c r="C352" s="152"/>
      <c r="D352" s="323"/>
      <c r="E352" s="154"/>
      <c r="F352" s="157"/>
      <c r="G352" s="152"/>
      <c r="H352" s="323" t="s">
        <v>2286</v>
      </c>
      <c r="I352" s="152"/>
      <c r="J352" s="157"/>
      <c r="K352" s="157">
        <v>5800360268</v>
      </c>
      <c r="L352" s="227">
        <v>15783.788</v>
      </c>
      <c r="M352" s="157" t="str">
        <f>+'[1]รับ 0215'!$F$249</f>
        <v>TOP 200215</v>
      </c>
      <c r="N352" s="227">
        <f t="shared" si="50"/>
        <v>113900.50236201027</v>
      </c>
      <c r="O352" s="152">
        <f t="shared" si="51"/>
        <v>832604.0563620117</v>
      </c>
    </row>
    <row r="353" spans="1:15" x14ac:dyDescent="0.15">
      <c r="A353" s="154"/>
      <c r="B353" s="151"/>
      <c r="C353" s="152"/>
      <c r="D353" s="323"/>
      <c r="E353" s="154"/>
      <c r="F353" s="157"/>
      <c r="G353" s="152"/>
      <c r="H353" s="323" t="s">
        <v>2286</v>
      </c>
      <c r="I353" s="152"/>
      <c r="J353" s="157"/>
      <c r="K353" s="157">
        <v>5800360268</v>
      </c>
      <c r="L353" s="227">
        <v>15425.498</v>
      </c>
      <c r="M353" s="157" t="str">
        <f>+'[1]รับ 0215'!$F$249</f>
        <v>TOP 200215</v>
      </c>
      <c r="N353" s="227">
        <f t="shared" si="50"/>
        <v>98475.004362010281</v>
      </c>
      <c r="O353" s="152">
        <f t="shared" si="51"/>
        <v>817178.55836201168</v>
      </c>
    </row>
    <row r="354" spans="1:15" x14ac:dyDescent="0.15">
      <c r="A354" s="154"/>
      <c r="B354" s="151"/>
      <c r="C354" s="152"/>
      <c r="D354" s="323"/>
      <c r="E354" s="154"/>
      <c r="F354" s="157"/>
      <c r="G354" s="152"/>
      <c r="H354" s="323" t="s">
        <v>2286</v>
      </c>
      <c r="I354" s="152"/>
      <c r="J354" s="157"/>
      <c r="K354" s="157">
        <v>5800360268</v>
      </c>
      <c r="L354" s="227">
        <v>15541.592000000001</v>
      </c>
      <c r="M354" s="157" t="str">
        <f>+'[1]รับ 0215'!$F$249</f>
        <v>TOP 200215</v>
      </c>
      <c r="N354" s="227">
        <f t="shared" si="50"/>
        <v>82933.412362010276</v>
      </c>
      <c r="O354" s="152">
        <f t="shared" si="51"/>
        <v>801636.96636201174</v>
      </c>
    </row>
    <row r="355" spans="1:15" x14ac:dyDescent="0.15">
      <c r="A355" s="154"/>
      <c r="B355" s="151"/>
      <c r="C355" s="152"/>
      <c r="D355" s="323"/>
      <c r="E355" s="154"/>
      <c r="F355" s="157"/>
      <c r="G355" s="152"/>
      <c r="H355" s="323" t="s">
        <v>2286</v>
      </c>
      <c r="I355" s="152"/>
      <c r="J355" s="157"/>
      <c r="K355" s="157">
        <v>5800360268</v>
      </c>
      <c r="L355" s="227">
        <v>14280.57</v>
      </c>
      <c r="M355" s="157" t="str">
        <f>+'[1]รับ 0215'!$F$249</f>
        <v>TOP 200215</v>
      </c>
      <c r="N355" s="227">
        <f t="shared" si="50"/>
        <v>68652.842362010269</v>
      </c>
      <c r="O355" s="152">
        <f t="shared" si="51"/>
        <v>787356.39636201179</v>
      </c>
    </row>
    <row r="356" spans="1:15" x14ac:dyDescent="0.15">
      <c r="A356" s="154"/>
      <c r="B356" s="151"/>
      <c r="C356" s="152"/>
      <c r="D356" s="323"/>
      <c r="E356" s="154"/>
      <c r="F356" s="157"/>
      <c r="G356" s="152"/>
      <c r="H356" s="323" t="s">
        <v>2286</v>
      </c>
      <c r="I356" s="152"/>
      <c r="J356" s="157"/>
      <c r="K356" s="157">
        <v>5800360268</v>
      </c>
      <c r="L356" s="227">
        <v>14124.444</v>
      </c>
      <c r="M356" s="157" t="str">
        <f>+'[1]รับ 0215'!$F$249</f>
        <v>TOP 200215</v>
      </c>
      <c r="N356" s="227">
        <f t="shared" si="50"/>
        <v>54528.398362010266</v>
      </c>
      <c r="O356" s="152">
        <f t="shared" si="51"/>
        <v>773231.95236201177</v>
      </c>
    </row>
    <row r="357" spans="1:15" x14ac:dyDescent="0.15">
      <c r="A357" s="154"/>
      <c r="B357" s="151"/>
      <c r="C357" s="152"/>
      <c r="D357" s="323"/>
      <c r="E357" s="154"/>
      <c r="F357" s="157"/>
      <c r="G357" s="152"/>
      <c r="H357" s="323" t="s">
        <v>2286</v>
      </c>
      <c r="I357" s="152"/>
      <c r="J357" s="157"/>
      <c r="K357" s="157">
        <v>5800360268</v>
      </c>
      <c r="L357" s="227">
        <v>11769.536</v>
      </c>
      <c r="M357" s="157" t="str">
        <f>+'[1]รับ 0215'!$F$249</f>
        <v>TOP 200215</v>
      </c>
      <c r="N357" s="227">
        <f t="shared" si="50"/>
        <v>42758.862362010266</v>
      </c>
      <c r="O357" s="152">
        <f t="shared" si="51"/>
        <v>761462.41636201181</v>
      </c>
    </row>
    <row r="358" spans="1:15" x14ac:dyDescent="0.15">
      <c r="A358" s="154"/>
      <c r="B358" s="151"/>
      <c r="C358" s="152"/>
      <c r="D358" s="323"/>
      <c r="E358" s="154"/>
      <c r="F358" s="157"/>
      <c r="G358" s="152"/>
      <c r="H358" s="323" t="s">
        <v>2286</v>
      </c>
      <c r="I358" s="152"/>
      <c r="J358" s="157"/>
      <c r="K358" s="157">
        <v>5800360268</v>
      </c>
      <c r="L358" s="227">
        <v>9206.4590000000007</v>
      </c>
      <c r="M358" s="157" t="str">
        <f>+'[1]รับ 0215'!$F$249</f>
        <v>TOP 200215</v>
      </c>
      <c r="N358" s="227">
        <f t="shared" si="50"/>
        <v>33552.403362010264</v>
      </c>
      <c r="O358" s="152">
        <f t="shared" si="51"/>
        <v>752255.95736201177</v>
      </c>
    </row>
    <row r="359" spans="1:15" x14ac:dyDescent="0.15">
      <c r="A359" s="154"/>
      <c r="B359" s="151"/>
      <c r="C359" s="152"/>
      <c r="D359" s="323"/>
      <c r="E359" s="154"/>
      <c r="F359" s="157"/>
      <c r="G359" s="152"/>
      <c r="H359" s="323" t="s">
        <v>2286</v>
      </c>
      <c r="I359" s="152"/>
      <c r="J359" s="157"/>
      <c r="K359" s="157">
        <v>5800360268</v>
      </c>
      <c r="L359" s="227">
        <v>11392.23</v>
      </c>
      <c r="M359" s="157" t="str">
        <f>+'[1]รับ 0215'!$F$249</f>
        <v>TOP 200215</v>
      </c>
      <c r="N359" s="227">
        <f t="shared" si="50"/>
        <v>22160.173362010264</v>
      </c>
      <c r="O359" s="152">
        <f t="shared" si="51"/>
        <v>740863.72736201179</v>
      </c>
    </row>
    <row r="360" spans="1:15" x14ac:dyDescent="0.15">
      <c r="A360" s="154"/>
      <c r="B360" s="151"/>
      <c r="C360" s="152"/>
      <c r="D360" s="323"/>
      <c r="E360" s="154"/>
      <c r="F360" s="157"/>
      <c r="G360" s="152"/>
      <c r="H360" s="323" t="s">
        <v>2286</v>
      </c>
      <c r="I360" s="152"/>
      <c r="J360" s="157"/>
      <c r="K360" s="157">
        <v>5800360268</v>
      </c>
      <c r="L360" s="227">
        <v>16073.022999999999</v>
      </c>
      <c r="M360" s="157" t="str">
        <f>+'[1]รับ 0215'!$F$249</f>
        <v>TOP 200215</v>
      </c>
      <c r="N360" s="227">
        <f t="shared" si="50"/>
        <v>6087.1503620102649</v>
      </c>
      <c r="O360" s="152">
        <f t="shared" si="51"/>
        <v>724790.70436201175</v>
      </c>
    </row>
    <row r="361" spans="1:15" x14ac:dyDescent="0.15">
      <c r="A361" s="154"/>
      <c r="B361" s="151"/>
      <c r="C361" s="152"/>
      <c r="D361" s="323"/>
      <c r="E361" s="154"/>
      <c r="F361" s="157"/>
      <c r="G361" s="152"/>
      <c r="H361" s="323" t="s">
        <v>2286</v>
      </c>
      <c r="I361" s="152"/>
      <c r="J361" s="157"/>
      <c r="K361" s="157">
        <v>5800360268</v>
      </c>
      <c r="L361" s="227">
        <v>6087.1503620102649</v>
      </c>
      <c r="M361" s="157" t="str">
        <f>+'[1]รับ 0215'!$F$249</f>
        <v>TOP 200215</v>
      </c>
      <c r="N361" s="227">
        <f t="shared" ref="N361:N364" si="52">+N360-I361-L361</f>
        <v>0</v>
      </c>
      <c r="O361" s="152">
        <f t="shared" ref="O361:O364" si="53">O360+G361-I361-L361</f>
        <v>718703.55400000152</v>
      </c>
    </row>
    <row r="362" spans="1:15" x14ac:dyDescent="0.15">
      <c r="A362" s="154"/>
      <c r="B362" s="151"/>
      <c r="C362" s="152"/>
      <c r="D362" s="323"/>
      <c r="E362" s="154"/>
      <c r="F362" s="157"/>
      <c r="G362" s="152"/>
      <c r="H362" s="323" t="s">
        <v>2286</v>
      </c>
      <c r="I362" s="152"/>
      <c r="J362" s="157"/>
      <c r="K362" s="157">
        <v>5800360286</v>
      </c>
      <c r="L362" s="227">
        <v>55274.565637989697</v>
      </c>
      <c r="M362" s="157" t="str">
        <f>+'[1]รับ 0215'!$F$251</f>
        <v>GC 210215</v>
      </c>
      <c r="N362" s="227">
        <f>G315+G333+G350+N361-I362-L362</f>
        <v>532005.42536201072</v>
      </c>
      <c r="O362" s="152">
        <f t="shared" si="53"/>
        <v>663428.98836201185</v>
      </c>
    </row>
    <row r="363" spans="1:15" x14ac:dyDescent="0.15">
      <c r="A363" s="154"/>
      <c r="B363" s="151"/>
      <c r="C363" s="152"/>
      <c r="D363" s="323"/>
      <c r="E363" s="154"/>
      <c r="F363" s="157"/>
      <c r="G363" s="152"/>
      <c r="H363" s="323" t="s">
        <v>2286</v>
      </c>
      <c r="I363" s="152"/>
      <c r="J363" s="157"/>
      <c r="K363" s="157">
        <v>5800360286</v>
      </c>
      <c r="L363" s="227">
        <v>85148.987999999998</v>
      </c>
      <c r="M363" s="157" t="str">
        <f>+'[1]รับ 0215'!$F$251</f>
        <v>GC 210215</v>
      </c>
      <c r="N363" s="227">
        <f t="shared" si="52"/>
        <v>446856.43736201071</v>
      </c>
      <c r="O363" s="152">
        <f t="shared" si="53"/>
        <v>578280.00036201184</v>
      </c>
    </row>
    <row r="364" spans="1:15" x14ac:dyDescent="0.15">
      <c r="A364" s="154"/>
      <c r="B364" s="151"/>
      <c r="C364" s="152"/>
      <c r="D364" s="323"/>
      <c r="E364" s="154"/>
      <c r="F364" s="157"/>
      <c r="G364" s="152"/>
      <c r="H364" s="323" t="s">
        <v>2286</v>
      </c>
      <c r="I364" s="152"/>
      <c r="J364" s="157"/>
      <c r="K364" s="157">
        <v>5800360286</v>
      </c>
      <c r="L364" s="227">
        <v>13508.945</v>
      </c>
      <c r="M364" s="157" t="str">
        <f>+'[1]รับ 0215'!$F$251</f>
        <v>GC 210215</v>
      </c>
      <c r="N364" s="227">
        <f t="shared" si="52"/>
        <v>433347.4923620107</v>
      </c>
      <c r="O364" s="152">
        <f t="shared" si="53"/>
        <v>564771.05536201189</v>
      </c>
    </row>
    <row r="365" spans="1:15" x14ac:dyDescent="0.15">
      <c r="A365" s="154"/>
      <c r="B365" s="151"/>
      <c r="C365" s="152"/>
      <c r="D365" s="323"/>
      <c r="E365" s="154"/>
      <c r="F365" s="157"/>
      <c r="G365" s="152"/>
      <c r="H365" s="323" t="s">
        <v>2286</v>
      </c>
      <c r="I365" s="152"/>
      <c r="J365" s="157"/>
      <c r="K365" s="157">
        <v>5800360286</v>
      </c>
      <c r="L365" s="227">
        <v>3690.991</v>
      </c>
      <c r="M365" s="157" t="str">
        <f>+'[1]รับ 0215'!$F$251</f>
        <v>GC 210215</v>
      </c>
      <c r="N365" s="227">
        <f t="shared" si="50"/>
        <v>429656.50136201072</v>
      </c>
      <c r="O365" s="152">
        <f t="shared" si="51"/>
        <v>561080.06436201185</v>
      </c>
    </row>
    <row r="366" spans="1:15" x14ac:dyDescent="0.15">
      <c r="A366" s="154"/>
      <c r="B366" s="151"/>
      <c r="C366" s="152"/>
      <c r="D366" s="323"/>
      <c r="E366" s="154"/>
      <c r="F366" s="157"/>
      <c r="G366" s="152"/>
      <c r="H366" s="323" t="s">
        <v>2286</v>
      </c>
      <c r="I366" s="152"/>
      <c r="J366" s="157"/>
      <c r="K366" s="157">
        <v>5800360286</v>
      </c>
      <c r="L366" s="227">
        <v>70006.720000000001</v>
      </c>
      <c r="M366" s="157" t="str">
        <f>+'[1]รับ 0215'!$F$251</f>
        <v>GC 210215</v>
      </c>
      <c r="N366" s="227">
        <f t="shared" si="50"/>
        <v>359649.78136201075</v>
      </c>
      <c r="O366" s="152">
        <f t="shared" si="51"/>
        <v>491073.34436201188</v>
      </c>
    </row>
    <row r="367" spans="1:15" x14ac:dyDescent="0.15">
      <c r="A367" s="154"/>
      <c r="B367" s="151"/>
      <c r="C367" s="152"/>
      <c r="D367" s="323"/>
      <c r="E367" s="154"/>
      <c r="F367" s="157"/>
      <c r="G367" s="152"/>
      <c r="H367" s="323" t="s">
        <v>2286</v>
      </c>
      <c r="I367" s="152"/>
      <c r="J367" s="157"/>
      <c r="K367" s="157">
        <v>5800360286</v>
      </c>
      <c r="L367" s="227">
        <v>4272.433</v>
      </c>
      <c r="M367" s="157" t="str">
        <f>+'[1]รับ 0215'!$F$251</f>
        <v>GC 210215</v>
      </c>
      <c r="N367" s="227">
        <f t="shared" si="50"/>
        <v>355377.34836201073</v>
      </c>
      <c r="O367" s="152">
        <f t="shared" si="51"/>
        <v>486800.91136201186</v>
      </c>
    </row>
    <row r="368" spans="1:15" x14ac:dyDescent="0.15">
      <c r="A368" s="154"/>
      <c r="B368" s="151"/>
      <c r="C368" s="152"/>
      <c r="D368" s="323"/>
      <c r="E368" s="154"/>
      <c r="F368" s="157"/>
      <c r="G368" s="152"/>
      <c r="H368" s="323" t="s">
        <v>2286</v>
      </c>
      <c r="I368" s="152"/>
      <c r="J368" s="157"/>
      <c r="K368" s="157">
        <v>5800360286</v>
      </c>
      <c r="L368" s="227">
        <v>12362.253000000001</v>
      </c>
      <c r="M368" s="157" t="str">
        <f>+'[1]รับ 0215'!$F$251</f>
        <v>GC 210215</v>
      </c>
      <c r="N368" s="227">
        <f t="shared" si="50"/>
        <v>343015.0953620107</v>
      </c>
      <c r="O368" s="152">
        <f t="shared" si="51"/>
        <v>474438.65836201183</v>
      </c>
    </row>
    <row r="369" spans="1:15" x14ac:dyDescent="0.15">
      <c r="A369" s="154"/>
      <c r="B369" s="151"/>
      <c r="C369" s="152"/>
      <c r="D369" s="323"/>
      <c r="E369" s="154"/>
      <c r="F369" s="157"/>
      <c r="G369" s="152"/>
      <c r="H369" s="323" t="s">
        <v>2286</v>
      </c>
      <c r="I369" s="152"/>
      <c r="J369" s="157"/>
      <c r="K369" s="157">
        <v>5800360286</v>
      </c>
      <c r="L369" s="227">
        <v>10979.112999999999</v>
      </c>
      <c r="M369" s="157" t="str">
        <f>+'[1]รับ 0215'!$F$251</f>
        <v>GC 210215</v>
      </c>
      <c r="N369" s="227">
        <f t="shared" si="50"/>
        <v>332035.98236201069</v>
      </c>
      <c r="O369" s="152">
        <f t="shared" si="51"/>
        <v>463459.54536201182</v>
      </c>
    </row>
    <row r="370" spans="1:15" x14ac:dyDescent="0.15">
      <c r="A370" s="154"/>
      <c r="B370" s="151"/>
      <c r="C370" s="152"/>
      <c r="D370" s="323"/>
      <c r="E370" s="154"/>
      <c r="F370" s="157"/>
      <c r="G370" s="152"/>
      <c r="H370" s="323" t="s">
        <v>2286</v>
      </c>
      <c r="I370" s="152"/>
      <c r="J370" s="157"/>
      <c r="K370" s="157">
        <v>5800360286</v>
      </c>
      <c r="L370" s="227">
        <v>16226.645</v>
      </c>
      <c r="M370" s="157" t="str">
        <f>+'[1]รับ 0215'!$F$251</f>
        <v>GC 210215</v>
      </c>
      <c r="N370" s="227">
        <f t="shared" si="50"/>
        <v>315809.33736201067</v>
      </c>
      <c r="O370" s="152">
        <f t="shared" si="51"/>
        <v>447232.9003620118</v>
      </c>
    </row>
    <row r="371" spans="1:15" x14ac:dyDescent="0.15">
      <c r="A371" s="154"/>
      <c r="B371" s="151"/>
      <c r="C371" s="152"/>
      <c r="D371" s="323" t="s">
        <v>2287</v>
      </c>
      <c r="E371" s="154" t="s">
        <v>72</v>
      </c>
      <c r="F371" s="157" t="str">
        <f>+'[1]รับ 0215'!$F$254</f>
        <v>GC 240215</v>
      </c>
      <c r="G371" s="152">
        <f>+'[1]รับ 0215'!$D$255</f>
        <v>219823.698</v>
      </c>
      <c r="H371" s="323" t="s">
        <v>2287</v>
      </c>
      <c r="I371" s="152">
        <v>11689.738000000001</v>
      </c>
      <c r="J371" s="157" t="str">
        <f>+'[1]รับ 0215'!$F$251</f>
        <v>GC 210215</v>
      </c>
      <c r="K371" s="157">
        <v>5800360286</v>
      </c>
      <c r="L371" s="227">
        <v>13815.599</v>
      </c>
      <c r="M371" s="157" t="str">
        <f>+'[1]รับ 0215'!$F$251</f>
        <v>GC 210215</v>
      </c>
      <c r="N371" s="227">
        <f t="shared" si="50"/>
        <v>290304.00036201067</v>
      </c>
      <c r="O371" s="152">
        <f t="shared" si="51"/>
        <v>641551.26136201178</v>
      </c>
    </row>
    <row r="372" spans="1:15" x14ac:dyDescent="0.15">
      <c r="A372" s="154"/>
      <c r="B372" s="151"/>
      <c r="C372" s="152"/>
      <c r="D372" s="323" t="s">
        <v>2287</v>
      </c>
      <c r="E372" s="154" t="s">
        <v>72</v>
      </c>
      <c r="F372" s="157" t="str">
        <f>+'[1]รับ 0215'!$F$256</f>
        <v>TOP 230215</v>
      </c>
      <c r="G372" s="152">
        <f>+'[1]รับ 0215'!$D$256</f>
        <v>131816.67300000001</v>
      </c>
      <c r="H372" s="323" t="s">
        <v>2287</v>
      </c>
      <c r="I372" s="152"/>
      <c r="J372" s="157"/>
      <c r="K372" s="157">
        <v>5800360286</v>
      </c>
      <c r="L372" s="227">
        <v>16215.572</v>
      </c>
      <c r="M372" s="157" t="str">
        <f>+'[1]รับ 0215'!$F$251</f>
        <v>GC 210215</v>
      </c>
      <c r="N372" s="227">
        <f t="shared" si="50"/>
        <v>274088.42836201069</v>
      </c>
      <c r="O372" s="152">
        <f t="shared" si="51"/>
        <v>757152.36236201169</v>
      </c>
    </row>
    <row r="373" spans="1:15" x14ac:dyDescent="0.15">
      <c r="A373" s="154"/>
      <c r="B373" s="151"/>
      <c r="C373" s="152"/>
      <c r="D373" s="323"/>
      <c r="E373" s="154"/>
      <c r="F373" s="157"/>
      <c r="G373" s="152"/>
      <c r="H373" s="323" t="s">
        <v>2287</v>
      </c>
      <c r="I373" s="152"/>
      <c r="J373" s="157"/>
      <c r="K373" s="157">
        <v>5800360286</v>
      </c>
      <c r="L373" s="227">
        <v>30212.243999999999</v>
      </c>
      <c r="M373" s="157" t="str">
        <f>+'[1]รับ 0215'!$F$251</f>
        <v>GC 210215</v>
      </c>
      <c r="N373" s="227">
        <f t="shared" si="50"/>
        <v>243876.18436201068</v>
      </c>
      <c r="O373" s="152">
        <f t="shared" si="51"/>
        <v>726940.11836201174</v>
      </c>
    </row>
    <row r="374" spans="1:15" x14ac:dyDescent="0.15">
      <c r="A374" s="154"/>
      <c r="B374" s="151"/>
      <c r="C374" s="152"/>
      <c r="D374" s="323"/>
      <c r="E374" s="154"/>
      <c r="F374" s="157"/>
      <c r="G374" s="152"/>
      <c r="H374" s="323" t="s">
        <v>2287</v>
      </c>
      <c r="I374" s="152"/>
      <c r="J374" s="157"/>
      <c r="K374" s="157">
        <v>5800360286</v>
      </c>
      <c r="L374" s="227">
        <v>14855.02</v>
      </c>
      <c r="M374" s="157" t="str">
        <f>+'[1]รับ 0215'!$F$251</f>
        <v>GC 210215</v>
      </c>
      <c r="N374" s="227">
        <f t="shared" si="50"/>
        <v>229021.16436201069</v>
      </c>
      <c r="O374" s="152">
        <f t="shared" si="51"/>
        <v>712085.09836201172</v>
      </c>
    </row>
    <row r="375" spans="1:15" x14ac:dyDescent="0.15">
      <c r="A375" s="154"/>
      <c r="B375" s="151"/>
      <c r="C375" s="152"/>
      <c r="D375" s="323"/>
      <c r="E375" s="154"/>
      <c r="F375" s="157"/>
      <c r="G375" s="152"/>
      <c r="H375" s="323" t="s">
        <v>2287</v>
      </c>
      <c r="I375" s="152"/>
      <c r="J375" s="157"/>
      <c r="K375" s="157">
        <v>5800360286</v>
      </c>
      <c r="L375" s="227">
        <v>7878.1930000000002</v>
      </c>
      <c r="M375" s="157" t="str">
        <f>+'[1]รับ 0215'!$F$251</f>
        <v>GC 210215</v>
      </c>
      <c r="N375" s="227">
        <f t="shared" si="50"/>
        <v>221142.97136201069</v>
      </c>
      <c r="O375" s="152">
        <f t="shared" si="51"/>
        <v>704206.90536201175</v>
      </c>
    </row>
    <row r="376" spans="1:15" x14ac:dyDescent="0.15">
      <c r="A376" s="154"/>
      <c r="B376" s="151"/>
      <c r="C376" s="152"/>
      <c r="D376" s="323"/>
      <c r="E376" s="154"/>
      <c r="F376" s="157"/>
      <c r="G376" s="152"/>
      <c r="H376" s="323" t="s">
        <v>2287</v>
      </c>
      <c r="I376" s="152"/>
      <c r="J376" s="157"/>
      <c r="K376" s="157">
        <v>5800360286</v>
      </c>
      <c r="L376" s="227">
        <v>15304.201999999999</v>
      </c>
      <c r="M376" s="157" t="str">
        <f>+'[1]รับ 0215'!$F$251</f>
        <v>GC 210215</v>
      </c>
      <c r="N376" s="227">
        <f t="shared" si="50"/>
        <v>205838.7693620107</v>
      </c>
      <c r="O376" s="152">
        <f t="shared" si="51"/>
        <v>688902.7033620117</v>
      </c>
    </row>
    <row r="377" spans="1:15" x14ac:dyDescent="0.15">
      <c r="A377" s="154"/>
      <c r="B377" s="151"/>
      <c r="C377" s="152"/>
      <c r="D377" s="323"/>
      <c r="E377" s="154"/>
      <c r="F377" s="157"/>
      <c r="G377" s="152"/>
      <c r="H377" s="323" t="s">
        <v>2287</v>
      </c>
      <c r="I377" s="152"/>
      <c r="J377" s="157"/>
      <c r="K377" s="157">
        <v>5800360286</v>
      </c>
      <c r="L377" s="227">
        <v>13725.563</v>
      </c>
      <c r="M377" s="157" t="str">
        <f>+'[1]รับ 0215'!$F$251</f>
        <v>GC 210215</v>
      </c>
      <c r="N377" s="227">
        <f t="shared" si="50"/>
        <v>192113.20636201071</v>
      </c>
      <c r="O377" s="152">
        <f t="shared" si="51"/>
        <v>675177.14036201173</v>
      </c>
    </row>
    <row r="378" spans="1:15" x14ac:dyDescent="0.15">
      <c r="A378" s="154"/>
      <c r="B378" s="151"/>
      <c r="C378" s="152"/>
      <c r="D378" s="323"/>
      <c r="E378" s="154"/>
      <c r="F378" s="157"/>
      <c r="G378" s="152"/>
      <c r="H378" s="323" t="s">
        <v>2287</v>
      </c>
      <c r="I378" s="152"/>
      <c r="J378" s="157"/>
      <c r="K378" s="157">
        <v>5800360286</v>
      </c>
      <c r="L378" s="227">
        <v>12366.012000000001</v>
      </c>
      <c r="M378" s="157" t="str">
        <f>+'[1]รับ 0215'!$F$251</f>
        <v>GC 210215</v>
      </c>
      <c r="N378" s="227">
        <f t="shared" si="50"/>
        <v>179747.19436201072</v>
      </c>
      <c r="O378" s="152">
        <f t="shared" si="51"/>
        <v>662811.12836201175</v>
      </c>
    </row>
    <row r="379" spans="1:15" x14ac:dyDescent="0.15">
      <c r="A379" s="154"/>
      <c r="B379" s="151"/>
      <c r="C379" s="152"/>
      <c r="D379" s="323"/>
      <c r="E379" s="154"/>
      <c r="F379" s="157"/>
      <c r="G379" s="152"/>
      <c r="H379" s="323" t="s">
        <v>2287</v>
      </c>
      <c r="I379" s="152"/>
      <c r="J379" s="157"/>
      <c r="K379" s="157">
        <v>5800360286</v>
      </c>
      <c r="L379" s="227">
        <v>16830.821</v>
      </c>
      <c r="M379" s="157" t="str">
        <f>+'[1]รับ 0215'!$F$251</f>
        <v>GC 210215</v>
      </c>
      <c r="N379" s="227">
        <f t="shared" si="50"/>
        <v>162916.37336201072</v>
      </c>
      <c r="O379" s="152">
        <f t="shared" si="51"/>
        <v>645980.30736201175</v>
      </c>
    </row>
    <row r="380" spans="1:15" x14ac:dyDescent="0.15">
      <c r="A380" s="154"/>
      <c r="B380" s="151"/>
      <c r="C380" s="152"/>
      <c r="D380" s="323"/>
      <c r="E380" s="154"/>
      <c r="F380" s="157"/>
      <c r="G380" s="152"/>
      <c r="H380" s="323" t="s">
        <v>2287</v>
      </c>
      <c r="I380" s="152"/>
      <c r="J380" s="157"/>
      <c r="K380" s="157">
        <v>5800360286</v>
      </c>
      <c r="L380" s="227">
        <v>11958.847</v>
      </c>
      <c r="M380" s="157" t="str">
        <f>+'[1]รับ 0215'!$F$251</f>
        <v>GC 210215</v>
      </c>
      <c r="N380" s="227">
        <f t="shared" si="50"/>
        <v>150957.52636201071</v>
      </c>
      <c r="O380" s="152">
        <f t="shared" si="51"/>
        <v>634021.4603620118</v>
      </c>
    </row>
    <row r="381" spans="1:15" x14ac:dyDescent="0.15">
      <c r="A381" s="154"/>
      <c r="B381" s="151"/>
      <c r="C381" s="152"/>
      <c r="D381" s="323"/>
      <c r="E381" s="154"/>
      <c r="F381" s="157"/>
      <c r="G381" s="152"/>
      <c r="H381" s="323" t="s">
        <v>2287</v>
      </c>
      <c r="I381" s="152"/>
      <c r="J381" s="157"/>
      <c r="K381" s="157">
        <v>5800360286</v>
      </c>
      <c r="L381" s="227">
        <v>14946.057000000001</v>
      </c>
      <c r="M381" s="157" t="str">
        <f>+'[1]รับ 0215'!$F$251</f>
        <v>GC 210215</v>
      </c>
      <c r="N381" s="227">
        <f t="shared" si="50"/>
        <v>136011.46936201071</v>
      </c>
      <c r="O381" s="152">
        <f t="shared" si="51"/>
        <v>619075.40336201177</v>
      </c>
    </row>
    <row r="382" spans="1:15" x14ac:dyDescent="0.15">
      <c r="A382" s="154"/>
      <c r="B382" s="151"/>
      <c r="C382" s="152"/>
      <c r="D382" s="323"/>
      <c r="E382" s="154"/>
      <c r="F382" s="157"/>
      <c r="G382" s="152"/>
      <c r="H382" s="323" t="s">
        <v>2287</v>
      </c>
      <c r="I382" s="152"/>
      <c r="J382" s="157"/>
      <c r="K382" s="157">
        <v>5800360286</v>
      </c>
      <c r="L382" s="227">
        <v>25900.496999999999</v>
      </c>
      <c r="M382" s="157" t="str">
        <f>+'[1]รับ 0215'!$F$251</f>
        <v>GC 210215</v>
      </c>
      <c r="N382" s="227">
        <f t="shared" si="50"/>
        <v>110110.97236201071</v>
      </c>
      <c r="O382" s="152">
        <f t="shared" si="51"/>
        <v>593174.9063620118</v>
      </c>
    </row>
    <row r="383" spans="1:15" x14ac:dyDescent="0.15">
      <c r="A383" s="154"/>
      <c r="B383" s="151"/>
      <c r="C383" s="152"/>
      <c r="D383" s="323"/>
      <c r="E383" s="154"/>
      <c r="F383" s="157"/>
      <c r="G383" s="152"/>
      <c r="H383" s="323" t="s">
        <v>2287</v>
      </c>
      <c r="I383" s="152"/>
      <c r="J383" s="157"/>
      <c r="K383" s="157">
        <v>5800360286</v>
      </c>
      <c r="L383" s="227">
        <v>9935.0259999999998</v>
      </c>
      <c r="M383" s="157" t="str">
        <f>+'[1]รับ 0215'!$F$251</f>
        <v>GC 210215</v>
      </c>
      <c r="N383" s="227">
        <f t="shared" si="50"/>
        <v>100175.94636201071</v>
      </c>
      <c r="O383" s="152">
        <f t="shared" si="51"/>
        <v>583239.88036201184</v>
      </c>
    </row>
    <row r="384" spans="1:15" x14ac:dyDescent="0.15">
      <c r="A384" s="154"/>
      <c r="B384" s="151"/>
      <c r="C384" s="152"/>
      <c r="D384" s="323"/>
      <c r="E384" s="154"/>
      <c r="F384" s="157"/>
      <c r="G384" s="152"/>
      <c r="H384" s="323" t="s">
        <v>2287</v>
      </c>
      <c r="I384" s="152"/>
      <c r="J384" s="157"/>
      <c r="K384" s="157">
        <v>5800360286</v>
      </c>
      <c r="L384" s="227">
        <v>9812.9770000000008</v>
      </c>
      <c r="M384" s="157" t="str">
        <f>+'[1]รับ 0215'!$F$251</f>
        <v>GC 210215</v>
      </c>
      <c r="N384" s="227">
        <f t="shared" si="50"/>
        <v>90362.969362010714</v>
      </c>
      <c r="O384" s="152">
        <f t="shared" si="51"/>
        <v>573426.90336201189</v>
      </c>
    </row>
    <row r="385" spans="1:15" x14ac:dyDescent="0.15">
      <c r="A385" s="154"/>
      <c r="B385" s="151"/>
      <c r="C385" s="152"/>
      <c r="D385" s="323"/>
      <c r="E385" s="154"/>
      <c r="F385" s="157"/>
      <c r="G385" s="152"/>
      <c r="H385" s="323" t="s">
        <v>2287</v>
      </c>
      <c r="I385" s="152"/>
      <c r="J385" s="157"/>
      <c r="K385" s="157">
        <v>5800360286</v>
      </c>
      <c r="L385" s="227">
        <v>3602.46</v>
      </c>
      <c r="M385" s="157" t="str">
        <f>+'[1]รับ 0215'!$F$251</f>
        <v>GC 210215</v>
      </c>
      <c r="N385" s="227">
        <f t="shared" si="50"/>
        <v>86760.509362010707</v>
      </c>
      <c r="O385" s="152">
        <f t="shared" si="51"/>
        <v>569824.44336201192</v>
      </c>
    </row>
    <row r="386" spans="1:15" x14ac:dyDescent="0.15">
      <c r="A386" s="154"/>
      <c r="B386" s="151"/>
      <c r="C386" s="152"/>
      <c r="D386" s="323"/>
      <c r="E386" s="154"/>
      <c r="F386" s="157"/>
      <c r="G386" s="152"/>
      <c r="H386" s="323" t="s">
        <v>2287</v>
      </c>
      <c r="I386" s="152"/>
      <c r="J386" s="157"/>
      <c r="K386" s="157">
        <v>5800360286</v>
      </c>
      <c r="L386" s="227">
        <v>2896.174</v>
      </c>
      <c r="M386" s="157" t="str">
        <f>+'[1]รับ 0215'!$F$251</f>
        <v>GC 210215</v>
      </c>
      <c r="N386" s="227">
        <f t="shared" si="50"/>
        <v>83864.335362010708</v>
      </c>
      <c r="O386" s="152">
        <f t="shared" si="51"/>
        <v>566928.26936201192</v>
      </c>
    </row>
    <row r="387" spans="1:15" x14ac:dyDescent="0.15">
      <c r="A387" s="154"/>
      <c r="B387" s="151"/>
      <c r="C387" s="152"/>
      <c r="D387" s="323"/>
      <c r="E387" s="154"/>
      <c r="F387" s="157"/>
      <c r="G387" s="152"/>
      <c r="H387" s="323" t="s">
        <v>2287</v>
      </c>
      <c r="I387" s="152"/>
      <c r="J387" s="157"/>
      <c r="K387" s="157">
        <v>5800360286</v>
      </c>
      <c r="L387" s="227">
        <v>83864.335362010708</v>
      </c>
      <c r="M387" s="157" t="str">
        <f>+'[1]รับ 0215'!$F$251</f>
        <v>GC 210215</v>
      </c>
      <c r="N387" s="227">
        <f t="shared" si="50"/>
        <v>0</v>
      </c>
      <c r="O387" s="152">
        <f t="shared" si="51"/>
        <v>483063.93400000123</v>
      </c>
    </row>
    <row r="388" spans="1:15" x14ac:dyDescent="0.15">
      <c r="A388" s="154"/>
      <c r="B388" s="151"/>
      <c r="C388" s="152"/>
      <c r="D388" s="323"/>
      <c r="E388" s="154"/>
      <c r="F388" s="157"/>
      <c r="G388" s="152"/>
      <c r="H388" s="323" t="s">
        <v>2287</v>
      </c>
      <c r="I388" s="152"/>
      <c r="J388" s="157"/>
      <c r="K388" s="157">
        <v>5800360286</v>
      </c>
      <c r="L388" s="227">
        <v>10023.7146379893</v>
      </c>
      <c r="M388" s="157" t="str">
        <f>+'[1]รับ 0215'!$F$254</f>
        <v>GC 240215</v>
      </c>
      <c r="N388" s="227">
        <f>G351+G371+N387-I388-L388</f>
        <v>341223.5463620107</v>
      </c>
      <c r="O388" s="152">
        <f t="shared" ref="O388:O392" si="54">O387+G388-I388-L388</f>
        <v>473040.21936201194</v>
      </c>
    </row>
    <row r="389" spans="1:15" x14ac:dyDescent="0.15">
      <c r="A389" s="154"/>
      <c r="B389" s="151"/>
      <c r="C389" s="152"/>
      <c r="D389" s="323"/>
      <c r="E389" s="154"/>
      <c r="F389" s="157"/>
      <c r="G389" s="152"/>
      <c r="H389" s="323" t="s">
        <v>2287</v>
      </c>
      <c r="I389" s="152"/>
      <c r="J389" s="157"/>
      <c r="K389" s="157">
        <v>5800360286</v>
      </c>
      <c r="L389" s="227">
        <v>74772.303</v>
      </c>
      <c r="M389" s="157" t="str">
        <f>+'[1]รับ 0215'!$F$254</f>
        <v>GC 240215</v>
      </c>
      <c r="N389" s="227">
        <f t="shared" ref="N389:N392" si="55">+N388-I389-L389</f>
        <v>266451.24336201069</v>
      </c>
      <c r="O389" s="152">
        <f t="shared" si="54"/>
        <v>398267.91636201192</v>
      </c>
    </row>
    <row r="390" spans="1:15" x14ac:dyDescent="0.15">
      <c r="A390" s="154"/>
      <c r="B390" s="151"/>
      <c r="C390" s="152"/>
      <c r="D390" s="323"/>
      <c r="E390" s="154"/>
      <c r="F390" s="157"/>
      <c r="G390" s="152"/>
      <c r="H390" s="323" t="s">
        <v>2287</v>
      </c>
      <c r="I390" s="152"/>
      <c r="J390" s="157"/>
      <c r="K390" s="157">
        <v>5800360286</v>
      </c>
      <c r="L390" s="227">
        <v>12783.181</v>
      </c>
      <c r="M390" s="157" t="str">
        <f>+'[1]รับ 0215'!$F$254</f>
        <v>GC 240215</v>
      </c>
      <c r="N390" s="227">
        <f t="shared" si="55"/>
        <v>253668.06236201068</v>
      </c>
      <c r="O390" s="152">
        <f t="shared" si="54"/>
        <v>385484.73536201194</v>
      </c>
    </row>
    <row r="391" spans="1:15" x14ac:dyDescent="0.15">
      <c r="A391" s="154"/>
      <c r="B391" s="151"/>
      <c r="C391" s="152"/>
      <c r="D391" s="323"/>
      <c r="E391" s="154"/>
      <c r="F391" s="157"/>
      <c r="G391" s="152"/>
      <c r="H391" s="323" t="s">
        <v>2287</v>
      </c>
      <c r="I391" s="152"/>
      <c r="J391" s="157"/>
      <c r="K391" s="157">
        <v>5800360286</v>
      </c>
      <c r="L391" s="227">
        <v>5767.3370000000004</v>
      </c>
      <c r="M391" s="157" t="str">
        <f>+'[1]รับ 0215'!$F$254</f>
        <v>GC 240215</v>
      </c>
      <c r="N391" s="227">
        <f t="shared" si="55"/>
        <v>247900.72536201068</v>
      </c>
      <c r="O391" s="152">
        <f t="shared" si="54"/>
        <v>379717.39836201194</v>
      </c>
    </row>
    <row r="392" spans="1:15" x14ac:dyDescent="0.15">
      <c r="A392" s="154"/>
      <c r="B392" s="151"/>
      <c r="C392" s="152"/>
      <c r="D392" s="323"/>
      <c r="E392" s="154"/>
      <c r="F392" s="157"/>
      <c r="G392" s="152"/>
      <c r="H392" s="323" t="s">
        <v>2287</v>
      </c>
      <c r="I392" s="152"/>
      <c r="J392" s="157"/>
      <c r="K392" s="157">
        <v>5800360286</v>
      </c>
      <c r="L392" s="227">
        <v>11691.737999999999</v>
      </c>
      <c r="M392" s="157" t="str">
        <f>+'[1]รับ 0215'!$F$254</f>
        <v>GC 240215</v>
      </c>
      <c r="N392" s="227">
        <f t="shared" si="55"/>
        <v>236208.98736201067</v>
      </c>
      <c r="O392" s="152">
        <f t="shared" si="54"/>
        <v>368025.66036201193</v>
      </c>
    </row>
    <row r="393" spans="1:15" x14ac:dyDescent="0.15">
      <c r="A393" s="154"/>
      <c r="B393" s="151"/>
      <c r="C393" s="152"/>
      <c r="D393" s="323" t="s">
        <v>2288</v>
      </c>
      <c r="E393" s="154" t="s">
        <v>72</v>
      </c>
      <c r="F393" s="157" t="str">
        <f>+'[1]รับ 0215'!$F$256</f>
        <v>TOP 230215</v>
      </c>
      <c r="G393" s="152">
        <f>+'[1]รับ 0215'!$D$257</f>
        <v>223051.0799999999</v>
      </c>
      <c r="H393" s="323" t="s">
        <v>2288</v>
      </c>
      <c r="I393" s="152">
        <v>13720.325000000001</v>
      </c>
      <c r="J393" s="157" t="str">
        <f>+'[1]รับ 0215'!$F$254</f>
        <v>GC 240215</v>
      </c>
      <c r="K393" s="157">
        <v>5800360286</v>
      </c>
      <c r="L393" s="227">
        <v>12456.311</v>
      </c>
      <c r="M393" s="157" t="str">
        <f>+'[1]รับ 0215'!$F$254</f>
        <v>GC 240215</v>
      </c>
      <c r="N393" s="227">
        <f t="shared" si="50"/>
        <v>210032.35136201067</v>
      </c>
      <c r="O393" s="152">
        <f t="shared" si="51"/>
        <v>564900.10436201189</v>
      </c>
    </row>
    <row r="394" spans="1:15" x14ac:dyDescent="0.15">
      <c r="A394" s="154"/>
      <c r="B394" s="151"/>
      <c r="C394" s="152"/>
      <c r="D394" s="323" t="s">
        <v>2288</v>
      </c>
      <c r="E394" s="154" t="s">
        <v>72</v>
      </c>
      <c r="F394" s="157" t="str">
        <f>+'[1]รับ 0215'!$F$258</f>
        <v>TOP 250215</v>
      </c>
      <c r="G394" s="152">
        <f>+'[1]รับ 0215'!$D$258</f>
        <v>128732.424</v>
      </c>
      <c r="H394" s="323" t="s">
        <v>2288</v>
      </c>
      <c r="I394" s="152"/>
      <c r="J394" s="157"/>
      <c r="K394" s="157">
        <v>5800360286</v>
      </c>
      <c r="L394" s="227">
        <v>14004.094999999999</v>
      </c>
      <c r="M394" s="157" t="str">
        <f>+'[1]รับ 0215'!$F$254</f>
        <v>GC 240215</v>
      </c>
      <c r="N394" s="227">
        <f t="shared" si="50"/>
        <v>196028.25636201067</v>
      </c>
      <c r="O394" s="152">
        <f t="shared" si="51"/>
        <v>679628.43336201191</v>
      </c>
    </row>
    <row r="395" spans="1:15" x14ac:dyDescent="0.15">
      <c r="A395" s="154"/>
      <c r="B395" s="151"/>
      <c r="C395" s="152"/>
      <c r="D395" s="323"/>
      <c r="E395" s="154"/>
      <c r="F395" s="157"/>
      <c r="G395" s="152"/>
      <c r="H395" s="323" t="s">
        <v>2288</v>
      </c>
      <c r="I395" s="152"/>
      <c r="J395" s="157"/>
      <c r="K395" s="157">
        <v>5800360286</v>
      </c>
      <c r="L395" s="227">
        <v>15297.75</v>
      </c>
      <c r="M395" s="157" t="str">
        <f>+'[1]รับ 0215'!$F$254</f>
        <v>GC 240215</v>
      </c>
      <c r="N395" s="227">
        <f t="shared" si="50"/>
        <v>180730.50636201067</v>
      </c>
      <c r="O395" s="152">
        <f t="shared" si="51"/>
        <v>664330.68336201191</v>
      </c>
    </row>
    <row r="396" spans="1:15" x14ac:dyDescent="0.15">
      <c r="A396" s="154"/>
      <c r="B396" s="151"/>
      <c r="C396" s="152"/>
      <c r="D396" s="323"/>
      <c r="E396" s="154"/>
      <c r="F396" s="157"/>
      <c r="G396" s="152"/>
      <c r="H396" s="323" t="s">
        <v>2288</v>
      </c>
      <c r="I396" s="152"/>
      <c r="J396" s="157"/>
      <c r="K396" s="157">
        <v>5800360286</v>
      </c>
      <c r="L396" s="227">
        <v>9651.89</v>
      </c>
      <c r="M396" s="157" t="str">
        <f>+'[1]รับ 0215'!$F$254</f>
        <v>GC 240215</v>
      </c>
      <c r="N396" s="227">
        <f t="shared" si="50"/>
        <v>171078.61636201065</v>
      </c>
      <c r="O396" s="152">
        <f t="shared" si="51"/>
        <v>654678.7933620119</v>
      </c>
    </row>
    <row r="397" spans="1:15" x14ac:dyDescent="0.15">
      <c r="A397" s="154"/>
      <c r="B397" s="151"/>
      <c r="C397" s="152"/>
      <c r="D397" s="323"/>
      <c r="E397" s="154"/>
      <c r="F397" s="157"/>
      <c r="G397" s="152"/>
      <c r="H397" s="323" t="s">
        <v>2288</v>
      </c>
      <c r="I397" s="152"/>
      <c r="J397" s="157"/>
      <c r="K397" s="157">
        <v>5800360286</v>
      </c>
      <c r="L397" s="227">
        <v>10665.404</v>
      </c>
      <c r="M397" s="157" t="str">
        <f>+'[1]รับ 0215'!$F$254</f>
        <v>GC 240215</v>
      </c>
      <c r="N397" s="227">
        <f t="shared" si="50"/>
        <v>160413.21236201064</v>
      </c>
      <c r="O397" s="152">
        <f t="shared" si="51"/>
        <v>644013.38936201192</v>
      </c>
    </row>
    <row r="398" spans="1:15" x14ac:dyDescent="0.15">
      <c r="A398" s="154"/>
      <c r="B398" s="151"/>
      <c r="C398" s="152"/>
      <c r="D398" s="323"/>
      <c r="E398" s="154"/>
      <c r="F398" s="157"/>
      <c r="G398" s="152"/>
      <c r="H398" s="323" t="s">
        <v>2288</v>
      </c>
      <c r="I398" s="152"/>
      <c r="J398" s="157"/>
      <c r="K398" s="157">
        <v>5800360286</v>
      </c>
      <c r="L398" s="227">
        <v>17088.657999999999</v>
      </c>
      <c r="M398" s="157" t="str">
        <f>+'[1]รับ 0215'!$F$254</f>
        <v>GC 240215</v>
      </c>
      <c r="N398" s="227">
        <f t="shared" si="50"/>
        <v>143324.55436201065</v>
      </c>
      <c r="O398" s="152">
        <f t="shared" si="51"/>
        <v>626924.73136201187</v>
      </c>
    </row>
    <row r="399" spans="1:15" x14ac:dyDescent="0.15">
      <c r="A399" s="154"/>
      <c r="B399" s="151"/>
      <c r="C399" s="152"/>
      <c r="D399" s="323"/>
      <c r="E399" s="154"/>
      <c r="F399" s="157"/>
      <c r="G399" s="152"/>
      <c r="H399" s="323" t="s">
        <v>2288</v>
      </c>
      <c r="I399" s="152"/>
      <c r="J399" s="157"/>
      <c r="K399" s="157">
        <v>5800360286</v>
      </c>
      <c r="L399" s="227">
        <v>11693.924999999999</v>
      </c>
      <c r="M399" s="157" t="str">
        <f>+'[1]รับ 0215'!$F$254</f>
        <v>GC 240215</v>
      </c>
      <c r="N399" s="227">
        <f t="shared" si="50"/>
        <v>131630.62936201066</v>
      </c>
      <c r="O399" s="152">
        <f t="shared" si="51"/>
        <v>615230.80636201182</v>
      </c>
    </row>
    <row r="400" spans="1:15" x14ac:dyDescent="0.15">
      <c r="A400" s="154"/>
      <c r="B400" s="151"/>
      <c r="C400" s="152"/>
      <c r="D400" s="323"/>
      <c r="E400" s="154"/>
      <c r="F400" s="157"/>
      <c r="G400" s="152"/>
      <c r="H400" s="323" t="s">
        <v>2288</v>
      </c>
      <c r="I400" s="152"/>
      <c r="J400" s="157"/>
      <c r="K400" s="157">
        <v>5800360286</v>
      </c>
      <c r="L400" s="227">
        <v>3388.7170000000001</v>
      </c>
      <c r="M400" s="157" t="str">
        <f>+'[1]รับ 0215'!$F$254</f>
        <v>GC 240215</v>
      </c>
      <c r="N400" s="227">
        <f t="shared" si="50"/>
        <v>128241.91236201065</v>
      </c>
      <c r="O400" s="152">
        <f t="shared" si="51"/>
        <v>611842.08936201187</v>
      </c>
    </row>
    <row r="401" spans="1:15" x14ac:dyDescent="0.15">
      <c r="A401" s="154"/>
      <c r="B401" s="151"/>
      <c r="C401" s="152"/>
      <c r="D401" s="323"/>
      <c r="E401" s="154"/>
      <c r="F401" s="157"/>
      <c r="G401" s="152"/>
      <c r="H401" s="323" t="s">
        <v>2288</v>
      </c>
      <c r="I401" s="152"/>
      <c r="J401" s="157"/>
      <c r="K401" s="157">
        <v>5800360286</v>
      </c>
      <c r="L401" s="227">
        <v>13107.641</v>
      </c>
      <c r="M401" s="157" t="str">
        <f>+'[1]รับ 0215'!$F$254</f>
        <v>GC 240215</v>
      </c>
      <c r="N401" s="227">
        <f t="shared" si="50"/>
        <v>115134.27136201065</v>
      </c>
      <c r="O401" s="152">
        <f t="shared" si="51"/>
        <v>598734.44836201193</v>
      </c>
    </row>
    <row r="402" spans="1:15" x14ac:dyDescent="0.15">
      <c r="A402" s="154"/>
      <c r="B402" s="151"/>
      <c r="C402" s="152"/>
      <c r="D402" s="323"/>
      <c r="E402" s="154"/>
      <c r="F402" s="157"/>
      <c r="G402" s="152"/>
      <c r="H402" s="323" t="s">
        <v>2288</v>
      </c>
      <c r="I402" s="152"/>
      <c r="J402" s="157"/>
      <c r="K402" s="157">
        <v>5800360286</v>
      </c>
      <c r="L402" s="227">
        <v>2994.5169999999998</v>
      </c>
      <c r="M402" s="157" t="str">
        <f>+'[1]รับ 0215'!$F$254</f>
        <v>GC 240215</v>
      </c>
      <c r="N402" s="227">
        <f t="shared" si="50"/>
        <v>112139.75436201066</v>
      </c>
      <c r="O402" s="152">
        <f t="shared" si="51"/>
        <v>595739.93136201194</v>
      </c>
    </row>
    <row r="403" spans="1:15" x14ac:dyDescent="0.15">
      <c r="A403" s="154"/>
      <c r="B403" s="151"/>
      <c r="C403" s="152"/>
      <c r="D403" s="323"/>
      <c r="E403" s="154"/>
      <c r="F403" s="157"/>
      <c r="G403" s="152"/>
      <c r="H403" s="323" t="s">
        <v>2288</v>
      </c>
      <c r="I403" s="152"/>
      <c r="J403" s="157"/>
      <c r="K403" s="157">
        <v>5800360286</v>
      </c>
      <c r="L403" s="227">
        <v>4493</v>
      </c>
      <c r="M403" s="157" t="str">
        <f>+'[1]รับ 0215'!$F$254</f>
        <v>GC 240215</v>
      </c>
      <c r="N403" s="227">
        <f t="shared" si="50"/>
        <v>107646.75436201066</v>
      </c>
      <c r="O403" s="152">
        <f t="shared" si="51"/>
        <v>591246.93136201194</v>
      </c>
    </row>
    <row r="404" spans="1:15" x14ac:dyDescent="0.15">
      <c r="A404" s="154"/>
      <c r="B404" s="151"/>
      <c r="C404" s="152"/>
      <c r="D404" s="323"/>
      <c r="E404" s="154"/>
      <c r="F404" s="157"/>
      <c r="G404" s="152"/>
      <c r="H404" s="323" t="s">
        <v>2288</v>
      </c>
      <c r="I404" s="152"/>
      <c r="J404" s="157"/>
      <c r="K404" s="157">
        <v>5800360286</v>
      </c>
      <c r="L404" s="227">
        <v>3628</v>
      </c>
      <c r="M404" s="157" t="str">
        <f>+'[1]รับ 0215'!$F$254</f>
        <v>GC 240215</v>
      </c>
      <c r="N404" s="227">
        <f t="shared" si="50"/>
        <v>104018.75436201066</v>
      </c>
      <c r="O404" s="152">
        <f t="shared" si="51"/>
        <v>587618.93136201194</v>
      </c>
    </row>
    <row r="405" spans="1:15" x14ac:dyDescent="0.15">
      <c r="A405" s="154"/>
      <c r="B405" s="151"/>
      <c r="C405" s="152"/>
      <c r="D405" s="323"/>
      <c r="E405" s="154"/>
      <c r="F405" s="157"/>
      <c r="G405" s="152"/>
      <c r="H405" s="323" t="s">
        <v>2288</v>
      </c>
      <c r="I405" s="152"/>
      <c r="J405" s="157"/>
      <c r="K405" s="157">
        <v>5800360286</v>
      </c>
      <c r="L405" s="227">
        <v>5111</v>
      </c>
      <c r="M405" s="157" t="str">
        <f>+'[1]รับ 0215'!$F$254</f>
        <v>GC 240215</v>
      </c>
      <c r="N405" s="227">
        <f t="shared" si="50"/>
        <v>98907.754362010659</v>
      </c>
      <c r="O405" s="152">
        <f t="shared" si="51"/>
        <v>582507.93136201194</v>
      </c>
    </row>
    <row r="406" spans="1:15" x14ac:dyDescent="0.15">
      <c r="A406" s="154"/>
      <c r="B406" s="151"/>
      <c r="C406" s="152"/>
      <c r="D406" s="323"/>
      <c r="E406" s="154"/>
      <c r="F406" s="157"/>
      <c r="G406" s="152"/>
      <c r="H406" s="323" t="s">
        <v>2288</v>
      </c>
      <c r="I406" s="152"/>
      <c r="J406" s="157"/>
      <c r="K406" s="157">
        <v>5800360286</v>
      </c>
      <c r="L406" s="227">
        <v>11484</v>
      </c>
      <c r="M406" s="157" t="str">
        <f>+'[1]รับ 0215'!$F$254</f>
        <v>GC 240215</v>
      </c>
      <c r="N406" s="227">
        <f t="shared" si="50"/>
        <v>87423.754362010659</v>
      </c>
      <c r="O406" s="152">
        <f t="shared" si="51"/>
        <v>571023.93136201194</v>
      </c>
    </row>
    <row r="407" spans="1:15" x14ac:dyDescent="0.15">
      <c r="A407" s="154"/>
      <c r="B407" s="151"/>
      <c r="C407" s="152"/>
      <c r="D407" s="323"/>
      <c r="E407" s="154"/>
      <c r="F407" s="157"/>
      <c r="G407" s="152"/>
      <c r="H407" s="323" t="s">
        <v>2288</v>
      </c>
      <c r="I407" s="152"/>
      <c r="J407" s="157"/>
      <c r="K407" s="157">
        <v>5800360286</v>
      </c>
      <c r="L407" s="227">
        <v>291</v>
      </c>
      <c r="M407" s="157" t="str">
        <f>+'[1]รับ 0215'!$F$254</f>
        <v>GC 240215</v>
      </c>
      <c r="N407" s="227">
        <f t="shared" si="50"/>
        <v>87132.754362010659</v>
      </c>
      <c r="O407" s="152">
        <f t="shared" si="51"/>
        <v>570732.93136201194</v>
      </c>
    </row>
    <row r="408" spans="1:15" x14ac:dyDescent="0.15">
      <c r="A408" s="154"/>
      <c r="B408" s="151"/>
      <c r="C408" s="152"/>
      <c r="D408" s="323"/>
      <c r="E408" s="154"/>
      <c r="F408" s="157"/>
      <c r="G408" s="152"/>
      <c r="H408" s="323" t="s">
        <v>2288</v>
      </c>
      <c r="I408" s="152"/>
      <c r="J408" s="157"/>
      <c r="K408" s="157">
        <v>5800360286</v>
      </c>
      <c r="L408" s="227">
        <v>15782</v>
      </c>
      <c r="M408" s="157" t="str">
        <f>+'[1]รับ 0215'!$F$254</f>
        <v>GC 240215</v>
      </c>
      <c r="N408" s="227">
        <f t="shared" si="50"/>
        <v>71350.754362010659</v>
      </c>
      <c r="O408" s="152">
        <f t="shared" si="51"/>
        <v>554950.93136201194</v>
      </c>
    </row>
    <row r="409" spans="1:15" x14ac:dyDescent="0.15">
      <c r="A409" s="154"/>
      <c r="B409" s="151"/>
      <c r="C409" s="152"/>
      <c r="D409" s="323"/>
      <c r="E409" s="154"/>
      <c r="F409" s="157"/>
      <c r="G409" s="152"/>
      <c r="H409" s="323" t="s">
        <v>2288</v>
      </c>
      <c r="I409" s="152"/>
      <c r="J409" s="157"/>
      <c r="K409" s="157">
        <v>5800360286</v>
      </c>
      <c r="L409" s="227">
        <v>16361</v>
      </c>
      <c r="M409" s="157" t="str">
        <f>+'[1]รับ 0215'!$F$254</f>
        <v>GC 240215</v>
      </c>
      <c r="N409" s="227">
        <f t="shared" si="50"/>
        <v>54989.754362010659</v>
      </c>
      <c r="O409" s="152">
        <f t="shared" si="51"/>
        <v>538589.93136201194</v>
      </c>
    </row>
    <row r="410" spans="1:15" x14ac:dyDescent="0.15">
      <c r="A410" s="154"/>
      <c r="B410" s="151"/>
      <c r="C410" s="152"/>
      <c r="D410" s="323" t="s">
        <v>2289</v>
      </c>
      <c r="E410" s="154" t="s">
        <v>72</v>
      </c>
      <c r="F410" s="157" t="str">
        <f>+'[1]รับ 0215'!$F$258</f>
        <v>TOP 250215</v>
      </c>
      <c r="G410" s="152">
        <f>+'[1]รับ 0215'!$D$259</f>
        <v>278498.80900000007</v>
      </c>
      <c r="H410" s="323" t="s">
        <v>2289</v>
      </c>
      <c r="I410" s="152">
        <v>14675.017</v>
      </c>
      <c r="J410" s="157" t="str">
        <f>+'[1]รับ 0215'!$F$254</f>
        <v>GC 240215</v>
      </c>
      <c r="K410" s="157">
        <v>5800360286</v>
      </c>
      <c r="L410" s="227">
        <v>11657.447</v>
      </c>
      <c r="M410" s="157" t="str">
        <f>+'[1]รับ 0215'!$F$254</f>
        <v>GC 240215</v>
      </c>
      <c r="N410" s="227">
        <f t="shared" si="50"/>
        <v>28657.290362010659</v>
      </c>
      <c r="O410" s="152">
        <f t="shared" si="51"/>
        <v>790756.27636201202</v>
      </c>
    </row>
    <row r="411" spans="1:15" x14ac:dyDescent="0.15">
      <c r="A411" s="154"/>
      <c r="B411" s="151"/>
      <c r="C411" s="152"/>
      <c r="D411" s="323" t="s">
        <v>2289</v>
      </c>
      <c r="E411" s="154" t="s">
        <v>72</v>
      </c>
      <c r="F411" s="157" t="str">
        <f>+'[1]รับ 0215'!$F$260</f>
        <v>TOP 260215</v>
      </c>
      <c r="G411" s="152">
        <f>+'[1]รับ 0215'!$D$260</f>
        <v>29477.8479999999</v>
      </c>
      <c r="H411" s="323" t="s">
        <v>2289</v>
      </c>
      <c r="I411" s="152"/>
      <c r="J411" s="157"/>
      <c r="K411" s="157">
        <v>5800360286</v>
      </c>
      <c r="L411" s="227">
        <v>14190.5</v>
      </c>
      <c r="M411" s="157" t="str">
        <f>+'[1]รับ 0215'!$F$254</f>
        <v>GC 240215</v>
      </c>
      <c r="N411" s="227">
        <f t="shared" si="50"/>
        <v>14466.790362010659</v>
      </c>
      <c r="O411" s="152">
        <f t="shared" si="51"/>
        <v>806043.62436201191</v>
      </c>
    </row>
    <row r="412" spans="1:15" x14ac:dyDescent="0.15">
      <c r="A412" s="154"/>
      <c r="B412" s="151"/>
      <c r="C412" s="152"/>
      <c r="D412" s="323"/>
      <c r="E412" s="154"/>
      <c r="F412" s="157"/>
      <c r="G412" s="152"/>
      <c r="H412" s="323" t="s">
        <v>2289</v>
      </c>
      <c r="I412" s="152"/>
      <c r="J412" s="157"/>
      <c r="K412" s="157">
        <v>5800360286</v>
      </c>
      <c r="L412" s="227">
        <v>14466.790362010659</v>
      </c>
      <c r="M412" s="157" t="str">
        <f>+'[1]รับ 0215'!$F$254</f>
        <v>GC 240215</v>
      </c>
      <c r="N412" s="227">
        <f t="shared" ref="N412:N434" si="56">+N411-I412-L412</f>
        <v>0</v>
      </c>
      <c r="O412" s="152">
        <f t="shared" ref="O412:O434" si="57">O411+G412-I412-L412</f>
        <v>791576.8340000012</v>
      </c>
    </row>
    <row r="413" spans="1:15" x14ac:dyDescent="0.15">
      <c r="A413" s="154"/>
      <c r="B413" s="151"/>
      <c r="C413" s="152"/>
      <c r="D413" s="323"/>
      <c r="E413" s="154"/>
      <c r="F413" s="157"/>
      <c r="G413" s="152"/>
      <c r="H413" s="323" t="s">
        <v>2289</v>
      </c>
      <c r="I413" s="152"/>
      <c r="J413" s="157"/>
      <c r="K413" s="157">
        <v>5800360268</v>
      </c>
      <c r="L413" s="227">
        <v>722.51863798934005</v>
      </c>
      <c r="M413" s="157" t="str">
        <f>+'[1]รับ 0215'!$F$256</f>
        <v>TOP 230215</v>
      </c>
      <c r="N413" s="227">
        <f>G372+G393+N412-I413-L413</f>
        <v>354145.23436201055</v>
      </c>
      <c r="O413" s="152">
        <f t="shared" si="57"/>
        <v>790854.3153620119</v>
      </c>
    </row>
    <row r="414" spans="1:15" x14ac:dyDescent="0.15">
      <c r="A414" s="154"/>
      <c r="B414" s="151"/>
      <c r="C414" s="152"/>
      <c r="D414" s="323"/>
      <c r="E414" s="154"/>
      <c r="F414" s="157"/>
      <c r="G414" s="152"/>
      <c r="H414" s="323" t="s">
        <v>2289</v>
      </c>
      <c r="I414" s="152"/>
      <c r="J414" s="157"/>
      <c r="K414" s="157">
        <v>5800360268</v>
      </c>
      <c r="L414" s="227">
        <v>12528.153</v>
      </c>
      <c r="M414" s="157" t="str">
        <f>+'[1]รับ 0215'!$F$256</f>
        <v>TOP 230215</v>
      </c>
      <c r="N414" s="227">
        <f t="shared" si="56"/>
        <v>341617.08136201056</v>
      </c>
      <c r="O414" s="152">
        <f t="shared" si="57"/>
        <v>778326.16236201185</v>
      </c>
    </row>
    <row r="415" spans="1:15" x14ac:dyDescent="0.15">
      <c r="A415" s="154"/>
      <c r="B415" s="151"/>
      <c r="C415" s="152"/>
      <c r="D415" s="323"/>
      <c r="E415" s="154"/>
      <c r="F415" s="157"/>
      <c r="G415" s="152"/>
      <c r="H415" s="323" t="s">
        <v>2289</v>
      </c>
      <c r="I415" s="152"/>
      <c r="J415" s="157"/>
      <c r="K415" s="157">
        <v>5800360268</v>
      </c>
      <c r="L415" s="227">
        <v>15865.857</v>
      </c>
      <c r="M415" s="157" t="str">
        <f>+'[1]รับ 0215'!$F$256</f>
        <v>TOP 230215</v>
      </c>
      <c r="N415" s="227">
        <f t="shared" si="56"/>
        <v>325751.22436201054</v>
      </c>
      <c r="O415" s="152">
        <f t="shared" si="57"/>
        <v>762460.30536201189</v>
      </c>
    </row>
    <row r="416" spans="1:15" x14ac:dyDescent="0.15">
      <c r="A416" s="154"/>
      <c r="B416" s="151"/>
      <c r="C416" s="152"/>
      <c r="D416" s="323"/>
      <c r="E416" s="154"/>
      <c r="F416" s="157"/>
      <c r="G416" s="152"/>
      <c r="H416" s="323" t="s">
        <v>2289</v>
      </c>
      <c r="I416" s="152"/>
      <c r="J416" s="157"/>
      <c r="K416" s="157">
        <v>5800360268</v>
      </c>
      <c r="L416" s="227">
        <v>8022.5010000000002</v>
      </c>
      <c r="M416" s="157" t="str">
        <f>+'[1]รับ 0215'!$F$256</f>
        <v>TOP 230215</v>
      </c>
      <c r="N416" s="227">
        <f t="shared" si="56"/>
        <v>317728.72336201055</v>
      </c>
      <c r="O416" s="152">
        <f t="shared" si="57"/>
        <v>754437.80436201184</v>
      </c>
    </row>
    <row r="417" spans="1:15" x14ac:dyDescent="0.15">
      <c r="A417" s="154"/>
      <c r="B417" s="151"/>
      <c r="C417" s="152"/>
      <c r="D417" s="323"/>
      <c r="E417" s="154"/>
      <c r="F417" s="157"/>
      <c r="G417" s="152"/>
      <c r="H417" s="323" t="s">
        <v>2289</v>
      </c>
      <c r="I417" s="152"/>
      <c r="J417" s="157"/>
      <c r="K417" s="157">
        <v>5800360268</v>
      </c>
      <c r="L417" s="227">
        <v>16663.504000000001</v>
      </c>
      <c r="M417" s="157" t="str">
        <f>+'[1]รับ 0215'!$F$256</f>
        <v>TOP 230215</v>
      </c>
      <c r="N417" s="227">
        <f t="shared" si="56"/>
        <v>301065.21936201054</v>
      </c>
      <c r="O417" s="152">
        <f t="shared" si="57"/>
        <v>737774.30036201188</v>
      </c>
    </row>
    <row r="418" spans="1:15" x14ac:dyDescent="0.15">
      <c r="A418" s="154"/>
      <c r="B418" s="151"/>
      <c r="C418" s="152"/>
      <c r="D418" s="323"/>
      <c r="E418" s="154"/>
      <c r="F418" s="157"/>
      <c r="G418" s="152"/>
      <c r="H418" s="323" t="s">
        <v>2289</v>
      </c>
      <c r="I418" s="152"/>
      <c r="J418" s="157"/>
      <c r="K418" s="157">
        <v>5800360268</v>
      </c>
      <c r="L418" s="227">
        <v>10211.275</v>
      </c>
      <c r="M418" s="157" t="str">
        <f>+'[1]รับ 0215'!$F$256</f>
        <v>TOP 230215</v>
      </c>
      <c r="N418" s="227">
        <f t="shared" si="56"/>
        <v>290853.94436201052</v>
      </c>
      <c r="O418" s="152">
        <f t="shared" si="57"/>
        <v>727563.02536201186</v>
      </c>
    </row>
    <row r="419" spans="1:15" x14ac:dyDescent="0.15">
      <c r="A419" s="154"/>
      <c r="B419" s="151"/>
      <c r="C419" s="152"/>
      <c r="D419" s="323"/>
      <c r="E419" s="154"/>
      <c r="F419" s="157"/>
      <c r="G419" s="152"/>
      <c r="H419" s="323" t="s">
        <v>2289</v>
      </c>
      <c r="I419" s="152"/>
      <c r="J419" s="157"/>
      <c r="K419" s="157">
        <v>5800360268</v>
      </c>
      <c r="L419" s="227">
        <v>3226.6149999999998</v>
      </c>
      <c r="M419" s="157" t="str">
        <f>+'[1]รับ 0215'!$F$256</f>
        <v>TOP 230215</v>
      </c>
      <c r="N419" s="227">
        <f t="shared" si="56"/>
        <v>287627.32936201053</v>
      </c>
      <c r="O419" s="152">
        <f t="shared" si="57"/>
        <v>724336.41036201187</v>
      </c>
    </row>
    <row r="420" spans="1:15" x14ac:dyDescent="0.15">
      <c r="A420" s="154"/>
      <c r="B420" s="151"/>
      <c r="C420" s="152"/>
      <c r="D420" s="323"/>
      <c r="E420" s="154"/>
      <c r="F420" s="157"/>
      <c r="G420" s="152"/>
      <c r="H420" s="323" t="s">
        <v>2289</v>
      </c>
      <c r="I420" s="152"/>
      <c r="J420" s="157"/>
      <c r="K420" s="157">
        <v>5800360268</v>
      </c>
      <c r="L420" s="227">
        <v>1656.3420000000001</v>
      </c>
      <c r="M420" s="157" t="str">
        <f>+'[1]รับ 0215'!$F$256</f>
        <v>TOP 230215</v>
      </c>
      <c r="N420" s="227">
        <f t="shared" si="56"/>
        <v>285970.98736201052</v>
      </c>
      <c r="O420" s="152">
        <f t="shared" si="57"/>
        <v>722680.06836201192</v>
      </c>
    </row>
    <row r="421" spans="1:15" x14ac:dyDescent="0.15">
      <c r="A421" s="154"/>
      <c r="B421" s="151"/>
      <c r="C421" s="152"/>
      <c r="D421" s="323"/>
      <c r="E421" s="154"/>
      <c r="F421" s="157"/>
      <c r="G421" s="152"/>
      <c r="H421" s="323" t="s">
        <v>2289</v>
      </c>
      <c r="I421" s="152"/>
      <c r="J421" s="157"/>
      <c r="K421" s="157">
        <v>5800360268</v>
      </c>
      <c r="L421" s="227">
        <v>66694.047000000006</v>
      </c>
      <c r="M421" s="157" t="str">
        <f>+'[1]รับ 0215'!$F$256</f>
        <v>TOP 230215</v>
      </c>
      <c r="N421" s="227">
        <f t="shared" si="56"/>
        <v>219276.9403620105</v>
      </c>
      <c r="O421" s="152">
        <f t="shared" si="57"/>
        <v>655986.0213620119</v>
      </c>
    </row>
    <row r="422" spans="1:15" x14ac:dyDescent="0.15">
      <c r="A422" s="154"/>
      <c r="B422" s="151"/>
      <c r="C422" s="152"/>
      <c r="D422" s="323"/>
      <c r="E422" s="154"/>
      <c r="F422" s="157"/>
      <c r="G422" s="152"/>
      <c r="H422" s="323" t="s">
        <v>2289</v>
      </c>
      <c r="I422" s="152"/>
      <c r="J422" s="157"/>
      <c r="K422" s="157">
        <v>5800360268</v>
      </c>
      <c r="L422" s="227">
        <v>4924.4989999999998</v>
      </c>
      <c r="M422" s="157" t="str">
        <f>+'[1]รับ 0215'!$F$256</f>
        <v>TOP 230215</v>
      </c>
      <c r="N422" s="227">
        <f t="shared" si="56"/>
        <v>214352.44136201049</v>
      </c>
      <c r="O422" s="152">
        <f t="shared" si="57"/>
        <v>651061.52236201195</v>
      </c>
    </row>
    <row r="423" spans="1:15" x14ac:dyDescent="0.15">
      <c r="A423" s="154"/>
      <c r="B423" s="151"/>
      <c r="C423" s="152"/>
      <c r="D423" s="323"/>
      <c r="E423" s="154"/>
      <c r="F423" s="157"/>
      <c r="G423" s="152"/>
      <c r="H423" s="323" t="s">
        <v>2289</v>
      </c>
      <c r="I423" s="152"/>
      <c r="J423" s="157"/>
      <c r="K423" s="157">
        <v>5800360268</v>
      </c>
      <c r="L423" s="227">
        <v>14214.519</v>
      </c>
      <c r="M423" s="157" t="str">
        <f>+'[1]รับ 0215'!$F$256</f>
        <v>TOP 230215</v>
      </c>
      <c r="N423" s="227">
        <f t="shared" si="56"/>
        <v>200137.92236201049</v>
      </c>
      <c r="O423" s="152">
        <f t="shared" si="57"/>
        <v>636847.00336201198</v>
      </c>
    </row>
    <row r="424" spans="1:15" x14ac:dyDescent="0.15">
      <c r="A424" s="154"/>
      <c r="B424" s="151"/>
      <c r="C424" s="152"/>
      <c r="D424" s="323"/>
      <c r="E424" s="154"/>
      <c r="F424" s="157"/>
      <c r="G424" s="152"/>
      <c r="H424" s="323" t="s">
        <v>2289</v>
      </c>
      <c r="I424" s="152"/>
      <c r="J424" s="157"/>
      <c r="K424" s="157">
        <v>5800360268</v>
      </c>
      <c r="L424" s="227">
        <v>4575.4639999999999</v>
      </c>
      <c r="M424" s="157" t="str">
        <f>+'[1]รับ 0215'!$F$256</f>
        <v>TOP 230215</v>
      </c>
      <c r="N424" s="227">
        <f t="shared" si="56"/>
        <v>195562.45836201048</v>
      </c>
      <c r="O424" s="152">
        <f t="shared" si="57"/>
        <v>632271.53936201194</v>
      </c>
    </row>
    <row r="425" spans="1:15" x14ac:dyDescent="0.15">
      <c r="A425" s="154"/>
      <c r="B425" s="151"/>
      <c r="C425" s="152"/>
      <c r="D425" s="323"/>
      <c r="E425" s="154"/>
      <c r="F425" s="157"/>
      <c r="G425" s="152"/>
      <c r="H425" s="323" t="s">
        <v>2289</v>
      </c>
      <c r="I425" s="152"/>
      <c r="J425" s="157"/>
      <c r="K425" s="157">
        <v>5800360268</v>
      </c>
      <c r="L425" s="227">
        <v>3061.31</v>
      </c>
      <c r="M425" s="157" t="str">
        <f>+'[1]รับ 0215'!$F$256</f>
        <v>TOP 230215</v>
      </c>
      <c r="N425" s="227">
        <f t="shared" si="56"/>
        <v>192501.14836201048</v>
      </c>
      <c r="O425" s="152">
        <f t="shared" si="57"/>
        <v>629210.22936201189</v>
      </c>
    </row>
    <row r="426" spans="1:15" x14ac:dyDescent="0.15">
      <c r="A426" s="154"/>
      <c r="B426" s="151"/>
      <c r="C426" s="152"/>
      <c r="D426" s="323"/>
      <c r="E426" s="154"/>
      <c r="F426" s="157"/>
      <c r="G426" s="152"/>
      <c r="H426" s="323" t="s">
        <v>2289</v>
      </c>
      <c r="I426" s="152"/>
      <c r="J426" s="157"/>
      <c r="K426" s="157">
        <v>5800360268</v>
      </c>
      <c r="L426" s="227">
        <v>720.07299999999998</v>
      </c>
      <c r="M426" s="157" t="str">
        <f>+'[1]รับ 0215'!$F$256</f>
        <v>TOP 230215</v>
      </c>
      <c r="N426" s="227">
        <f t="shared" si="56"/>
        <v>191781.07536201048</v>
      </c>
      <c r="O426" s="152">
        <f t="shared" si="57"/>
        <v>628490.15636201191</v>
      </c>
    </row>
    <row r="427" spans="1:15" x14ac:dyDescent="0.15">
      <c r="A427" s="154"/>
      <c r="B427" s="151"/>
      <c r="C427" s="152"/>
      <c r="D427" s="323"/>
      <c r="E427" s="154"/>
      <c r="F427" s="157"/>
      <c r="G427" s="152"/>
      <c r="H427" s="323" t="s">
        <v>2289</v>
      </c>
      <c r="I427" s="152"/>
      <c r="J427" s="157"/>
      <c r="K427" s="157">
        <v>5800360268</v>
      </c>
      <c r="L427" s="227">
        <v>2449.248</v>
      </c>
      <c r="M427" s="157" t="str">
        <f>+'[1]รับ 0215'!$F$256</f>
        <v>TOP 230215</v>
      </c>
      <c r="N427" s="227">
        <f t="shared" si="56"/>
        <v>189331.82736201049</v>
      </c>
      <c r="O427" s="152">
        <f t="shared" si="57"/>
        <v>626040.90836201189</v>
      </c>
    </row>
    <row r="428" spans="1:15" x14ac:dyDescent="0.15">
      <c r="A428" s="154"/>
      <c r="B428" s="151"/>
      <c r="C428" s="152"/>
      <c r="D428" s="323"/>
      <c r="E428" s="154"/>
      <c r="F428" s="157"/>
      <c r="G428" s="152"/>
      <c r="H428" s="323" t="s">
        <v>2289</v>
      </c>
      <c r="I428" s="152"/>
      <c r="J428" s="157"/>
      <c r="K428" s="157">
        <v>5800360268</v>
      </c>
      <c r="L428" s="227">
        <v>15233.544</v>
      </c>
      <c r="M428" s="157" t="str">
        <f>+'[1]รับ 0215'!$F$256</f>
        <v>TOP 230215</v>
      </c>
      <c r="N428" s="227">
        <f t="shared" si="56"/>
        <v>174098.28336201049</v>
      </c>
      <c r="O428" s="152">
        <f t="shared" si="57"/>
        <v>610807.3643620119</v>
      </c>
    </row>
    <row r="429" spans="1:15" x14ac:dyDescent="0.15">
      <c r="A429" s="154"/>
      <c r="B429" s="151"/>
      <c r="C429" s="152"/>
      <c r="D429" s="323"/>
      <c r="E429" s="154"/>
      <c r="F429" s="157"/>
      <c r="G429" s="152"/>
      <c r="H429" s="323" t="s">
        <v>2289</v>
      </c>
      <c r="I429" s="152"/>
      <c r="J429" s="157"/>
      <c r="K429" s="157">
        <v>5800360268</v>
      </c>
      <c r="L429" s="227">
        <v>30744.915000000001</v>
      </c>
      <c r="M429" s="157" t="str">
        <f>+'[1]รับ 0215'!$F$256</f>
        <v>TOP 230215</v>
      </c>
      <c r="N429" s="227">
        <f t="shared" si="56"/>
        <v>143353.36836201049</v>
      </c>
      <c r="O429" s="152">
        <f t="shared" si="57"/>
        <v>580062.44936201186</v>
      </c>
    </row>
    <row r="430" spans="1:15" x14ac:dyDescent="0.15">
      <c r="A430" s="154"/>
      <c r="B430" s="151"/>
      <c r="C430" s="152"/>
      <c r="D430" s="323"/>
      <c r="E430" s="154"/>
      <c r="F430" s="157"/>
      <c r="G430" s="152"/>
      <c r="H430" s="323" t="s">
        <v>2289</v>
      </c>
      <c r="I430" s="152"/>
      <c r="J430" s="157"/>
      <c r="K430" s="157">
        <v>5800360268</v>
      </c>
      <c r="L430" s="227">
        <v>12842.406999999999</v>
      </c>
      <c r="M430" s="157" t="str">
        <f>+'[1]รับ 0215'!$F$256</f>
        <v>TOP 230215</v>
      </c>
      <c r="N430" s="227">
        <f t="shared" si="56"/>
        <v>130510.96136201048</v>
      </c>
      <c r="O430" s="152">
        <f t="shared" si="57"/>
        <v>567220.04236201185</v>
      </c>
    </row>
    <row r="431" spans="1:15" x14ac:dyDescent="0.15">
      <c r="A431" s="154"/>
      <c r="B431" s="151"/>
      <c r="C431" s="152"/>
      <c r="D431" s="323"/>
      <c r="E431" s="154"/>
      <c r="F431" s="157"/>
      <c r="G431" s="152"/>
      <c r="H431" s="323" t="s">
        <v>2289</v>
      </c>
      <c r="I431" s="152"/>
      <c r="J431" s="157"/>
      <c r="K431" s="157">
        <v>5800360268</v>
      </c>
      <c r="L431" s="227">
        <v>11468.294</v>
      </c>
      <c r="M431" s="157" t="str">
        <f>+'[1]รับ 0215'!$F$256</f>
        <v>TOP 230215</v>
      </c>
      <c r="N431" s="227">
        <f t="shared" si="56"/>
        <v>119042.66736201048</v>
      </c>
      <c r="O431" s="152">
        <f t="shared" si="57"/>
        <v>555751.74836201186</v>
      </c>
    </row>
    <row r="432" spans="1:15" x14ac:dyDescent="0.15">
      <c r="A432" s="154"/>
      <c r="B432" s="151"/>
      <c r="C432" s="152"/>
      <c r="D432" s="323"/>
      <c r="E432" s="154"/>
      <c r="F432" s="157"/>
      <c r="G432" s="152"/>
      <c r="H432" s="323" t="s">
        <v>2289</v>
      </c>
      <c r="I432" s="152"/>
      <c r="J432" s="157"/>
      <c r="K432" s="157">
        <v>5800360268</v>
      </c>
      <c r="L432" s="227">
        <v>13424.879000000001</v>
      </c>
      <c r="M432" s="157" t="str">
        <f>+'[1]รับ 0215'!$F$256</f>
        <v>TOP 230215</v>
      </c>
      <c r="N432" s="227">
        <f t="shared" si="56"/>
        <v>105617.78836201048</v>
      </c>
      <c r="O432" s="152">
        <f t="shared" si="57"/>
        <v>542326.8693620119</v>
      </c>
    </row>
    <row r="433" spans="1:15" x14ac:dyDescent="0.15">
      <c r="A433" s="154"/>
      <c r="B433" s="151"/>
      <c r="C433" s="152"/>
      <c r="D433" s="323"/>
      <c r="E433" s="154"/>
      <c r="F433" s="157"/>
      <c r="G433" s="152"/>
      <c r="H433" s="323" t="s">
        <v>2289</v>
      </c>
      <c r="I433" s="152"/>
      <c r="J433" s="157"/>
      <c r="K433" s="157">
        <v>5800360268</v>
      </c>
      <c r="L433" s="227">
        <v>13598.02</v>
      </c>
      <c r="M433" s="157" t="str">
        <f>+'[1]รับ 0215'!$F$256</f>
        <v>TOP 230215</v>
      </c>
      <c r="N433" s="227">
        <f t="shared" si="56"/>
        <v>92019.76836201048</v>
      </c>
      <c r="O433" s="152">
        <f t="shared" si="57"/>
        <v>528728.84936201188</v>
      </c>
    </row>
    <row r="434" spans="1:15" x14ac:dyDescent="0.15">
      <c r="A434" s="154"/>
      <c r="B434" s="151"/>
      <c r="C434" s="152"/>
      <c r="D434" s="323"/>
      <c r="E434" s="154"/>
      <c r="F434" s="157"/>
      <c r="G434" s="152"/>
      <c r="H434" s="323" t="s">
        <v>2289</v>
      </c>
      <c r="I434" s="152"/>
      <c r="J434" s="157"/>
      <c r="K434" s="157">
        <v>5800360268</v>
      </c>
      <c r="L434" s="227">
        <v>11739.513000000001</v>
      </c>
      <c r="M434" s="157" t="str">
        <f>+'[1]รับ 0215'!$F$256</f>
        <v>TOP 230215</v>
      </c>
      <c r="N434" s="227">
        <f t="shared" si="56"/>
        <v>80280.255362010474</v>
      </c>
      <c r="O434" s="152">
        <f t="shared" si="57"/>
        <v>516989.33636201191</v>
      </c>
    </row>
    <row r="435" spans="1:15" hidden="1" x14ac:dyDescent="0.15">
      <c r="A435" s="154"/>
      <c r="B435" s="151"/>
      <c r="C435" s="152"/>
      <c r="D435" s="323"/>
      <c r="E435" s="155"/>
      <c r="F435" s="157"/>
      <c r="G435" s="152"/>
      <c r="H435" s="323"/>
      <c r="I435" s="152"/>
      <c r="J435" s="157"/>
      <c r="K435" s="154"/>
      <c r="L435" s="227"/>
      <c r="M435" s="157"/>
      <c r="N435" s="227">
        <f t="shared" ref="N435:N442" si="58">+N434-I435-L435</f>
        <v>80280.255362010474</v>
      </c>
      <c r="O435" s="152">
        <f t="shared" ref="O435:O442" si="59">O434+G435-I435-L435</f>
        <v>516989.33636201191</v>
      </c>
    </row>
    <row r="436" spans="1:15" hidden="1" x14ac:dyDescent="0.15">
      <c r="A436" s="154"/>
      <c r="B436" s="151"/>
      <c r="C436" s="152"/>
      <c r="D436" s="323"/>
      <c r="E436" s="154"/>
      <c r="F436" s="157"/>
      <c r="G436" s="152"/>
      <c r="H436" s="323"/>
      <c r="I436" s="152"/>
      <c r="J436" s="157"/>
      <c r="K436" s="154"/>
      <c r="L436" s="227"/>
      <c r="M436" s="157"/>
      <c r="N436" s="227">
        <f t="shared" si="58"/>
        <v>80280.255362010474</v>
      </c>
      <c r="O436" s="152">
        <f t="shared" si="59"/>
        <v>516989.33636201191</v>
      </c>
    </row>
    <row r="437" spans="1:15" hidden="1" x14ac:dyDescent="0.15">
      <c r="A437" s="154"/>
      <c r="B437" s="151"/>
      <c r="C437" s="152"/>
      <c r="D437" s="323"/>
      <c r="E437" s="154"/>
      <c r="F437" s="157"/>
      <c r="G437" s="152"/>
      <c r="H437" s="323"/>
      <c r="I437" s="152"/>
      <c r="J437" s="154"/>
      <c r="K437" s="154"/>
      <c r="L437" s="227"/>
      <c r="M437" s="157"/>
      <c r="N437" s="227">
        <f t="shared" si="58"/>
        <v>80280.255362010474</v>
      </c>
      <c r="O437" s="152">
        <f t="shared" si="59"/>
        <v>516989.33636201191</v>
      </c>
    </row>
    <row r="438" spans="1:15" hidden="1" x14ac:dyDescent="0.15">
      <c r="A438" s="154"/>
      <c r="B438" s="151"/>
      <c r="C438" s="151"/>
      <c r="D438" s="323"/>
      <c r="E438" s="154"/>
      <c r="F438" s="157"/>
      <c r="G438" s="152"/>
      <c r="H438" s="323"/>
      <c r="I438" s="152"/>
      <c r="J438" s="154"/>
      <c r="K438" s="154"/>
      <c r="L438" s="227"/>
      <c r="M438" s="157"/>
      <c r="N438" s="227">
        <f t="shared" si="58"/>
        <v>80280.255362010474</v>
      </c>
      <c r="O438" s="152">
        <f t="shared" si="59"/>
        <v>516989.33636201191</v>
      </c>
    </row>
    <row r="439" spans="1:15" hidden="1" x14ac:dyDescent="0.15">
      <c r="A439" s="154"/>
      <c r="B439" s="151"/>
      <c r="C439" s="151"/>
      <c r="D439" s="323"/>
      <c r="E439" s="155"/>
      <c r="F439" s="157"/>
      <c r="G439" s="152"/>
      <c r="H439" s="323"/>
      <c r="I439" s="152"/>
      <c r="J439" s="154"/>
      <c r="K439" s="154"/>
      <c r="L439" s="227"/>
      <c r="M439" s="157"/>
      <c r="N439" s="227">
        <f t="shared" si="58"/>
        <v>80280.255362010474</v>
      </c>
      <c r="O439" s="152">
        <f t="shared" si="59"/>
        <v>516989.33636201191</v>
      </c>
    </row>
    <row r="440" spans="1:15" hidden="1" x14ac:dyDescent="0.15">
      <c r="A440" s="154"/>
      <c r="B440" s="151"/>
      <c r="C440" s="151"/>
      <c r="D440" s="323"/>
      <c r="E440" s="154"/>
      <c r="F440" s="160"/>
      <c r="G440" s="152"/>
      <c r="H440" s="323"/>
      <c r="I440" s="152"/>
      <c r="J440" s="157"/>
      <c r="K440" s="154"/>
      <c r="L440" s="227"/>
      <c r="M440" s="157"/>
      <c r="N440" s="227">
        <f t="shared" si="58"/>
        <v>80280.255362010474</v>
      </c>
      <c r="O440" s="152">
        <f t="shared" si="59"/>
        <v>516989.33636201191</v>
      </c>
    </row>
    <row r="441" spans="1:15" hidden="1" x14ac:dyDescent="0.15">
      <c r="A441" s="154"/>
      <c r="B441" s="151"/>
      <c r="C441" s="151"/>
      <c r="D441" s="323"/>
      <c r="E441" s="154"/>
      <c r="F441" s="160"/>
      <c r="G441" s="152"/>
      <c r="H441" s="323"/>
      <c r="I441" s="152"/>
      <c r="J441" s="150"/>
      <c r="K441" s="154"/>
      <c r="L441" s="227"/>
      <c r="M441" s="157"/>
      <c r="N441" s="227">
        <f t="shared" si="58"/>
        <v>80280.255362010474</v>
      </c>
      <c r="O441" s="152">
        <f t="shared" si="59"/>
        <v>516989.33636201191</v>
      </c>
    </row>
    <row r="442" spans="1:15" x14ac:dyDescent="0.15">
      <c r="A442" s="173"/>
      <c r="B442" s="173"/>
      <c r="C442" s="174"/>
      <c r="D442" s="323"/>
      <c r="E442" s="173"/>
      <c r="F442" s="173"/>
      <c r="G442" s="174"/>
      <c r="H442" s="323"/>
      <c r="I442" s="174"/>
      <c r="J442" s="173"/>
      <c r="K442" s="154"/>
      <c r="L442" s="228"/>
      <c r="M442" s="173"/>
      <c r="N442" s="227">
        <f t="shared" si="58"/>
        <v>80280.255362010474</v>
      </c>
      <c r="O442" s="152">
        <f t="shared" si="59"/>
        <v>516989.33636201191</v>
      </c>
    </row>
    <row r="443" spans="1:15" x14ac:dyDescent="0.15">
      <c r="A443" s="177"/>
      <c r="B443" s="177"/>
      <c r="C443" s="178">
        <f>SUM(C7:C441)</f>
        <v>487872.83636201022</v>
      </c>
      <c r="D443" s="177"/>
      <c r="E443" s="177"/>
      <c r="F443" s="177"/>
      <c r="G443" s="178">
        <f>SUM(G7:G442)</f>
        <v>7831092.5340000009</v>
      </c>
      <c r="H443" s="179"/>
      <c r="I443" s="178">
        <f>SUM(I7:I442)</f>
        <v>382279.98800000001</v>
      </c>
      <c r="J443" s="177"/>
      <c r="K443" s="177"/>
      <c r="L443" s="178">
        <f>SUM(L7:L442)</f>
        <v>7419696.0459999973</v>
      </c>
      <c r="M443" s="177"/>
      <c r="N443" s="180"/>
      <c r="O443" s="181">
        <f>C443+G443-I443-L443</f>
        <v>516989.33636201359</v>
      </c>
    </row>
    <row r="444" spans="1:15" x14ac:dyDescent="0.15">
      <c r="A444" s="182"/>
      <c r="B444" s="465"/>
      <c r="C444" s="465"/>
      <c r="D444" s="465"/>
      <c r="E444" s="183"/>
      <c r="F444" s="284"/>
      <c r="G444" s="185">
        <f>+G443-'[1]รับ 0215'!$D$261</f>
        <v>0</v>
      </c>
      <c r="H444" s="186"/>
      <c r="I444" s="187"/>
      <c r="J444" s="188"/>
      <c r="K444" s="189" t="s">
        <v>139</v>
      </c>
      <c r="L444" s="190">
        <f>+L443+I443</f>
        <v>7801976.0339999972</v>
      </c>
      <c r="M444" s="197"/>
      <c r="N444" s="230">
        <f>+N442</f>
        <v>80280.255362010474</v>
      </c>
      <c r="O444" s="195" t="s">
        <v>2290</v>
      </c>
    </row>
    <row r="445" spans="1:15" x14ac:dyDescent="0.15">
      <c r="A445" s="133"/>
      <c r="B445" s="392"/>
      <c r="C445" s="392"/>
      <c r="D445" s="392"/>
      <c r="E445" s="183"/>
      <c r="F445" s="393"/>
      <c r="G445" s="219"/>
      <c r="H445" s="186"/>
      <c r="I445" s="187"/>
      <c r="J445" s="210"/>
      <c r="N445" s="230">
        <f>+G394+G410</f>
        <v>407231.23300000007</v>
      </c>
      <c r="O445" s="334" t="s">
        <v>2291</v>
      </c>
    </row>
    <row r="446" spans="1:15" x14ac:dyDescent="0.15">
      <c r="A446" s="188" t="s">
        <v>2233</v>
      </c>
      <c r="B446" s="131" t="s">
        <v>2248</v>
      </c>
      <c r="E446" s="183" t="s">
        <v>55</v>
      </c>
      <c r="F446" s="394">
        <v>65470893.219999999</v>
      </c>
      <c r="G446" s="219" t="s">
        <v>56</v>
      </c>
      <c r="H446" s="186">
        <v>42041</v>
      </c>
      <c r="I446" s="187" t="s">
        <v>71</v>
      </c>
      <c r="J446" s="210">
        <v>59835.603362010159</v>
      </c>
      <c r="N446" s="230">
        <f>+G411</f>
        <v>29477.8479999999</v>
      </c>
      <c r="O446" s="334" t="str">
        <f>+F411</f>
        <v>TOP 260215</v>
      </c>
    </row>
    <row r="447" spans="1:15" x14ac:dyDescent="0.15">
      <c r="A447" s="188" t="s">
        <v>2292</v>
      </c>
      <c r="B447" s="131" t="s">
        <v>2312</v>
      </c>
      <c r="E447" s="183" t="s">
        <v>55</v>
      </c>
      <c r="F447" s="394">
        <v>75968438.849999994</v>
      </c>
      <c r="G447" s="219" t="s">
        <v>56</v>
      </c>
      <c r="H447" s="186">
        <v>42046</v>
      </c>
      <c r="I447" s="187" t="s">
        <v>71</v>
      </c>
      <c r="J447" s="210">
        <v>414947.37600000005</v>
      </c>
      <c r="K447" s="297"/>
      <c r="N447" s="230"/>
      <c r="O447" s="195"/>
    </row>
    <row r="448" spans="1:15" x14ac:dyDescent="0.15">
      <c r="A448" s="381" t="s">
        <v>2294</v>
      </c>
      <c r="B448" s="131" t="s">
        <v>2313</v>
      </c>
      <c r="E448" s="183" t="s">
        <v>55</v>
      </c>
      <c r="F448" s="394">
        <v>25155394.93</v>
      </c>
      <c r="G448" s="219" t="s">
        <v>56</v>
      </c>
      <c r="H448" s="186">
        <v>42051</v>
      </c>
      <c r="I448" s="187" t="s">
        <v>71</v>
      </c>
      <c r="J448" s="210">
        <v>425634.91600000003</v>
      </c>
      <c r="K448" s="333"/>
      <c r="N448" s="230"/>
      <c r="O448" s="195"/>
    </row>
    <row r="449" spans="1:15" x14ac:dyDescent="0.15">
      <c r="A449" s="193" t="s">
        <v>2297</v>
      </c>
      <c r="B449" s="131" t="s">
        <v>2314</v>
      </c>
      <c r="E449" s="183" t="s">
        <v>55</v>
      </c>
      <c r="F449" s="394">
        <v>67926990.010000005</v>
      </c>
      <c r="G449" s="219" t="s">
        <v>56</v>
      </c>
      <c r="H449" s="186">
        <v>42052</v>
      </c>
      <c r="I449" s="187" t="s">
        <v>71</v>
      </c>
      <c r="J449" s="210">
        <v>132004.12899999999</v>
      </c>
      <c r="N449" s="230"/>
      <c r="O449" s="195"/>
    </row>
    <row r="450" spans="1:15" x14ac:dyDescent="0.15">
      <c r="A450" s="193" t="s">
        <v>2298</v>
      </c>
      <c r="B450" s="131" t="s">
        <v>2315</v>
      </c>
      <c r="E450" s="183" t="s">
        <v>55</v>
      </c>
      <c r="F450" s="394">
        <v>27748389.640000001</v>
      </c>
      <c r="G450" s="219" t="s">
        <v>56</v>
      </c>
      <c r="H450" s="186">
        <v>42053</v>
      </c>
      <c r="I450" s="187" t="s">
        <v>71</v>
      </c>
      <c r="J450" s="210">
        <v>276678.565</v>
      </c>
      <c r="K450" s="333"/>
      <c r="N450" s="230"/>
      <c r="O450" s="195"/>
    </row>
    <row r="451" spans="1:15" x14ac:dyDescent="0.15">
      <c r="A451" s="193" t="s">
        <v>2299</v>
      </c>
      <c r="B451" s="131" t="s">
        <v>2316</v>
      </c>
      <c r="E451" s="183" t="s">
        <v>55</v>
      </c>
      <c r="F451" s="394">
        <v>89289868.420000002</v>
      </c>
      <c r="G451" s="219" t="s">
        <v>56</v>
      </c>
      <c r="H451" s="186">
        <v>42055</v>
      </c>
      <c r="I451" s="187" t="s">
        <v>71</v>
      </c>
      <c r="J451" s="210">
        <v>317171.95</v>
      </c>
      <c r="N451" s="206" t="s">
        <v>33</v>
      </c>
      <c r="O451" s="207">
        <f>SUM(N444:N450)</f>
        <v>516989.33636201045</v>
      </c>
    </row>
    <row r="452" spans="1:15" x14ac:dyDescent="0.15">
      <c r="A452" s="193" t="s">
        <v>2301</v>
      </c>
      <c r="B452" s="131" t="s">
        <v>2317</v>
      </c>
      <c r="E452" s="183" t="s">
        <v>55</v>
      </c>
      <c r="F452" s="394">
        <v>35953774.840000004</v>
      </c>
      <c r="G452" s="219" t="s">
        <v>56</v>
      </c>
      <c r="H452" s="186">
        <v>42059</v>
      </c>
      <c r="I452" s="187" t="s">
        <v>71</v>
      </c>
      <c r="J452" s="210">
        <v>252331.04800000004</v>
      </c>
      <c r="K452" s="193"/>
      <c r="O452" s="190">
        <f>+O443-O451</f>
        <v>3.14321368932724E-9</v>
      </c>
    </row>
    <row r="453" spans="1:15" s="132" customFormat="1" x14ac:dyDescent="0.15">
      <c r="A453" s="188" t="s">
        <v>2303</v>
      </c>
      <c r="B453" s="131" t="s">
        <v>2318</v>
      </c>
      <c r="D453" s="133"/>
      <c r="E453" s="183" t="s">
        <v>55</v>
      </c>
      <c r="F453" s="394">
        <v>62055599.229999997</v>
      </c>
      <c r="G453" s="219" t="s">
        <v>56</v>
      </c>
      <c r="H453" s="186">
        <v>42061</v>
      </c>
      <c r="I453" s="187" t="s">
        <v>71</v>
      </c>
      <c r="J453" s="210">
        <v>297951.79636201041</v>
      </c>
      <c r="K453" s="193"/>
      <c r="M453" s="134"/>
    </row>
    <row r="454" spans="1:15" s="132" customFormat="1" x14ac:dyDescent="0.15">
      <c r="A454" s="193" t="s">
        <v>2304</v>
      </c>
      <c r="B454" s="131" t="s">
        <v>2319</v>
      </c>
      <c r="D454" s="133"/>
      <c r="E454" s="183" t="s">
        <v>55</v>
      </c>
      <c r="F454" s="394">
        <v>19099946.989999998</v>
      </c>
      <c r="G454" s="219" t="s">
        <v>56</v>
      </c>
      <c r="H454" s="186">
        <v>42061</v>
      </c>
      <c r="I454" s="187" t="s">
        <v>71</v>
      </c>
      <c r="J454" s="210">
        <v>321313.98300000001</v>
      </c>
      <c r="K454" s="133"/>
      <c r="M454" s="134"/>
    </row>
    <row r="455" spans="1:15" s="132" customFormat="1" x14ac:dyDescent="0.15">
      <c r="A455" s="193" t="s">
        <v>2307</v>
      </c>
      <c r="B455" s="131" t="s">
        <v>2320</v>
      </c>
      <c r="D455" s="133"/>
      <c r="E455" s="183" t="s">
        <v>55</v>
      </c>
      <c r="F455" s="394">
        <v>66200496.280000001</v>
      </c>
      <c r="G455" s="219" t="s">
        <v>56</v>
      </c>
      <c r="H455" s="186">
        <v>42066</v>
      </c>
      <c r="I455" s="187" t="s">
        <v>71</v>
      </c>
      <c r="J455" s="210">
        <v>293012.36699999997</v>
      </c>
      <c r="K455" s="193"/>
      <c r="M455" s="134"/>
    </row>
    <row r="456" spans="1:15" s="132" customFormat="1" x14ac:dyDescent="0.15">
      <c r="A456" s="188" t="s">
        <v>2309</v>
      </c>
      <c r="B456" s="131" t="s">
        <v>2321</v>
      </c>
      <c r="D456" s="133"/>
      <c r="E456" s="183" t="s">
        <v>55</v>
      </c>
      <c r="F456" s="394">
        <v>50837449.539999999</v>
      </c>
      <c r="G456" s="219" t="s">
        <v>56</v>
      </c>
      <c r="H456" s="186">
        <v>42068</v>
      </c>
      <c r="I456" s="187" t="s">
        <v>71</v>
      </c>
      <c r="J456" s="210">
        <v>575590.25300000049</v>
      </c>
      <c r="K456" s="193"/>
      <c r="M456" s="134"/>
    </row>
    <row r="457" spans="1:15" s="132" customFormat="1" x14ac:dyDescent="0.15">
      <c r="A457" s="188" t="s">
        <v>2310</v>
      </c>
      <c r="B457" s="131" t="s">
        <v>2322</v>
      </c>
      <c r="D457" s="133"/>
      <c r="E457" s="183" t="s">
        <v>55</v>
      </c>
      <c r="F457" s="394">
        <v>30011258.940000001</v>
      </c>
      <c r="G457" s="219" t="s">
        <v>56</v>
      </c>
      <c r="H457" s="186">
        <v>42072</v>
      </c>
      <c r="I457" s="187" t="s">
        <v>71</v>
      </c>
      <c r="J457" s="210">
        <v>322851.91899999988</v>
      </c>
      <c r="K457" s="193"/>
      <c r="M457" s="134"/>
    </row>
    <row r="458" spans="1:15" s="132" customFormat="1" ht="12" thickBot="1" x14ac:dyDescent="0.2">
      <c r="A458" s="133"/>
      <c r="B458" s="392"/>
      <c r="C458" s="392"/>
      <c r="D458" s="392"/>
      <c r="E458" s="183"/>
      <c r="F458" s="393"/>
      <c r="G458" s="219"/>
      <c r="H458" s="186"/>
      <c r="I458" s="217" t="s">
        <v>856</v>
      </c>
      <c r="J458" s="211">
        <f>SUM(J446:J457)</f>
        <v>3689323.9057240207</v>
      </c>
      <c r="K458" s="193"/>
      <c r="M458" s="134"/>
    </row>
    <row r="459" spans="1:15" s="132" customFormat="1" ht="12" thickTop="1" x14ac:dyDescent="0.15">
      <c r="A459" s="193" t="s">
        <v>2234</v>
      </c>
      <c r="B459" s="131" t="s">
        <v>2323</v>
      </c>
      <c r="D459" s="133"/>
      <c r="E459" s="183" t="s">
        <v>55</v>
      </c>
      <c r="F459" s="394">
        <v>115442465.52</v>
      </c>
      <c r="G459" s="219" t="s">
        <v>56</v>
      </c>
      <c r="H459" s="186">
        <v>42041</v>
      </c>
      <c r="I459" s="187" t="s">
        <v>71</v>
      </c>
      <c r="J459" s="210">
        <v>104890.444</v>
      </c>
      <c r="K459" s="133"/>
      <c r="M459" s="134"/>
    </row>
    <row r="460" spans="1:15" s="132" customFormat="1" x14ac:dyDescent="0.15">
      <c r="A460" s="185" t="s">
        <v>2235</v>
      </c>
      <c r="B460" s="131" t="s">
        <v>2324</v>
      </c>
      <c r="D460" s="133"/>
      <c r="E460" s="183" t="s">
        <v>55</v>
      </c>
      <c r="F460" s="394">
        <v>78210000.140000001</v>
      </c>
      <c r="G460" s="219" t="s">
        <v>56</v>
      </c>
      <c r="H460" s="186">
        <v>42044</v>
      </c>
      <c r="I460" s="187" t="s">
        <v>71</v>
      </c>
      <c r="J460" s="210">
        <v>789249.49599999993</v>
      </c>
      <c r="K460" s="193"/>
      <c r="M460" s="134"/>
    </row>
    <row r="461" spans="1:15" s="132" customFormat="1" x14ac:dyDescent="0.15">
      <c r="A461" s="193" t="s">
        <v>2293</v>
      </c>
      <c r="B461" s="131" t="s">
        <v>2325</v>
      </c>
      <c r="D461" s="133"/>
      <c r="E461" s="183" t="s">
        <v>55</v>
      </c>
      <c r="F461" s="394">
        <v>96277933.030000001</v>
      </c>
      <c r="G461" s="219" t="s">
        <v>56</v>
      </c>
      <c r="H461" s="186">
        <v>42047</v>
      </c>
      <c r="I461" s="187" t="s">
        <v>71</v>
      </c>
      <c r="J461" s="210">
        <v>251462.80800000002</v>
      </c>
      <c r="K461" s="193"/>
      <c r="M461" s="134"/>
    </row>
    <row r="462" spans="1:15" s="132" customFormat="1" x14ac:dyDescent="0.15">
      <c r="A462" s="193" t="s">
        <v>2295</v>
      </c>
      <c r="B462" s="131" t="s">
        <v>2326</v>
      </c>
      <c r="D462" s="133"/>
      <c r="E462" s="183" t="s">
        <v>55</v>
      </c>
      <c r="F462" s="394">
        <v>46691660.640000001</v>
      </c>
      <c r="G462" s="219" t="s">
        <v>56</v>
      </c>
      <c r="H462" s="186">
        <v>42051</v>
      </c>
      <c r="I462" s="187" t="s">
        <v>71</v>
      </c>
      <c r="J462" s="210">
        <v>387969.58099999989</v>
      </c>
      <c r="K462" s="193"/>
      <c r="M462" s="134"/>
    </row>
    <row r="463" spans="1:15" s="132" customFormat="1" x14ac:dyDescent="0.15">
      <c r="A463" s="185" t="s">
        <v>2296</v>
      </c>
      <c r="B463" s="131" t="s">
        <v>2327</v>
      </c>
      <c r="D463" s="133"/>
      <c r="E463" s="183" t="s">
        <v>55</v>
      </c>
      <c r="F463" s="394">
        <v>112984794.52</v>
      </c>
      <c r="G463" s="219" t="s">
        <v>56</v>
      </c>
      <c r="H463" s="186">
        <v>42051</v>
      </c>
      <c r="I463" s="187" t="s">
        <v>71</v>
      </c>
      <c r="J463" s="210">
        <v>272023.83799999999</v>
      </c>
      <c r="K463" s="193"/>
      <c r="M463" s="134"/>
    </row>
    <row r="464" spans="1:15" s="132" customFormat="1" x14ac:dyDescent="0.15">
      <c r="A464" s="133" t="s">
        <v>2300</v>
      </c>
      <c r="B464" s="131" t="s">
        <v>2328</v>
      </c>
      <c r="D464" s="133"/>
      <c r="E464" s="183" t="s">
        <v>55</v>
      </c>
      <c r="F464" s="394">
        <v>72305373.769999996</v>
      </c>
      <c r="G464" s="219" t="s">
        <v>56</v>
      </c>
      <c r="H464" s="186">
        <v>42055</v>
      </c>
      <c r="I464" s="187" t="s">
        <v>71</v>
      </c>
      <c r="J464" s="210">
        <v>265240.02399999998</v>
      </c>
      <c r="K464" s="193"/>
      <c r="M464" s="134"/>
    </row>
    <row r="465" spans="1:15" s="132" customFormat="1" x14ac:dyDescent="0.15">
      <c r="A465" s="193" t="s">
        <v>2302</v>
      </c>
      <c r="B465" s="131" t="s">
        <v>2329</v>
      </c>
      <c r="D465" s="133"/>
      <c r="E465" s="183" t="s">
        <v>55</v>
      </c>
      <c r="F465" s="394">
        <v>82048101.909999996</v>
      </c>
      <c r="G465" s="219" t="s">
        <v>56</v>
      </c>
      <c r="H465" s="186">
        <v>42058</v>
      </c>
      <c r="I465" s="187" t="s">
        <v>71</v>
      </c>
      <c r="J465" s="210">
        <v>467947.48363798973</v>
      </c>
      <c r="K465" s="193"/>
      <c r="M465" s="134"/>
    </row>
    <row r="466" spans="1:15" s="133" customFormat="1" x14ac:dyDescent="0.15">
      <c r="A466" s="193" t="s">
        <v>2305</v>
      </c>
      <c r="B466" s="131" t="s">
        <v>2330</v>
      </c>
      <c r="C466" s="132"/>
      <c r="E466" s="183" t="s">
        <v>55</v>
      </c>
      <c r="F466" s="394">
        <v>70608454.319999993</v>
      </c>
      <c r="G466" s="219" t="s">
        <v>56</v>
      </c>
      <c r="H466" s="186">
        <v>42061</v>
      </c>
      <c r="I466" s="187" t="s">
        <v>71</v>
      </c>
      <c r="J466" s="210">
        <v>293500.76999999996</v>
      </c>
      <c r="K466" s="193"/>
      <c r="L466" s="132"/>
      <c r="M466" s="134"/>
      <c r="N466" s="132"/>
      <c r="O466" s="132"/>
    </row>
    <row r="467" spans="1:15" s="133" customFormat="1" x14ac:dyDescent="0.15">
      <c r="A467" s="193" t="s">
        <v>2306</v>
      </c>
      <c r="B467" s="131" t="s">
        <v>2331</v>
      </c>
      <c r="C467" s="132"/>
      <c r="E467" s="183" t="s">
        <v>55</v>
      </c>
      <c r="F467" s="394">
        <v>114286391.63</v>
      </c>
      <c r="G467" s="219" t="s">
        <v>56</v>
      </c>
      <c r="H467" s="186">
        <v>42062</v>
      </c>
      <c r="I467" s="187" t="s">
        <v>71</v>
      </c>
      <c r="J467" s="210">
        <v>263920.83100000001</v>
      </c>
      <c r="K467" s="193"/>
      <c r="L467" s="132"/>
      <c r="M467" s="134"/>
      <c r="N467" s="132"/>
      <c r="O467" s="132"/>
    </row>
    <row r="468" spans="1:15" s="133" customFormat="1" x14ac:dyDescent="0.15">
      <c r="A468" s="193" t="s">
        <v>2308</v>
      </c>
      <c r="B468" s="131" t="s">
        <v>2413</v>
      </c>
      <c r="C468" s="132"/>
      <c r="E468" s="183" t="s">
        <v>55</v>
      </c>
      <c r="F468" s="394">
        <v>114997461.45999999</v>
      </c>
      <c r="G468" s="219" t="s">
        <v>56</v>
      </c>
      <c r="H468" s="186">
        <v>42065</v>
      </c>
      <c r="I468" s="187" t="s">
        <v>71</v>
      </c>
      <c r="J468" s="210">
        <v>359579.36699999991</v>
      </c>
      <c r="L468" s="132"/>
      <c r="M468" s="134"/>
      <c r="N468" s="132"/>
      <c r="O468" s="132"/>
    </row>
    <row r="469" spans="1:15" s="133" customFormat="1" x14ac:dyDescent="0.15">
      <c r="A469" s="193" t="s">
        <v>2290</v>
      </c>
      <c r="B469" s="131" t="s">
        <v>2390</v>
      </c>
      <c r="C469" s="132"/>
      <c r="E469" s="183" t="s">
        <v>55</v>
      </c>
      <c r="F469" s="394">
        <v>76109391.469999999</v>
      </c>
      <c r="G469" s="219" t="s">
        <v>56</v>
      </c>
      <c r="H469" s="186">
        <v>42068</v>
      </c>
      <c r="I469" s="187" t="s">
        <v>71</v>
      </c>
      <c r="J469" s="210">
        <v>274587.49763798935</v>
      </c>
      <c r="L469" s="132"/>
      <c r="M469" s="134"/>
      <c r="N469" s="132"/>
      <c r="O469" s="132"/>
    </row>
    <row r="470" spans="1:15" s="133" customFormat="1" ht="12" thickBot="1" x14ac:dyDescent="0.2">
      <c r="B470" s="392"/>
      <c r="C470" s="392"/>
      <c r="D470" s="392"/>
      <c r="E470" s="183"/>
      <c r="F470" s="393"/>
      <c r="G470" s="219"/>
      <c r="H470" s="186"/>
      <c r="I470" s="217" t="s">
        <v>106</v>
      </c>
      <c r="J470" s="211">
        <f>SUM(J459:J469)</f>
        <v>3730372.1402759794</v>
      </c>
      <c r="L470" s="132"/>
      <c r="M470" s="134"/>
      <c r="N470" s="132"/>
      <c r="O470" s="132"/>
    </row>
    <row r="471" spans="1:15" s="133" customFormat="1" ht="12" thickTop="1" x14ac:dyDescent="0.15">
      <c r="B471" s="392"/>
      <c r="C471" s="392"/>
      <c r="D471" s="392"/>
      <c r="E471" s="183"/>
      <c r="F471" s="393"/>
      <c r="G471" s="219"/>
      <c r="H471" s="186"/>
      <c r="I471" s="187"/>
      <c r="J471" s="210"/>
      <c r="L471" s="132"/>
      <c r="M471" s="134"/>
      <c r="N471" s="132"/>
      <c r="O471" s="132"/>
    </row>
    <row r="472" spans="1:15" s="133" customFormat="1" x14ac:dyDescent="0.15">
      <c r="B472" s="133" t="s">
        <v>9</v>
      </c>
      <c r="C472" s="220" t="s">
        <v>2311</v>
      </c>
      <c r="D472" s="133" t="s">
        <v>570</v>
      </c>
      <c r="E472" s="133" t="s">
        <v>571</v>
      </c>
      <c r="F472" s="133" t="s">
        <v>16</v>
      </c>
      <c r="G472" s="134"/>
      <c r="H472" s="134"/>
      <c r="I472" s="132"/>
      <c r="J472" s="205"/>
      <c r="L472" s="132"/>
      <c r="M472" s="134"/>
      <c r="N472" s="132"/>
      <c r="O472" s="132"/>
    </row>
    <row r="473" spans="1:15" s="132" customFormat="1" x14ac:dyDescent="0.15">
      <c r="A473" s="188" t="s">
        <v>2233</v>
      </c>
      <c r="B473" s="210">
        <v>59836</v>
      </c>
      <c r="C473" s="221">
        <v>0.2</v>
      </c>
      <c r="D473" s="235">
        <f>+B473*C473</f>
        <v>11967.2</v>
      </c>
      <c r="E473" s="235">
        <f t="shared" ref="E473:E484" si="60">+D473*0.1</f>
        <v>1196.72</v>
      </c>
      <c r="F473" s="236">
        <f t="shared" ref="F473:F484" si="61">SUM(D473:E473)</f>
        <v>13163.92</v>
      </c>
      <c r="G473" s="134"/>
      <c r="H473" s="134"/>
      <c r="J473" s="205"/>
      <c r="K473" s="133"/>
      <c r="M473" s="134"/>
    </row>
    <row r="474" spans="1:15" s="132" customFormat="1" x14ac:dyDescent="0.15">
      <c r="A474" s="188" t="s">
        <v>2292</v>
      </c>
      <c r="B474" s="210">
        <v>414947</v>
      </c>
      <c r="C474" s="221">
        <v>0.2</v>
      </c>
      <c r="D474" s="235">
        <f t="shared" ref="D474:D484" si="62">+B474*C474</f>
        <v>82989.400000000009</v>
      </c>
      <c r="E474" s="235">
        <f t="shared" si="60"/>
        <v>8298.94</v>
      </c>
      <c r="F474" s="236">
        <f t="shared" si="61"/>
        <v>91288.340000000011</v>
      </c>
      <c r="G474" s="133"/>
      <c r="H474" s="133"/>
      <c r="J474" s="205"/>
      <c r="K474" s="133"/>
      <c r="M474" s="134"/>
    </row>
    <row r="475" spans="1:15" s="132" customFormat="1" x14ac:dyDescent="0.15">
      <c r="A475" s="381" t="s">
        <v>2294</v>
      </c>
      <c r="B475" s="210">
        <v>425635</v>
      </c>
      <c r="C475" s="221">
        <v>0.2</v>
      </c>
      <c r="D475" s="235">
        <f t="shared" si="62"/>
        <v>85127</v>
      </c>
      <c r="E475" s="235">
        <f t="shared" si="60"/>
        <v>8512.7000000000007</v>
      </c>
      <c r="F475" s="236">
        <f t="shared" si="61"/>
        <v>93639.7</v>
      </c>
      <c r="G475" s="133"/>
      <c r="H475" s="133"/>
      <c r="J475" s="205"/>
      <c r="K475" s="133"/>
      <c r="M475" s="134"/>
    </row>
    <row r="476" spans="1:15" s="132" customFormat="1" x14ac:dyDescent="0.15">
      <c r="A476" s="193" t="s">
        <v>2297</v>
      </c>
      <c r="B476" s="210">
        <v>132004</v>
      </c>
      <c r="C476" s="221">
        <v>0.2</v>
      </c>
      <c r="D476" s="235">
        <f t="shared" si="62"/>
        <v>26400.800000000003</v>
      </c>
      <c r="E476" s="235">
        <f t="shared" si="60"/>
        <v>2640.0800000000004</v>
      </c>
      <c r="F476" s="236">
        <f t="shared" si="61"/>
        <v>29040.880000000005</v>
      </c>
      <c r="G476" s="134"/>
      <c r="H476" s="134"/>
      <c r="J476" s="205"/>
      <c r="K476" s="133"/>
      <c r="M476" s="134"/>
    </row>
    <row r="477" spans="1:15" s="132" customFormat="1" x14ac:dyDescent="0.15">
      <c r="A477" s="193" t="s">
        <v>2298</v>
      </c>
      <c r="B477" s="210">
        <v>276679</v>
      </c>
      <c r="C477" s="221">
        <v>0.2</v>
      </c>
      <c r="D477" s="235">
        <f t="shared" si="62"/>
        <v>55335.8</v>
      </c>
      <c r="E477" s="235">
        <f t="shared" si="60"/>
        <v>5533.5800000000008</v>
      </c>
      <c r="F477" s="236">
        <f t="shared" si="61"/>
        <v>60869.380000000005</v>
      </c>
      <c r="G477" s="186"/>
      <c r="H477" s="186"/>
      <c r="J477" s="205"/>
      <c r="K477" s="133"/>
      <c r="M477" s="134"/>
    </row>
    <row r="478" spans="1:15" s="132" customFormat="1" x14ac:dyDescent="0.15">
      <c r="A478" s="193" t="s">
        <v>2299</v>
      </c>
      <c r="B478" s="210">
        <v>317172</v>
      </c>
      <c r="C478" s="221">
        <v>0.2</v>
      </c>
      <c r="D478" s="235">
        <f t="shared" si="62"/>
        <v>63434.400000000001</v>
      </c>
      <c r="E478" s="235">
        <f t="shared" si="60"/>
        <v>6343.4400000000005</v>
      </c>
      <c r="F478" s="236">
        <f t="shared" si="61"/>
        <v>69777.84</v>
      </c>
      <c r="G478" s="186"/>
      <c r="H478" s="186"/>
      <c r="J478" s="134"/>
      <c r="K478" s="133"/>
      <c r="M478" s="134"/>
    </row>
    <row r="479" spans="1:15" s="132" customFormat="1" x14ac:dyDescent="0.15">
      <c r="A479" s="193" t="s">
        <v>2301</v>
      </c>
      <c r="B479" s="210">
        <v>252331</v>
      </c>
      <c r="C479" s="221">
        <v>0.2</v>
      </c>
      <c r="D479" s="235">
        <f t="shared" si="62"/>
        <v>50466.200000000004</v>
      </c>
      <c r="E479" s="235">
        <f t="shared" si="60"/>
        <v>5046.6200000000008</v>
      </c>
      <c r="F479" s="236">
        <f t="shared" si="61"/>
        <v>55512.820000000007</v>
      </c>
      <c r="G479" s="186"/>
      <c r="H479" s="186"/>
      <c r="J479" s="134"/>
      <c r="K479" s="133"/>
      <c r="M479" s="134"/>
    </row>
    <row r="480" spans="1:15" s="132" customFormat="1" x14ac:dyDescent="0.15">
      <c r="A480" s="188" t="s">
        <v>2303</v>
      </c>
      <c r="B480" s="210">
        <v>297952</v>
      </c>
      <c r="C480" s="221">
        <v>0.2</v>
      </c>
      <c r="D480" s="235">
        <f t="shared" si="62"/>
        <v>59590.400000000001</v>
      </c>
      <c r="E480" s="235">
        <f t="shared" si="60"/>
        <v>5959.0400000000009</v>
      </c>
      <c r="F480" s="236">
        <f t="shared" si="61"/>
        <v>65549.440000000002</v>
      </c>
      <c r="G480" s="186"/>
      <c r="H480" s="186"/>
      <c r="J480" s="134"/>
      <c r="K480" s="133"/>
      <c r="M480" s="134"/>
    </row>
    <row r="481" spans="1:13" s="132" customFormat="1" x14ac:dyDescent="0.15">
      <c r="A481" s="193" t="s">
        <v>2304</v>
      </c>
      <c r="B481" s="210">
        <v>321314</v>
      </c>
      <c r="C481" s="221">
        <v>0.2</v>
      </c>
      <c r="D481" s="235">
        <f t="shared" si="62"/>
        <v>64262.8</v>
      </c>
      <c r="E481" s="235">
        <f t="shared" si="60"/>
        <v>6426.2800000000007</v>
      </c>
      <c r="F481" s="236">
        <f t="shared" si="61"/>
        <v>70689.08</v>
      </c>
      <c r="G481" s="186"/>
      <c r="H481" s="186"/>
      <c r="J481" s="134"/>
      <c r="K481" s="133"/>
      <c r="M481" s="134"/>
    </row>
    <row r="482" spans="1:13" s="132" customFormat="1" x14ac:dyDescent="0.15">
      <c r="A482" s="193" t="s">
        <v>2307</v>
      </c>
      <c r="B482" s="210">
        <v>293012</v>
      </c>
      <c r="C482" s="221">
        <v>0.2</v>
      </c>
      <c r="D482" s="235">
        <f t="shared" si="62"/>
        <v>58602.400000000001</v>
      </c>
      <c r="E482" s="235">
        <f t="shared" si="60"/>
        <v>5860.2400000000007</v>
      </c>
      <c r="F482" s="236">
        <f t="shared" si="61"/>
        <v>64462.64</v>
      </c>
      <c r="G482" s="186"/>
      <c r="H482" s="186"/>
      <c r="J482" s="134"/>
      <c r="K482" s="133"/>
      <c r="M482" s="134"/>
    </row>
    <row r="483" spans="1:13" s="132" customFormat="1" x14ac:dyDescent="0.15">
      <c r="A483" s="188" t="s">
        <v>2309</v>
      </c>
      <c r="B483" s="210">
        <v>575590</v>
      </c>
      <c r="C483" s="221">
        <v>0.2</v>
      </c>
      <c r="D483" s="235">
        <f t="shared" si="62"/>
        <v>115118</v>
      </c>
      <c r="E483" s="235">
        <f t="shared" si="60"/>
        <v>11511.800000000001</v>
      </c>
      <c r="F483" s="236">
        <f t="shared" si="61"/>
        <v>126629.8</v>
      </c>
      <c r="G483" s="186"/>
      <c r="H483" s="186"/>
      <c r="J483" s="134"/>
      <c r="K483" s="133"/>
      <c r="M483" s="134"/>
    </row>
    <row r="484" spans="1:13" s="132" customFormat="1" x14ac:dyDescent="0.15">
      <c r="A484" s="188" t="s">
        <v>2310</v>
      </c>
      <c r="B484" s="210">
        <v>322852</v>
      </c>
      <c r="C484" s="221">
        <v>0.2</v>
      </c>
      <c r="D484" s="235">
        <f t="shared" si="62"/>
        <v>64570.400000000001</v>
      </c>
      <c r="E484" s="235">
        <f t="shared" si="60"/>
        <v>6457.0400000000009</v>
      </c>
      <c r="F484" s="236">
        <f t="shared" si="61"/>
        <v>71027.44</v>
      </c>
      <c r="G484" s="186"/>
      <c r="H484" s="186"/>
      <c r="J484" s="134"/>
      <c r="K484" s="133"/>
      <c r="M484" s="134"/>
    </row>
    <row r="485" spans="1:13" s="132" customFormat="1" ht="12" thickBot="1" x14ac:dyDescent="0.2">
      <c r="A485" s="133"/>
      <c r="B485" s="211">
        <f>SUM(B473:B484)</f>
        <v>3689324</v>
      </c>
      <c r="C485" s="221"/>
      <c r="D485" s="242">
        <f>SUM(D473:D484)</f>
        <v>737864.8</v>
      </c>
      <c r="E485" s="242">
        <f t="shared" ref="E485:F485" si="63">SUM(E473:E484)</f>
        <v>73786.48000000001</v>
      </c>
      <c r="F485" s="242">
        <f t="shared" si="63"/>
        <v>811651.28</v>
      </c>
      <c r="G485" s="186"/>
      <c r="H485" s="186"/>
      <c r="J485" s="134"/>
      <c r="K485" s="133"/>
      <c r="M485" s="134"/>
    </row>
    <row r="486" spans="1:13" s="132" customFormat="1" ht="12" thickTop="1" x14ac:dyDescent="0.15">
      <c r="A486" s="193" t="s">
        <v>2234</v>
      </c>
      <c r="B486" s="210">
        <v>104890</v>
      </c>
      <c r="C486" s="221">
        <v>0.2</v>
      </c>
      <c r="D486" s="235">
        <f>+B486*C486</f>
        <v>20978</v>
      </c>
      <c r="E486" s="235">
        <f t="shared" ref="E486:E496" si="64">+D486*0.1</f>
        <v>2097.8000000000002</v>
      </c>
      <c r="F486" s="236">
        <f t="shared" ref="F486:F496" si="65">SUM(D486:E486)</f>
        <v>23075.8</v>
      </c>
      <c r="G486" s="186"/>
      <c r="H486" s="186"/>
      <c r="J486" s="134"/>
      <c r="K486" s="133"/>
      <c r="M486" s="134"/>
    </row>
    <row r="487" spans="1:13" s="132" customFormat="1" x14ac:dyDescent="0.15">
      <c r="A487" s="185" t="s">
        <v>2235</v>
      </c>
      <c r="B487" s="210">
        <v>789249</v>
      </c>
      <c r="C487" s="221">
        <v>0.2</v>
      </c>
      <c r="D487" s="235">
        <f t="shared" ref="D487:D496" si="66">+B487*C487</f>
        <v>157849.80000000002</v>
      </c>
      <c r="E487" s="235">
        <f t="shared" si="64"/>
        <v>15784.980000000003</v>
      </c>
      <c r="F487" s="236">
        <f t="shared" si="65"/>
        <v>173634.78000000003</v>
      </c>
      <c r="G487" s="186"/>
      <c r="H487" s="186"/>
      <c r="J487" s="134"/>
      <c r="K487" s="133"/>
      <c r="M487" s="134"/>
    </row>
    <row r="488" spans="1:13" s="132" customFormat="1" x14ac:dyDescent="0.15">
      <c r="A488" s="193" t="s">
        <v>2293</v>
      </c>
      <c r="B488" s="210">
        <v>251463</v>
      </c>
      <c r="C488" s="221">
        <v>0.2</v>
      </c>
      <c r="D488" s="235">
        <f t="shared" si="66"/>
        <v>50292.600000000006</v>
      </c>
      <c r="E488" s="235">
        <f t="shared" si="64"/>
        <v>5029.2600000000011</v>
      </c>
      <c r="F488" s="236">
        <f t="shared" si="65"/>
        <v>55321.860000000008</v>
      </c>
      <c r="G488" s="186"/>
      <c r="H488" s="186"/>
      <c r="J488" s="134"/>
      <c r="K488" s="133"/>
      <c r="M488" s="134"/>
    </row>
    <row r="489" spans="1:13" s="132" customFormat="1" x14ac:dyDescent="0.15">
      <c r="A489" s="193" t="s">
        <v>2295</v>
      </c>
      <c r="B489" s="210">
        <v>387970</v>
      </c>
      <c r="C489" s="221">
        <v>0.2</v>
      </c>
      <c r="D489" s="235">
        <f t="shared" si="66"/>
        <v>77594</v>
      </c>
      <c r="E489" s="235">
        <f t="shared" si="64"/>
        <v>7759.4000000000005</v>
      </c>
      <c r="F489" s="236">
        <f t="shared" si="65"/>
        <v>85353.4</v>
      </c>
      <c r="G489" s="186"/>
      <c r="H489" s="186"/>
      <c r="J489" s="134"/>
      <c r="K489" s="133"/>
      <c r="M489" s="134"/>
    </row>
    <row r="490" spans="1:13" s="132" customFormat="1" x14ac:dyDescent="0.15">
      <c r="A490" s="185" t="s">
        <v>2296</v>
      </c>
      <c r="B490" s="210">
        <v>272024</v>
      </c>
      <c r="C490" s="221">
        <v>0.2</v>
      </c>
      <c r="D490" s="235">
        <f t="shared" si="66"/>
        <v>54404.800000000003</v>
      </c>
      <c r="E490" s="235">
        <f t="shared" si="64"/>
        <v>5440.4800000000005</v>
      </c>
      <c r="F490" s="236">
        <f t="shared" si="65"/>
        <v>59845.280000000006</v>
      </c>
      <c r="G490" s="186"/>
      <c r="H490" s="186"/>
      <c r="J490" s="210"/>
      <c r="K490" s="133"/>
      <c r="M490" s="134"/>
    </row>
    <row r="491" spans="1:13" s="132" customFormat="1" x14ac:dyDescent="0.15">
      <c r="A491" s="133" t="s">
        <v>2300</v>
      </c>
      <c r="B491" s="210">
        <v>265240</v>
      </c>
      <c r="C491" s="221">
        <v>0.2</v>
      </c>
      <c r="D491" s="235">
        <f t="shared" si="66"/>
        <v>53048</v>
      </c>
      <c r="E491" s="235">
        <f t="shared" si="64"/>
        <v>5304.8</v>
      </c>
      <c r="F491" s="236">
        <f t="shared" si="65"/>
        <v>58352.800000000003</v>
      </c>
      <c r="G491" s="186"/>
      <c r="H491" s="186"/>
      <c r="J491" s="134"/>
      <c r="K491" s="133"/>
      <c r="M491" s="134"/>
    </row>
    <row r="492" spans="1:13" s="132" customFormat="1" x14ac:dyDescent="0.15">
      <c r="A492" s="193" t="s">
        <v>2302</v>
      </c>
      <c r="B492" s="210">
        <v>467947</v>
      </c>
      <c r="C492" s="221">
        <v>0.2</v>
      </c>
      <c r="D492" s="235">
        <f t="shared" si="66"/>
        <v>93589.400000000009</v>
      </c>
      <c r="E492" s="235">
        <f t="shared" si="64"/>
        <v>9358.94</v>
      </c>
      <c r="F492" s="236">
        <f t="shared" si="65"/>
        <v>102948.34000000001</v>
      </c>
      <c r="G492" s="186"/>
      <c r="H492" s="186"/>
      <c r="J492" s="134"/>
      <c r="K492" s="133"/>
      <c r="M492" s="134"/>
    </row>
    <row r="493" spans="1:13" s="132" customFormat="1" x14ac:dyDescent="0.15">
      <c r="A493" s="193" t="s">
        <v>2305</v>
      </c>
      <c r="B493" s="210">
        <v>293501</v>
      </c>
      <c r="C493" s="221">
        <v>0.2</v>
      </c>
      <c r="D493" s="235">
        <f t="shared" si="66"/>
        <v>58700.200000000004</v>
      </c>
      <c r="E493" s="235">
        <f t="shared" si="64"/>
        <v>5870.02</v>
      </c>
      <c r="F493" s="236">
        <f t="shared" si="65"/>
        <v>64570.22</v>
      </c>
      <c r="G493" s="186"/>
      <c r="H493" s="186"/>
      <c r="J493" s="134"/>
      <c r="K493" s="133"/>
      <c r="M493" s="134"/>
    </row>
    <row r="494" spans="1:13" s="132" customFormat="1" x14ac:dyDescent="0.15">
      <c r="A494" s="193" t="s">
        <v>2306</v>
      </c>
      <c r="B494" s="210">
        <v>263921</v>
      </c>
      <c r="C494" s="221">
        <v>0.2</v>
      </c>
      <c r="D494" s="235">
        <f t="shared" si="66"/>
        <v>52784.200000000004</v>
      </c>
      <c r="E494" s="235">
        <f t="shared" si="64"/>
        <v>5278.420000000001</v>
      </c>
      <c r="F494" s="236">
        <f t="shared" si="65"/>
        <v>58062.62</v>
      </c>
      <c r="G494" s="186"/>
      <c r="H494" s="186"/>
      <c r="J494" s="134"/>
      <c r="K494" s="133"/>
      <c r="M494" s="134"/>
    </row>
    <row r="495" spans="1:13" s="132" customFormat="1" x14ac:dyDescent="0.15">
      <c r="A495" s="193" t="s">
        <v>2308</v>
      </c>
      <c r="B495" s="210">
        <v>359579</v>
      </c>
      <c r="C495" s="221">
        <v>0.2</v>
      </c>
      <c r="D495" s="235">
        <f t="shared" si="66"/>
        <v>71915.8</v>
      </c>
      <c r="E495" s="235">
        <f t="shared" si="64"/>
        <v>7191.5800000000008</v>
      </c>
      <c r="F495" s="236">
        <f t="shared" si="65"/>
        <v>79107.38</v>
      </c>
      <c r="G495" s="186"/>
      <c r="H495" s="186"/>
      <c r="J495" s="134"/>
      <c r="K495" s="133"/>
      <c r="M495" s="134"/>
    </row>
    <row r="496" spans="1:13" s="132" customFormat="1" x14ac:dyDescent="0.15">
      <c r="A496" s="193" t="s">
        <v>2290</v>
      </c>
      <c r="B496" s="210">
        <v>274587</v>
      </c>
      <c r="C496" s="221">
        <v>0.2</v>
      </c>
      <c r="D496" s="235">
        <f t="shared" si="66"/>
        <v>54917.4</v>
      </c>
      <c r="E496" s="235">
        <f t="shared" si="64"/>
        <v>5491.7400000000007</v>
      </c>
      <c r="F496" s="236">
        <f t="shared" si="65"/>
        <v>60409.14</v>
      </c>
      <c r="G496" s="186"/>
      <c r="H496" s="186"/>
      <c r="J496" s="134"/>
      <c r="K496" s="133"/>
      <c r="M496" s="134"/>
    </row>
    <row r="497" spans="1:13" s="132" customFormat="1" ht="12" thickBot="1" x14ac:dyDescent="0.2">
      <c r="A497" s="133"/>
      <c r="B497" s="211">
        <f>SUM(B486:B496)</f>
        <v>3730371</v>
      </c>
      <c r="C497" s="221"/>
      <c r="D497" s="242">
        <f>SUM(D486:D496)</f>
        <v>746074.20000000007</v>
      </c>
      <c r="E497" s="242">
        <f t="shared" ref="E497:F497" si="67">SUM(E486:E496)</f>
        <v>74607.420000000013</v>
      </c>
      <c r="F497" s="242">
        <f t="shared" si="67"/>
        <v>820681.62</v>
      </c>
      <c r="G497" s="186"/>
      <c r="H497" s="186"/>
      <c r="J497" s="134"/>
      <c r="K497" s="133"/>
      <c r="M497" s="134"/>
    </row>
    <row r="498" spans="1:13" s="132" customFormat="1" ht="12" thickTop="1" x14ac:dyDescent="0.15">
      <c r="A498" s="193"/>
      <c r="B498" s="131"/>
      <c r="D498" s="133"/>
      <c r="E498" s="183"/>
      <c r="F498" s="394"/>
      <c r="G498" s="219"/>
      <c r="H498" s="186"/>
      <c r="I498" s="187"/>
      <c r="J498" s="134"/>
      <c r="K498" s="133"/>
      <c r="M498" s="134"/>
    </row>
    <row r="499" spans="1:13" s="132" customFormat="1" x14ac:dyDescent="0.15">
      <c r="A499" s="134"/>
      <c r="B499" s="131"/>
      <c r="D499" s="133"/>
      <c r="E499" s="133"/>
      <c r="F499" s="134"/>
      <c r="H499" s="133"/>
      <c r="J499" s="134"/>
      <c r="K499" s="133"/>
      <c r="M499" s="134"/>
    </row>
    <row r="500" spans="1:13" s="132" customFormat="1" x14ac:dyDescent="0.15">
      <c r="A500" s="134"/>
      <c r="B500" s="131"/>
      <c r="D500" s="133"/>
      <c r="E500" s="133"/>
      <c r="F500" s="134"/>
      <c r="H500" s="133"/>
      <c r="J500" s="134"/>
      <c r="K500" s="133"/>
      <c r="M500" s="134"/>
    </row>
  </sheetData>
  <mergeCells count="7">
    <mergeCell ref="B444:D44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300"/>
  <sheetViews>
    <sheetView zoomScale="115" zoomScaleNormal="115" workbookViewId="0"/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2181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2160</v>
      </c>
      <c r="B7" s="146"/>
      <c r="C7" s="152">
        <v>54895.690362010384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54895.690362010384</v>
      </c>
      <c r="O7" s="147">
        <f>+C242</f>
        <v>407347.57836201042</v>
      </c>
    </row>
    <row r="8" spans="1:15" x14ac:dyDescent="0.15">
      <c r="A8" s="154" t="s">
        <v>2161</v>
      </c>
      <c r="B8" s="151"/>
      <c r="C8" s="152">
        <v>132182.12400000001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54895.690362010384</v>
      </c>
      <c r="O8" s="152">
        <f t="shared" ref="O8:O9" si="0">O7+G8-I8-L8</f>
        <v>407347.57836201042</v>
      </c>
    </row>
    <row r="9" spans="1:15" x14ac:dyDescent="0.15">
      <c r="A9" s="157" t="s">
        <v>2162</v>
      </c>
      <c r="B9" s="151"/>
      <c r="C9" s="152">
        <v>220269.764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" si="1">+N8-I9-L9</f>
        <v>54895.690362010384</v>
      </c>
      <c r="O9" s="152">
        <f t="shared" si="0"/>
        <v>407347.57836201042</v>
      </c>
    </row>
    <row r="10" spans="1:15" x14ac:dyDescent="0.15">
      <c r="A10" s="154"/>
      <c r="B10" s="151"/>
      <c r="C10" s="152"/>
      <c r="D10" s="323" t="s">
        <v>2182</v>
      </c>
      <c r="E10" s="154" t="s">
        <v>72</v>
      </c>
      <c r="F10" s="157" t="s">
        <v>2162</v>
      </c>
      <c r="G10" s="152">
        <v>132093.88600000006</v>
      </c>
      <c r="H10" s="323" t="s">
        <v>2182</v>
      </c>
      <c r="I10" s="152">
        <v>15227.339</v>
      </c>
      <c r="J10" s="157" t="s">
        <v>2160</v>
      </c>
      <c r="K10" s="157" t="s">
        <v>2237</v>
      </c>
      <c r="L10" s="227">
        <v>10658.392</v>
      </c>
      <c r="M10" s="157" t="s">
        <v>2160</v>
      </c>
      <c r="N10" s="227">
        <f t="shared" ref="N10" si="2">+N9-I10-L10</f>
        <v>29009.959362010384</v>
      </c>
      <c r="O10" s="152">
        <f t="shared" ref="O10" si="3">O9+G10-I10-L10</f>
        <v>513555.73336201051</v>
      </c>
    </row>
    <row r="11" spans="1:15" x14ac:dyDescent="0.15">
      <c r="A11" s="154"/>
      <c r="B11" s="151"/>
      <c r="C11" s="152"/>
      <c r="D11" s="323" t="s">
        <v>2182</v>
      </c>
      <c r="E11" s="154" t="s">
        <v>72</v>
      </c>
      <c r="F11" s="157" t="s">
        <v>2213</v>
      </c>
      <c r="G11" s="152">
        <v>82060.423999999897</v>
      </c>
      <c r="H11" s="323" t="s">
        <v>2182</v>
      </c>
      <c r="I11" s="152"/>
      <c r="J11" s="157"/>
      <c r="K11" s="157" t="s">
        <v>2237</v>
      </c>
      <c r="L11" s="227">
        <v>29009.959362010384</v>
      </c>
      <c r="M11" s="157" t="s">
        <v>2160</v>
      </c>
      <c r="N11" s="227">
        <f t="shared" ref="N11:N80" si="4">+N10-I11-L11</f>
        <v>0</v>
      </c>
      <c r="O11" s="152">
        <f t="shared" ref="O11:O80" si="5">O10+G11-I11-L11</f>
        <v>566606.19800000009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2182</v>
      </c>
      <c r="I12" s="152"/>
      <c r="J12" s="157"/>
      <c r="K12" s="157" t="s">
        <v>2236</v>
      </c>
      <c r="L12" s="227">
        <v>61493.578637989602</v>
      </c>
      <c r="M12" s="157" t="s">
        <v>2161</v>
      </c>
      <c r="N12" s="227">
        <f>C8+N11-I12-L12</f>
        <v>70688.545362010409</v>
      </c>
      <c r="O12" s="152">
        <f t="shared" ref="O12:O13" si="6">O11+G12-I12-L12</f>
        <v>505112.6193620105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2182</v>
      </c>
      <c r="I13" s="152"/>
      <c r="J13" s="157"/>
      <c r="K13" s="157" t="s">
        <v>2236</v>
      </c>
      <c r="L13" s="227">
        <v>70688.545362010409</v>
      </c>
      <c r="M13" s="154" t="s">
        <v>2161</v>
      </c>
      <c r="N13" s="227">
        <f t="shared" ref="N13" si="7">+N12-I13-L13</f>
        <v>0</v>
      </c>
      <c r="O13" s="152">
        <f t="shared" si="6"/>
        <v>434424.07400000008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2182</v>
      </c>
      <c r="I14" s="152"/>
      <c r="J14" s="157"/>
      <c r="K14" s="157" t="s">
        <v>2237</v>
      </c>
      <c r="L14" s="227">
        <v>4848.1026379895902</v>
      </c>
      <c r="M14" s="157" t="s">
        <v>2162</v>
      </c>
      <c r="N14" s="227">
        <f>C9+G10+N13-I14-L14</f>
        <v>347515.54736201046</v>
      </c>
      <c r="O14" s="152">
        <f t="shared" ref="O14:O19" si="8">O13+G14-I14-L14</f>
        <v>429575.97136201052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2182</v>
      </c>
      <c r="I15" s="152"/>
      <c r="J15" s="157"/>
      <c r="K15" s="157" t="s">
        <v>2237</v>
      </c>
      <c r="L15" s="227">
        <v>11765.055</v>
      </c>
      <c r="M15" s="157" t="s">
        <v>2162</v>
      </c>
      <c r="N15" s="227">
        <f t="shared" ref="N15:N19" si="9">+N14-I15-L15</f>
        <v>335750.49236201047</v>
      </c>
      <c r="O15" s="152">
        <f t="shared" si="8"/>
        <v>417810.91636201052</v>
      </c>
    </row>
    <row r="16" spans="1:15" x14ac:dyDescent="0.15">
      <c r="A16" s="154"/>
      <c r="B16" s="151"/>
      <c r="C16" s="152"/>
      <c r="D16" s="323" t="s">
        <v>2183</v>
      </c>
      <c r="E16" s="154" t="s">
        <v>72</v>
      </c>
      <c r="F16" s="157" t="s">
        <v>2213</v>
      </c>
      <c r="G16" s="152">
        <v>151205.79699999999</v>
      </c>
      <c r="H16" s="323" t="s">
        <v>2183</v>
      </c>
      <c r="I16" s="152">
        <v>13976.615000000002</v>
      </c>
      <c r="J16" s="157" t="s">
        <v>2162</v>
      </c>
      <c r="K16" s="157" t="s">
        <v>2237</v>
      </c>
      <c r="L16" s="227">
        <v>10815.885</v>
      </c>
      <c r="M16" s="157" t="s">
        <v>2162</v>
      </c>
      <c r="N16" s="227">
        <f t="shared" si="9"/>
        <v>310957.99236201047</v>
      </c>
      <c r="O16" s="152">
        <f t="shared" si="8"/>
        <v>544224.21336201055</v>
      </c>
    </row>
    <row r="17" spans="1:15" x14ac:dyDescent="0.15">
      <c r="A17" s="154"/>
      <c r="B17" s="151"/>
      <c r="C17" s="152"/>
      <c r="D17" s="323" t="s">
        <v>2184</v>
      </c>
      <c r="E17" s="154" t="s">
        <v>72</v>
      </c>
      <c r="F17" s="157" t="s">
        <v>2214</v>
      </c>
      <c r="G17" s="152">
        <v>176111.22099999999</v>
      </c>
      <c r="H17" s="323" t="s">
        <v>2183</v>
      </c>
      <c r="I17" s="152"/>
      <c r="J17" s="157"/>
      <c r="K17" s="157" t="s">
        <v>2237</v>
      </c>
      <c r="L17" s="227">
        <v>11480.968999999999</v>
      </c>
      <c r="M17" s="157" t="s">
        <v>2162</v>
      </c>
      <c r="N17" s="227">
        <f t="shared" si="9"/>
        <v>299477.02336201048</v>
      </c>
      <c r="O17" s="152">
        <f t="shared" si="8"/>
        <v>708854.46536201052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2184</v>
      </c>
      <c r="I18" s="152">
        <v>15982.688</v>
      </c>
      <c r="J18" s="157" t="s">
        <v>2162</v>
      </c>
      <c r="K18" s="157" t="s">
        <v>2237</v>
      </c>
      <c r="L18" s="227">
        <v>35083.457999999999</v>
      </c>
      <c r="M18" s="157" t="s">
        <v>2162</v>
      </c>
      <c r="N18" s="227">
        <f t="shared" si="9"/>
        <v>248410.87736201048</v>
      </c>
      <c r="O18" s="152">
        <f t="shared" si="8"/>
        <v>657788.31936201057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2184</v>
      </c>
      <c r="I19" s="152"/>
      <c r="J19" s="157"/>
      <c r="K19" s="157" t="s">
        <v>2237</v>
      </c>
      <c r="L19" s="227">
        <v>69564.97</v>
      </c>
      <c r="M19" s="157" t="s">
        <v>2162</v>
      </c>
      <c r="N19" s="227">
        <f t="shared" si="9"/>
        <v>178845.90736201048</v>
      </c>
      <c r="O19" s="152">
        <f t="shared" si="8"/>
        <v>588223.3493620106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2184</v>
      </c>
      <c r="I20" s="152"/>
      <c r="J20" s="157"/>
      <c r="K20" s="157" t="s">
        <v>2237</v>
      </c>
      <c r="L20" s="227">
        <v>10710.638000000001</v>
      </c>
      <c r="M20" s="157" t="s">
        <v>2162</v>
      </c>
      <c r="N20" s="227">
        <f t="shared" si="4"/>
        <v>168135.26936201047</v>
      </c>
      <c r="O20" s="152">
        <f t="shared" si="5"/>
        <v>577512.71136201057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2184</v>
      </c>
      <c r="I21" s="152"/>
      <c r="J21" s="157"/>
      <c r="K21" s="157" t="s">
        <v>2237</v>
      </c>
      <c r="L21" s="227">
        <v>3400.9989999999998</v>
      </c>
      <c r="M21" s="157" t="s">
        <v>2162</v>
      </c>
      <c r="N21" s="227">
        <f t="shared" si="4"/>
        <v>164734.27036201046</v>
      </c>
      <c r="O21" s="152">
        <f t="shared" si="5"/>
        <v>574111.71236201061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2184</v>
      </c>
      <c r="I22" s="152"/>
      <c r="J22" s="157"/>
      <c r="K22" s="157" t="s">
        <v>2237</v>
      </c>
      <c r="L22" s="227">
        <v>14607.239</v>
      </c>
      <c r="M22" s="157" t="s">
        <v>2162</v>
      </c>
      <c r="N22" s="227">
        <f t="shared" si="4"/>
        <v>150127.03136201046</v>
      </c>
      <c r="O22" s="152">
        <f t="shared" si="5"/>
        <v>559504.47336201067</v>
      </c>
    </row>
    <row r="23" spans="1:15" x14ac:dyDescent="0.15">
      <c r="A23" s="154"/>
      <c r="B23" s="151"/>
      <c r="C23" s="152"/>
      <c r="D23" s="323" t="s">
        <v>2185</v>
      </c>
      <c r="E23" s="154" t="s">
        <v>72</v>
      </c>
      <c r="F23" s="157" t="s">
        <v>2214</v>
      </c>
      <c r="G23" s="152">
        <v>176110.30100000001</v>
      </c>
      <c r="H23" s="323" t="s">
        <v>2185</v>
      </c>
      <c r="I23" s="152">
        <v>19651.305999999997</v>
      </c>
      <c r="J23" s="157" t="s">
        <v>2162</v>
      </c>
      <c r="K23" s="157" t="s">
        <v>2237</v>
      </c>
      <c r="L23" s="227">
        <v>13249.509</v>
      </c>
      <c r="M23" s="157" t="s">
        <v>2162</v>
      </c>
      <c r="N23" s="227">
        <f t="shared" si="4"/>
        <v>117226.21636201045</v>
      </c>
      <c r="O23" s="152">
        <f t="shared" si="5"/>
        <v>702713.9593620107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2185</v>
      </c>
      <c r="I24" s="152"/>
      <c r="J24" s="154"/>
      <c r="K24" s="157" t="s">
        <v>2237</v>
      </c>
      <c r="L24" s="227">
        <v>14966.89</v>
      </c>
      <c r="M24" s="157" t="s">
        <v>2162</v>
      </c>
      <c r="N24" s="227">
        <f t="shared" si="4"/>
        <v>102259.32636201046</v>
      </c>
      <c r="O24" s="152">
        <f t="shared" si="5"/>
        <v>687747.06936201069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2185</v>
      </c>
      <c r="I25" s="152"/>
      <c r="J25" s="157"/>
      <c r="K25" s="157" t="s">
        <v>2237</v>
      </c>
      <c r="L25" s="227">
        <v>10494.879000000001</v>
      </c>
      <c r="M25" s="157" t="s">
        <v>2162</v>
      </c>
      <c r="N25" s="227">
        <f t="shared" si="4"/>
        <v>91764.447362010455</v>
      </c>
      <c r="O25" s="152">
        <f t="shared" si="5"/>
        <v>677252.19036201073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2185</v>
      </c>
      <c r="I26" s="152"/>
      <c r="J26" s="154"/>
      <c r="K26" s="157" t="s">
        <v>2237</v>
      </c>
      <c r="L26" s="227">
        <v>11428.805</v>
      </c>
      <c r="M26" s="157" t="s">
        <v>2162</v>
      </c>
      <c r="N26" s="227">
        <f t="shared" si="4"/>
        <v>80335.642362010462</v>
      </c>
      <c r="O26" s="152">
        <f t="shared" si="5"/>
        <v>665823.38536201068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2185</v>
      </c>
      <c r="I27" s="152"/>
      <c r="J27" s="157"/>
      <c r="K27" s="157" t="s">
        <v>2237</v>
      </c>
      <c r="L27" s="227">
        <v>72092.858999999997</v>
      </c>
      <c r="M27" s="157" t="s">
        <v>2162</v>
      </c>
      <c r="N27" s="227">
        <f t="shared" ref="N27:N30" si="10">+N26-I27-L27</f>
        <v>8242.7833620104648</v>
      </c>
      <c r="O27" s="152">
        <f t="shared" ref="O27:O30" si="11">O26+G27-I27-L27</f>
        <v>593730.52636201074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2185</v>
      </c>
      <c r="I28" s="152"/>
      <c r="J28" s="157"/>
      <c r="K28" s="157" t="s">
        <v>2237</v>
      </c>
      <c r="L28" s="227">
        <v>8242.7833620104648</v>
      </c>
      <c r="M28" s="157" t="s">
        <v>2162</v>
      </c>
      <c r="N28" s="227">
        <f t="shared" si="10"/>
        <v>0</v>
      </c>
      <c r="O28" s="152">
        <f t="shared" si="11"/>
        <v>585487.74300000025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2185</v>
      </c>
      <c r="I29" s="152"/>
      <c r="J29" s="157"/>
      <c r="K29" s="157" t="s">
        <v>2237</v>
      </c>
      <c r="L29" s="227">
        <v>71010.508637989493</v>
      </c>
      <c r="M29" s="157" t="s">
        <v>2213</v>
      </c>
      <c r="N29" s="227">
        <f>G11+G16+N28-I29-L29</f>
        <v>162255.71236201041</v>
      </c>
      <c r="O29" s="152">
        <f t="shared" si="11"/>
        <v>514477.23436201073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2185</v>
      </c>
      <c r="I30" s="152"/>
      <c r="J30" s="154"/>
      <c r="K30" s="157" t="s">
        <v>2237</v>
      </c>
      <c r="L30" s="227">
        <v>60589.822</v>
      </c>
      <c r="M30" s="157" t="s">
        <v>2213</v>
      </c>
      <c r="N30" s="227">
        <f t="shared" si="10"/>
        <v>101665.89036201041</v>
      </c>
      <c r="O30" s="152">
        <f t="shared" si="11"/>
        <v>453887.41236201074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2185</v>
      </c>
      <c r="I31" s="152"/>
      <c r="J31" s="154"/>
      <c r="K31" s="157" t="s">
        <v>2237</v>
      </c>
      <c r="L31" s="227">
        <v>79707.716</v>
      </c>
      <c r="M31" s="157" t="s">
        <v>2213</v>
      </c>
      <c r="N31" s="227">
        <f>+N30-I31-L31</f>
        <v>21958.17436201041</v>
      </c>
      <c r="O31" s="152">
        <f>O30+G31-I31-L31</f>
        <v>374179.69636201073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2185</v>
      </c>
      <c r="I32" s="152"/>
      <c r="J32" s="154"/>
      <c r="K32" s="157" t="s">
        <v>2237</v>
      </c>
      <c r="L32" s="227">
        <v>21958.17436201041</v>
      </c>
      <c r="M32" s="157" t="s">
        <v>2213</v>
      </c>
      <c r="N32" s="227">
        <f t="shared" ref="N32:N35" si="12">+N31-I32-L32</f>
        <v>0</v>
      </c>
      <c r="O32" s="152">
        <f t="shared" ref="O32:O35" si="13">O31+G32-I32-L32</f>
        <v>352221.52200000035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2185</v>
      </c>
      <c r="I33" s="152"/>
      <c r="J33" s="154"/>
      <c r="K33" s="157" t="s">
        <v>2237</v>
      </c>
      <c r="L33" s="227">
        <v>53277.531637989603</v>
      </c>
      <c r="M33" s="157" t="s">
        <v>2214</v>
      </c>
      <c r="N33" s="227">
        <f>G17+G23+N32-I33-L33</f>
        <v>298943.99036201037</v>
      </c>
      <c r="O33" s="152">
        <f t="shared" si="13"/>
        <v>298943.99036201072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2185</v>
      </c>
      <c r="I34" s="152"/>
      <c r="J34" s="157"/>
      <c r="K34" s="157" t="s">
        <v>2237</v>
      </c>
      <c r="L34" s="227">
        <v>10164.294</v>
      </c>
      <c r="M34" s="157" t="s">
        <v>2214</v>
      </c>
      <c r="N34" s="227">
        <f t="shared" si="12"/>
        <v>288779.69636201038</v>
      </c>
      <c r="O34" s="152">
        <f t="shared" si="13"/>
        <v>288779.69636201073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2185</v>
      </c>
      <c r="I35" s="152"/>
      <c r="J35" s="157"/>
      <c r="K35" s="157" t="s">
        <v>2237</v>
      </c>
      <c r="L35" s="227">
        <v>4604.6629999999996</v>
      </c>
      <c r="M35" s="157" t="s">
        <v>2214</v>
      </c>
      <c r="N35" s="227">
        <f t="shared" si="12"/>
        <v>284175.03336201038</v>
      </c>
      <c r="O35" s="152">
        <f t="shared" si="13"/>
        <v>284175.03336201073</v>
      </c>
    </row>
    <row r="36" spans="1:15" x14ac:dyDescent="0.15">
      <c r="A36" s="154"/>
      <c r="B36" s="151"/>
      <c r="C36" s="152"/>
      <c r="D36" s="323" t="s">
        <v>2186</v>
      </c>
      <c r="E36" s="154" t="s">
        <v>72</v>
      </c>
      <c r="F36" s="157" t="s">
        <v>2215</v>
      </c>
      <c r="G36" s="152">
        <v>176179.18599999999</v>
      </c>
      <c r="H36" s="323" t="s">
        <v>2186</v>
      </c>
      <c r="I36" s="152">
        <v>14659.580999999998</v>
      </c>
      <c r="J36" s="157" t="s">
        <v>2214</v>
      </c>
      <c r="K36" s="157" t="s">
        <v>2237</v>
      </c>
      <c r="L36" s="227">
        <v>7320.72</v>
      </c>
      <c r="M36" s="157" t="s">
        <v>2214</v>
      </c>
      <c r="N36" s="227">
        <f t="shared" si="4"/>
        <v>262194.7323620104</v>
      </c>
      <c r="O36" s="152">
        <f t="shared" si="5"/>
        <v>438373.91836201074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2186</v>
      </c>
      <c r="I37" s="152"/>
      <c r="J37" s="154"/>
      <c r="K37" s="157" t="s">
        <v>2237</v>
      </c>
      <c r="L37" s="227">
        <v>1010.33</v>
      </c>
      <c r="M37" s="157" t="s">
        <v>2214</v>
      </c>
      <c r="N37" s="227">
        <f t="shared" si="4"/>
        <v>261184.40236201041</v>
      </c>
      <c r="O37" s="152">
        <f t="shared" si="5"/>
        <v>437363.58836201072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2186</v>
      </c>
      <c r="I38" s="152"/>
      <c r="J38" s="157"/>
      <c r="K38" s="157" t="s">
        <v>2237</v>
      </c>
      <c r="L38" s="227">
        <v>14407.96</v>
      </c>
      <c r="M38" s="157" t="s">
        <v>2214</v>
      </c>
      <c r="N38" s="227">
        <f t="shared" si="4"/>
        <v>246776.44236201042</v>
      </c>
      <c r="O38" s="152">
        <f t="shared" si="5"/>
        <v>422955.6283620107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2186</v>
      </c>
      <c r="I39" s="152"/>
      <c r="J39" s="154"/>
      <c r="K39" s="157" t="s">
        <v>2237</v>
      </c>
      <c r="L39" s="227">
        <v>32542.824000000001</v>
      </c>
      <c r="M39" s="157" t="s">
        <v>2214</v>
      </c>
      <c r="N39" s="227">
        <f t="shared" si="4"/>
        <v>214233.61836201043</v>
      </c>
      <c r="O39" s="152">
        <f t="shared" si="5"/>
        <v>390412.80436201068</v>
      </c>
    </row>
    <row r="40" spans="1:15" x14ac:dyDescent="0.15">
      <c r="A40" s="154"/>
      <c r="B40" s="151"/>
      <c r="C40" s="152"/>
      <c r="D40" s="323" t="s">
        <v>2187</v>
      </c>
      <c r="E40" s="154" t="s">
        <v>72</v>
      </c>
      <c r="F40" s="157" t="s">
        <v>2215</v>
      </c>
      <c r="G40" s="152">
        <v>176141.139</v>
      </c>
      <c r="H40" s="323" t="s">
        <v>2187</v>
      </c>
      <c r="I40" s="152">
        <v>18353.616000000002</v>
      </c>
      <c r="J40" s="157" t="s">
        <v>2214</v>
      </c>
      <c r="K40" s="157" t="s">
        <v>2237</v>
      </c>
      <c r="L40" s="227">
        <v>10717.102999999999</v>
      </c>
      <c r="M40" s="157" t="s">
        <v>2214</v>
      </c>
      <c r="N40" s="227">
        <f t="shared" si="4"/>
        <v>185162.89936201042</v>
      </c>
      <c r="O40" s="152">
        <f t="shared" si="5"/>
        <v>537483.2243620106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2187</v>
      </c>
      <c r="I41" s="152"/>
      <c r="J41" s="157"/>
      <c r="K41" s="157" t="s">
        <v>2237</v>
      </c>
      <c r="L41" s="227">
        <v>34958.944000000003</v>
      </c>
      <c r="M41" s="157" t="s">
        <v>2214</v>
      </c>
      <c r="N41" s="227">
        <f t="shared" si="4"/>
        <v>150203.9553620104</v>
      </c>
      <c r="O41" s="152">
        <f t="shared" si="5"/>
        <v>502524.28036201058</v>
      </c>
    </row>
    <row r="42" spans="1:15" x14ac:dyDescent="0.15">
      <c r="A42" s="154"/>
      <c r="B42" s="151"/>
      <c r="C42" s="152"/>
      <c r="D42" s="323" t="s">
        <v>2188</v>
      </c>
      <c r="E42" s="154" t="s">
        <v>72</v>
      </c>
      <c r="F42" s="157" t="s">
        <v>2216</v>
      </c>
      <c r="G42" s="152">
        <v>176098.75</v>
      </c>
      <c r="H42" s="323" t="s">
        <v>2188</v>
      </c>
      <c r="I42" s="152">
        <v>15347.329000000002</v>
      </c>
      <c r="J42" s="157" t="s">
        <v>2214</v>
      </c>
      <c r="K42" s="157" t="s">
        <v>2237</v>
      </c>
      <c r="L42" s="227">
        <v>10669.425999999999</v>
      </c>
      <c r="M42" s="157" t="s">
        <v>2214</v>
      </c>
      <c r="N42" s="227">
        <f t="shared" si="4"/>
        <v>124187.20036201039</v>
      </c>
      <c r="O42" s="152">
        <f t="shared" si="5"/>
        <v>652606.27536201058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2188</v>
      </c>
      <c r="I43" s="152"/>
      <c r="J43" s="154"/>
      <c r="K43" s="157" t="s">
        <v>2237</v>
      </c>
      <c r="L43" s="227">
        <v>11114.822</v>
      </c>
      <c r="M43" s="157" t="s">
        <v>2214</v>
      </c>
      <c r="N43" s="227">
        <f t="shared" si="4"/>
        <v>113072.37836201039</v>
      </c>
      <c r="O43" s="152">
        <f t="shared" si="5"/>
        <v>641491.45336201054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2188</v>
      </c>
      <c r="I44" s="152"/>
      <c r="J44" s="157"/>
      <c r="K44" s="157" t="s">
        <v>2237</v>
      </c>
      <c r="L44" s="227">
        <v>94900.312999999995</v>
      </c>
      <c r="M44" s="157" t="s">
        <v>2214</v>
      </c>
      <c r="N44" s="227">
        <f t="shared" ref="N44:N50" si="14">+N43-I44-L44</f>
        <v>18172.065362010399</v>
      </c>
      <c r="O44" s="152">
        <f t="shared" ref="O44:O50" si="15">O43+G44-I44-L44</f>
        <v>546591.14036201057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2188</v>
      </c>
      <c r="I45" s="152"/>
      <c r="J45" s="157"/>
      <c r="K45" s="157" t="s">
        <v>2237</v>
      </c>
      <c r="L45" s="227">
        <v>18172.065362010399</v>
      </c>
      <c r="M45" s="157" t="s">
        <v>2214</v>
      </c>
      <c r="N45" s="227">
        <f t="shared" si="14"/>
        <v>0</v>
      </c>
      <c r="O45" s="152">
        <f t="shared" si="15"/>
        <v>528419.07500000019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2188</v>
      </c>
      <c r="I46" s="152"/>
      <c r="J46" s="157"/>
      <c r="K46" s="157" t="s">
        <v>2236</v>
      </c>
      <c r="L46" s="227">
        <v>58748.919637989602</v>
      </c>
      <c r="M46" s="157" t="s">
        <v>2215</v>
      </c>
      <c r="N46" s="227">
        <f>G36+G40+N45-I46-L46</f>
        <v>293571.40536201035</v>
      </c>
      <c r="O46" s="152">
        <f t="shared" si="15"/>
        <v>469670.15536201058</v>
      </c>
    </row>
    <row r="47" spans="1:15" x14ac:dyDescent="0.15">
      <c r="A47" s="154"/>
      <c r="B47" s="151"/>
      <c r="C47" s="152"/>
      <c r="D47" s="323" t="s">
        <v>2189</v>
      </c>
      <c r="E47" s="154" t="s">
        <v>72</v>
      </c>
      <c r="F47" s="157" t="s">
        <v>2216</v>
      </c>
      <c r="G47" s="152">
        <v>131877.57900000003</v>
      </c>
      <c r="H47" s="323" t="s">
        <v>2189</v>
      </c>
      <c r="I47" s="152">
        <v>13456.557000000001</v>
      </c>
      <c r="J47" s="157" t="s">
        <v>2215</v>
      </c>
      <c r="K47" s="157" t="s">
        <v>2236</v>
      </c>
      <c r="L47" s="227">
        <v>29958.751</v>
      </c>
      <c r="M47" s="157" t="s">
        <v>2215</v>
      </c>
      <c r="N47" s="227">
        <f t="shared" si="14"/>
        <v>250156.09736201033</v>
      </c>
      <c r="O47" s="152">
        <f t="shared" si="15"/>
        <v>558132.42636201053</v>
      </c>
    </row>
    <row r="48" spans="1:15" x14ac:dyDescent="0.15">
      <c r="A48" s="154"/>
      <c r="B48" s="151"/>
      <c r="C48" s="152"/>
      <c r="D48" s="323" t="s">
        <v>2189</v>
      </c>
      <c r="E48" s="154" t="s">
        <v>72</v>
      </c>
      <c r="F48" s="157" t="s">
        <v>2217</v>
      </c>
      <c r="G48" s="152">
        <v>44006.692000000003</v>
      </c>
      <c r="H48" s="323" t="s">
        <v>2189</v>
      </c>
      <c r="I48" s="152"/>
      <c r="J48" s="157"/>
      <c r="K48" s="157" t="s">
        <v>2236</v>
      </c>
      <c r="L48" s="227">
        <v>96625.995999999999</v>
      </c>
      <c r="M48" s="157" t="s">
        <v>2215</v>
      </c>
      <c r="N48" s="227">
        <f t="shared" si="14"/>
        <v>153530.10136201035</v>
      </c>
      <c r="O48" s="152">
        <f t="shared" si="15"/>
        <v>505513.12236201059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2189</v>
      </c>
      <c r="I49" s="152"/>
      <c r="J49" s="157"/>
      <c r="K49" s="157" t="s">
        <v>2236</v>
      </c>
      <c r="L49" s="227">
        <v>78870.323000000004</v>
      </c>
      <c r="M49" s="157" t="s">
        <v>2215</v>
      </c>
      <c r="N49" s="227">
        <f t="shared" si="14"/>
        <v>74659.778362010344</v>
      </c>
      <c r="O49" s="152">
        <f t="shared" si="15"/>
        <v>426642.79936201056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2189</v>
      </c>
      <c r="I50" s="152"/>
      <c r="J50" s="157"/>
      <c r="K50" s="157" t="s">
        <v>2236</v>
      </c>
      <c r="L50" s="227">
        <v>40168.055999999997</v>
      </c>
      <c r="M50" s="157" t="s">
        <v>2215</v>
      </c>
      <c r="N50" s="227">
        <f t="shared" si="14"/>
        <v>34491.722362010347</v>
      </c>
      <c r="O50" s="152">
        <f t="shared" si="15"/>
        <v>386474.74336201057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2189</v>
      </c>
      <c r="I51" s="152"/>
      <c r="J51" s="157"/>
      <c r="K51" s="157" t="s">
        <v>2236</v>
      </c>
      <c r="L51" s="227">
        <v>9250.9830000000002</v>
      </c>
      <c r="M51" s="157" t="s">
        <v>2215</v>
      </c>
      <c r="N51" s="227">
        <f t="shared" si="4"/>
        <v>25240.739362010347</v>
      </c>
      <c r="O51" s="152">
        <f t="shared" si="5"/>
        <v>377223.76036201057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2189</v>
      </c>
      <c r="I52" s="152"/>
      <c r="J52" s="157"/>
      <c r="K52" s="157" t="s">
        <v>2236</v>
      </c>
      <c r="L52" s="227">
        <v>25240.739362010347</v>
      </c>
      <c r="M52" s="157" t="s">
        <v>2215</v>
      </c>
      <c r="N52" s="227">
        <f t="shared" ref="N52:N55" si="16">+N51-I52-L52</f>
        <v>0</v>
      </c>
      <c r="O52" s="152">
        <f t="shared" ref="O52:O55" si="17">O51+G52-I52-L52</f>
        <v>351983.02100000024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2189</v>
      </c>
      <c r="I53" s="152"/>
      <c r="J53" s="157"/>
      <c r="K53" s="157" t="s">
        <v>2236</v>
      </c>
      <c r="L53" s="227">
        <v>6680.9606379896504</v>
      </c>
      <c r="M53" s="157" t="s">
        <v>2216</v>
      </c>
      <c r="N53" s="227">
        <f>G42+G47+N52-I53-L53</f>
        <v>301295.3683620104</v>
      </c>
      <c r="O53" s="152">
        <f t="shared" si="17"/>
        <v>345302.06036201061</v>
      </c>
    </row>
    <row r="54" spans="1:15" x14ac:dyDescent="0.15">
      <c r="A54" s="154"/>
      <c r="B54" s="151"/>
      <c r="C54" s="152"/>
      <c r="D54" s="323" t="s">
        <v>2190</v>
      </c>
      <c r="E54" s="154" t="s">
        <v>72</v>
      </c>
      <c r="F54" s="157" t="s">
        <v>2217</v>
      </c>
      <c r="G54" s="152">
        <v>175898.44699999999</v>
      </c>
      <c r="H54" s="323" t="s">
        <v>2190</v>
      </c>
      <c r="I54" s="152">
        <v>16841.784</v>
      </c>
      <c r="J54" s="157" t="s">
        <v>2216</v>
      </c>
      <c r="K54" s="157" t="s">
        <v>2236</v>
      </c>
      <c r="L54" s="227">
        <v>11203.804</v>
      </c>
      <c r="M54" s="157" t="s">
        <v>2216</v>
      </c>
      <c r="N54" s="227">
        <f t="shared" si="16"/>
        <v>273249.78036201041</v>
      </c>
      <c r="O54" s="152">
        <f t="shared" si="17"/>
        <v>493154.91936201061</v>
      </c>
    </row>
    <row r="55" spans="1:15" x14ac:dyDescent="0.15">
      <c r="A55" s="154"/>
      <c r="B55" s="151"/>
      <c r="C55" s="152"/>
      <c r="D55" s="323" t="s">
        <v>2190</v>
      </c>
      <c r="E55" s="154" t="s">
        <v>72</v>
      </c>
      <c r="F55" s="157" t="s">
        <v>2218</v>
      </c>
      <c r="G55" s="152">
        <v>43967.661</v>
      </c>
      <c r="H55" s="323" t="s">
        <v>2190</v>
      </c>
      <c r="I55" s="152"/>
      <c r="J55" s="157"/>
      <c r="K55" s="157" t="s">
        <v>2236</v>
      </c>
      <c r="L55" s="227">
        <v>29973.684000000001</v>
      </c>
      <c r="M55" s="157" t="s">
        <v>2216</v>
      </c>
      <c r="N55" s="227">
        <f t="shared" si="16"/>
        <v>243276.0963620104</v>
      </c>
      <c r="O55" s="152">
        <f t="shared" si="17"/>
        <v>507148.89636201062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2190</v>
      </c>
      <c r="I56" s="152"/>
      <c r="J56" s="157"/>
      <c r="K56" s="157" t="s">
        <v>2236</v>
      </c>
      <c r="L56" s="227">
        <v>32599.261999999999</v>
      </c>
      <c r="M56" s="157" t="s">
        <v>2216</v>
      </c>
      <c r="N56" s="227">
        <f t="shared" si="4"/>
        <v>210676.83436201041</v>
      </c>
      <c r="O56" s="152">
        <f t="shared" si="5"/>
        <v>474549.63436201063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2190</v>
      </c>
      <c r="I57" s="152"/>
      <c r="J57" s="157"/>
      <c r="K57" s="157" t="s">
        <v>2236</v>
      </c>
      <c r="L57" s="227">
        <v>2428.1590000000001</v>
      </c>
      <c r="M57" s="157" t="s">
        <v>2216</v>
      </c>
      <c r="N57" s="227">
        <f t="shared" si="4"/>
        <v>208248.6753620104</v>
      </c>
      <c r="O57" s="152">
        <f t="shared" si="5"/>
        <v>472121.47536201065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2190</v>
      </c>
      <c r="I58" s="152"/>
      <c r="J58" s="157"/>
      <c r="K58" s="157" t="s">
        <v>2236</v>
      </c>
      <c r="L58" s="227">
        <v>14019.787</v>
      </c>
      <c r="M58" s="157" t="s">
        <v>2216</v>
      </c>
      <c r="N58" s="227">
        <f t="shared" si="4"/>
        <v>194228.88836201039</v>
      </c>
      <c r="O58" s="152">
        <f t="shared" si="5"/>
        <v>458101.68836201064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2190</v>
      </c>
      <c r="I59" s="152"/>
      <c r="J59" s="157"/>
      <c r="K59" s="157" t="s">
        <v>2236</v>
      </c>
      <c r="L59" s="227">
        <v>16067.137000000001</v>
      </c>
      <c r="M59" s="157" t="s">
        <v>2216</v>
      </c>
      <c r="N59" s="227">
        <f t="shared" si="4"/>
        <v>178161.7513620104</v>
      </c>
      <c r="O59" s="152">
        <f t="shared" si="5"/>
        <v>442034.55136201065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2190</v>
      </c>
      <c r="I60" s="152"/>
      <c r="J60" s="157"/>
      <c r="K60" s="157" t="s">
        <v>2236</v>
      </c>
      <c r="L60" s="227">
        <v>35014.392999999996</v>
      </c>
      <c r="M60" s="157" t="s">
        <v>2216</v>
      </c>
      <c r="N60" s="227">
        <f t="shared" si="4"/>
        <v>143147.35836201039</v>
      </c>
      <c r="O60" s="152">
        <f t="shared" si="5"/>
        <v>407020.15836201067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2190</v>
      </c>
      <c r="I61" s="152"/>
      <c r="J61" s="157"/>
      <c r="K61" s="157" t="s">
        <v>2236</v>
      </c>
      <c r="L61" s="227">
        <v>9949.1380000000008</v>
      </c>
      <c r="M61" s="157" t="s">
        <v>2216</v>
      </c>
      <c r="N61" s="227">
        <f t="shared" si="4"/>
        <v>133198.22036201038</v>
      </c>
      <c r="O61" s="152">
        <f t="shared" si="5"/>
        <v>397071.02036201069</v>
      </c>
    </row>
    <row r="62" spans="1:15" x14ac:dyDescent="0.15">
      <c r="A62" s="154"/>
      <c r="B62" s="151"/>
      <c r="C62" s="152"/>
      <c r="D62" s="323" t="s">
        <v>2191</v>
      </c>
      <c r="E62" s="154" t="s">
        <v>72</v>
      </c>
      <c r="F62" s="157" t="s">
        <v>2218</v>
      </c>
      <c r="G62" s="152">
        <v>131988.99600000001</v>
      </c>
      <c r="H62" s="323" t="s">
        <v>2191</v>
      </c>
      <c r="I62" s="152">
        <v>16659.870999999999</v>
      </c>
      <c r="J62" s="157" t="s">
        <v>2216</v>
      </c>
      <c r="K62" s="157" t="s">
        <v>2236</v>
      </c>
      <c r="L62" s="227">
        <v>52411.343999999997</v>
      </c>
      <c r="M62" s="157" t="s">
        <v>2216</v>
      </c>
      <c r="N62" s="227">
        <f t="shared" si="4"/>
        <v>64127.005362010386</v>
      </c>
      <c r="O62" s="152">
        <f t="shared" si="5"/>
        <v>459988.80136201077</v>
      </c>
    </row>
    <row r="63" spans="1:15" x14ac:dyDescent="0.15">
      <c r="A63" s="154"/>
      <c r="B63" s="151"/>
      <c r="C63" s="152"/>
      <c r="D63" s="323" t="s">
        <v>2191</v>
      </c>
      <c r="E63" s="154" t="s">
        <v>72</v>
      </c>
      <c r="F63" s="157" t="s">
        <v>2219</v>
      </c>
      <c r="G63" s="152">
        <v>44011.178999999996</v>
      </c>
      <c r="H63" s="323" t="s">
        <v>2191</v>
      </c>
      <c r="I63" s="152"/>
      <c r="J63" s="157"/>
      <c r="K63" s="157" t="s">
        <v>2236</v>
      </c>
      <c r="L63" s="227">
        <v>64127.005362010386</v>
      </c>
      <c r="M63" s="157" t="s">
        <v>2216</v>
      </c>
      <c r="N63" s="227">
        <f t="shared" ref="N63:N68" si="18">+N62-I63-L63</f>
        <v>0</v>
      </c>
      <c r="O63" s="152">
        <f t="shared" ref="O63:O68" si="19">O62+G63-I63-L63</f>
        <v>439872.97500000038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2191</v>
      </c>
      <c r="I64" s="152"/>
      <c r="J64" s="157"/>
      <c r="K64" s="157" t="s">
        <v>2236</v>
      </c>
      <c r="L64" s="227">
        <v>12812.3446379896</v>
      </c>
      <c r="M64" s="157" t="s">
        <v>2217</v>
      </c>
      <c r="N64" s="227">
        <f>G48+G54+N63-I64-L64</f>
        <v>207092.79436201041</v>
      </c>
      <c r="O64" s="152">
        <f t="shared" si="19"/>
        <v>427060.63036201079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2191</v>
      </c>
      <c r="I65" s="152"/>
      <c r="J65" s="157"/>
      <c r="K65" s="157" t="s">
        <v>2236</v>
      </c>
      <c r="L65" s="227">
        <v>8949.2520000000004</v>
      </c>
      <c r="M65" s="157" t="s">
        <v>2217</v>
      </c>
      <c r="N65" s="227">
        <f t="shared" si="18"/>
        <v>198143.5423620104</v>
      </c>
      <c r="O65" s="152">
        <f t="shared" si="19"/>
        <v>418111.37836201082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2191</v>
      </c>
      <c r="I66" s="152"/>
      <c r="J66" s="157"/>
      <c r="K66" s="157" t="s">
        <v>2236</v>
      </c>
      <c r="L66" s="227">
        <v>438.35500000000002</v>
      </c>
      <c r="M66" s="157" t="s">
        <v>2217</v>
      </c>
      <c r="N66" s="227">
        <f t="shared" si="18"/>
        <v>197705.18736201039</v>
      </c>
      <c r="O66" s="152">
        <f t="shared" si="19"/>
        <v>417673.02336201083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2191</v>
      </c>
      <c r="I67" s="152"/>
      <c r="J67" s="157"/>
      <c r="K67" s="157" t="s">
        <v>2236</v>
      </c>
      <c r="L67" s="227">
        <v>14595.828</v>
      </c>
      <c r="M67" s="157" t="s">
        <v>2217</v>
      </c>
      <c r="N67" s="227">
        <f t="shared" si="18"/>
        <v>183109.35936201038</v>
      </c>
      <c r="O67" s="152">
        <f t="shared" si="19"/>
        <v>403077.19536201085</v>
      </c>
    </row>
    <row r="68" spans="1:15" x14ac:dyDescent="0.15">
      <c r="A68" s="154"/>
      <c r="B68" s="151"/>
      <c r="C68" s="152"/>
      <c r="D68" s="323" t="s">
        <v>2192</v>
      </c>
      <c r="E68" s="154" t="s">
        <v>72</v>
      </c>
      <c r="F68" s="157" t="s">
        <v>2219</v>
      </c>
      <c r="G68" s="152">
        <v>131966.23799999998</v>
      </c>
      <c r="H68" s="323" t="s">
        <v>2192</v>
      </c>
      <c r="I68" s="152">
        <v>12693.415999999999</v>
      </c>
      <c r="J68" s="157" t="s">
        <v>2217</v>
      </c>
      <c r="K68" s="157" t="s">
        <v>2236</v>
      </c>
      <c r="L68" s="227">
        <v>10588.496999999999</v>
      </c>
      <c r="M68" s="157" t="s">
        <v>2217</v>
      </c>
      <c r="N68" s="227">
        <f t="shared" si="18"/>
        <v>159827.44636201038</v>
      </c>
      <c r="O68" s="152">
        <f t="shared" si="19"/>
        <v>511761.52036201087</v>
      </c>
    </row>
    <row r="69" spans="1:15" x14ac:dyDescent="0.15">
      <c r="A69" s="154"/>
      <c r="B69" s="151"/>
      <c r="C69" s="152"/>
      <c r="D69" s="323" t="s">
        <v>2192</v>
      </c>
      <c r="E69" s="154" t="s">
        <v>72</v>
      </c>
      <c r="F69" s="157" t="s">
        <v>2220</v>
      </c>
      <c r="G69" s="152">
        <v>44070.453999999998</v>
      </c>
      <c r="H69" s="323" t="s">
        <v>2192</v>
      </c>
      <c r="I69" s="152"/>
      <c r="J69" s="157"/>
      <c r="K69" s="157" t="s">
        <v>2236</v>
      </c>
      <c r="L69" s="227">
        <v>11322.055</v>
      </c>
      <c r="M69" s="157" t="s">
        <v>2217</v>
      </c>
      <c r="N69" s="227">
        <f t="shared" si="4"/>
        <v>148505.39136201038</v>
      </c>
      <c r="O69" s="152">
        <f t="shared" si="5"/>
        <v>544509.91936201078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2192</v>
      </c>
      <c r="I70" s="152"/>
      <c r="J70" s="157"/>
      <c r="K70" s="157" t="s">
        <v>2236</v>
      </c>
      <c r="L70" s="227">
        <v>78997.842000000004</v>
      </c>
      <c r="M70" s="157" t="s">
        <v>2217</v>
      </c>
      <c r="N70" s="227">
        <f t="shared" si="4"/>
        <v>69507.549362010381</v>
      </c>
      <c r="O70" s="152">
        <f t="shared" si="5"/>
        <v>465512.07736201078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2192</v>
      </c>
      <c r="I71" s="152"/>
      <c r="J71" s="157"/>
      <c r="K71" s="157" t="s">
        <v>2236</v>
      </c>
      <c r="L71" s="227">
        <v>69507.549362010381</v>
      </c>
      <c r="M71" s="157" t="s">
        <v>2217</v>
      </c>
      <c r="N71" s="227">
        <f t="shared" ref="N71:N76" si="20">+N70-I71-L71</f>
        <v>0</v>
      </c>
      <c r="O71" s="152">
        <f t="shared" ref="O71:O76" si="21">O70+G71-I71-L71</f>
        <v>396004.5280000004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2192</v>
      </c>
      <c r="I72" s="152"/>
      <c r="J72" s="157"/>
      <c r="K72" s="157" t="s">
        <v>2236</v>
      </c>
      <c r="L72" s="227">
        <v>8858.9516379896195</v>
      </c>
      <c r="M72" s="157" t="s">
        <v>2218</v>
      </c>
      <c r="N72" s="227">
        <f>G55+G62+N71-I72-L72</f>
        <v>167097.7053620104</v>
      </c>
      <c r="O72" s="152">
        <f t="shared" si="21"/>
        <v>387145.57636201079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2192</v>
      </c>
      <c r="I73" s="152"/>
      <c r="J73" s="157"/>
      <c r="K73" s="157" t="s">
        <v>2236</v>
      </c>
      <c r="L73" s="227">
        <v>75715.869000000006</v>
      </c>
      <c r="M73" s="157" t="s">
        <v>2218</v>
      </c>
      <c r="N73" s="227">
        <f t="shared" si="20"/>
        <v>91381.836362010392</v>
      </c>
      <c r="O73" s="152">
        <f t="shared" si="21"/>
        <v>311429.70736201078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2192</v>
      </c>
      <c r="I74" s="152"/>
      <c r="J74" s="157"/>
      <c r="K74" s="157" t="s">
        <v>2236</v>
      </c>
      <c r="L74" s="227">
        <v>209.233</v>
      </c>
      <c r="M74" s="157" t="s">
        <v>2218</v>
      </c>
      <c r="N74" s="227">
        <f t="shared" si="20"/>
        <v>91172.603362010399</v>
      </c>
      <c r="O74" s="152">
        <f t="shared" si="21"/>
        <v>311220.47436201078</v>
      </c>
    </row>
    <row r="75" spans="1:15" x14ac:dyDescent="0.15">
      <c r="A75" s="154"/>
      <c r="B75" s="151"/>
      <c r="C75" s="152"/>
      <c r="D75" s="323" t="s">
        <v>2193</v>
      </c>
      <c r="E75" s="154" t="s">
        <v>72</v>
      </c>
      <c r="F75" s="157" t="s">
        <v>2220</v>
      </c>
      <c r="G75" s="152">
        <v>88033.948999999993</v>
      </c>
      <c r="H75" s="323" t="s">
        <v>2193</v>
      </c>
      <c r="I75" s="152">
        <v>14421.686</v>
      </c>
      <c r="J75" s="157" t="s">
        <v>2218</v>
      </c>
      <c r="K75" s="157" t="s">
        <v>2236</v>
      </c>
      <c r="L75" s="227">
        <v>5844.0360000000001</v>
      </c>
      <c r="M75" s="157" t="s">
        <v>2218</v>
      </c>
      <c r="N75" s="227">
        <f t="shared" si="20"/>
        <v>70906.881362010405</v>
      </c>
      <c r="O75" s="152">
        <f t="shared" si="21"/>
        <v>378988.70136201073</v>
      </c>
    </row>
    <row r="76" spans="1:15" x14ac:dyDescent="0.15">
      <c r="A76" s="154"/>
      <c r="B76" s="151"/>
      <c r="C76" s="152"/>
      <c r="D76" s="323" t="s">
        <v>2193</v>
      </c>
      <c r="E76" s="154" t="s">
        <v>72</v>
      </c>
      <c r="F76" s="157" t="s">
        <v>2221</v>
      </c>
      <c r="G76" s="152">
        <v>87995.35</v>
      </c>
      <c r="H76" s="323" t="s">
        <v>2193</v>
      </c>
      <c r="I76" s="152"/>
      <c r="J76" s="157"/>
      <c r="K76" s="154"/>
      <c r="L76" s="227"/>
      <c r="M76" s="157"/>
      <c r="N76" s="227">
        <f t="shared" si="20"/>
        <v>70906.881362010405</v>
      </c>
      <c r="O76" s="152">
        <f t="shared" si="21"/>
        <v>466984.05136201077</v>
      </c>
    </row>
    <row r="77" spans="1:15" x14ac:dyDescent="0.15">
      <c r="A77" s="154"/>
      <c r="B77" s="151"/>
      <c r="C77" s="152"/>
      <c r="D77" s="323" t="s">
        <v>2194</v>
      </c>
      <c r="E77" s="154" t="s">
        <v>72</v>
      </c>
      <c r="F77" s="157" t="s">
        <v>2221</v>
      </c>
      <c r="G77" s="152">
        <v>176076.399</v>
      </c>
      <c r="H77" s="323" t="s">
        <v>2194</v>
      </c>
      <c r="I77" s="152">
        <v>14157.242</v>
      </c>
      <c r="J77" s="157" t="s">
        <v>2218</v>
      </c>
      <c r="K77" s="157" t="s">
        <v>2236</v>
      </c>
      <c r="L77" s="227">
        <v>10015.074000000001</v>
      </c>
      <c r="M77" s="157" t="s">
        <v>2218</v>
      </c>
      <c r="N77" s="227">
        <f t="shared" si="4"/>
        <v>46734.565362010406</v>
      </c>
      <c r="O77" s="152">
        <f t="shared" si="5"/>
        <v>618888.13436201075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2194</v>
      </c>
      <c r="I78" s="152"/>
      <c r="J78" s="157"/>
      <c r="K78" s="157" t="s">
        <v>2236</v>
      </c>
      <c r="L78" s="227">
        <v>1807.9159999999999</v>
      </c>
      <c r="M78" s="157" t="s">
        <v>2218</v>
      </c>
      <c r="N78" s="227">
        <f t="shared" si="4"/>
        <v>44926.649362010408</v>
      </c>
      <c r="O78" s="152">
        <f t="shared" si="5"/>
        <v>617080.21836201078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2194</v>
      </c>
      <c r="I79" s="152"/>
      <c r="J79" s="157"/>
      <c r="K79" s="157" t="s">
        <v>2236</v>
      </c>
      <c r="L79" s="227">
        <v>34447.451000000001</v>
      </c>
      <c r="M79" s="157" t="s">
        <v>2218</v>
      </c>
      <c r="N79" s="227">
        <f t="shared" si="4"/>
        <v>10479.198362010407</v>
      </c>
      <c r="O79" s="152">
        <f t="shared" si="5"/>
        <v>582632.76736201078</v>
      </c>
    </row>
    <row r="80" spans="1:15" x14ac:dyDescent="0.15">
      <c r="A80" s="154"/>
      <c r="B80" s="151"/>
      <c r="C80" s="152"/>
      <c r="D80" s="323" t="s">
        <v>2195</v>
      </c>
      <c r="E80" s="154" t="s">
        <v>72</v>
      </c>
      <c r="F80" s="157" t="s">
        <v>2221</v>
      </c>
      <c r="G80" s="152">
        <v>106435.43099999984</v>
      </c>
      <c r="H80" s="323" t="s">
        <v>2195</v>
      </c>
      <c r="I80" s="152">
        <v>10479.198362010407</v>
      </c>
      <c r="J80" s="157" t="s">
        <v>2218</v>
      </c>
      <c r="K80" s="154"/>
      <c r="L80" s="227"/>
      <c r="M80" s="157"/>
      <c r="N80" s="227">
        <f t="shared" si="4"/>
        <v>0</v>
      </c>
      <c r="O80" s="152">
        <f t="shared" si="5"/>
        <v>678589.00000000023</v>
      </c>
    </row>
    <row r="81" spans="1:15" x14ac:dyDescent="0.15">
      <c r="A81" s="154"/>
      <c r="B81" s="151"/>
      <c r="C81" s="152"/>
      <c r="D81" s="323" t="s">
        <v>2195</v>
      </c>
      <c r="E81" s="154" t="s">
        <v>72</v>
      </c>
      <c r="F81" s="157" t="s">
        <v>2222</v>
      </c>
      <c r="G81" s="152">
        <v>69754.931000000201</v>
      </c>
      <c r="H81" s="323" t="s">
        <v>2195</v>
      </c>
      <c r="I81" s="152">
        <v>3068.0576379895901</v>
      </c>
      <c r="J81" s="157" t="s">
        <v>2219</v>
      </c>
      <c r="K81" s="157" t="s">
        <v>2236</v>
      </c>
      <c r="L81" s="227">
        <v>9563.7180000000008</v>
      </c>
      <c r="M81" s="157" t="s">
        <v>2219</v>
      </c>
      <c r="N81" s="227">
        <f>G63+G68+N80-I81-L81</f>
        <v>163345.64136201041</v>
      </c>
      <c r="O81" s="152">
        <f t="shared" ref="O81:O85" si="22">O80+G81-I81-L81</f>
        <v>735712.15536201082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2195</v>
      </c>
      <c r="I82" s="152"/>
      <c r="J82" s="157"/>
      <c r="K82" s="157" t="s">
        <v>2236</v>
      </c>
      <c r="L82" s="227">
        <v>12864.727000000001</v>
      </c>
      <c r="M82" s="157" t="s">
        <v>2219</v>
      </c>
      <c r="N82" s="227">
        <f t="shared" ref="N82:N85" si="23">+N81-I82-L82</f>
        <v>150480.9143620104</v>
      </c>
      <c r="O82" s="152">
        <f t="shared" si="22"/>
        <v>722847.42836201086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2195</v>
      </c>
      <c r="I83" s="152"/>
      <c r="J83" s="157"/>
      <c r="K83" s="157" t="s">
        <v>2236</v>
      </c>
      <c r="L83" s="227">
        <v>14002.398999999999</v>
      </c>
      <c r="M83" s="157" t="s">
        <v>2219</v>
      </c>
      <c r="N83" s="227">
        <f t="shared" si="23"/>
        <v>136478.5153620104</v>
      </c>
      <c r="O83" s="152">
        <f t="shared" si="22"/>
        <v>708845.02936201089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2195</v>
      </c>
      <c r="I84" s="152"/>
      <c r="J84" s="157"/>
      <c r="K84" s="157" t="s">
        <v>2236</v>
      </c>
      <c r="L84" s="227">
        <v>13730.712</v>
      </c>
      <c r="M84" s="157" t="s">
        <v>2219</v>
      </c>
      <c r="N84" s="227">
        <f t="shared" si="23"/>
        <v>122747.8033620104</v>
      </c>
      <c r="O84" s="152">
        <f t="shared" si="22"/>
        <v>695114.31736201094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2195</v>
      </c>
      <c r="I85" s="152"/>
      <c r="J85" s="157"/>
      <c r="K85" s="157" t="s">
        <v>2236</v>
      </c>
      <c r="L85" s="227">
        <v>11433.906000000001</v>
      </c>
      <c r="M85" s="157" t="s">
        <v>2219</v>
      </c>
      <c r="N85" s="227">
        <f t="shared" si="23"/>
        <v>111313.89736201039</v>
      </c>
      <c r="O85" s="152">
        <f t="shared" si="22"/>
        <v>683680.41136201099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2195</v>
      </c>
      <c r="I86" s="152"/>
      <c r="J86" s="157"/>
      <c r="K86" s="157" t="s">
        <v>2236</v>
      </c>
      <c r="L86" s="227">
        <v>10839.403</v>
      </c>
      <c r="M86" s="157" t="s">
        <v>2219</v>
      </c>
      <c r="N86" s="227">
        <f t="shared" ref="N86:N119" si="24">+N85-I86-L86</f>
        <v>100474.49436201039</v>
      </c>
      <c r="O86" s="152">
        <f t="shared" ref="O86:O119" si="25">O85+G86-I86-L86</f>
        <v>672841.00836201094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2195</v>
      </c>
      <c r="I87" s="152"/>
      <c r="J87" s="157"/>
      <c r="K87" s="157" t="s">
        <v>2236</v>
      </c>
      <c r="L87" s="227">
        <v>72126.34</v>
      </c>
      <c r="M87" s="157" t="s">
        <v>2219</v>
      </c>
      <c r="N87" s="227">
        <f t="shared" si="24"/>
        <v>28348.154362010391</v>
      </c>
      <c r="O87" s="152">
        <f t="shared" si="25"/>
        <v>600714.66836201097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2195</v>
      </c>
      <c r="I88" s="152"/>
      <c r="J88" s="157"/>
      <c r="K88" s="157" t="s">
        <v>2236</v>
      </c>
      <c r="L88" s="227">
        <v>28348.154362010391</v>
      </c>
      <c r="M88" s="157" t="s">
        <v>2219</v>
      </c>
      <c r="N88" s="227">
        <f t="shared" si="24"/>
        <v>0</v>
      </c>
      <c r="O88" s="152">
        <f t="shared" si="25"/>
        <v>572366.51400000055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2195</v>
      </c>
      <c r="I89" s="152"/>
      <c r="J89" s="157"/>
      <c r="K89" s="157" t="s">
        <v>2237</v>
      </c>
      <c r="L89" s="227">
        <v>68551.814637989606</v>
      </c>
      <c r="M89" s="157" t="s">
        <v>2220</v>
      </c>
      <c r="N89" s="227">
        <f>G69+G75+N88-I89-L89</f>
        <v>63552.588362010385</v>
      </c>
      <c r="O89" s="152">
        <f t="shared" ref="O89:O95" si="26">O88+G89-I89-L89</f>
        <v>503814.69936201093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2195</v>
      </c>
      <c r="I90" s="152"/>
      <c r="J90" s="154"/>
      <c r="K90" s="157" t="s">
        <v>2237</v>
      </c>
      <c r="L90" s="227">
        <v>63552.588362010385</v>
      </c>
      <c r="M90" s="157" t="s">
        <v>2220</v>
      </c>
      <c r="N90" s="227">
        <f t="shared" ref="N90:N95" si="27">+N89-I90-L90</f>
        <v>0</v>
      </c>
      <c r="O90" s="152">
        <f t="shared" si="26"/>
        <v>440262.11100000056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2195</v>
      </c>
      <c r="I91" s="152"/>
      <c r="J91" s="154"/>
      <c r="K91" s="157" t="s">
        <v>2237</v>
      </c>
      <c r="L91" s="227">
        <v>16199.028637989601</v>
      </c>
      <c r="M91" s="157" t="s">
        <v>2221</v>
      </c>
      <c r="N91" s="227">
        <f>G76+G77+G80+N90-I91-L91</f>
        <v>354308.15136201022</v>
      </c>
      <c r="O91" s="152">
        <f t="shared" ref="O91:O94" si="28">O90+G91-I91-L91</f>
        <v>424063.08236201096</v>
      </c>
    </row>
    <row r="92" spans="1:15" x14ac:dyDescent="0.15">
      <c r="A92" s="154"/>
      <c r="B92" s="151"/>
      <c r="C92" s="152"/>
      <c r="D92" s="323" t="s">
        <v>2196</v>
      </c>
      <c r="E92" s="154" t="s">
        <v>72</v>
      </c>
      <c r="F92" s="157" t="s">
        <v>2222</v>
      </c>
      <c r="G92" s="152">
        <v>176321.095</v>
      </c>
      <c r="H92" s="323" t="s">
        <v>2196</v>
      </c>
      <c r="I92" s="152">
        <v>14247.072</v>
      </c>
      <c r="J92" s="157" t="s">
        <v>2221</v>
      </c>
      <c r="K92" s="157" t="s">
        <v>2237</v>
      </c>
      <c r="L92" s="227">
        <v>91708.516000000003</v>
      </c>
      <c r="M92" s="157" t="s">
        <v>2221</v>
      </c>
      <c r="N92" s="227">
        <f t="shared" ref="N92:N94" si="29">+N91-I92-L92</f>
        <v>248352.56336201023</v>
      </c>
      <c r="O92" s="152">
        <f t="shared" si="28"/>
        <v>494428.58936201088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2196</v>
      </c>
      <c r="I93" s="152"/>
      <c r="J93" s="157"/>
      <c r="K93" s="157" t="s">
        <v>2237</v>
      </c>
      <c r="L93" s="227">
        <v>78707.462</v>
      </c>
      <c r="M93" s="157" t="s">
        <v>2221</v>
      </c>
      <c r="N93" s="227">
        <f t="shared" si="29"/>
        <v>169645.10136201023</v>
      </c>
      <c r="O93" s="152">
        <f t="shared" si="28"/>
        <v>415721.12736201088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2196</v>
      </c>
      <c r="I94" s="152"/>
      <c r="J94" s="157"/>
      <c r="K94" s="157" t="s">
        <v>2237</v>
      </c>
      <c r="L94" s="227">
        <v>10567.112999999999</v>
      </c>
      <c r="M94" s="157" t="s">
        <v>2221</v>
      </c>
      <c r="N94" s="227">
        <f t="shared" si="29"/>
        <v>159077.98836201022</v>
      </c>
      <c r="O94" s="152">
        <f t="shared" si="28"/>
        <v>405154.01436201087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2196</v>
      </c>
      <c r="I95" s="152"/>
      <c r="J95" s="157"/>
      <c r="K95" s="157" t="s">
        <v>2237</v>
      </c>
      <c r="L95" s="227">
        <v>4617.4780000000001</v>
      </c>
      <c r="M95" s="157" t="s">
        <v>2221</v>
      </c>
      <c r="N95" s="227">
        <f t="shared" si="27"/>
        <v>154460.51036201022</v>
      </c>
      <c r="O95" s="152">
        <f t="shared" si="26"/>
        <v>400536.53636201087</v>
      </c>
    </row>
    <row r="96" spans="1:15" x14ac:dyDescent="0.15">
      <c r="A96" s="154"/>
      <c r="B96" s="151"/>
      <c r="C96" s="152"/>
      <c r="D96" s="323" t="s">
        <v>2197</v>
      </c>
      <c r="E96" s="154" t="s">
        <v>72</v>
      </c>
      <c r="F96" s="157" t="s">
        <v>2223</v>
      </c>
      <c r="G96" s="152">
        <v>132188.24799999999</v>
      </c>
      <c r="H96" s="323" t="s">
        <v>2197</v>
      </c>
      <c r="I96" s="152">
        <v>13911.385</v>
      </c>
      <c r="J96" s="157" t="s">
        <v>2221</v>
      </c>
      <c r="K96" s="157" t="s">
        <v>2237</v>
      </c>
      <c r="L96" s="227">
        <v>10406.258</v>
      </c>
      <c r="M96" s="157" t="s">
        <v>2221</v>
      </c>
      <c r="N96" s="227">
        <f t="shared" si="24"/>
        <v>130142.86736201021</v>
      </c>
      <c r="O96" s="152">
        <f t="shared" si="25"/>
        <v>508407.14136201091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2197</v>
      </c>
      <c r="I97" s="152"/>
      <c r="J97" s="157"/>
      <c r="K97" s="157" t="s">
        <v>2237</v>
      </c>
      <c r="L97" s="227">
        <v>12515.377</v>
      </c>
      <c r="M97" s="157" t="s">
        <v>2221</v>
      </c>
      <c r="N97" s="227">
        <f t="shared" si="24"/>
        <v>117627.4903620102</v>
      </c>
      <c r="O97" s="152">
        <f t="shared" si="25"/>
        <v>495891.76436201093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2197</v>
      </c>
      <c r="I98" s="152"/>
      <c r="J98" s="157"/>
      <c r="K98" s="157" t="s">
        <v>2237</v>
      </c>
      <c r="L98" s="227">
        <v>58238.982000000004</v>
      </c>
      <c r="M98" s="157" t="s">
        <v>2221</v>
      </c>
      <c r="N98" s="227">
        <f t="shared" si="24"/>
        <v>59388.508362010194</v>
      </c>
      <c r="O98" s="152">
        <f t="shared" si="25"/>
        <v>437652.78236201091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2197</v>
      </c>
      <c r="I99" s="152"/>
      <c r="J99" s="154"/>
      <c r="K99" s="157" t="s">
        <v>2237</v>
      </c>
      <c r="L99" s="227">
        <v>609.61699999999996</v>
      </c>
      <c r="M99" s="157" t="s">
        <v>2221</v>
      </c>
      <c r="N99" s="227">
        <f t="shared" si="24"/>
        <v>58778.891362010196</v>
      </c>
      <c r="O99" s="152">
        <f t="shared" si="25"/>
        <v>437043.16536201088</v>
      </c>
    </row>
    <row r="100" spans="1:15" x14ac:dyDescent="0.15">
      <c r="A100" s="154"/>
      <c r="B100" s="151"/>
      <c r="C100" s="152"/>
      <c r="D100" s="323" t="s">
        <v>2198</v>
      </c>
      <c r="E100" s="154" t="s">
        <v>72</v>
      </c>
      <c r="F100" s="157" t="s">
        <v>2224</v>
      </c>
      <c r="G100" s="152">
        <v>88134.551000000007</v>
      </c>
      <c r="H100" s="323" t="s">
        <v>2198</v>
      </c>
      <c r="I100" s="152">
        <v>13528.911</v>
      </c>
      <c r="J100" s="157" t="s">
        <v>2221</v>
      </c>
      <c r="K100" s="157" t="s">
        <v>2237</v>
      </c>
      <c r="L100" s="227">
        <v>12463.184999999999</v>
      </c>
      <c r="M100" s="157" t="s">
        <v>2221</v>
      </c>
      <c r="N100" s="227">
        <f t="shared" ref="N100:N105" si="30">+N99-I100-L100</f>
        <v>32786.795362010198</v>
      </c>
      <c r="O100" s="152">
        <f t="shared" ref="O100:O105" si="31">O99+G100-I100-L100</f>
        <v>499185.6203620109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2198</v>
      </c>
      <c r="I101" s="152"/>
      <c r="J101" s="157"/>
      <c r="K101" s="157" t="s">
        <v>2237</v>
      </c>
      <c r="L101" s="227">
        <v>32786.795362010198</v>
      </c>
      <c r="M101" s="157" t="s">
        <v>2221</v>
      </c>
      <c r="N101" s="227">
        <f t="shared" si="30"/>
        <v>0</v>
      </c>
      <c r="O101" s="152">
        <f t="shared" si="31"/>
        <v>466398.82500000071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2198</v>
      </c>
      <c r="I102" s="152"/>
      <c r="J102" s="157"/>
      <c r="K102" s="157" t="s">
        <v>2237</v>
      </c>
      <c r="L102" s="227">
        <v>44288.034637989796</v>
      </c>
      <c r="M102" s="157" t="s">
        <v>2222</v>
      </c>
      <c r="N102" s="227">
        <f>G81+G92+N101-I102-L102</f>
        <v>201787.99136201039</v>
      </c>
      <c r="O102" s="152">
        <f t="shared" si="31"/>
        <v>422110.79036201094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2198</v>
      </c>
      <c r="I103" s="152"/>
      <c r="J103" s="157"/>
      <c r="K103" s="157" t="s">
        <v>2237</v>
      </c>
      <c r="L103" s="227">
        <v>10403.85</v>
      </c>
      <c r="M103" s="157" t="s">
        <v>2222</v>
      </c>
      <c r="N103" s="227">
        <f t="shared" si="30"/>
        <v>191384.14136201038</v>
      </c>
      <c r="O103" s="152">
        <f t="shared" si="31"/>
        <v>411706.94036201097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2198</v>
      </c>
      <c r="I104" s="152"/>
      <c r="J104" s="157"/>
      <c r="K104" s="157" t="s">
        <v>2237</v>
      </c>
      <c r="L104" s="227">
        <v>13056.146000000001</v>
      </c>
      <c r="M104" s="157" t="s">
        <v>2222</v>
      </c>
      <c r="N104" s="227">
        <f t="shared" si="30"/>
        <v>178327.99536201038</v>
      </c>
      <c r="O104" s="152">
        <f t="shared" si="31"/>
        <v>398650.79436201096</v>
      </c>
    </row>
    <row r="105" spans="1:15" x14ac:dyDescent="0.15">
      <c r="A105" s="154"/>
      <c r="B105" s="151"/>
      <c r="C105" s="152"/>
      <c r="D105" s="323" t="s">
        <v>2199</v>
      </c>
      <c r="E105" s="154" t="s">
        <v>72</v>
      </c>
      <c r="F105" s="157" t="s">
        <v>2224</v>
      </c>
      <c r="G105" s="152">
        <v>123940.20400000014</v>
      </c>
      <c r="H105" s="323" t="s">
        <v>2199</v>
      </c>
      <c r="I105" s="152">
        <v>12547.434000000001</v>
      </c>
      <c r="J105" s="157" t="s">
        <v>2222</v>
      </c>
      <c r="K105" s="157" t="s">
        <v>2237</v>
      </c>
      <c r="L105" s="227">
        <v>10913.183999999999</v>
      </c>
      <c r="M105" s="157" t="s">
        <v>2222</v>
      </c>
      <c r="N105" s="227">
        <f t="shared" si="30"/>
        <v>154867.37736201036</v>
      </c>
      <c r="O105" s="152">
        <f t="shared" si="31"/>
        <v>499130.38036201108</v>
      </c>
    </row>
    <row r="106" spans="1:15" x14ac:dyDescent="0.15">
      <c r="A106" s="154"/>
      <c r="B106" s="151"/>
      <c r="C106" s="152"/>
      <c r="D106" s="323" t="s">
        <v>2199</v>
      </c>
      <c r="E106" s="154" t="s">
        <v>72</v>
      </c>
      <c r="F106" s="157" t="s">
        <v>2225</v>
      </c>
      <c r="G106" s="152">
        <v>8171.6779999998698</v>
      </c>
      <c r="H106" s="323" t="s">
        <v>2199</v>
      </c>
      <c r="I106" s="152"/>
      <c r="J106" s="157"/>
      <c r="K106" s="157" t="s">
        <v>2237</v>
      </c>
      <c r="L106" s="227">
        <v>11799.066000000001</v>
      </c>
      <c r="M106" s="157" t="s">
        <v>2222</v>
      </c>
      <c r="N106" s="227">
        <f t="shared" si="24"/>
        <v>143068.31136201037</v>
      </c>
      <c r="O106" s="152">
        <f t="shared" si="25"/>
        <v>495502.99236201099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2199</v>
      </c>
      <c r="I107" s="152"/>
      <c r="J107" s="157"/>
      <c r="K107" s="157" t="s">
        <v>2237</v>
      </c>
      <c r="L107" s="227">
        <v>79448.784</v>
      </c>
      <c r="M107" s="157" t="s">
        <v>2222</v>
      </c>
      <c r="N107" s="227">
        <f t="shared" si="24"/>
        <v>63619.527362010369</v>
      </c>
      <c r="O107" s="152">
        <f t="shared" si="25"/>
        <v>416054.20836201101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2199</v>
      </c>
      <c r="I108" s="152"/>
      <c r="J108" s="157"/>
      <c r="K108" s="157" t="s">
        <v>2237</v>
      </c>
      <c r="L108" s="227">
        <v>63619.527362010369</v>
      </c>
      <c r="M108" s="157" t="s">
        <v>2222</v>
      </c>
      <c r="N108" s="227">
        <f t="shared" ref="N108:N110" si="32">+N107-I108-L108</f>
        <v>0</v>
      </c>
      <c r="O108" s="152">
        <f t="shared" ref="O108:O110" si="33">O107+G108-I108-L108</f>
        <v>352434.68100000062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2199</v>
      </c>
      <c r="I109" s="152"/>
      <c r="J109" s="157"/>
      <c r="K109" s="157" t="s">
        <v>2237</v>
      </c>
      <c r="L109" s="227">
        <v>14556.5526379896</v>
      </c>
      <c r="M109" s="157" t="s">
        <v>2223</v>
      </c>
      <c r="N109" s="227">
        <f>G96+N108-I109-L109</f>
        <v>117631.69536201039</v>
      </c>
      <c r="O109" s="152">
        <f t="shared" si="33"/>
        <v>337878.12836201105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2199</v>
      </c>
      <c r="I110" s="152"/>
      <c r="J110" s="157"/>
      <c r="K110" s="157" t="s">
        <v>2237</v>
      </c>
      <c r="L110" s="227">
        <v>75898.240999999995</v>
      </c>
      <c r="M110" s="157" t="s">
        <v>2223</v>
      </c>
      <c r="N110" s="227">
        <f t="shared" si="32"/>
        <v>41733.454362010394</v>
      </c>
      <c r="O110" s="152">
        <f t="shared" si="33"/>
        <v>261979.88736201107</v>
      </c>
    </row>
    <row r="111" spans="1:15" x14ac:dyDescent="0.15">
      <c r="A111" s="154"/>
      <c r="B111" s="151"/>
      <c r="C111" s="152"/>
      <c r="D111" s="323" t="s">
        <v>2200</v>
      </c>
      <c r="E111" s="154" t="s">
        <v>72</v>
      </c>
      <c r="F111" s="157" t="s">
        <v>2225</v>
      </c>
      <c r="G111" s="152">
        <v>88090.430999999953</v>
      </c>
      <c r="H111" s="323" t="s">
        <v>2200</v>
      </c>
      <c r="I111" s="152">
        <v>15433.869000000001</v>
      </c>
      <c r="J111" s="157" t="s">
        <v>2223</v>
      </c>
      <c r="K111" s="157" t="s">
        <v>2237</v>
      </c>
      <c r="L111" s="227">
        <v>13555.468000000001</v>
      </c>
      <c r="M111" s="157" t="s">
        <v>2223</v>
      </c>
      <c r="N111" s="227">
        <f t="shared" si="24"/>
        <v>12744.117362010395</v>
      </c>
      <c r="O111" s="152">
        <f t="shared" si="25"/>
        <v>321080.98136201099</v>
      </c>
    </row>
    <row r="112" spans="1:15" x14ac:dyDescent="0.15">
      <c r="A112" s="154"/>
      <c r="B112" s="151"/>
      <c r="C112" s="152"/>
      <c r="D112" s="323" t="s">
        <v>2200</v>
      </c>
      <c r="E112" s="154" t="s">
        <v>72</v>
      </c>
      <c r="F112" s="157" t="s">
        <v>2226</v>
      </c>
      <c r="G112" s="152">
        <v>176157.89799999999</v>
      </c>
      <c r="H112" s="323" t="s">
        <v>2200</v>
      </c>
      <c r="I112" s="152"/>
      <c r="J112" s="157"/>
      <c r="K112" s="157" t="s">
        <v>2237</v>
      </c>
      <c r="L112" s="227">
        <v>12744.117362010395</v>
      </c>
      <c r="M112" s="157" t="s">
        <v>2223</v>
      </c>
      <c r="N112" s="227">
        <f t="shared" si="24"/>
        <v>0</v>
      </c>
      <c r="O112" s="152">
        <f t="shared" si="25"/>
        <v>484494.76200000057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2200</v>
      </c>
      <c r="I113" s="152"/>
      <c r="J113" s="157"/>
      <c r="K113" s="157" t="s">
        <v>2237</v>
      </c>
      <c r="L113" s="227">
        <v>1081.1956379896101</v>
      </c>
      <c r="M113" s="157" t="s">
        <v>2224</v>
      </c>
      <c r="N113" s="227">
        <f>G100+G105+N112-I113-L113</f>
        <v>210993.55936201054</v>
      </c>
      <c r="O113" s="152">
        <f t="shared" ref="O113:O117" si="34">O112+G113-I113-L113</f>
        <v>483413.56636201096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2200</v>
      </c>
      <c r="I114" s="152"/>
      <c r="J114" s="157"/>
      <c r="K114" s="157" t="s">
        <v>2237</v>
      </c>
      <c r="L114" s="227">
        <v>10861</v>
      </c>
      <c r="M114" s="157" t="s">
        <v>2224</v>
      </c>
      <c r="N114" s="227">
        <f t="shared" ref="N114:N117" si="35">+N113-I114-L114</f>
        <v>200132.55936201054</v>
      </c>
      <c r="O114" s="152">
        <f t="shared" si="34"/>
        <v>472552.56636201096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2200</v>
      </c>
      <c r="I115" s="152"/>
      <c r="J115" s="157"/>
      <c r="K115" s="157" t="s">
        <v>2237</v>
      </c>
      <c r="L115" s="227">
        <v>14312.495000000001</v>
      </c>
      <c r="M115" s="157" t="s">
        <v>2224</v>
      </c>
      <c r="N115" s="227">
        <f t="shared" si="35"/>
        <v>185820.06436201054</v>
      </c>
      <c r="O115" s="152">
        <f t="shared" si="34"/>
        <v>458240.07136201096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2200</v>
      </c>
      <c r="I116" s="152"/>
      <c r="J116" s="157"/>
      <c r="K116" s="157" t="s">
        <v>2237</v>
      </c>
      <c r="L116" s="227">
        <v>29619.998</v>
      </c>
      <c r="M116" s="157" t="s">
        <v>2224</v>
      </c>
      <c r="N116" s="227">
        <f t="shared" si="35"/>
        <v>156200.06636201055</v>
      </c>
      <c r="O116" s="152">
        <f t="shared" si="34"/>
        <v>428620.07336201094</v>
      </c>
    </row>
    <row r="117" spans="1:15" x14ac:dyDescent="0.15">
      <c r="A117" s="154"/>
      <c r="B117" s="151"/>
      <c r="C117" s="152"/>
      <c r="D117" s="323" t="s">
        <v>2201</v>
      </c>
      <c r="E117" s="154" t="s">
        <v>72</v>
      </c>
      <c r="F117" s="157" t="s">
        <v>2226</v>
      </c>
      <c r="G117" s="152">
        <v>44050.087</v>
      </c>
      <c r="H117" s="323" t="s">
        <v>2201</v>
      </c>
      <c r="I117" s="152">
        <v>15086.959000000001</v>
      </c>
      <c r="J117" s="157" t="s">
        <v>2224</v>
      </c>
      <c r="K117" s="157" t="s">
        <v>2237</v>
      </c>
      <c r="L117" s="227">
        <v>9910.0370000000003</v>
      </c>
      <c r="M117" s="157" t="s">
        <v>2224</v>
      </c>
      <c r="N117" s="227">
        <f t="shared" si="35"/>
        <v>131203.07036201053</v>
      </c>
      <c r="O117" s="152">
        <f t="shared" si="34"/>
        <v>447673.16436201095</v>
      </c>
    </row>
    <row r="118" spans="1:15" x14ac:dyDescent="0.15">
      <c r="A118" s="154"/>
      <c r="B118" s="151"/>
      <c r="C118" s="152"/>
      <c r="D118" s="323" t="s">
        <v>2201</v>
      </c>
      <c r="E118" s="154" t="s">
        <v>72</v>
      </c>
      <c r="F118" s="157" t="s">
        <v>2227</v>
      </c>
      <c r="G118" s="152">
        <v>88061.459000000003</v>
      </c>
      <c r="H118" s="323" t="s">
        <v>2201</v>
      </c>
      <c r="I118" s="152"/>
      <c r="J118" s="157"/>
      <c r="K118" s="157" t="s">
        <v>2237</v>
      </c>
      <c r="L118" s="227">
        <v>32593.008999999998</v>
      </c>
      <c r="M118" s="157" t="s">
        <v>2224</v>
      </c>
      <c r="N118" s="227">
        <f t="shared" si="24"/>
        <v>98610.061362010543</v>
      </c>
      <c r="O118" s="152">
        <f t="shared" si="25"/>
        <v>503141.61436201091</v>
      </c>
    </row>
    <row r="119" spans="1:15" x14ac:dyDescent="0.15">
      <c r="A119" s="154"/>
      <c r="B119" s="151"/>
      <c r="C119" s="152"/>
      <c r="D119" s="323" t="s">
        <v>2202</v>
      </c>
      <c r="E119" s="154" t="s">
        <v>72</v>
      </c>
      <c r="F119" s="157" t="s">
        <v>2227</v>
      </c>
      <c r="G119" s="152">
        <v>132106.59099999999</v>
      </c>
      <c r="H119" s="323" t="s">
        <v>2202</v>
      </c>
      <c r="I119" s="152">
        <v>13760.385999999999</v>
      </c>
      <c r="J119" s="157" t="s">
        <v>2224</v>
      </c>
      <c r="K119" s="157" t="s">
        <v>2237</v>
      </c>
      <c r="L119" s="227">
        <v>11108.867</v>
      </c>
      <c r="M119" s="157" t="s">
        <v>2224</v>
      </c>
      <c r="N119" s="227">
        <f t="shared" si="24"/>
        <v>73740.808362010546</v>
      </c>
      <c r="O119" s="152">
        <f t="shared" si="25"/>
        <v>610378.95236201084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2202</v>
      </c>
      <c r="I120" s="152"/>
      <c r="J120" s="157"/>
      <c r="K120" s="157" t="s">
        <v>2237</v>
      </c>
      <c r="L120" s="227">
        <v>11166.956</v>
      </c>
      <c r="M120" s="157" t="s">
        <v>2224</v>
      </c>
      <c r="N120" s="227">
        <f t="shared" ref="N120:N123" si="36">+N119-I120-L120</f>
        <v>62573.852362010548</v>
      </c>
      <c r="O120" s="152">
        <f t="shared" ref="O120:O123" si="37">O119+G120-I120-L120</f>
        <v>599211.99636201083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2202</v>
      </c>
      <c r="I121" s="152"/>
      <c r="J121" s="157"/>
      <c r="K121" s="157" t="s">
        <v>2237</v>
      </c>
      <c r="L121" s="227">
        <v>62573.852362010548</v>
      </c>
      <c r="M121" s="157" t="s">
        <v>2224</v>
      </c>
      <c r="N121" s="227">
        <f t="shared" si="36"/>
        <v>0</v>
      </c>
      <c r="O121" s="152">
        <f t="shared" si="37"/>
        <v>536638.14400000032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2202</v>
      </c>
      <c r="I122" s="152"/>
      <c r="J122" s="157"/>
      <c r="K122" s="157" t="s">
        <v>2236</v>
      </c>
      <c r="L122" s="227">
        <v>9986.3206379894491</v>
      </c>
      <c r="M122" s="157" t="s">
        <v>2225</v>
      </c>
      <c r="N122" s="227">
        <f>G106+G111+N121-I122-L122</f>
        <v>86275.788362010368</v>
      </c>
      <c r="O122" s="152">
        <f t="shared" si="37"/>
        <v>526651.82336201088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2202</v>
      </c>
      <c r="I123" s="152"/>
      <c r="J123" s="157"/>
      <c r="K123" s="157" t="s">
        <v>2236</v>
      </c>
      <c r="L123" s="227">
        <v>86275.788362010368</v>
      </c>
      <c r="M123" s="157" t="s">
        <v>2225</v>
      </c>
      <c r="N123" s="227">
        <f t="shared" si="36"/>
        <v>0</v>
      </c>
      <c r="O123" s="152">
        <f t="shared" si="37"/>
        <v>440376.0350000005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2202</v>
      </c>
      <c r="I124" s="152"/>
      <c r="J124" s="157"/>
      <c r="K124" s="157" t="s">
        <v>2237</v>
      </c>
      <c r="L124" s="227">
        <v>9709.9536379896308</v>
      </c>
      <c r="M124" s="157" t="s">
        <v>2226</v>
      </c>
      <c r="N124" s="227">
        <f>G112+G117+N123-I124-L124</f>
        <v>210498.03136201034</v>
      </c>
      <c r="O124" s="152">
        <f t="shared" ref="O124:O128" si="38">O123+G124-I124-L124</f>
        <v>430666.08136201085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2202</v>
      </c>
      <c r="I125" s="152"/>
      <c r="J125" s="157"/>
      <c r="K125" s="157" t="s">
        <v>2237</v>
      </c>
      <c r="L125" s="227">
        <v>13606.284</v>
      </c>
      <c r="M125" s="157" t="s">
        <v>2226</v>
      </c>
      <c r="N125" s="227">
        <f t="shared" ref="N125:N128" si="39">+N124-I125-L125</f>
        <v>196891.74736201036</v>
      </c>
      <c r="O125" s="152">
        <f t="shared" si="38"/>
        <v>417059.79736201087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2202</v>
      </c>
      <c r="I126" s="152"/>
      <c r="J126" s="157"/>
      <c r="K126" s="157" t="s">
        <v>2237</v>
      </c>
      <c r="L126" s="227">
        <v>12604.865</v>
      </c>
      <c r="M126" s="157" t="s">
        <v>2226</v>
      </c>
      <c r="N126" s="227">
        <f t="shared" si="39"/>
        <v>184286.88236201036</v>
      </c>
      <c r="O126" s="152">
        <f t="shared" si="38"/>
        <v>404454.93236201088</v>
      </c>
    </row>
    <row r="127" spans="1:15" x14ac:dyDescent="0.15">
      <c r="A127" s="154"/>
      <c r="B127" s="151"/>
      <c r="C127" s="152"/>
      <c r="D127" s="323" t="s">
        <v>2203</v>
      </c>
      <c r="E127" s="154" t="s">
        <v>72</v>
      </c>
      <c r="F127" s="157" t="s">
        <v>2228</v>
      </c>
      <c r="G127" s="152">
        <v>132106.571</v>
      </c>
      <c r="H127" s="323" t="s">
        <v>2203</v>
      </c>
      <c r="I127" s="152">
        <v>16255.273999999999</v>
      </c>
      <c r="J127" s="157" t="s">
        <v>2226</v>
      </c>
      <c r="K127" s="157" t="s">
        <v>2237</v>
      </c>
      <c r="L127" s="227">
        <v>33183.675999999999</v>
      </c>
      <c r="M127" s="157" t="s">
        <v>2226</v>
      </c>
      <c r="N127" s="227">
        <f t="shared" si="39"/>
        <v>134847.93236201035</v>
      </c>
      <c r="O127" s="152">
        <f t="shared" si="38"/>
        <v>487122.55336201098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2203</v>
      </c>
      <c r="I128" s="152"/>
      <c r="J128" s="157"/>
      <c r="K128" s="157" t="s">
        <v>2237</v>
      </c>
      <c r="L128" s="227">
        <v>994.30899999999997</v>
      </c>
      <c r="M128" s="157" t="s">
        <v>2226</v>
      </c>
      <c r="N128" s="227">
        <f t="shared" si="39"/>
        <v>133853.62336201034</v>
      </c>
      <c r="O128" s="152">
        <f t="shared" si="38"/>
        <v>486128.24436201097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2203</v>
      </c>
      <c r="I129" s="152"/>
      <c r="J129" s="157"/>
      <c r="K129" s="157" t="s">
        <v>2237</v>
      </c>
      <c r="L129" s="227">
        <v>86914.395999999993</v>
      </c>
      <c r="M129" s="157" t="s">
        <v>2226</v>
      </c>
      <c r="N129" s="227">
        <f t="shared" ref="N129:N192" si="40">+N128-I129-L129</f>
        <v>46939.227362010351</v>
      </c>
      <c r="O129" s="152">
        <f t="shared" ref="O129:O192" si="41">O128+G129-I129-L129</f>
        <v>399213.84836201096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2203</v>
      </c>
      <c r="I130" s="152"/>
      <c r="J130" s="157"/>
      <c r="K130" s="157" t="s">
        <v>2237</v>
      </c>
      <c r="L130" s="227">
        <v>46939.227362010351</v>
      </c>
      <c r="M130" s="157" t="s">
        <v>2226</v>
      </c>
      <c r="N130" s="227">
        <f t="shared" si="40"/>
        <v>0</v>
      </c>
      <c r="O130" s="152">
        <f t="shared" si="41"/>
        <v>352274.62100000062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2203</v>
      </c>
      <c r="I131" s="152"/>
      <c r="J131" s="157"/>
      <c r="K131" s="157" t="s">
        <v>2236</v>
      </c>
      <c r="L131" s="227">
        <v>27552.818637989702</v>
      </c>
      <c r="M131" s="157" t="s">
        <v>2227</v>
      </c>
      <c r="N131" s="227">
        <f>G118+G119+N130-I131-L131</f>
        <v>192615.23136201029</v>
      </c>
      <c r="O131" s="152">
        <f t="shared" si="41"/>
        <v>324721.80236201093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2203</v>
      </c>
      <c r="I132" s="152"/>
      <c r="J132" s="157"/>
      <c r="K132" s="157" t="s">
        <v>2236</v>
      </c>
      <c r="L132" s="227">
        <v>9771.9509999999991</v>
      </c>
      <c r="M132" s="157" t="s">
        <v>2227</v>
      </c>
      <c r="N132" s="227">
        <f t="shared" si="40"/>
        <v>182843.28036201029</v>
      </c>
      <c r="O132" s="152">
        <f t="shared" si="41"/>
        <v>314949.85136201093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2203</v>
      </c>
      <c r="I133" s="152"/>
      <c r="J133" s="157"/>
      <c r="K133" s="157" t="s">
        <v>2236</v>
      </c>
      <c r="L133" s="227">
        <v>198.1</v>
      </c>
      <c r="M133" s="157" t="s">
        <v>2227</v>
      </c>
      <c r="N133" s="227">
        <f t="shared" si="40"/>
        <v>182645.18036201029</v>
      </c>
      <c r="O133" s="152">
        <f t="shared" si="41"/>
        <v>314751.75136201095</v>
      </c>
    </row>
    <row r="134" spans="1:15" x14ac:dyDescent="0.15">
      <c r="A134" s="154"/>
      <c r="B134" s="151"/>
      <c r="C134" s="152"/>
      <c r="D134" s="323" t="s">
        <v>2204</v>
      </c>
      <c r="E134" s="154" t="s">
        <v>72</v>
      </c>
      <c r="F134" s="157" t="s">
        <v>2228</v>
      </c>
      <c r="G134" s="152">
        <v>88063.331000000006</v>
      </c>
      <c r="H134" s="323" t="s">
        <v>2204</v>
      </c>
      <c r="I134" s="152">
        <v>15134.98</v>
      </c>
      <c r="J134" s="157" t="s">
        <v>2227</v>
      </c>
      <c r="K134" s="157" t="s">
        <v>2236</v>
      </c>
      <c r="L134" s="227">
        <v>11671.441000000001</v>
      </c>
      <c r="M134" s="157" t="s">
        <v>2227</v>
      </c>
      <c r="N134" s="227">
        <f t="shared" si="40"/>
        <v>155838.75936201029</v>
      </c>
      <c r="O134" s="152">
        <f t="shared" si="41"/>
        <v>376008.66136201099</v>
      </c>
    </row>
    <row r="135" spans="1:15" x14ac:dyDescent="0.15">
      <c r="A135" s="154"/>
      <c r="B135" s="151"/>
      <c r="C135" s="152"/>
      <c r="D135" s="323" t="s">
        <v>2204</v>
      </c>
      <c r="E135" s="154" t="s">
        <v>72</v>
      </c>
      <c r="F135" s="157" t="s">
        <v>2229</v>
      </c>
      <c r="G135" s="152">
        <v>88060.555999999997</v>
      </c>
      <c r="H135" s="323" t="s">
        <v>2204</v>
      </c>
      <c r="I135" s="152"/>
      <c r="J135" s="157"/>
      <c r="K135" s="157" t="s">
        <v>2236</v>
      </c>
      <c r="L135" s="227">
        <v>12055.178</v>
      </c>
      <c r="M135" s="157" t="s">
        <v>2227</v>
      </c>
      <c r="N135" s="227">
        <f t="shared" si="40"/>
        <v>143783.58136201027</v>
      </c>
      <c r="O135" s="152">
        <f t="shared" si="41"/>
        <v>452014.03936201095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2204</v>
      </c>
      <c r="I136" s="152"/>
      <c r="J136" s="157"/>
      <c r="K136" s="157" t="s">
        <v>2236</v>
      </c>
      <c r="L136" s="227">
        <v>10464.119000000001</v>
      </c>
      <c r="M136" s="157" t="s">
        <v>2227</v>
      </c>
      <c r="N136" s="227">
        <f t="shared" si="40"/>
        <v>133319.46236201026</v>
      </c>
      <c r="O136" s="152">
        <f t="shared" si="41"/>
        <v>441549.92036201095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2204</v>
      </c>
      <c r="I137" s="152"/>
      <c r="J137" s="157"/>
      <c r="K137" s="157" t="s">
        <v>2236</v>
      </c>
      <c r="L137" s="227">
        <v>11380.677</v>
      </c>
      <c r="M137" s="157" t="s">
        <v>2227</v>
      </c>
      <c r="N137" s="227">
        <f t="shared" si="40"/>
        <v>121938.78536201027</v>
      </c>
      <c r="O137" s="152">
        <f t="shared" si="41"/>
        <v>430169.24336201092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2204</v>
      </c>
      <c r="I138" s="152"/>
      <c r="J138" s="157"/>
      <c r="K138" s="157" t="s">
        <v>2236</v>
      </c>
      <c r="L138" s="227">
        <v>890.99300000000005</v>
      </c>
      <c r="M138" s="157" t="s">
        <v>2227</v>
      </c>
      <c r="N138" s="227">
        <f t="shared" si="40"/>
        <v>121047.79236201027</v>
      </c>
      <c r="O138" s="152">
        <f t="shared" si="41"/>
        <v>429278.25036201091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2204</v>
      </c>
      <c r="I139" s="152"/>
      <c r="J139" s="157"/>
      <c r="K139" s="157" t="s">
        <v>2236</v>
      </c>
      <c r="L139" s="227">
        <v>14431.075000000001</v>
      </c>
      <c r="M139" s="157" t="s">
        <v>2227</v>
      </c>
      <c r="N139" s="227">
        <f t="shared" si="40"/>
        <v>106616.71736201027</v>
      </c>
      <c r="O139" s="152">
        <f t="shared" si="41"/>
        <v>414847.17536201089</v>
      </c>
    </row>
    <row r="140" spans="1:15" x14ac:dyDescent="0.15">
      <c r="A140" s="154"/>
      <c r="B140" s="151"/>
      <c r="C140" s="152"/>
      <c r="D140" s="323" t="s">
        <v>2205</v>
      </c>
      <c r="E140" s="154" t="s">
        <v>72</v>
      </c>
      <c r="F140" s="157" t="s">
        <v>2229</v>
      </c>
      <c r="G140" s="152">
        <v>132093.65999999997</v>
      </c>
      <c r="H140" s="323" t="s">
        <v>2205</v>
      </c>
      <c r="I140" s="152">
        <v>10022.691999999999</v>
      </c>
      <c r="J140" s="157" t="s">
        <v>2227</v>
      </c>
      <c r="K140" s="157" t="s">
        <v>2236</v>
      </c>
      <c r="L140" s="227">
        <v>13987.955</v>
      </c>
      <c r="M140" s="157" t="s">
        <v>2227</v>
      </c>
      <c r="N140" s="227">
        <f t="shared" si="40"/>
        <v>82606.070362010272</v>
      </c>
      <c r="O140" s="152">
        <f t="shared" si="41"/>
        <v>522930.18836201081</v>
      </c>
    </row>
    <row r="141" spans="1:15" x14ac:dyDescent="0.15">
      <c r="A141" s="154"/>
      <c r="B141" s="151"/>
      <c r="C141" s="152"/>
      <c r="D141" s="323" t="s">
        <v>2205</v>
      </c>
      <c r="E141" s="154" t="s">
        <v>72</v>
      </c>
      <c r="F141" s="157" t="s">
        <v>2230</v>
      </c>
      <c r="G141" s="152">
        <v>88133.926000000007</v>
      </c>
      <c r="H141" s="323" t="s">
        <v>2205</v>
      </c>
      <c r="I141" s="152"/>
      <c r="J141" s="157"/>
      <c r="K141" s="157" t="s">
        <v>2236</v>
      </c>
      <c r="L141" s="227">
        <v>29952.707999999999</v>
      </c>
      <c r="M141" s="157" t="s">
        <v>2227</v>
      </c>
      <c r="N141" s="227">
        <f t="shared" si="40"/>
        <v>52653.362362010274</v>
      </c>
      <c r="O141" s="152">
        <f t="shared" si="41"/>
        <v>581111.40636201086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2205</v>
      </c>
      <c r="I142" s="152"/>
      <c r="J142" s="157"/>
      <c r="K142" s="157" t="s">
        <v>2236</v>
      </c>
      <c r="L142" s="227">
        <v>14241.57</v>
      </c>
      <c r="M142" s="157" t="s">
        <v>2227</v>
      </c>
      <c r="N142" s="227">
        <f t="shared" si="40"/>
        <v>38411.792362010274</v>
      </c>
      <c r="O142" s="152">
        <f t="shared" si="41"/>
        <v>566869.83636201092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2205</v>
      </c>
      <c r="I143" s="152"/>
      <c r="J143" s="157"/>
      <c r="K143" s="157" t="s">
        <v>2236</v>
      </c>
      <c r="L143" s="227">
        <v>10852.796</v>
      </c>
      <c r="M143" s="157" t="s">
        <v>2227</v>
      </c>
      <c r="N143" s="227">
        <f t="shared" si="40"/>
        <v>27558.996362010272</v>
      </c>
      <c r="O143" s="152">
        <f t="shared" si="41"/>
        <v>556017.04036201094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2205</v>
      </c>
      <c r="I144" s="152"/>
      <c r="J144" s="157"/>
      <c r="K144" s="157" t="s">
        <v>2236</v>
      </c>
      <c r="L144" s="227">
        <v>627.50900000000001</v>
      </c>
      <c r="M144" s="157" t="s">
        <v>2227</v>
      </c>
      <c r="N144" s="227">
        <f t="shared" si="40"/>
        <v>26931.487362010274</v>
      </c>
      <c r="O144" s="152">
        <f t="shared" si="41"/>
        <v>555389.53136201098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2205</v>
      </c>
      <c r="I145" s="152"/>
      <c r="J145" s="157"/>
      <c r="K145" s="157" t="s">
        <v>2236</v>
      </c>
      <c r="L145" s="227">
        <v>15680.709000000001</v>
      </c>
      <c r="M145" s="157" t="s">
        <v>2227</v>
      </c>
      <c r="N145" s="227">
        <f t="shared" si="40"/>
        <v>11250.778362010273</v>
      </c>
      <c r="O145" s="152">
        <f t="shared" si="41"/>
        <v>539708.82236201095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2205</v>
      </c>
      <c r="I146" s="152"/>
      <c r="J146" s="157"/>
      <c r="K146" s="157" t="s">
        <v>2236</v>
      </c>
      <c r="L146" s="227">
        <v>11250.778362010273</v>
      </c>
      <c r="M146" s="157" t="s">
        <v>2227</v>
      </c>
      <c r="N146" s="227">
        <f t="shared" si="40"/>
        <v>0</v>
      </c>
      <c r="O146" s="152">
        <f t="shared" si="41"/>
        <v>528458.04400000069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2205</v>
      </c>
      <c r="I147" s="152"/>
      <c r="J147" s="157"/>
      <c r="K147" s="157" t="s">
        <v>2236</v>
      </c>
      <c r="L147" s="227">
        <v>26229.5976379897</v>
      </c>
      <c r="M147" s="157" t="s">
        <v>2228</v>
      </c>
      <c r="N147" s="227">
        <f>G127+G134+N146-I147-L147</f>
        <v>193940.3043620103</v>
      </c>
      <c r="O147" s="152">
        <f t="shared" si="41"/>
        <v>502228.44636201102</v>
      </c>
    </row>
    <row r="148" spans="1:15" x14ac:dyDescent="0.15">
      <c r="A148" s="154"/>
      <c r="B148" s="151"/>
      <c r="C148" s="152"/>
      <c r="D148" s="323" t="s">
        <v>2206</v>
      </c>
      <c r="E148" s="154" t="s">
        <v>72</v>
      </c>
      <c r="F148" s="157" t="s">
        <v>2230</v>
      </c>
      <c r="G148" s="152">
        <v>220194.109</v>
      </c>
      <c r="H148" s="323" t="s">
        <v>2206</v>
      </c>
      <c r="I148" s="152">
        <v>16088.222999999998</v>
      </c>
      <c r="J148" s="157" t="s">
        <v>2228</v>
      </c>
      <c r="K148" s="157" t="s">
        <v>2236</v>
      </c>
      <c r="L148" s="227">
        <v>76944.664000000004</v>
      </c>
      <c r="M148" s="157" t="s">
        <v>2228</v>
      </c>
      <c r="N148" s="227">
        <f t="shared" si="40"/>
        <v>100907.4173620103</v>
      </c>
      <c r="O148" s="152">
        <f t="shared" si="41"/>
        <v>629389.66836201109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2206</v>
      </c>
      <c r="I149" s="152"/>
      <c r="J149" s="157"/>
      <c r="K149" s="157" t="s">
        <v>2236</v>
      </c>
      <c r="L149" s="227">
        <v>77506.801000000007</v>
      </c>
      <c r="M149" s="157" t="s">
        <v>2228</v>
      </c>
      <c r="N149" s="227">
        <f t="shared" si="40"/>
        <v>23400.616362010289</v>
      </c>
      <c r="O149" s="152">
        <f t="shared" si="41"/>
        <v>551882.86736201111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2206</v>
      </c>
      <c r="I150" s="152"/>
      <c r="J150" s="157"/>
      <c r="K150" s="157" t="s">
        <v>2236</v>
      </c>
      <c r="L150" s="227">
        <v>23400.616362010289</v>
      </c>
      <c r="M150" s="157" t="s">
        <v>2228</v>
      </c>
      <c r="N150" s="227">
        <f t="shared" si="40"/>
        <v>0</v>
      </c>
      <c r="O150" s="152">
        <f t="shared" si="41"/>
        <v>528482.25100000086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2206</v>
      </c>
      <c r="I151" s="152"/>
      <c r="J151" s="157"/>
      <c r="K151" s="157" t="s">
        <v>2237</v>
      </c>
      <c r="L151" s="227">
        <v>48607.059637989703</v>
      </c>
      <c r="M151" s="157" t="s">
        <v>2229</v>
      </c>
      <c r="N151" s="227">
        <f>G135+G140+N150-I151-L151</f>
        <v>171547.15636201025</v>
      </c>
      <c r="O151" s="152">
        <f t="shared" si="41"/>
        <v>479875.19136201113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2206</v>
      </c>
      <c r="I152" s="152"/>
      <c r="J152" s="157"/>
      <c r="K152" s="157" t="s">
        <v>2237</v>
      </c>
      <c r="L152" s="227">
        <v>97738.603000000003</v>
      </c>
      <c r="M152" s="157" t="s">
        <v>2229</v>
      </c>
      <c r="N152" s="227">
        <f t="shared" si="40"/>
        <v>73808.553362010251</v>
      </c>
      <c r="O152" s="152">
        <f t="shared" si="41"/>
        <v>382136.58836201113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2206</v>
      </c>
      <c r="I153" s="152"/>
      <c r="J153" s="157"/>
      <c r="K153" s="157" t="s">
        <v>2237</v>
      </c>
      <c r="L153" s="227">
        <v>454.59800000000001</v>
      </c>
      <c r="M153" s="157" t="s">
        <v>2229</v>
      </c>
      <c r="N153" s="227">
        <f t="shared" si="40"/>
        <v>73353.955362010252</v>
      </c>
      <c r="O153" s="152">
        <f t="shared" si="41"/>
        <v>381681.99036201113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2206</v>
      </c>
      <c r="I154" s="152"/>
      <c r="J154" s="157"/>
      <c r="K154" s="157" t="s">
        <v>2237</v>
      </c>
      <c r="L154" s="227">
        <v>15791.779</v>
      </c>
      <c r="M154" s="157" t="s">
        <v>2229</v>
      </c>
      <c r="N154" s="227">
        <f t="shared" si="40"/>
        <v>57562.17636201025</v>
      </c>
      <c r="O154" s="152">
        <f t="shared" si="41"/>
        <v>365890.21136201115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2206</v>
      </c>
      <c r="I155" s="152"/>
      <c r="J155" s="157"/>
      <c r="K155" s="157" t="s">
        <v>2237</v>
      </c>
      <c r="L155" s="227">
        <v>37349.144</v>
      </c>
      <c r="M155" s="157" t="s">
        <v>2229</v>
      </c>
      <c r="N155" s="227">
        <f t="shared" si="40"/>
        <v>20213.03236201025</v>
      </c>
      <c r="O155" s="152">
        <f t="shared" si="41"/>
        <v>328541.06736201118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2206</v>
      </c>
      <c r="I156" s="152"/>
      <c r="J156" s="157"/>
      <c r="K156" s="157" t="s">
        <v>2237</v>
      </c>
      <c r="L156" s="227">
        <v>10991.236000000001</v>
      </c>
      <c r="M156" s="157" t="s">
        <v>2229</v>
      </c>
      <c r="N156" s="227">
        <f t="shared" si="40"/>
        <v>9221.7963620102491</v>
      </c>
      <c r="O156" s="152">
        <f t="shared" si="41"/>
        <v>317549.8313620112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2206</v>
      </c>
      <c r="I157" s="152"/>
      <c r="J157" s="157"/>
      <c r="K157" s="157" t="s">
        <v>2237</v>
      </c>
      <c r="L157" s="227">
        <v>9221.7963620102491</v>
      </c>
      <c r="M157" s="157" t="s">
        <v>2229</v>
      </c>
      <c r="N157" s="227">
        <f t="shared" si="40"/>
        <v>0</v>
      </c>
      <c r="O157" s="152">
        <f t="shared" si="41"/>
        <v>308328.03500000096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2206</v>
      </c>
      <c r="I158" s="152"/>
      <c r="J158" s="157"/>
      <c r="K158" s="157" t="s">
        <v>2237</v>
      </c>
      <c r="L158" s="227">
        <v>2329.5726379897501</v>
      </c>
      <c r="M158" s="157" t="s">
        <v>2230</v>
      </c>
      <c r="N158" s="227">
        <f>G141+G148+N157-I158-L158</f>
        <v>305998.46236201026</v>
      </c>
      <c r="O158" s="152">
        <f t="shared" si="41"/>
        <v>305998.4623620112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2206</v>
      </c>
      <c r="I159" s="152"/>
      <c r="J159" s="157"/>
      <c r="K159" s="157" t="s">
        <v>2237</v>
      </c>
      <c r="L159" s="227">
        <v>66630.797999999995</v>
      </c>
      <c r="M159" s="157" t="s">
        <v>2230</v>
      </c>
      <c r="N159" s="227">
        <f t="shared" si="40"/>
        <v>239367.66436201025</v>
      </c>
      <c r="O159" s="152">
        <f t="shared" si="41"/>
        <v>239367.66436201119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2206</v>
      </c>
      <c r="I160" s="152"/>
      <c r="J160" s="157"/>
      <c r="K160" s="157" t="s">
        <v>2237</v>
      </c>
      <c r="L160" s="227">
        <v>15716.796</v>
      </c>
      <c r="M160" s="157" t="s">
        <v>2230</v>
      </c>
      <c r="N160" s="227">
        <f t="shared" si="40"/>
        <v>223650.86836201025</v>
      </c>
      <c r="O160" s="152">
        <f t="shared" si="41"/>
        <v>223650.86836201118</v>
      </c>
    </row>
    <row r="161" spans="1:15" x14ac:dyDescent="0.15">
      <c r="A161" s="154"/>
      <c r="B161" s="151"/>
      <c r="C161" s="152"/>
      <c r="D161" s="323" t="s">
        <v>2207</v>
      </c>
      <c r="E161" s="154" t="s">
        <v>72</v>
      </c>
      <c r="F161" s="157" t="s">
        <v>2231</v>
      </c>
      <c r="G161" s="152">
        <v>176149.93400000001</v>
      </c>
      <c r="H161" s="323" t="s">
        <v>2207</v>
      </c>
      <c r="I161" s="152">
        <v>14381.907999999999</v>
      </c>
      <c r="J161" s="157" t="s">
        <v>2230</v>
      </c>
      <c r="K161" s="157" t="s">
        <v>2237</v>
      </c>
      <c r="L161" s="227">
        <v>33394.622000000003</v>
      </c>
      <c r="M161" s="157" t="s">
        <v>2230</v>
      </c>
      <c r="N161" s="227">
        <f t="shared" si="40"/>
        <v>175874.33836201025</v>
      </c>
      <c r="O161" s="152">
        <f t="shared" si="41"/>
        <v>352024.27236201114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2207</v>
      </c>
      <c r="I162" s="152"/>
      <c r="J162" s="157"/>
      <c r="K162" s="157" t="s">
        <v>2237</v>
      </c>
      <c r="L162" s="227">
        <v>871</v>
      </c>
      <c r="M162" s="157" t="s">
        <v>2230</v>
      </c>
      <c r="N162" s="227">
        <f t="shared" si="40"/>
        <v>175003.33836201025</v>
      </c>
      <c r="O162" s="152">
        <f t="shared" si="41"/>
        <v>351153.27236201114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2207</v>
      </c>
      <c r="I163" s="152"/>
      <c r="J163" s="157"/>
      <c r="K163" s="157" t="s">
        <v>2237</v>
      </c>
      <c r="L163" s="227">
        <v>13730</v>
      </c>
      <c r="M163" s="157" t="s">
        <v>2230</v>
      </c>
      <c r="N163" s="227">
        <f t="shared" si="40"/>
        <v>161273.33836201025</v>
      </c>
      <c r="O163" s="152">
        <f t="shared" si="41"/>
        <v>337423.27236201114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2207</v>
      </c>
      <c r="I164" s="152"/>
      <c r="J164" s="157"/>
      <c r="K164" s="157" t="s">
        <v>2237</v>
      </c>
      <c r="L164" s="227">
        <v>13927</v>
      </c>
      <c r="M164" s="157" t="s">
        <v>2230</v>
      </c>
      <c r="N164" s="227">
        <f t="shared" si="40"/>
        <v>147346.33836201025</v>
      </c>
      <c r="O164" s="152">
        <f t="shared" si="41"/>
        <v>323496.27236201114</v>
      </c>
    </row>
    <row r="165" spans="1:15" x14ac:dyDescent="0.15">
      <c r="A165" s="154"/>
      <c r="B165" s="151"/>
      <c r="C165" s="152"/>
      <c r="D165" s="323" t="s">
        <v>2208</v>
      </c>
      <c r="E165" s="154" t="s">
        <v>72</v>
      </c>
      <c r="F165" s="157" t="s">
        <v>2231</v>
      </c>
      <c r="G165" s="152">
        <v>175986.402</v>
      </c>
      <c r="H165" s="323" t="s">
        <v>2208</v>
      </c>
      <c r="I165" s="152">
        <v>11910.878000000001</v>
      </c>
      <c r="J165" s="157" t="s">
        <v>2230</v>
      </c>
      <c r="K165" s="157" t="s">
        <v>2237</v>
      </c>
      <c r="L165" s="227">
        <v>30483.195</v>
      </c>
      <c r="M165" s="157" t="s">
        <v>2230</v>
      </c>
      <c r="N165" s="227">
        <f t="shared" si="40"/>
        <v>104952.26536201025</v>
      </c>
      <c r="O165" s="152">
        <f t="shared" si="41"/>
        <v>457088.6013620111</v>
      </c>
    </row>
    <row r="166" spans="1:15" x14ac:dyDescent="0.15">
      <c r="A166" s="154"/>
      <c r="B166" s="151"/>
      <c r="C166" s="152"/>
      <c r="D166" s="323" t="s">
        <v>2208</v>
      </c>
      <c r="E166" s="154" t="s">
        <v>72</v>
      </c>
      <c r="F166" s="157" t="s">
        <v>2232</v>
      </c>
      <c r="G166" s="152">
        <v>44031.241000000002</v>
      </c>
      <c r="H166" s="323" t="s">
        <v>2208</v>
      </c>
      <c r="I166" s="152"/>
      <c r="J166" s="157"/>
      <c r="K166" s="157" t="s">
        <v>2237</v>
      </c>
      <c r="L166" s="227">
        <v>8770.4279999999999</v>
      </c>
      <c r="M166" s="157" t="s">
        <v>2230</v>
      </c>
      <c r="N166" s="227">
        <f t="shared" si="40"/>
        <v>96181.83736201025</v>
      </c>
      <c r="O166" s="152">
        <f t="shared" si="41"/>
        <v>492349.41436201107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2208</v>
      </c>
      <c r="I167" s="152"/>
      <c r="J167" s="157"/>
      <c r="K167" s="157" t="s">
        <v>2237</v>
      </c>
      <c r="L167" s="227">
        <v>35840.786999999997</v>
      </c>
      <c r="M167" s="157" t="s">
        <v>2230</v>
      </c>
      <c r="N167" s="227">
        <f t="shared" si="40"/>
        <v>60341.050362010254</v>
      </c>
      <c r="O167" s="152">
        <f t="shared" si="41"/>
        <v>456508.62736201106</v>
      </c>
    </row>
    <row r="168" spans="1:15" x14ac:dyDescent="0.15">
      <c r="A168" s="154"/>
      <c r="B168" s="151"/>
      <c r="C168" s="152"/>
      <c r="D168" s="323" t="s">
        <v>2209</v>
      </c>
      <c r="E168" s="154" t="s">
        <v>72</v>
      </c>
      <c r="F168" s="157" t="s">
        <v>2232</v>
      </c>
      <c r="G168" s="152">
        <v>131982.576</v>
      </c>
      <c r="H168" s="323" t="s">
        <v>2209</v>
      </c>
      <c r="I168" s="152">
        <v>14958.602999999999</v>
      </c>
      <c r="J168" s="157" t="s">
        <v>2230</v>
      </c>
      <c r="K168" s="157" t="s">
        <v>2237</v>
      </c>
      <c r="L168" s="227">
        <v>15519.578</v>
      </c>
      <c r="M168" s="157" t="s">
        <v>2230</v>
      </c>
      <c r="N168" s="227">
        <f t="shared" si="40"/>
        <v>29862.869362010249</v>
      </c>
      <c r="O168" s="152">
        <f t="shared" si="41"/>
        <v>558013.02236201114</v>
      </c>
    </row>
    <row r="169" spans="1:15" x14ac:dyDescent="0.15">
      <c r="A169" s="154"/>
      <c r="B169" s="151"/>
      <c r="C169" s="152"/>
      <c r="D169" s="323" t="s">
        <v>2209</v>
      </c>
      <c r="E169" s="154" t="s">
        <v>72</v>
      </c>
      <c r="F169" s="157" t="s">
        <v>2233</v>
      </c>
      <c r="G169" s="152">
        <v>88053.629000000001</v>
      </c>
      <c r="H169" s="323" t="s">
        <v>2209</v>
      </c>
      <c r="I169" s="152"/>
      <c r="J169" s="157"/>
      <c r="K169" s="157" t="s">
        <v>2237</v>
      </c>
      <c r="L169" s="227">
        <v>13762.507</v>
      </c>
      <c r="M169" s="157" t="s">
        <v>2230</v>
      </c>
      <c r="N169" s="227">
        <f t="shared" si="40"/>
        <v>16100.36236201025</v>
      </c>
      <c r="O169" s="152">
        <f t="shared" si="41"/>
        <v>632304.14436201111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2209</v>
      </c>
      <c r="I170" s="152"/>
      <c r="J170" s="157"/>
      <c r="K170" s="157" t="s">
        <v>2237</v>
      </c>
      <c r="L170" s="227">
        <v>11653.688</v>
      </c>
      <c r="M170" s="157" t="s">
        <v>2230</v>
      </c>
      <c r="N170" s="227">
        <f t="shared" si="40"/>
        <v>4446.6743620102498</v>
      </c>
      <c r="O170" s="152">
        <f t="shared" si="41"/>
        <v>620650.45636201114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2209</v>
      </c>
      <c r="I171" s="152"/>
      <c r="J171" s="157"/>
      <c r="K171" s="157" t="s">
        <v>2237</v>
      </c>
      <c r="L171" s="227">
        <v>4446.6743620102498</v>
      </c>
      <c r="M171" s="157" t="s">
        <v>2230</v>
      </c>
      <c r="N171" s="227">
        <f t="shared" si="40"/>
        <v>0</v>
      </c>
      <c r="O171" s="152">
        <f t="shared" si="41"/>
        <v>616203.78200000094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2209</v>
      </c>
      <c r="I172" s="152"/>
      <c r="J172" s="157"/>
      <c r="K172" s="157" t="s">
        <v>2236</v>
      </c>
      <c r="L172" s="227">
        <v>7064.5526379897501</v>
      </c>
      <c r="M172" s="157" t="s">
        <v>2231</v>
      </c>
      <c r="N172" s="227">
        <f>G161+G165+N171-I172-L172</f>
        <v>345071.78336201026</v>
      </c>
      <c r="O172" s="152">
        <f t="shared" si="41"/>
        <v>609139.22936201119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2209</v>
      </c>
      <c r="I173" s="152"/>
      <c r="J173" s="157"/>
      <c r="K173" s="157" t="s">
        <v>2236</v>
      </c>
      <c r="L173" s="227">
        <v>99280.066999999995</v>
      </c>
      <c r="M173" s="157" t="s">
        <v>2231</v>
      </c>
      <c r="N173" s="227">
        <f t="shared" si="40"/>
        <v>245791.71636201028</v>
      </c>
      <c r="O173" s="152">
        <f t="shared" si="41"/>
        <v>509859.16236201121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2209</v>
      </c>
      <c r="I174" s="152"/>
      <c r="J174" s="157"/>
      <c r="K174" s="157" t="s">
        <v>2236</v>
      </c>
      <c r="L174" s="227">
        <v>9239.8809999999994</v>
      </c>
      <c r="M174" s="157" t="s">
        <v>2231</v>
      </c>
      <c r="N174" s="227">
        <f t="shared" si="40"/>
        <v>236551.83536201029</v>
      </c>
      <c r="O174" s="152">
        <f t="shared" si="41"/>
        <v>500619.28136201121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2209</v>
      </c>
      <c r="I175" s="152"/>
      <c r="J175" s="157"/>
      <c r="K175" s="157" t="s">
        <v>2236</v>
      </c>
      <c r="L175" s="227">
        <v>72785.384999999995</v>
      </c>
      <c r="M175" s="157" t="s">
        <v>2231</v>
      </c>
      <c r="N175" s="227">
        <f t="shared" si="40"/>
        <v>163766.45036201028</v>
      </c>
      <c r="O175" s="152">
        <f t="shared" si="41"/>
        <v>427833.8963620112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2209</v>
      </c>
      <c r="I176" s="152"/>
      <c r="J176" s="157"/>
      <c r="K176" s="157" t="s">
        <v>2236</v>
      </c>
      <c r="L176" s="227">
        <v>1026.8320000000001</v>
      </c>
      <c r="M176" s="157" t="s">
        <v>2231</v>
      </c>
      <c r="N176" s="227">
        <f t="shared" si="40"/>
        <v>162739.61836201028</v>
      </c>
      <c r="O176" s="152">
        <f t="shared" si="41"/>
        <v>426807.06436201121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2209</v>
      </c>
      <c r="I177" s="152"/>
      <c r="J177" s="157"/>
      <c r="K177" s="157" t="s">
        <v>2236</v>
      </c>
      <c r="L177" s="227">
        <v>10966.888000000001</v>
      </c>
      <c r="M177" s="157" t="s">
        <v>2231</v>
      </c>
      <c r="N177" s="227">
        <f t="shared" si="40"/>
        <v>151772.73036201028</v>
      </c>
      <c r="O177" s="152">
        <f t="shared" si="41"/>
        <v>415840.17636201123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2209</v>
      </c>
      <c r="I178" s="152"/>
      <c r="J178" s="157"/>
      <c r="K178" s="157" t="s">
        <v>2236</v>
      </c>
      <c r="L178" s="227">
        <v>12907.460999999999</v>
      </c>
      <c r="M178" s="157" t="s">
        <v>2231</v>
      </c>
      <c r="N178" s="227">
        <f t="shared" si="40"/>
        <v>138865.26936201027</v>
      </c>
      <c r="O178" s="152">
        <f t="shared" si="41"/>
        <v>402932.71536201122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2209</v>
      </c>
      <c r="I179" s="152"/>
      <c r="J179" s="157"/>
      <c r="K179" s="157" t="s">
        <v>2236</v>
      </c>
      <c r="L179" s="227">
        <v>55042.61</v>
      </c>
      <c r="M179" s="157" t="s">
        <v>2231</v>
      </c>
      <c r="N179" s="227">
        <f t="shared" si="40"/>
        <v>83822.659362010265</v>
      </c>
      <c r="O179" s="152">
        <f t="shared" si="41"/>
        <v>347890.10536201124</v>
      </c>
    </row>
    <row r="180" spans="1:15" x14ac:dyDescent="0.15">
      <c r="A180" s="154"/>
      <c r="B180" s="151"/>
      <c r="C180" s="152"/>
      <c r="D180" s="323" t="s">
        <v>2210</v>
      </c>
      <c r="E180" s="154" t="s">
        <v>72</v>
      </c>
      <c r="F180" s="157" t="s">
        <v>2233</v>
      </c>
      <c r="G180" s="152">
        <v>220007.37</v>
      </c>
      <c r="H180" s="323" t="s">
        <v>2210</v>
      </c>
      <c r="I180" s="152">
        <v>14702.949000000001</v>
      </c>
      <c r="J180" s="157" t="s">
        <v>2231</v>
      </c>
      <c r="K180" s="157" t="s">
        <v>2236</v>
      </c>
      <c r="L180" s="227">
        <v>14333.002</v>
      </c>
      <c r="M180" s="157" t="s">
        <v>2231</v>
      </c>
      <c r="N180" s="227">
        <f t="shared" si="40"/>
        <v>54786.708362010257</v>
      </c>
      <c r="O180" s="152">
        <f t="shared" si="41"/>
        <v>538861.52436201123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2210</v>
      </c>
      <c r="I181" s="152"/>
      <c r="J181" s="157"/>
      <c r="K181" s="157" t="s">
        <v>2236</v>
      </c>
      <c r="L181" s="227">
        <v>1580.761</v>
      </c>
      <c r="M181" s="157" t="s">
        <v>2231</v>
      </c>
      <c r="N181" s="227">
        <f t="shared" si="40"/>
        <v>53205.947362010258</v>
      </c>
      <c r="O181" s="152">
        <f t="shared" si="41"/>
        <v>537280.76336201117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2210</v>
      </c>
      <c r="I182" s="152"/>
      <c r="J182" s="157"/>
      <c r="K182" s="157" t="s">
        <v>2236</v>
      </c>
      <c r="L182" s="227">
        <v>12863.028</v>
      </c>
      <c r="M182" s="157" t="s">
        <v>2231</v>
      </c>
      <c r="N182" s="227">
        <f t="shared" si="40"/>
        <v>40342.91936201026</v>
      </c>
      <c r="O182" s="152">
        <f t="shared" si="41"/>
        <v>524417.73536201112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2210</v>
      </c>
      <c r="I183" s="152"/>
      <c r="J183" s="157"/>
      <c r="K183" s="157" t="s">
        <v>2236</v>
      </c>
      <c r="L183" s="227">
        <v>32585.937000000002</v>
      </c>
      <c r="M183" s="157" t="s">
        <v>2231</v>
      </c>
      <c r="N183" s="227">
        <f t="shared" si="40"/>
        <v>7756.9823620102579</v>
      </c>
      <c r="O183" s="152">
        <f t="shared" si="41"/>
        <v>491831.79836201115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2210</v>
      </c>
      <c r="I184" s="152"/>
      <c r="J184" s="157"/>
      <c r="K184" s="157" t="s">
        <v>2236</v>
      </c>
      <c r="L184" s="227">
        <v>7756.9823620102579</v>
      </c>
      <c r="M184" s="157" t="s">
        <v>2231</v>
      </c>
      <c r="N184" s="227">
        <f t="shared" si="40"/>
        <v>0</v>
      </c>
      <c r="O184" s="152">
        <f t="shared" si="41"/>
        <v>484074.81600000086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2210</v>
      </c>
      <c r="I185" s="152"/>
      <c r="J185" s="157"/>
      <c r="K185" s="157" t="s">
        <v>2237</v>
      </c>
      <c r="L185" s="227">
        <v>8066.0346379897401</v>
      </c>
      <c r="M185" s="157" t="s">
        <v>2232</v>
      </c>
      <c r="N185" s="227">
        <f>G166+G168+N184-I185-L185</f>
        <v>167947.78236201027</v>
      </c>
      <c r="O185" s="152">
        <f t="shared" si="41"/>
        <v>476008.7813620111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2210</v>
      </c>
      <c r="I186" s="152"/>
      <c r="J186" s="157"/>
      <c r="K186" s="157" t="s">
        <v>2237</v>
      </c>
      <c r="L186" s="227">
        <v>15635.638000000001</v>
      </c>
      <c r="M186" s="157" t="s">
        <v>2232</v>
      </c>
      <c r="N186" s="227">
        <f t="shared" si="40"/>
        <v>152312.14436201027</v>
      </c>
      <c r="O186" s="152">
        <f t="shared" si="41"/>
        <v>460373.14336201112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2210</v>
      </c>
      <c r="I187" s="152"/>
      <c r="J187" s="157"/>
      <c r="K187" s="157" t="s">
        <v>2237</v>
      </c>
      <c r="L187" s="227">
        <v>10536.32</v>
      </c>
      <c r="M187" s="157" t="s">
        <v>2232</v>
      </c>
      <c r="N187" s="227">
        <f t="shared" si="40"/>
        <v>141775.82436201026</v>
      </c>
      <c r="O187" s="152">
        <f t="shared" si="41"/>
        <v>449836.82336201111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2210</v>
      </c>
      <c r="I188" s="152"/>
      <c r="J188" s="157"/>
      <c r="K188" s="157" t="s">
        <v>2237</v>
      </c>
      <c r="L188" s="227">
        <v>94290.794999999998</v>
      </c>
      <c r="M188" s="157" t="s">
        <v>2232</v>
      </c>
      <c r="N188" s="227">
        <f t="shared" si="40"/>
        <v>47485.02936201026</v>
      </c>
      <c r="O188" s="152">
        <f t="shared" si="41"/>
        <v>355546.02836201113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2210</v>
      </c>
      <c r="I189" s="152"/>
      <c r="J189" s="157"/>
      <c r="K189" s="157" t="s">
        <v>2237</v>
      </c>
      <c r="L189" s="227">
        <v>47485.02936201026</v>
      </c>
      <c r="M189" s="157" t="s">
        <v>2232</v>
      </c>
      <c r="N189" s="227">
        <f t="shared" si="40"/>
        <v>0</v>
      </c>
      <c r="O189" s="152">
        <f t="shared" si="41"/>
        <v>308060.99900000088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2210</v>
      </c>
      <c r="I190" s="152"/>
      <c r="J190" s="157"/>
      <c r="K190" s="157" t="s">
        <v>2236</v>
      </c>
      <c r="L190" s="227">
        <v>31174.135637989701</v>
      </c>
      <c r="M190" s="157" t="s">
        <v>2233</v>
      </c>
      <c r="N190" s="227">
        <f>G169+G180+G192+N189-I190-L190</f>
        <v>391947.51436201023</v>
      </c>
      <c r="O190" s="152">
        <f t="shared" si="41"/>
        <v>276886.86336201121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2210</v>
      </c>
      <c r="I191" s="152"/>
      <c r="J191" s="157"/>
      <c r="K191" s="157" t="s">
        <v>2236</v>
      </c>
      <c r="L191" s="227">
        <v>10336.513000000001</v>
      </c>
      <c r="M191" s="157" t="s">
        <v>2233</v>
      </c>
      <c r="N191" s="227">
        <f t="shared" si="40"/>
        <v>381611.00136201025</v>
      </c>
      <c r="O191" s="152">
        <f t="shared" si="41"/>
        <v>266550.35036201123</v>
      </c>
    </row>
    <row r="192" spans="1:15" x14ac:dyDescent="0.15">
      <c r="A192" s="154"/>
      <c r="B192" s="151"/>
      <c r="C192" s="152"/>
      <c r="D192" s="323" t="s">
        <v>2211</v>
      </c>
      <c r="E192" s="154" t="s">
        <v>72</v>
      </c>
      <c r="F192" s="157" t="s">
        <v>2233</v>
      </c>
      <c r="G192" s="152">
        <v>115060.6509999999</v>
      </c>
      <c r="H192" s="323" t="s">
        <v>2211</v>
      </c>
      <c r="I192" s="152">
        <v>21192.731</v>
      </c>
      <c r="J192" s="157" t="s">
        <v>2233</v>
      </c>
      <c r="K192" s="157" t="s">
        <v>2236</v>
      </c>
      <c r="L192" s="227">
        <v>33424.237999999998</v>
      </c>
      <c r="M192" s="157" t="s">
        <v>2233</v>
      </c>
      <c r="N192" s="227">
        <f t="shared" si="40"/>
        <v>326994.03236201021</v>
      </c>
      <c r="O192" s="152">
        <f t="shared" si="41"/>
        <v>326994.03236201114</v>
      </c>
    </row>
    <row r="193" spans="1:15" x14ac:dyDescent="0.15">
      <c r="A193" s="154"/>
      <c r="B193" s="151"/>
      <c r="C193" s="152"/>
      <c r="D193" s="323" t="s">
        <v>2211</v>
      </c>
      <c r="E193" s="154" t="s">
        <v>72</v>
      </c>
      <c r="F193" s="157" t="s">
        <v>2234</v>
      </c>
      <c r="G193" s="152">
        <v>104890.444</v>
      </c>
      <c r="H193" s="323" t="s">
        <v>2211</v>
      </c>
      <c r="I193" s="152"/>
      <c r="J193" s="157"/>
      <c r="K193" s="157" t="s">
        <v>2236</v>
      </c>
      <c r="L193" s="227">
        <v>11170.468999999999</v>
      </c>
      <c r="M193" s="157" t="s">
        <v>2233</v>
      </c>
      <c r="N193" s="227">
        <f t="shared" ref="N193:N204" si="42">+N192-I193-L193</f>
        <v>315823.56336201023</v>
      </c>
      <c r="O193" s="152">
        <f t="shared" ref="O193:O204" si="43">O192+G193-I193-L193</f>
        <v>420714.00736201118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2211</v>
      </c>
      <c r="I194" s="152"/>
      <c r="J194" s="157"/>
      <c r="K194" s="157" t="s">
        <v>2236</v>
      </c>
      <c r="L194" s="227">
        <v>11374.861999999999</v>
      </c>
      <c r="M194" s="157" t="s">
        <v>2233</v>
      </c>
      <c r="N194" s="227">
        <f t="shared" si="42"/>
        <v>304448.70136201021</v>
      </c>
      <c r="O194" s="152">
        <f t="shared" si="43"/>
        <v>409339.14536201116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2211</v>
      </c>
      <c r="I195" s="152"/>
      <c r="J195" s="157"/>
      <c r="K195" s="157" t="s">
        <v>2236</v>
      </c>
      <c r="L195" s="227">
        <v>11986.036</v>
      </c>
      <c r="M195" s="157" t="s">
        <v>2233</v>
      </c>
      <c r="N195" s="227">
        <f t="shared" si="42"/>
        <v>292462.66536201019</v>
      </c>
      <c r="O195" s="152">
        <f t="shared" si="43"/>
        <v>397353.10936201114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2211</v>
      </c>
      <c r="I196" s="152"/>
      <c r="J196" s="157"/>
      <c r="K196" s="157" t="s">
        <v>2236</v>
      </c>
      <c r="L196" s="227">
        <v>233.44900000000001</v>
      </c>
      <c r="M196" s="157" t="s">
        <v>2233</v>
      </c>
      <c r="N196" s="227">
        <f t="shared" si="42"/>
        <v>292229.21636201016</v>
      </c>
      <c r="O196" s="152">
        <f t="shared" si="43"/>
        <v>397119.66036201111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2211</v>
      </c>
      <c r="I197" s="152"/>
      <c r="J197" s="157"/>
      <c r="K197" s="157" t="s">
        <v>2236</v>
      </c>
      <c r="L197" s="227">
        <v>15497.785</v>
      </c>
      <c r="M197" s="157" t="s">
        <v>2233</v>
      </c>
      <c r="N197" s="227">
        <f t="shared" si="42"/>
        <v>276731.43136201019</v>
      </c>
      <c r="O197" s="152">
        <f t="shared" si="43"/>
        <v>381621.87536201114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2211</v>
      </c>
      <c r="I198" s="152"/>
      <c r="J198" s="157"/>
      <c r="K198" s="157" t="s">
        <v>2236</v>
      </c>
      <c r="L198" s="227">
        <v>12288.618</v>
      </c>
      <c r="M198" s="157" t="s">
        <v>2233</v>
      </c>
      <c r="N198" s="227">
        <f t="shared" si="42"/>
        <v>264442.81336201017</v>
      </c>
      <c r="O198" s="152">
        <f t="shared" si="43"/>
        <v>369333.25736201112</v>
      </c>
    </row>
    <row r="199" spans="1:15" x14ac:dyDescent="0.15">
      <c r="A199" s="154"/>
      <c r="B199" s="151"/>
      <c r="C199" s="152"/>
      <c r="D199" s="323" t="s">
        <v>2212</v>
      </c>
      <c r="E199" s="154" t="s">
        <v>72</v>
      </c>
      <c r="F199" s="157" t="s">
        <v>2235</v>
      </c>
      <c r="G199" s="152">
        <v>307920.29200000002</v>
      </c>
      <c r="H199" s="323" t="s">
        <v>2212</v>
      </c>
      <c r="I199" s="152">
        <v>13243.795999999998</v>
      </c>
      <c r="J199" s="157" t="s">
        <v>2233</v>
      </c>
      <c r="K199" s="157" t="s">
        <v>2236</v>
      </c>
      <c r="L199" s="227">
        <v>26756.843000000001</v>
      </c>
      <c r="M199" s="157" t="s">
        <v>2233</v>
      </c>
      <c r="N199" s="227">
        <f t="shared" si="42"/>
        <v>224442.17436201018</v>
      </c>
      <c r="O199" s="152">
        <f t="shared" si="43"/>
        <v>637252.91036201117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2212</v>
      </c>
      <c r="I200" s="152"/>
      <c r="J200" s="157"/>
      <c r="K200" s="157" t="s">
        <v>2236</v>
      </c>
      <c r="L200" s="227">
        <v>10842.032999999999</v>
      </c>
      <c r="M200" s="157" t="s">
        <v>2233</v>
      </c>
      <c r="N200" s="227">
        <f t="shared" si="42"/>
        <v>213600.14136201018</v>
      </c>
      <c r="O200" s="152">
        <f t="shared" si="43"/>
        <v>626410.87736201112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2212</v>
      </c>
      <c r="I201" s="152"/>
      <c r="J201" s="157"/>
      <c r="K201" s="157" t="s">
        <v>2236</v>
      </c>
      <c r="L201" s="227">
        <v>77173.951000000001</v>
      </c>
      <c r="M201" s="157" t="s">
        <v>2233</v>
      </c>
      <c r="N201" s="227">
        <f t="shared" si="42"/>
        <v>136426.19036201018</v>
      </c>
      <c r="O201" s="152">
        <f t="shared" si="43"/>
        <v>549236.92636201112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2212</v>
      </c>
      <c r="I202" s="152"/>
      <c r="J202" s="157"/>
      <c r="K202" s="157" t="s">
        <v>2236</v>
      </c>
      <c r="L202" s="227">
        <v>9794.9629999999997</v>
      </c>
      <c r="M202" s="157" t="s">
        <v>2233</v>
      </c>
      <c r="N202" s="227">
        <f t="shared" si="42"/>
        <v>126631.22736201018</v>
      </c>
      <c r="O202" s="152">
        <f t="shared" si="43"/>
        <v>539441.96336201113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2212</v>
      </c>
      <c r="I203" s="152"/>
      <c r="J203" s="157"/>
      <c r="K203" s="157" t="s">
        <v>2236</v>
      </c>
      <c r="L203" s="227">
        <v>227.11500000000001</v>
      </c>
      <c r="M203" s="157" t="s">
        <v>2233</v>
      </c>
      <c r="N203" s="227">
        <f t="shared" si="42"/>
        <v>126404.11236201017</v>
      </c>
      <c r="O203" s="152">
        <f t="shared" si="43"/>
        <v>539214.84836201114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2212</v>
      </c>
      <c r="I204" s="152"/>
      <c r="J204" s="157"/>
      <c r="K204" s="157" t="s">
        <v>2236</v>
      </c>
      <c r="L204" s="227">
        <v>14073.13</v>
      </c>
      <c r="M204" s="157" t="s">
        <v>2233</v>
      </c>
      <c r="N204" s="227">
        <f t="shared" si="42"/>
        <v>112330.98236201017</v>
      </c>
      <c r="O204" s="152">
        <f t="shared" si="43"/>
        <v>525141.71836201113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2212</v>
      </c>
      <c r="I205" s="152"/>
      <c r="J205" s="157"/>
      <c r="K205" s="157" t="s">
        <v>2236</v>
      </c>
      <c r="L205" s="227">
        <v>37268.881999999998</v>
      </c>
      <c r="M205" s="157" t="s">
        <v>2233</v>
      </c>
      <c r="N205" s="227">
        <f t="shared" ref="N205:N222" si="44">+N204-I205-L205</f>
        <v>75062.100362010169</v>
      </c>
      <c r="O205" s="152">
        <f t="shared" ref="O205:O222" si="45">O204+G205-I205-L205</f>
        <v>487872.83636201115</v>
      </c>
    </row>
    <row r="206" spans="1:15" hidden="1" x14ac:dyDescent="0.15">
      <c r="A206" s="154"/>
      <c r="B206" s="151"/>
      <c r="C206" s="152"/>
      <c r="D206" s="323"/>
      <c r="E206" s="154"/>
      <c r="F206" s="157"/>
      <c r="G206" s="152"/>
      <c r="H206" s="323"/>
      <c r="I206" s="152"/>
      <c r="J206" s="157"/>
      <c r="K206" s="154"/>
      <c r="L206" s="227"/>
      <c r="M206" s="157"/>
      <c r="N206" s="227">
        <f t="shared" si="44"/>
        <v>75062.100362010169</v>
      </c>
      <c r="O206" s="152">
        <f t="shared" si="45"/>
        <v>487872.83636201115</v>
      </c>
    </row>
    <row r="207" spans="1:15" hidden="1" x14ac:dyDescent="0.15">
      <c r="A207" s="154"/>
      <c r="B207" s="151"/>
      <c r="C207" s="152"/>
      <c r="D207" s="323"/>
      <c r="E207" s="154"/>
      <c r="F207" s="157"/>
      <c r="G207" s="152"/>
      <c r="H207" s="323"/>
      <c r="I207" s="152"/>
      <c r="J207" s="157"/>
      <c r="K207" s="154"/>
      <c r="L207" s="227"/>
      <c r="M207" s="157"/>
      <c r="N207" s="227">
        <f t="shared" si="44"/>
        <v>75062.100362010169</v>
      </c>
      <c r="O207" s="152">
        <f t="shared" si="45"/>
        <v>487872.83636201115</v>
      </c>
    </row>
    <row r="208" spans="1:15" hidden="1" x14ac:dyDescent="0.15">
      <c r="A208" s="154"/>
      <c r="B208" s="151"/>
      <c r="C208" s="152"/>
      <c r="D208" s="323"/>
      <c r="E208" s="154"/>
      <c r="F208" s="157"/>
      <c r="G208" s="152"/>
      <c r="H208" s="323"/>
      <c r="I208" s="152"/>
      <c r="J208" s="157"/>
      <c r="K208" s="154"/>
      <c r="L208" s="227"/>
      <c r="M208" s="157"/>
      <c r="N208" s="227">
        <f t="shared" si="44"/>
        <v>75062.100362010169</v>
      </c>
      <c r="O208" s="152">
        <f t="shared" si="45"/>
        <v>487872.83636201115</v>
      </c>
    </row>
    <row r="209" spans="1:15" hidden="1" x14ac:dyDescent="0.15">
      <c r="A209" s="154"/>
      <c r="B209" s="151"/>
      <c r="C209" s="152"/>
      <c r="D209" s="323"/>
      <c r="E209" s="154"/>
      <c r="F209" s="157"/>
      <c r="G209" s="152"/>
      <c r="H209" s="323"/>
      <c r="I209" s="152"/>
      <c r="J209" s="157"/>
      <c r="K209" s="154"/>
      <c r="L209" s="227"/>
      <c r="M209" s="157"/>
      <c r="N209" s="227">
        <f t="shared" si="44"/>
        <v>75062.100362010169</v>
      </c>
      <c r="O209" s="152">
        <f t="shared" si="45"/>
        <v>487872.83636201115</v>
      </c>
    </row>
    <row r="210" spans="1:15" hidden="1" x14ac:dyDescent="0.15">
      <c r="A210" s="154"/>
      <c r="B210" s="151"/>
      <c r="C210" s="152"/>
      <c r="D210" s="323"/>
      <c r="E210" s="154"/>
      <c r="F210" s="157"/>
      <c r="G210" s="152"/>
      <c r="H210" s="323"/>
      <c r="I210" s="152"/>
      <c r="J210" s="157"/>
      <c r="K210" s="154"/>
      <c r="L210" s="227"/>
      <c r="M210" s="157"/>
      <c r="N210" s="227">
        <f t="shared" si="44"/>
        <v>75062.100362010169</v>
      </c>
      <c r="O210" s="152">
        <f t="shared" si="45"/>
        <v>487872.83636201115</v>
      </c>
    </row>
    <row r="211" spans="1:15" hidden="1" x14ac:dyDescent="0.15">
      <c r="A211" s="154"/>
      <c r="B211" s="151"/>
      <c r="C211" s="152"/>
      <c r="D211" s="323"/>
      <c r="E211" s="154"/>
      <c r="F211" s="157"/>
      <c r="G211" s="152"/>
      <c r="H211" s="323"/>
      <c r="I211" s="152"/>
      <c r="J211" s="157"/>
      <c r="K211" s="154"/>
      <c r="L211" s="227"/>
      <c r="M211" s="157"/>
      <c r="N211" s="227">
        <f t="shared" si="44"/>
        <v>75062.100362010169</v>
      </c>
      <c r="O211" s="152">
        <f t="shared" si="45"/>
        <v>487872.83636201115</v>
      </c>
    </row>
    <row r="212" spans="1:15" hidden="1" x14ac:dyDescent="0.15">
      <c r="A212" s="154"/>
      <c r="B212" s="151"/>
      <c r="C212" s="152"/>
      <c r="D212" s="323"/>
      <c r="E212" s="154"/>
      <c r="F212" s="157"/>
      <c r="G212" s="152"/>
      <c r="H212" s="323"/>
      <c r="I212" s="152"/>
      <c r="J212" s="157"/>
      <c r="K212" s="154"/>
      <c r="L212" s="227"/>
      <c r="M212" s="157"/>
      <c r="N212" s="227">
        <f t="shared" si="44"/>
        <v>75062.100362010169</v>
      </c>
      <c r="O212" s="152">
        <f t="shared" si="45"/>
        <v>487872.83636201115</v>
      </c>
    </row>
    <row r="213" spans="1:15" hidden="1" x14ac:dyDescent="0.15">
      <c r="A213" s="154"/>
      <c r="B213" s="151"/>
      <c r="C213" s="152"/>
      <c r="D213" s="323"/>
      <c r="E213" s="154"/>
      <c r="F213" s="157"/>
      <c r="G213" s="152"/>
      <c r="H213" s="323"/>
      <c r="I213" s="152"/>
      <c r="J213" s="157"/>
      <c r="K213" s="154"/>
      <c r="L213" s="227"/>
      <c r="M213" s="157"/>
      <c r="N213" s="227">
        <f t="shared" si="44"/>
        <v>75062.100362010169</v>
      </c>
      <c r="O213" s="152">
        <f t="shared" si="45"/>
        <v>487872.83636201115</v>
      </c>
    </row>
    <row r="214" spans="1:15" hidden="1" x14ac:dyDescent="0.15">
      <c r="A214" s="154"/>
      <c r="B214" s="151"/>
      <c r="C214" s="152"/>
      <c r="D214" s="323"/>
      <c r="E214" s="154"/>
      <c r="F214" s="157"/>
      <c r="G214" s="152"/>
      <c r="H214" s="323"/>
      <c r="I214" s="152"/>
      <c r="J214" s="157"/>
      <c r="K214" s="154"/>
      <c r="L214" s="227"/>
      <c r="M214" s="157"/>
      <c r="N214" s="227">
        <f t="shared" si="44"/>
        <v>75062.100362010169</v>
      </c>
      <c r="O214" s="152">
        <f t="shared" si="45"/>
        <v>487872.83636201115</v>
      </c>
    </row>
    <row r="215" spans="1:15" hidden="1" x14ac:dyDescent="0.15">
      <c r="A215" s="154"/>
      <c r="B215" s="151"/>
      <c r="C215" s="152"/>
      <c r="D215" s="323"/>
      <c r="E215" s="154"/>
      <c r="F215" s="157"/>
      <c r="G215" s="152"/>
      <c r="H215" s="323"/>
      <c r="I215" s="152"/>
      <c r="J215" s="157"/>
      <c r="K215" s="154"/>
      <c r="L215" s="227"/>
      <c r="M215" s="157"/>
      <c r="N215" s="227">
        <f t="shared" si="44"/>
        <v>75062.100362010169</v>
      </c>
      <c r="O215" s="152">
        <f t="shared" si="45"/>
        <v>487872.83636201115</v>
      </c>
    </row>
    <row r="216" spans="1:15" hidden="1" x14ac:dyDescent="0.15">
      <c r="A216" s="154"/>
      <c r="B216" s="151"/>
      <c r="C216" s="152"/>
      <c r="D216" s="323"/>
      <c r="E216" s="154"/>
      <c r="F216" s="157"/>
      <c r="G216" s="152"/>
      <c r="H216" s="323"/>
      <c r="I216" s="152"/>
      <c r="J216" s="157"/>
      <c r="K216" s="154"/>
      <c r="L216" s="227"/>
      <c r="M216" s="157"/>
      <c r="N216" s="227">
        <f t="shared" si="44"/>
        <v>75062.100362010169</v>
      </c>
      <c r="O216" s="152">
        <f t="shared" si="45"/>
        <v>487872.83636201115</v>
      </c>
    </row>
    <row r="217" spans="1:15" hidden="1" x14ac:dyDescent="0.15">
      <c r="A217" s="154"/>
      <c r="B217" s="151"/>
      <c r="C217" s="152"/>
      <c r="D217" s="323"/>
      <c r="E217" s="154"/>
      <c r="F217" s="157"/>
      <c r="G217" s="152"/>
      <c r="H217" s="323"/>
      <c r="I217" s="152"/>
      <c r="J217" s="157"/>
      <c r="K217" s="154"/>
      <c r="L217" s="227"/>
      <c r="M217" s="157"/>
      <c r="N217" s="227">
        <f t="shared" si="44"/>
        <v>75062.100362010169</v>
      </c>
      <c r="O217" s="152">
        <f t="shared" si="45"/>
        <v>487872.83636201115</v>
      </c>
    </row>
    <row r="218" spans="1:15" hidden="1" x14ac:dyDescent="0.15">
      <c r="A218" s="154"/>
      <c r="B218" s="151"/>
      <c r="C218" s="152"/>
      <c r="D218" s="323"/>
      <c r="E218" s="154"/>
      <c r="F218" s="157"/>
      <c r="G218" s="152"/>
      <c r="H218" s="323"/>
      <c r="I218" s="152"/>
      <c r="J218" s="157"/>
      <c r="K218" s="154"/>
      <c r="L218" s="227"/>
      <c r="M218" s="157"/>
      <c r="N218" s="227">
        <f t="shared" si="44"/>
        <v>75062.100362010169</v>
      </c>
      <c r="O218" s="152">
        <f t="shared" si="45"/>
        <v>487872.83636201115</v>
      </c>
    </row>
    <row r="219" spans="1:15" hidden="1" x14ac:dyDescent="0.15">
      <c r="A219" s="154"/>
      <c r="B219" s="151"/>
      <c r="C219" s="152"/>
      <c r="D219" s="323"/>
      <c r="E219" s="154"/>
      <c r="F219" s="157"/>
      <c r="G219" s="152"/>
      <c r="H219" s="323"/>
      <c r="I219" s="152"/>
      <c r="J219" s="157"/>
      <c r="K219" s="154"/>
      <c r="L219" s="227"/>
      <c r="M219" s="157"/>
      <c r="N219" s="227">
        <f t="shared" si="44"/>
        <v>75062.100362010169</v>
      </c>
      <c r="O219" s="152">
        <f t="shared" si="45"/>
        <v>487872.83636201115</v>
      </c>
    </row>
    <row r="220" spans="1:15" hidden="1" x14ac:dyDescent="0.15">
      <c r="A220" s="154"/>
      <c r="B220" s="151"/>
      <c r="C220" s="152"/>
      <c r="D220" s="323"/>
      <c r="E220" s="154"/>
      <c r="F220" s="157"/>
      <c r="G220" s="152"/>
      <c r="H220" s="323"/>
      <c r="I220" s="152"/>
      <c r="J220" s="157"/>
      <c r="K220" s="154"/>
      <c r="L220" s="227"/>
      <c r="M220" s="157"/>
      <c r="N220" s="227">
        <f t="shared" si="44"/>
        <v>75062.100362010169</v>
      </c>
      <c r="O220" s="152">
        <f t="shared" si="45"/>
        <v>487872.83636201115</v>
      </c>
    </row>
    <row r="221" spans="1:15" hidden="1" x14ac:dyDescent="0.15">
      <c r="A221" s="154"/>
      <c r="B221" s="151"/>
      <c r="C221" s="152"/>
      <c r="D221" s="323"/>
      <c r="E221" s="154"/>
      <c r="F221" s="157"/>
      <c r="G221" s="152"/>
      <c r="H221" s="323"/>
      <c r="I221" s="152"/>
      <c r="J221" s="157"/>
      <c r="K221" s="154"/>
      <c r="L221" s="227"/>
      <c r="M221" s="157"/>
      <c r="N221" s="227">
        <f t="shared" si="44"/>
        <v>75062.100362010169</v>
      </c>
      <c r="O221" s="152">
        <f t="shared" si="45"/>
        <v>487872.83636201115</v>
      </c>
    </row>
    <row r="222" spans="1:15" hidden="1" x14ac:dyDescent="0.15">
      <c r="A222" s="154"/>
      <c r="B222" s="151"/>
      <c r="C222" s="152"/>
      <c r="D222" s="323"/>
      <c r="E222" s="154"/>
      <c r="F222" s="157"/>
      <c r="G222" s="152"/>
      <c r="H222" s="323"/>
      <c r="I222" s="152"/>
      <c r="J222" s="157"/>
      <c r="K222" s="154"/>
      <c r="L222" s="227"/>
      <c r="M222" s="157"/>
      <c r="N222" s="227">
        <f t="shared" si="44"/>
        <v>75062.100362010169</v>
      </c>
      <c r="O222" s="152">
        <f t="shared" si="45"/>
        <v>487872.83636201115</v>
      </c>
    </row>
    <row r="223" spans="1:15" hidden="1" x14ac:dyDescent="0.15">
      <c r="A223" s="154"/>
      <c r="B223" s="151"/>
      <c r="C223" s="152"/>
      <c r="D223" s="323"/>
      <c r="E223" s="154"/>
      <c r="F223" s="157"/>
      <c r="G223" s="152"/>
      <c r="H223" s="323"/>
      <c r="I223" s="152"/>
      <c r="J223" s="157"/>
      <c r="K223" s="154"/>
      <c r="L223" s="227"/>
      <c r="M223" s="157"/>
      <c r="N223" s="227">
        <f t="shared" ref="N223:N241" si="46">+N222-I223-L223</f>
        <v>75062.100362010169</v>
      </c>
      <c r="O223" s="152">
        <f t="shared" ref="O223:O241" si="47">O222+G223-I223-L223</f>
        <v>487872.83636201115</v>
      </c>
    </row>
    <row r="224" spans="1:15" hidden="1" x14ac:dyDescent="0.15">
      <c r="A224" s="154"/>
      <c r="B224" s="151"/>
      <c r="C224" s="152"/>
      <c r="D224" s="323"/>
      <c r="E224" s="154"/>
      <c r="F224" s="157"/>
      <c r="G224" s="152"/>
      <c r="H224" s="323"/>
      <c r="I224" s="152"/>
      <c r="J224" s="157"/>
      <c r="K224" s="154"/>
      <c r="L224" s="227"/>
      <c r="M224" s="157"/>
      <c r="N224" s="227">
        <f t="shared" si="46"/>
        <v>75062.100362010169</v>
      </c>
      <c r="O224" s="152">
        <f t="shared" si="47"/>
        <v>487872.83636201115</v>
      </c>
    </row>
    <row r="225" spans="1:15" hidden="1" x14ac:dyDescent="0.15">
      <c r="A225" s="154"/>
      <c r="B225" s="151"/>
      <c r="C225" s="152"/>
      <c r="D225" s="323"/>
      <c r="E225" s="154"/>
      <c r="F225" s="157"/>
      <c r="G225" s="152"/>
      <c r="H225" s="323"/>
      <c r="I225" s="152"/>
      <c r="J225" s="157"/>
      <c r="K225" s="154"/>
      <c r="L225" s="227"/>
      <c r="M225" s="157"/>
      <c r="N225" s="227">
        <f t="shared" si="46"/>
        <v>75062.100362010169</v>
      </c>
      <c r="O225" s="152">
        <f t="shared" si="47"/>
        <v>487872.83636201115</v>
      </c>
    </row>
    <row r="226" spans="1:15" hidden="1" x14ac:dyDescent="0.15">
      <c r="A226" s="154"/>
      <c r="B226" s="151"/>
      <c r="C226" s="152"/>
      <c r="D226" s="323"/>
      <c r="E226" s="154"/>
      <c r="F226" s="157"/>
      <c r="G226" s="152"/>
      <c r="H226" s="323"/>
      <c r="I226" s="152"/>
      <c r="J226" s="157"/>
      <c r="K226" s="154"/>
      <c r="L226" s="227"/>
      <c r="M226" s="157"/>
      <c r="N226" s="227">
        <f t="shared" si="46"/>
        <v>75062.100362010169</v>
      </c>
      <c r="O226" s="152">
        <f t="shared" si="47"/>
        <v>487872.83636201115</v>
      </c>
    </row>
    <row r="227" spans="1:15" hidden="1" x14ac:dyDescent="0.15">
      <c r="A227" s="154"/>
      <c r="B227" s="151"/>
      <c r="C227" s="152"/>
      <c r="D227" s="323"/>
      <c r="E227" s="154"/>
      <c r="F227" s="157"/>
      <c r="G227" s="152"/>
      <c r="H227" s="323"/>
      <c r="I227" s="152"/>
      <c r="J227" s="157"/>
      <c r="K227" s="154"/>
      <c r="L227" s="227"/>
      <c r="M227" s="157"/>
      <c r="N227" s="227">
        <f t="shared" si="46"/>
        <v>75062.100362010169</v>
      </c>
      <c r="O227" s="152">
        <f t="shared" si="47"/>
        <v>487872.83636201115</v>
      </c>
    </row>
    <row r="228" spans="1:15" hidden="1" x14ac:dyDescent="0.15">
      <c r="A228" s="154"/>
      <c r="B228" s="151"/>
      <c r="C228" s="152"/>
      <c r="D228" s="323"/>
      <c r="E228" s="154"/>
      <c r="F228" s="157"/>
      <c r="G228" s="152"/>
      <c r="H228" s="323"/>
      <c r="I228" s="152"/>
      <c r="J228" s="157"/>
      <c r="K228" s="154"/>
      <c r="L228" s="227"/>
      <c r="M228" s="157"/>
      <c r="N228" s="227">
        <f t="shared" si="46"/>
        <v>75062.100362010169</v>
      </c>
      <c r="O228" s="152">
        <f t="shared" si="47"/>
        <v>487872.83636201115</v>
      </c>
    </row>
    <row r="229" spans="1:15" hidden="1" x14ac:dyDescent="0.15">
      <c r="A229" s="154"/>
      <c r="B229" s="151"/>
      <c r="C229" s="152"/>
      <c r="D229" s="323"/>
      <c r="E229" s="154"/>
      <c r="F229" s="157"/>
      <c r="G229" s="152"/>
      <c r="H229" s="323"/>
      <c r="I229" s="152"/>
      <c r="J229" s="157"/>
      <c r="K229" s="154"/>
      <c r="L229" s="227"/>
      <c r="M229" s="157"/>
      <c r="N229" s="227">
        <f t="shared" si="46"/>
        <v>75062.100362010169</v>
      </c>
      <c r="O229" s="152">
        <f t="shared" si="47"/>
        <v>487872.83636201115</v>
      </c>
    </row>
    <row r="230" spans="1:15" hidden="1" x14ac:dyDescent="0.15">
      <c r="A230" s="154"/>
      <c r="B230" s="151"/>
      <c r="C230" s="152"/>
      <c r="D230" s="323"/>
      <c r="E230" s="154"/>
      <c r="F230" s="157"/>
      <c r="G230" s="152"/>
      <c r="H230" s="323"/>
      <c r="I230" s="152"/>
      <c r="J230" s="157"/>
      <c r="K230" s="154"/>
      <c r="L230" s="227"/>
      <c r="M230" s="157"/>
      <c r="N230" s="227">
        <f t="shared" si="46"/>
        <v>75062.100362010169</v>
      </c>
      <c r="O230" s="152">
        <f t="shared" si="47"/>
        <v>487872.83636201115</v>
      </c>
    </row>
    <row r="231" spans="1:15" hidden="1" x14ac:dyDescent="0.15">
      <c r="A231" s="154"/>
      <c r="B231" s="151"/>
      <c r="C231" s="152"/>
      <c r="D231" s="323"/>
      <c r="E231" s="154"/>
      <c r="F231" s="157"/>
      <c r="G231" s="152"/>
      <c r="H231" s="323"/>
      <c r="I231" s="152"/>
      <c r="J231" s="157"/>
      <c r="K231" s="154"/>
      <c r="L231" s="227"/>
      <c r="M231" s="157"/>
      <c r="N231" s="227">
        <f t="shared" si="46"/>
        <v>75062.100362010169</v>
      </c>
      <c r="O231" s="152">
        <f t="shared" si="47"/>
        <v>487872.83636201115</v>
      </c>
    </row>
    <row r="232" spans="1:15" hidden="1" x14ac:dyDescent="0.15">
      <c r="A232" s="154"/>
      <c r="B232" s="151"/>
      <c r="C232" s="152"/>
      <c r="D232" s="323"/>
      <c r="E232" s="154"/>
      <c r="F232" s="157"/>
      <c r="G232" s="152"/>
      <c r="H232" s="323"/>
      <c r="I232" s="152"/>
      <c r="J232" s="157"/>
      <c r="K232" s="154"/>
      <c r="L232" s="227"/>
      <c r="M232" s="157"/>
      <c r="N232" s="227">
        <f t="shared" si="46"/>
        <v>75062.100362010169</v>
      </c>
      <c r="O232" s="152">
        <f t="shared" si="47"/>
        <v>487872.83636201115</v>
      </c>
    </row>
    <row r="233" spans="1:15" hidden="1" x14ac:dyDescent="0.15">
      <c r="A233" s="154"/>
      <c r="B233" s="151"/>
      <c r="C233" s="152"/>
      <c r="D233" s="323"/>
      <c r="E233" s="154"/>
      <c r="F233" s="157"/>
      <c r="G233" s="152"/>
      <c r="H233" s="323"/>
      <c r="I233" s="152"/>
      <c r="J233" s="157"/>
      <c r="K233" s="154"/>
      <c r="L233" s="227"/>
      <c r="M233" s="157"/>
      <c r="N233" s="227">
        <f t="shared" si="46"/>
        <v>75062.100362010169</v>
      </c>
      <c r="O233" s="152">
        <f t="shared" si="47"/>
        <v>487872.83636201115</v>
      </c>
    </row>
    <row r="234" spans="1:15" hidden="1" x14ac:dyDescent="0.15">
      <c r="A234" s="154"/>
      <c r="B234" s="151"/>
      <c r="C234" s="152"/>
      <c r="D234" s="323"/>
      <c r="E234" s="155"/>
      <c r="F234" s="157"/>
      <c r="G234" s="152"/>
      <c r="H234" s="323"/>
      <c r="I234" s="152"/>
      <c r="J234" s="157"/>
      <c r="K234" s="154"/>
      <c r="L234" s="227"/>
      <c r="M234" s="157"/>
      <c r="N234" s="227">
        <f t="shared" si="46"/>
        <v>75062.100362010169</v>
      </c>
      <c r="O234" s="152">
        <f t="shared" si="47"/>
        <v>487872.83636201115</v>
      </c>
    </row>
    <row r="235" spans="1:15" hidden="1" x14ac:dyDescent="0.15">
      <c r="A235" s="154"/>
      <c r="B235" s="151"/>
      <c r="C235" s="152"/>
      <c r="D235" s="323"/>
      <c r="E235" s="154"/>
      <c r="F235" s="157"/>
      <c r="G235" s="152"/>
      <c r="H235" s="323"/>
      <c r="I235" s="152"/>
      <c r="J235" s="157"/>
      <c r="K235" s="154"/>
      <c r="L235" s="227"/>
      <c r="M235" s="157"/>
      <c r="N235" s="227">
        <f t="shared" si="46"/>
        <v>75062.100362010169</v>
      </c>
      <c r="O235" s="152">
        <f t="shared" si="47"/>
        <v>487872.83636201115</v>
      </c>
    </row>
    <row r="236" spans="1:15" hidden="1" x14ac:dyDescent="0.15">
      <c r="A236" s="154"/>
      <c r="B236" s="151"/>
      <c r="C236" s="152"/>
      <c r="D236" s="323"/>
      <c r="E236" s="154"/>
      <c r="F236" s="157"/>
      <c r="G236" s="152"/>
      <c r="H236" s="323"/>
      <c r="I236" s="152"/>
      <c r="J236" s="154"/>
      <c r="K236" s="154"/>
      <c r="L236" s="227"/>
      <c r="M236" s="157"/>
      <c r="N236" s="227">
        <f t="shared" si="46"/>
        <v>75062.100362010169</v>
      </c>
      <c r="O236" s="152">
        <f t="shared" si="47"/>
        <v>487872.83636201115</v>
      </c>
    </row>
    <row r="237" spans="1:15" hidden="1" x14ac:dyDescent="0.15">
      <c r="A237" s="154"/>
      <c r="B237" s="151"/>
      <c r="C237" s="151"/>
      <c r="D237" s="323"/>
      <c r="E237" s="154"/>
      <c r="F237" s="157"/>
      <c r="G237" s="152"/>
      <c r="H237" s="323"/>
      <c r="I237" s="152"/>
      <c r="J237" s="154"/>
      <c r="K237" s="154"/>
      <c r="L237" s="227"/>
      <c r="M237" s="157"/>
      <c r="N237" s="227">
        <f t="shared" si="46"/>
        <v>75062.100362010169</v>
      </c>
      <c r="O237" s="152">
        <f t="shared" si="47"/>
        <v>487872.83636201115</v>
      </c>
    </row>
    <row r="238" spans="1:15" hidden="1" x14ac:dyDescent="0.15">
      <c r="A238" s="154"/>
      <c r="B238" s="151"/>
      <c r="C238" s="151"/>
      <c r="D238" s="323"/>
      <c r="E238" s="155"/>
      <c r="F238" s="157"/>
      <c r="G238" s="152"/>
      <c r="H238" s="323"/>
      <c r="I238" s="152"/>
      <c r="J238" s="154"/>
      <c r="K238" s="154"/>
      <c r="L238" s="227"/>
      <c r="M238" s="157"/>
      <c r="N238" s="227">
        <f t="shared" si="46"/>
        <v>75062.100362010169</v>
      </c>
      <c r="O238" s="152">
        <f t="shared" si="47"/>
        <v>487872.83636201115</v>
      </c>
    </row>
    <row r="239" spans="1:15" hidden="1" x14ac:dyDescent="0.15">
      <c r="A239" s="154"/>
      <c r="B239" s="151"/>
      <c r="C239" s="151"/>
      <c r="D239" s="323"/>
      <c r="E239" s="154"/>
      <c r="F239" s="160"/>
      <c r="G239" s="152"/>
      <c r="H239" s="323"/>
      <c r="I239" s="152"/>
      <c r="J239" s="157"/>
      <c r="K239" s="154"/>
      <c r="L239" s="227"/>
      <c r="M239" s="157"/>
      <c r="N239" s="227">
        <f t="shared" si="46"/>
        <v>75062.100362010169</v>
      </c>
      <c r="O239" s="152">
        <f t="shared" si="47"/>
        <v>487872.83636201115</v>
      </c>
    </row>
    <row r="240" spans="1:15" hidden="1" x14ac:dyDescent="0.15">
      <c r="A240" s="154"/>
      <c r="B240" s="151"/>
      <c r="C240" s="151"/>
      <c r="D240" s="323"/>
      <c r="E240" s="154"/>
      <c r="F240" s="160"/>
      <c r="G240" s="152"/>
      <c r="H240" s="323"/>
      <c r="I240" s="152"/>
      <c r="J240" s="150"/>
      <c r="K240" s="154"/>
      <c r="L240" s="227"/>
      <c r="M240" s="157"/>
      <c r="N240" s="227">
        <f t="shared" si="46"/>
        <v>75062.100362010169</v>
      </c>
      <c r="O240" s="152">
        <f t="shared" si="47"/>
        <v>487872.83636201115</v>
      </c>
    </row>
    <row r="241" spans="1:15" x14ac:dyDescent="0.15">
      <c r="A241" s="173"/>
      <c r="B241" s="173"/>
      <c r="C241" s="174"/>
      <c r="D241" s="323"/>
      <c r="E241" s="173"/>
      <c r="F241" s="173"/>
      <c r="G241" s="174"/>
      <c r="H241" s="323"/>
      <c r="I241" s="174"/>
      <c r="J241" s="173"/>
      <c r="K241" s="154"/>
      <c r="L241" s="228"/>
      <c r="M241" s="173"/>
      <c r="N241" s="227">
        <f t="shared" si="46"/>
        <v>75062.100362010169</v>
      </c>
      <c r="O241" s="152">
        <f t="shared" si="47"/>
        <v>487872.83636201115</v>
      </c>
    </row>
    <row r="242" spans="1:15" x14ac:dyDescent="0.15">
      <c r="A242" s="177"/>
      <c r="B242" s="177"/>
      <c r="C242" s="178">
        <f>SUM(C7:C240)</f>
        <v>407347.57836201042</v>
      </c>
      <c r="D242" s="177"/>
      <c r="E242" s="177"/>
      <c r="F242" s="177"/>
      <c r="G242" s="178">
        <f>SUM(G7:G241)</f>
        <v>5692040.9440000011</v>
      </c>
      <c r="H242" s="179"/>
      <c r="I242" s="178">
        <f>SUM(I7:I241)</f>
        <v>461384.33599999989</v>
      </c>
      <c r="J242" s="177"/>
      <c r="K242" s="177"/>
      <c r="L242" s="178">
        <f>SUM(L7:L241)</f>
        <v>5150131.3500000015</v>
      </c>
      <c r="M242" s="177"/>
      <c r="N242" s="180"/>
      <c r="O242" s="181">
        <f>C242+G242-I242-L242</f>
        <v>487872.83636200987</v>
      </c>
    </row>
    <row r="243" spans="1:15" x14ac:dyDescent="0.15">
      <c r="A243" s="182"/>
      <c r="B243" s="465"/>
      <c r="C243" s="465"/>
      <c r="D243" s="465"/>
      <c r="E243" s="183"/>
      <c r="F243" s="284"/>
      <c r="G243" s="185">
        <f>+G242-'[1]รับ 0115'!$D$211</f>
        <v>0</v>
      </c>
      <c r="H243" s="186"/>
      <c r="I243" s="187"/>
      <c r="J243" s="188"/>
      <c r="K243" s="189" t="s">
        <v>139</v>
      </c>
      <c r="L243" s="190">
        <f>+L242+I242</f>
        <v>5611515.6860000016</v>
      </c>
      <c r="M243" s="197"/>
      <c r="N243" s="230">
        <f>+N241</f>
        <v>75062.100362010169</v>
      </c>
      <c r="O243" s="195" t="s">
        <v>2233</v>
      </c>
    </row>
    <row r="244" spans="1:15" x14ac:dyDescent="0.15">
      <c r="A244" s="133"/>
      <c r="B244" s="388"/>
      <c r="C244" s="388"/>
      <c r="D244" s="388"/>
      <c r="E244" s="183"/>
      <c r="F244" s="389"/>
      <c r="G244" s="219"/>
      <c r="H244" s="186"/>
      <c r="I244" s="187"/>
      <c r="J244" s="210"/>
      <c r="N244" s="230">
        <v>104890.444</v>
      </c>
      <c r="O244" s="334" t="s">
        <v>2234</v>
      </c>
    </row>
    <row r="245" spans="1:15" x14ac:dyDescent="0.15">
      <c r="A245" s="188" t="s">
        <v>2161</v>
      </c>
      <c r="B245" s="131" t="s">
        <v>2238</v>
      </c>
      <c r="E245" s="183" t="s">
        <v>55</v>
      </c>
      <c r="F245" s="390">
        <v>35971334.68</v>
      </c>
      <c r="G245" s="219" t="s">
        <v>56</v>
      </c>
      <c r="H245" s="186">
        <v>42010</v>
      </c>
      <c r="I245" s="187" t="s">
        <v>71</v>
      </c>
      <c r="J245" s="210">
        <v>132182.12400000001</v>
      </c>
      <c r="N245" s="230">
        <v>307920.29200000002</v>
      </c>
      <c r="O245" s="334" t="s">
        <v>2235</v>
      </c>
    </row>
    <row r="246" spans="1:15" x14ac:dyDescent="0.15">
      <c r="A246" s="188" t="s">
        <v>2215</v>
      </c>
      <c r="B246" s="131" t="s">
        <v>2239</v>
      </c>
      <c r="E246" s="183" t="s">
        <v>55</v>
      </c>
      <c r="F246" s="390">
        <v>74032626.549999997</v>
      </c>
      <c r="G246" s="219" t="s">
        <v>56</v>
      </c>
      <c r="H246" s="186">
        <v>42017</v>
      </c>
      <c r="I246" s="187" t="s">
        <v>71</v>
      </c>
      <c r="J246" s="210">
        <v>338863.76799999992</v>
      </c>
      <c r="K246" s="297"/>
      <c r="N246" s="230"/>
      <c r="O246" s="195"/>
    </row>
    <row r="247" spans="1:15" x14ac:dyDescent="0.15">
      <c r="A247" s="381" t="s">
        <v>2216</v>
      </c>
      <c r="B247" s="131" t="s">
        <v>2240</v>
      </c>
      <c r="E247" s="183" t="s">
        <v>55</v>
      </c>
      <c r="F247" s="390">
        <v>47136593.93</v>
      </c>
      <c r="G247" s="219" t="s">
        <v>56</v>
      </c>
      <c r="H247" s="186">
        <v>42018</v>
      </c>
      <c r="I247" s="187" t="s">
        <v>71</v>
      </c>
      <c r="J247" s="210">
        <v>274474.67400000006</v>
      </c>
      <c r="K247" s="333"/>
      <c r="N247" s="230"/>
      <c r="O247" s="195"/>
    </row>
    <row r="248" spans="1:15" x14ac:dyDescent="0.15">
      <c r="A248" s="193" t="s">
        <v>2217</v>
      </c>
      <c r="B248" s="131" t="s">
        <v>2241</v>
      </c>
      <c r="E248" s="183" t="s">
        <v>55</v>
      </c>
      <c r="F248" s="390">
        <v>6333966.0800000001</v>
      </c>
      <c r="G248" s="219" t="s">
        <v>56</v>
      </c>
      <c r="H248" s="186">
        <v>42020</v>
      </c>
      <c r="I248" s="187" t="s">
        <v>71</v>
      </c>
      <c r="J248" s="210">
        <v>207211.72299999997</v>
      </c>
      <c r="N248" s="230"/>
      <c r="O248" s="195"/>
    </row>
    <row r="249" spans="1:15" x14ac:dyDescent="0.15">
      <c r="A249" s="193" t="s">
        <v>2218</v>
      </c>
      <c r="B249" s="131" t="s">
        <v>2242</v>
      </c>
      <c r="E249" s="183" t="s">
        <v>55</v>
      </c>
      <c r="F249" s="390">
        <v>69833345.930000007</v>
      </c>
      <c r="G249" s="219" t="s">
        <v>56</v>
      </c>
      <c r="H249" s="186">
        <v>42024</v>
      </c>
      <c r="I249" s="187" t="s">
        <v>71</v>
      </c>
      <c r="J249" s="210">
        <v>136898.53063798961</v>
      </c>
      <c r="K249" s="333"/>
      <c r="N249" s="230"/>
      <c r="O249" s="195"/>
    </row>
    <row r="250" spans="1:15" x14ac:dyDescent="0.15">
      <c r="A250" s="193" t="s">
        <v>2219</v>
      </c>
      <c r="B250" s="131" t="s">
        <v>2243</v>
      </c>
      <c r="E250" s="183" t="s">
        <v>55</v>
      </c>
      <c r="F250" s="390">
        <v>65438555.82</v>
      </c>
      <c r="G250" s="219" t="s">
        <v>56</v>
      </c>
      <c r="H250" s="186">
        <v>42024</v>
      </c>
      <c r="I250" s="187" t="s">
        <v>71</v>
      </c>
      <c r="J250" s="210">
        <v>172909.35936201041</v>
      </c>
      <c r="N250" s="206" t="s">
        <v>33</v>
      </c>
      <c r="O250" s="207">
        <f>SUM(N243:N249)</f>
        <v>487872.83636201022</v>
      </c>
    </row>
    <row r="251" spans="1:15" x14ac:dyDescent="0.15">
      <c r="A251" s="193" t="s">
        <v>2225</v>
      </c>
      <c r="B251" s="131" t="s">
        <v>2244</v>
      </c>
      <c r="E251" s="183" t="s">
        <v>55</v>
      </c>
      <c r="F251" s="390">
        <v>18873695.68</v>
      </c>
      <c r="G251" s="219" t="s">
        <v>56</v>
      </c>
      <c r="H251" s="186">
        <v>42030</v>
      </c>
      <c r="I251" s="187" t="s">
        <v>71</v>
      </c>
      <c r="J251" s="210">
        <v>96262.108999999822</v>
      </c>
      <c r="K251" s="193"/>
      <c r="O251" s="190">
        <f>+O242-O250</f>
        <v>0</v>
      </c>
    </row>
    <row r="252" spans="1:15" s="132" customFormat="1" x14ac:dyDescent="0.15">
      <c r="A252" s="188" t="s">
        <v>2227</v>
      </c>
      <c r="B252" s="131" t="s">
        <v>2245</v>
      </c>
      <c r="D252" s="133"/>
      <c r="E252" s="183" t="s">
        <v>55</v>
      </c>
      <c r="F252" s="390">
        <v>50159047.659999996</v>
      </c>
      <c r="G252" s="219" t="s">
        <v>56</v>
      </c>
      <c r="H252" s="186">
        <v>42031</v>
      </c>
      <c r="I252" s="187" t="s">
        <v>71</v>
      </c>
      <c r="J252" s="210">
        <v>195010.37799999997</v>
      </c>
      <c r="K252" s="193"/>
      <c r="M252" s="134"/>
    </row>
    <row r="253" spans="1:15" s="132" customFormat="1" x14ac:dyDescent="0.15">
      <c r="A253" s="193" t="s">
        <v>2228</v>
      </c>
      <c r="B253" s="131" t="s">
        <v>2246</v>
      </c>
      <c r="D253" s="133"/>
      <c r="E253" s="183" t="s">
        <v>55</v>
      </c>
      <c r="F253" s="390">
        <v>64597598.780000001</v>
      </c>
      <c r="G253" s="219" t="s">
        <v>56</v>
      </c>
      <c r="H253" s="186">
        <v>42032</v>
      </c>
      <c r="I253" s="187" t="s">
        <v>71</v>
      </c>
      <c r="J253" s="210">
        <v>204081.679</v>
      </c>
      <c r="K253" s="133"/>
      <c r="M253" s="134"/>
    </row>
    <row r="254" spans="1:15" s="132" customFormat="1" x14ac:dyDescent="0.15">
      <c r="A254" s="193" t="s">
        <v>2231</v>
      </c>
      <c r="B254" s="131" t="s">
        <v>2247</v>
      </c>
      <c r="D254" s="133"/>
      <c r="E254" s="183" t="s">
        <v>55</v>
      </c>
      <c r="F254" s="390">
        <v>8558418.5099999998</v>
      </c>
      <c r="G254" s="219" t="s">
        <v>56</v>
      </c>
      <c r="H254" s="186">
        <v>42038</v>
      </c>
      <c r="I254" s="187" t="s">
        <v>71</v>
      </c>
      <c r="J254" s="210">
        <v>337433.38699999999</v>
      </c>
      <c r="K254" s="193"/>
      <c r="M254" s="134"/>
    </row>
    <row r="255" spans="1:15" s="132" customFormat="1" x14ac:dyDescent="0.15">
      <c r="A255" s="188" t="s">
        <v>2233</v>
      </c>
      <c r="B255" s="131" t="s">
        <v>2248</v>
      </c>
      <c r="D255" s="133"/>
      <c r="E255" s="183" t="s">
        <v>55</v>
      </c>
      <c r="F255" s="390">
        <v>65470893.219999999</v>
      </c>
      <c r="G255" s="219" t="s">
        <v>56</v>
      </c>
      <c r="H255" s="186">
        <v>42041</v>
      </c>
      <c r="I255" s="187" t="s">
        <v>71</v>
      </c>
      <c r="J255" s="210">
        <v>313623.02263798966</v>
      </c>
      <c r="K255" s="193"/>
      <c r="M255" s="134"/>
    </row>
    <row r="256" spans="1:15" s="132" customFormat="1" ht="12" thickBot="1" x14ac:dyDescent="0.2">
      <c r="A256" s="133"/>
      <c r="B256" s="388"/>
      <c r="C256" s="388"/>
      <c r="D256" s="388"/>
      <c r="E256" s="183"/>
      <c r="F256" s="389"/>
      <c r="G256" s="219"/>
      <c r="H256" s="186"/>
      <c r="I256" s="217" t="s">
        <v>856</v>
      </c>
      <c r="J256" s="211">
        <f>SUM(J245:J255)</f>
        <v>2408950.7546379897</v>
      </c>
      <c r="K256" s="193"/>
      <c r="M256" s="134"/>
    </row>
    <row r="257" spans="1:15" s="132" customFormat="1" ht="12" thickTop="1" x14ac:dyDescent="0.15">
      <c r="A257" s="133"/>
      <c r="B257" s="388"/>
      <c r="C257" s="388"/>
      <c r="D257" s="388"/>
      <c r="E257" s="183"/>
      <c r="F257" s="389"/>
      <c r="G257" s="219"/>
      <c r="H257" s="186"/>
      <c r="I257" s="187"/>
      <c r="J257" s="210"/>
      <c r="K257" s="193"/>
      <c r="M257" s="134"/>
    </row>
    <row r="258" spans="1:15" s="132" customFormat="1" x14ac:dyDescent="0.15">
      <c r="A258" s="193" t="s">
        <v>2160</v>
      </c>
      <c r="B258" s="131" t="s">
        <v>2249</v>
      </c>
      <c r="D258" s="133"/>
      <c r="E258" s="183" t="s">
        <v>55</v>
      </c>
      <c r="F258" s="390">
        <v>72963708.900000006</v>
      </c>
      <c r="G258" s="219" t="s">
        <v>56</v>
      </c>
      <c r="H258" s="186">
        <v>42009</v>
      </c>
      <c r="I258" s="187" t="s">
        <v>71</v>
      </c>
      <c r="J258" s="210">
        <v>39668.351362010384</v>
      </c>
      <c r="K258" s="333"/>
      <c r="M258" s="134"/>
    </row>
    <row r="259" spans="1:15" s="132" customFormat="1" x14ac:dyDescent="0.15">
      <c r="A259" s="185" t="s">
        <v>2162</v>
      </c>
      <c r="B259" s="131" t="s">
        <v>2250</v>
      </c>
      <c r="D259" s="133"/>
      <c r="E259" s="183" t="s">
        <v>55</v>
      </c>
      <c r="F259" s="390">
        <v>124028107.34</v>
      </c>
      <c r="G259" s="219" t="s">
        <v>56</v>
      </c>
      <c r="H259" s="186">
        <v>42010</v>
      </c>
      <c r="I259" s="187" t="s">
        <v>71</v>
      </c>
      <c r="J259" s="210">
        <v>302753.04100000008</v>
      </c>
      <c r="K259" s="133"/>
      <c r="M259" s="134"/>
    </row>
    <row r="260" spans="1:15" s="132" customFormat="1" x14ac:dyDescent="0.15">
      <c r="A260" s="193" t="s">
        <v>2213</v>
      </c>
      <c r="B260" s="131" t="s">
        <v>2251</v>
      </c>
      <c r="D260" s="133"/>
      <c r="E260" s="183" t="s">
        <v>55</v>
      </c>
      <c r="F260" s="390">
        <v>93951387.400000006</v>
      </c>
      <c r="G260" s="219" t="s">
        <v>56</v>
      </c>
      <c r="H260" s="186">
        <v>42012</v>
      </c>
      <c r="I260" s="187" t="s">
        <v>71</v>
      </c>
      <c r="J260" s="210">
        <v>233266.22099999993</v>
      </c>
      <c r="K260" s="193"/>
      <c r="M260" s="134"/>
    </row>
    <row r="261" spans="1:15" s="132" customFormat="1" x14ac:dyDescent="0.15">
      <c r="A261" s="193" t="s">
        <v>2214</v>
      </c>
      <c r="B261" s="131" t="s">
        <v>2252</v>
      </c>
      <c r="D261" s="133"/>
      <c r="E261" s="183" t="s">
        <v>55</v>
      </c>
      <c r="F261" s="390">
        <v>97707413.849999994</v>
      </c>
      <c r="G261" s="219" t="s">
        <v>56</v>
      </c>
      <c r="H261" s="186">
        <v>42013</v>
      </c>
      <c r="I261" s="187" t="s">
        <v>71</v>
      </c>
      <c r="J261" s="210">
        <v>303860.99600000004</v>
      </c>
      <c r="K261" s="193"/>
      <c r="M261" s="134"/>
    </row>
    <row r="262" spans="1:15" s="132" customFormat="1" x14ac:dyDescent="0.15">
      <c r="A262" s="185" t="s">
        <v>2220</v>
      </c>
      <c r="B262" s="131" t="s">
        <v>2253</v>
      </c>
      <c r="D262" s="133"/>
      <c r="E262" s="183" t="s">
        <v>55</v>
      </c>
      <c r="F262" s="390">
        <v>83621926.760000005</v>
      </c>
      <c r="G262" s="219" t="s">
        <v>56</v>
      </c>
      <c r="H262" s="186">
        <v>42023</v>
      </c>
      <c r="I262" s="187" t="s">
        <v>71</v>
      </c>
      <c r="J262" s="210">
        <v>132104.40299999999</v>
      </c>
      <c r="K262" s="193"/>
      <c r="M262" s="134"/>
    </row>
    <row r="263" spans="1:15" s="132" customFormat="1" x14ac:dyDescent="0.15">
      <c r="A263" s="133" t="s">
        <v>2221</v>
      </c>
      <c r="B263" s="131" t="s">
        <v>2254</v>
      </c>
      <c r="D263" s="133"/>
      <c r="E263" s="183" t="s">
        <v>55</v>
      </c>
      <c r="F263" s="390">
        <v>41827717.340000004</v>
      </c>
      <c r="G263" s="219" t="s">
        <v>56</v>
      </c>
      <c r="H263" s="186">
        <v>42023</v>
      </c>
      <c r="I263" s="187" t="s">
        <v>71</v>
      </c>
      <c r="J263" s="210">
        <v>328819.81199999986</v>
      </c>
      <c r="K263" s="193"/>
      <c r="M263" s="134"/>
    </row>
    <row r="264" spans="1:15" s="132" customFormat="1" x14ac:dyDescent="0.15">
      <c r="A264" s="193" t="s">
        <v>2222</v>
      </c>
      <c r="B264" s="131" t="s">
        <v>2255</v>
      </c>
      <c r="D264" s="133"/>
      <c r="E264" s="183" t="s">
        <v>55</v>
      </c>
      <c r="F264" s="390">
        <v>64099170.369999997</v>
      </c>
      <c r="G264" s="219" t="s">
        <v>56</v>
      </c>
      <c r="H264" s="186">
        <v>42025</v>
      </c>
      <c r="I264" s="187" t="s">
        <v>71</v>
      </c>
      <c r="J264" s="210">
        <v>233528.59200000018</v>
      </c>
      <c r="K264" s="193"/>
      <c r="M264" s="134"/>
    </row>
    <row r="265" spans="1:15" s="132" customFormat="1" x14ac:dyDescent="0.15">
      <c r="A265" s="193" t="s">
        <v>2223</v>
      </c>
      <c r="B265" s="131" t="s">
        <v>2256</v>
      </c>
      <c r="D265" s="133"/>
      <c r="E265" s="183" t="s">
        <v>55</v>
      </c>
      <c r="F265" s="390">
        <v>105249010.05</v>
      </c>
      <c r="G265" s="219" t="s">
        <v>56</v>
      </c>
      <c r="H265" s="186">
        <v>42026</v>
      </c>
      <c r="I265" s="187" t="s">
        <v>71</v>
      </c>
      <c r="J265" s="210">
        <v>116754.379</v>
      </c>
      <c r="K265" s="193"/>
      <c r="M265" s="134"/>
    </row>
    <row r="266" spans="1:15" s="133" customFormat="1" x14ac:dyDescent="0.15">
      <c r="A266" s="193" t="s">
        <v>2224</v>
      </c>
      <c r="B266" s="131" t="s">
        <v>2257</v>
      </c>
      <c r="C266" s="132"/>
      <c r="E266" s="183" t="s">
        <v>55</v>
      </c>
      <c r="F266" s="390">
        <v>66638499.93</v>
      </c>
      <c r="G266" s="219" t="s">
        <v>56</v>
      </c>
      <c r="H266" s="186">
        <v>42027</v>
      </c>
      <c r="I266" s="187" t="s">
        <v>71</v>
      </c>
      <c r="J266" s="210">
        <v>183227.41000000015</v>
      </c>
      <c r="K266" s="193"/>
      <c r="L266" s="132"/>
      <c r="M266" s="134"/>
      <c r="N266" s="132"/>
      <c r="O266" s="132"/>
    </row>
    <row r="267" spans="1:15" s="133" customFormat="1" x14ac:dyDescent="0.15">
      <c r="A267" s="193" t="s">
        <v>2226</v>
      </c>
      <c r="B267" s="131" t="s">
        <v>2258</v>
      </c>
      <c r="C267" s="132"/>
      <c r="E267" s="183" t="s">
        <v>55</v>
      </c>
      <c r="F267" s="390">
        <v>41339070.210000001</v>
      </c>
      <c r="G267" s="219" t="s">
        <v>56</v>
      </c>
      <c r="H267" s="186">
        <v>42030</v>
      </c>
      <c r="I267" s="187" t="s">
        <v>71</v>
      </c>
      <c r="J267" s="210">
        <v>203952.71099999995</v>
      </c>
      <c r="K267" s="193"/>
      <c r="L267" s="132"/>
      <c r="M267" s="134"/>
      <c r="N267" s="132"/>
      <c r="O267" s="132"/>
    </row>
    <row r="268" spans="1:15" s="133" customFormat="1" x14ac:dyDescent="0.15">
      <c r="A268" s="193" t="s">
        <v>2229</v>
      </c>
      <c r="B268" s="131" t="s">
        <v>2259</v>
      </c>
      <c r="C268" s="132"/>
      <c r="E268" s="183" t="s">
        <v>55</v>
      </c>
      <c r="F268" s="390">
        <v>64814869.090000004</v>
      </c>
      <c r="G268" s="219" t="s">
        <v>56</v>
      </c>
      <c r="H268" s="186">
        <v>42034</v>
      </c>
      <c r="I268" s="187" t="s">
        <v>71</v>
      </c>
      <c r="J268" s="210">
        <v>220154.21599999996</v>
      </c>
      <c r="L268" s="132"/>
      <c r="M268" s="134"/>
      <c r="N268" s="132"/>
      <c r="O268" s="132"/>
    </row>
    <row r="269" spans="1:15" s="133" customFormat="1" x14ac:dyDescent="0.15">
      <c r="A269" s="193" t="s">
        <v>2230</v>
      </c>
      <c r="B269" s="131" t="s">
        <v>2333</v>
      </c>
      <c r="C269" s="132"/>
      <c r="E269" s="183" t="s">
        <v>55</v>
      </c>
      <c r="F269" s="390">
        <v>67107072.549999997</v>
      </c>
      <c r="G269" s="219" t="s">
        <v>56</v>
      </c>
      <c r="H269" s="186">
        <v>42037</v>
      </c>
      <c r="I269" s="187" t="s">
        <v>71</v>
      </c>
      <c r="J269" s="210">
        <v>267076.64600000007</v>
      </c>
      <c r="K269" s="193"/>
      <c r="L269" s="132"/>
      <c r="M269" s="134"/>
      <c r="N269" s="132"/>
      <c r="O269" s="132"/>
    </row>
    <row r="270" spans="1:15" s="133" customFormat="1" x14ac:dyDescent="0.15">
      <c r="A270" s="193" t="s">
        <v>2232</v>
      </c>
      <c r="B270" s="131" t="s">
        <v>2332</v>
      </c>
      <c r="C270" s="132"/>
      <c r="E270" s="183" t="s">
        <v>55</v>
      </c>
      <c r="F270" s="390">
        <v>73583321.430000007</v>
      </c>
      <c r="G270" s="219" t="s">
        <v>56</v>
      </c>
      <c r="H270" s="186">
        <v>42038</v>
      </c>
      <c r="I270" s="187" t="s">
        <v>71</v>
      </c>
      <c r="J270" s="210">
        <v>176013.81699999998</v>
      </c>
      <c r="L270" s="132"/>
      <c r="M270" s="134"/>
      <c r="N270" s="132"/>
      <c r="O270" s="132"/>
    </row>
    <row r="271" spans="1:15" s="133" customFormat="1" ht="12" thickBot="1" x14ac:dyDescent="0.2">
      <c r="B271" s="388"/>
      <c r="C271" s="388"/>
      <c r="D271" s="388"/>
      <c r="E271" s="183"/>
      <c r="F271" s="389"/>
      <c r="G271" s="219"/>
      <c r="H271" s="186"/>
      <c r="I271" s="217" t="s">
        <v>106</v>
      </c>
      <c r="J271" s="211">
        <f>SUM(J258:J270)</f>
        <v>2741180.5953620104</v>
      </c>
      <c r="L271" s="132"/>
      <c r="M271" s="134"/>
      <c r="N271" s="132"/>
      <c r="O271" s="132"/>
    </row>
    <row r="272" spans="1:15" s="133" customFormat="1" ht="12" thickTop="1" x14ac:dyDescent="0.15">
      <c r="B272" s="388"/>
      <c r="C272" s="388"/>
      <c r="D272" s="388"/>
      <c r="E272" s="183"/>
      <c r="F272" s="389"/>
      <c r="G272" s="219"/>
      <c r="H272" s="186"/>
      <c r="I272" s="187"/>
      <c r="J272" s="210"/>
      <c r="L272" s="132"/>
      <c r="M272" s="134"/>
      <c r="N272" s="132"/>
      <c r="O272" s="132"/>
    </row>
    <row r="273" spans="1:13" s="132" customFormat="1" x14ac:dyDescent="0.15">
      <c r="A273" s="133"/>
      <c r="B273" s="133" t="s">
        <v>9</v>
      </c>
      <c r="C273" s="220" t="s">
        <v>729</v>
      </c>
      <c r="D273" s="220" t="s">
        <v>850</v>
      </c>
      <c r="E273" s="133" t="s">
        <v>570</v>
      </c>
      <c r="F273" s="133" t="s">
        <v>571</v>
      </c>
      <c r="G273" s="133" t="s">
        <v>16</v>
      </c>
      <c r="H273" s="134"/>
      <c r="J273" s="205"/>
      <c r="K273" s="133"/>
      <c r="M273" s="134"/>
    </row>
    <row r="274" spans="1:13" s="132" customFormat="1" x14ac:dyDescent="0.15">
      <c r="A274" s="188" t="s">
        <v>2161</v>
      </c>
      <c r="B274" s="210">
        <v>132182</v>
      </c>
      <c r="C274" s="221">
        <v>0.2</v>
      </c>
      <c r="D274" s="237"/>
      <c r="E274" s="235">
        <f>+B274*C274</f>
        <v>26436.400000000001</v>
      </c>
      <c r="F274" s="235">
        <f t="shared" ref="F274:F284" si="48">+E274*0.1</f>
        <v>2643.6400000000003</v>
      </c>
      <c r="G274" s="236">
        <f t="shared" ref="G274:G284" si="49">SUM(E274:F274)</f>
        <v>29080.04</v>
      </c>
      <c r="H274" s="134"/>
      <c r="J274" s="205"/>
      <c r="K274" s="133"/>
      <c r="M274" s="134"/>
    </row>
    <row r="275" spans="1:13" s="132" customFormat="1" x14ac:dyDescent="0.15">
      <c r="A275" s="188" t="s">
        <v>2215</v>
      </c>
      <c r="B275" s="210">
        <v>338864</v>
      </c>
      <c r="C275" s="221">
        <v>0.2</v>
      </c>
      <c r="D275" s="237"/>
      <c r="E275" s="235">
        <f t="shared" ref="E275:E284" si="50">+B275*C275</f>
        <v>67772.800000000003</v>
      </c>
      <c r="F275" s="235">
        <f t="shared" si="48"/>
        <v>6777.2800000000007</v>
      </c>
      <c r="G275" s="236">
        <f t="shared" si="49"/>
        <v>74550.080000000002</v>
      </c>
      <c r="H275" s="133"/>
      <c r="J275" s="205"/>
      <c r="K275" s="133"/>
      <c r="M275" s="134"/>
    </row>
    <row r="276" spans="1:13" s="132" customFormat="1" x14ac:dyDescent="0.15">
      <c r="A276" s="381" t="s">
        <v>2216</v>
      </c>
      <c r="B276" s="210">
        <v>274475</v>
      </c>
      <c r="C276" s="221">
        <v>0.2</v>
      </c>
      <c r="D276" s="237"/>
      <c r="E276" s="235">
        <f t="shared" si="50"/>
        <v>54895</v>
      </c>
      <c r="F276" s="235">
        <f t="shared" si="48"/>
        <v>5489.5</v>
      </c>
      <c r="G276" s="236">
        <f t="shared" si="49"/>
        <v>60384.5</v>
      </c>
      <c r="H276" s="133"/>
      <c r="J276" s="205"/>
      <c r="K276" s="133"/>
      <c r="M276" s="134"/>
    </row>
    <row r="277" spans="1:13" s="132" customFormat="1" x14ac:dyDescent="0.15">
      <c r="A277" s="193" t="s">
        <v>2217</v>
      </c>
      <c r="B277" s="210">
        <v>207212</v>
      </c>
      <c r="C277" s="221">
        <v>0.2</v>
      </c>
      <c r="D277" s="237"/>
      <c r="E277" s="235">
        <f t="shared" si="50"/>
        <v>41442.400000000001</v>
      </c>
      <c r="F277" s="235">
        <f t="shared" si="48"/>
        <v>4144.2400000000007</v>
      </c>
      <c r="G277" s="236">
        <f t="shared" si="49"/>
        <v>45586.64</v>
      </c>
      <c r="H277" s="134"/>
      <c r="J277" s="205"/>
      <c r="K277" s="133"/>
      <c r="M277" s="134"/>
    </row>
    <row r="278" spans="1:13" s="132" customFormat="1" x14ac:dyDescent="0.15">
      <c r="A278" s="193" t="s">
        <v>2218</v>
      </c>
      <c r="B278" s="210">
        <v>136899</v>
      </c>
      <c r="C278" s="221">
        <v>0.2</v>
      </c>
      <c r="D278" s="237"/>
      <c r="E278" s="235">
        <f t="shared" si="50"/>
        <v>27379.800000000003</v>
      </c>
      <c r="F278" s="235">
        <f t="shared" si="48"/>
        <v>2737.9800000000005</v>
      </c>
      <c r="G278" s="236">
        <f t="shared" si="49"/>
        <v>30117.780000000002</v>
      </c>
      <c r="H278" s="186"/>
      <c r="J278" s="205"/>
      <c r="K278" s="133"/>
      <c r="M278" s="134"/>
    </row>
    <row r="279" spans="1:13" s="132" customFormat="1" x14ac:dyDescent="0.15">
      <c r="A279" s="193" t="s">
        <v>2219</v>
      </c>
      <c r="B279" s="210">
        <v>172909</v>
      </c>
      <c r="C279" s="221">
        <v>0.2</v>
      </c>
      <c r="D279" s="237"/>
      <c r="E279" s="235">
        <f t="shared" si="50"/>
        <v>34581.800000000003</v>
      </c>
      <c r="F279" s="235">
        <f t="shared" si="48"/>
        <v>3458.1800000000003</v>
      </c>
      <c r="G279" s="236">
        <f t="shared" si="49"/>
        <v>38039.980000000003</v>
      </c>
      <c r="H279" s="186"/>
      <c r="J279" s="134"/>
      <c r="K279" s="133"/>
      <c r="M279" s="134"/>
    </row>
    <row r="280" spans="1:13" s="132" customFormat="1" x14ac:dyDescent="0.15">
      <c r="A280" s="193" t="s">
        <v>2225</v>
      </c>
      <c r="B280" s="210">
        <v>96262</v>
      </c>
      <c r="C280" s="221">
        <v>0.2</v>
      </c>
      <c r="D280" s="237"/>
      <c r="E280" s="235">
        <f t="shared" si="50"/>
        <v>19252.400000000001</v>
      </c>
      <c r="F280" s="235">
        <f t="shared" si="48"/>
        <v>1925.2400000000002</v>
      </c>
      <c r="G280" s="236">
        <f t="shared" si="49"/>
        <v>21177.640000000003</v>
      </c>
      <c r="H280" s="186"/>
      <c r="J280" s="134"/>
      <c r="K280" s="133"/>
      <c r="M280" s="134"/>
    </row>
    <row r="281" spans="1:13" s="132" customFormat="1" x14ac:dyDescent="0.15">
      <c r="A281" s="188" t="s">
        <v>2227</v>
      </c>
      <c r="B281" s="210">
        <v>195010</v>
      </c>
      <c r="C281" s="221">
        <v>0.2</v>
      </c>
      <c r="D281" s="237"/>
      <c r="E281" s="235">
        <f t="shared" si="50"/>
        <v>39002</v>
      </c>
      <c r="F281" s="235">
        <f t="shared" si="48"/>
        <v>3900.2000000000003</v>
      </c>
      <c r="G281" s="236">
        <f t="shared" si="49"/>
        <v>42902.2</v>
      </c>
      <c r="H281" s="186"/>
      <c r="J281" s="134"/>
      <c r="K281" s="133"/>
      <c r="M281" s="134"/>
    </row>
    <row r="282" spans="1:13" s="132" customFormat="1" x14ac:dyDescent="0.15">
      <c r="A282" s="193" t="s">
        <v>2228</v>
      </c>
      <c r="B282" s="210">
        <v>204082</v>
      </c>
      <c r="C282" s="221">
        <v>0.2</v>
      </c>
      <c r="D282" s="237"/>
      <c r="E282" s="235">
        <f t="shared" si="50"/>
        <v>40816.400000000001</v>
      </c>
      <c r="F282" s="235">
        <f t="shared" si="48"/>
        <v>4081.6400000000003</v>
      </c>
      <c r="G282" s="236">
        <f t="shared" si="49"/>
        <v>44898.04</v>
      </c>
      <c r="H282" s="186"/>
      <c r="J282" s="134"/>
      <c r="K282" s="133"/>
      <c r="M282" s="134"/>
    </row>
    <row r="283" spans="1:13" s="132" customFormat="1" x14ac:dyDescent="0.15">
      <c r="A283" s="193" t="s">
        <v>2231</v>
      </c>
      <c r="B283" s="210">
        <v>337433</v>
      </c>
      <c r="C283" s="221">
        <v>0.2</v>
      </c>
      <c r="D283" s="237"/>
      <c r="E283" s="235">
        <f t="shared" si="50"/>
        <v>67486.600000000006</v>
      </c>
      <c r="F283" s="235">
        <f t="shared" si="48"/>
        <v>6748.6600000000008</v>
      </c>
      <c r="G283" s="236">
        <f t="shared" si="49"/>
        <v>74235.260000000009</v>
      </c>
      <c r="H283" s="186"/>
      <c r="J283" s="134"/>
      <c r="K283" s="133"/>
      <c r="M283" s="134"/>
    </row>
    <row r="284" spans="1:13" s="132" customFormat="1" x14ac:dyDescent="0.15">
      <c r="A284" s="188" t="s">
        <v>2233</v>
      </c>
      <c r="B284" s="210">
        <v>313623</v>
      </c>
      <c r="C284" s="221">
        <v>0.2</v>
      </c>
      <c r="D284" s="237"/>
      <c r="E284" s="235">
        <f t="shared" si="50"/>
        <v>62724.600000000006</v>
      </c>
      <c r="F284" s="235">
        <f t="shared" si="48"/>
        <v>6272.4600000000009</v>
      </c>
      <c r="G284" s="236">
        <f t="shared" si="49"/>
        <v>68997.060000000012</v>
      </c>
      <c r="H284" s="186"/>
      <c r="J284" s="134"/>
      <c r="K284" s="133"/>
      <c r="M284" s="134"/>
    </row>
    <row r="285" spans="1:13" s="132" customFormat="1" ht="12" thickBot="1" x14ac:dyDescent="0.2">
      <c r="A285" s="133"/>
      <c r="B285" s="211">
        <f>SUM(B274:B284)</f>
        <v>2408951</v>
      </c>
      <c r="C285" s="221"/>
      <c r="D285" s="237"/>
      <c r="E285" s="242">
        <f>SUM(E274:E284)</f>
        <v>481790.20000000007</v>
      </c>
      <c r="F285" s="242">
        <f t="shared" ref="F285:G285" si="51">SUM(F274:F284)</f>
        <v>48179.020000000011</v>
      </c>
      <c r="G285" s="242">
        <f t="shared" si="51"/>
        <v>529969.22000000009</v>
      </c>
      <c r="H285" s="186"/>
      <c r="J285" s="134"/>
      <c r="K285" s="133"/>
      <c r="M285" s="134"/>
    </row>
    <row r="286" spans="1:13" s="132" customFormat="1" ht="12" thickTop="1" x14ac:dyDescent="0.15">
      <c r="A286" s="193" t="s">
        <v>2160</v>
      </c>
      <c r="B286" s="210">
        <v>39668</v>
      </c>
      <c r="C286" s="221">
        <v>0.2</v>
      </c>
      <c r="D286" s="237"/>
      <c r="E286" s="235">
        <f t="shared" ref="E286:E290" si="52">+B286*C286</f>
        <v>7933.6</v>
      </c>
      <c r="F286" s="235">
        <f t="shared" ref="F286:F290" si="53">+E286*0.1</f>
        <v>793.36000000000013</v>
      </c>
      <c r="G286" s="236">
        <f t="shared" ref="G286:G290" si="54">SUM(E286:F286)</f>
        <v>8726.9600000000009</v>
      </c>
      <c r="H286" s="186"/>
      <c r="J286" s="134"/>
      <c r="K286" s="133"/>
      <c r="M286" s="134"/>
    </row>
    <row r="287" spans="1:13" s="132" customFormat="1" x14ac:dyDescent="0.15">
      <c r="A287" s="185" t="s">
        <v>2162</v>
      </c>
      <c r="B287" s="210">
        <v>302753</v>
      </c>
      <c r="C287" s="221">
        <v>0.2</v>
      </c>
      <c r="D287" s="237"/>
      <c r="E287" s="235">
        <f t="shared" si="52"/>
        <v>60550.600000000006</v>
      </c>
      <c r="F287" s="235">
        <f t="shared" si="53"/>
        <v>6055.0600000000013</v>
      </c>
      <c r="G287" s="236">
        <f t="shared" si="54"/>
        <v>66605.66</v>
      </c>
      <c r="H287" s="186"/>
      <c r="J287" s="134"/>
      <c r="K287" s="133"/>
      <c r="M287" s="134"/>
    </row>
    <row r="288" spans="1:13" s="132" customFormat="1" x14ac:dyDescent="0.15">
      <c r="A288" s="193" t="s">
        <v>2213</v>
      </c>
      <c r="B288" s="210">
        <v>233266</v>
      </c>
      <c r="C288" s="221">
        <v>0.2</v>
      </c>
      <c r="D288" s="237"/>
      <c r="E288" s="235">
        <f t="shared" si="52"/>
        <v>46653.200000000004</v>
      </c>
      <c r="F288" s="235">
        <f t="shared" si="53"/>
        <v>4665.3200000000006</v>
      </c>
      <c r="G288" s="236">
        <f t="shared" si="54"/>
        <v>51318.520000000004</v>
      </c>
      <c r="H288" s="186"/>
      <c r="J288" s="134"/>
      <c r="K288" s="133"/>
      <c r="M288" s="134"/>
    </row>
    <row r="289" spans="1:13" s="132" customFormat="1" x14ac:dyDescent="0.15">
      <c r="A289" s="193" t="s">
        <v>2214</v>
      </c>
      <c r="B289" s="210">
        <v>303861</v>
      </c>
      <c r="C289" s="221">
        <v>0.2</v>
      </c>
      <c r="D289" s="237"/>
      <c r="E289" s="235">
        <f t="shared" si="52"/>
        <v>60772.200000000004</v>
      </c>
      <c r="F289" s="235">
        <f t="shared" si="53"/>
        <v>6077.2200000000012</v>
      </c>
      <c r="G289" s="236">
        <f t="shared" si="54"/>
        <v>66849.420000000013</v>
      </c>
      <c r="H289" s="186"/>
      <c r="J289" s="134"/>
      <c r="K289" s="133"/>
      <c r="M289" s="134"/>
    </row>
    <row r="290" spans="1:13" s="132" customFormat="1" x14ac:dyDescent="0.15">
      <c r="A290" s="185" t="s">
        <v>2220</v>
      </c>
      <c r="B290" s="210">
        <v>132104</v>
      </c>
      <c r="C290" s="221">
        <v>0.2</v>
      </c>
      <c r="D290" s="237"/>
      <c r="E290" s="235">
        <f t="shared" si="52"/>
        <v>26420.800000000003</v>
      </c>
      <c r="F290" s="235">
        <f t="shared" si="53"/>
        <v>2642.0800000000004</v>
      </c>
      <c r="G290" s="236">
        <f t="shared" si="54"/>
        <v>29062.880000000005</v>
      </c>
      <c r="H290" s="186"/>
      <c r="J290" s="134"/>
      <c r="K290" s="133"/>
      <c r="M290" s="134"/>
    </row>
    <row r="291" spans="1:13" s="132" customFormat="1" x14ac:dyDescent="0.15">
      <c r="A291" s="133" t="s">
        <v>2221</v>
      </c>
      <c r="B291" s="210">
        <v>328820</v>
      </c>
      <c r="C291" s="221">
        <v>0.2</v>
      </c>
      <c r="D291" s="237"/>
      <c r="E291" s="235">
        <f t="shared" ref="E291:E298" si="55">+B291*C291</f>
        <v>65764</v>
      </c>
      <c r="F291" s="235">
        <f t="shared" ref="F291:F298" si="56">+E291*0.1</f>
        <v>6576.4000000000005</v>
      </c>
      <c r="G291" s="236">
        <f t="shared" ref="G291:G298" si="57">SUM(E291:F291)</f>
        <v>72340.399999999994</v>
      </c>
      <c r="H291" s="186"/>
      <c r="J291" s="210"/>
      <c r="K291" s="133"/>
      <c r="M291" s="134"/>
    </row>
    <row r="292" spans="1:13" s="132" customFormat="1" x14ac:dyDescent="0.15">
      <c r="A292" s="193" t="s">
        <v>2222</v>
      </c>
      <c r="B292" s="210">
        <v>233529</v>
      </c>
      <c r="C292" s="221">
        <v>0.2</v>
      </c>
      <c r="D292" s="237"/>
      <c r="E292" s="235">
        <f t="shared" si="55"/>
        <v>46705.8</v>
      </c>
      <c r="F292" s="235">
        <f t="shared" si="56"/>
        <v>4670.5800000000008</v>
      </c>
      <c r="G292" s="236">
        <f t="shared" si="57"/>
        <v>51376.380000000005</v>
      </c>
      <c r="H292" s="186"/>
      <c r="J292" s="134"/>
      <c r="K292" s="133"/>
      <c r="M292" s="134"/>
    </row>
    <row r="293" spans="1:13" x14ac:dyDescent="0.15">
      <c r="A293" s="193" t="s">
        <v>2223</v>
      </c>
      <c r="B293" s="210">
        <v>116754</v>
      </c>
      <c r="C293" s="221">
        <v>0.2</v>
      </c>
      <c r="D293" s="237"/>
      <c r="E293" s="235">
        <f t="shared" si="55"/>
        <v>23350.800000000003</v>
      </c>
      <c r="F293" s="235">
        <f t="shared" si="56"/>
        <v>2335.0800000000004</v>
      </c>
      <c r="G293" s="236">
        <f t="shared" si="57"/>
        <v>25685.880000000005</v>
      </c>
      <c r="H293" s="186"/>
    </row>
    <row r="294" spans="1:13" x14ac:dyDescent="0.15">
      <c r="A294" s="193" t="s">
        <v>2224</v>
      </c>
      <c r="B294" s="210">
        <v>183227</v>
      </c>
      <c r="C294" s="221">
        <v>0.2</v>
      </c>
      <c r="D294" s="237"/>
      <c r="E294" s="235">
        <f t="shared" si="55"/>
        <v>36645.4</v>
      </c>
      <c r="F294" s="235">
        <f t="shared" si="56"/>
        <v>3664.5400000000004</v>
      </c>
      <c r="G294" s="236">
        <f t="shared" si="57"/>
        <v>40309.94</v>
      </c>
      <c r="H294" s="186"/>
    </row>
    <row r="295" spans="1:13" x14ac:dyDescent="0.15">
      <c r="A295" s="193" t="s">
        <v>2226</v>
      </c>
      <c r="B295" s="210">
        <v>203953</v>
      </c>
      <c r="C295" s="221">
        <v>0.2</v>
      </c>
      <c r="D295" s="237"/>
      <c r="E295" s="235">
        <f t="shared" si="55"/>
        <v>40790.600000000006</v>
      </c>
      <c r="F295" s="235">
        <f t="shared" si="56"/>
        <v>4079.0600000000009</v>
      </c>
      <c r="G295" s="236">
        <f t="shared" si="57"/>
        <v>44869.66</v>
      </c>
      <c r="H295" s="186"/>
    </row>
    <row r="296" spans="1:13" x14ac:dyDescent="0.15">
      <c r="A296" s="193" t="s">
        <v>2229</v>
      </c>
      <c r="B296" s="210">
        <v>220154</v>
      </c>
      <c r="C296" s="221">
        <v>0.2</v>
      </c>
      <c r="D296" s="237"/>
      <c r="E296" s="235">
        <f t="shared" si="55"/>
        <v>44030.8</v>
      </c>
      <c r="F296" s="235">
        <f t="shared" si="56"/>
        <v>4403.0800000000008</v>
      </c>
      <c r="G296" s="236">
        <f t="shared" si="57"/>
        <v>48433.880000000005</v>
      </c>
      <c r="H296" s="186"/>
    </row>
    <row r="297" spans="1:13" x14ac:dyDescent="0.15">
      <c r="A297" s="193" t="s">
        <v>2230</v>
      </c>
      <c r="B297" s="210">
        <v>267077</v>
      </c>
      <c r="C297" s="221">
        <v>0.2</v>
      </c>
      <c r="D297" s="237"/>
      <c r="E297" s="235">
        <f t="shared" si="55"/>
        <v>53415.4</v>
      </c>
      <c r="F297" s="235">
        <f t="shared" si="56"/>
        <v>5341.5400000000009</v>
      </c>
      <c r="G297" s="236">
        <f t="shared" si="57"/>
        <v>58756.94</v>
      </c>
      <c r="H297" s="186"/>
    </row>
    <row r="298" spans="1:13" x14ac:dyDescent="0.15">
      <c r="A298" s="193" t="s">
        <v>2232</v>
      </c>
      <c r="B298" s="210">
        <v>176014</v>
      </c>
      <c r="C298" s="221">
        <v>0.2</v>
      </c>
      <c r="D298" s="237"/>
      <c r="E298" s="235">
        <f t="shared" si="55"/>
        <v>35202.800000000003</v>
      </c>
      <c r="F298" s="235">
        <f t="shared" si="56"/>
        <v>3520.2800000000007</v>
      </c>
      <c r="G298" s="236">
        <f t="shared" si="57"/>
        <v>38723.08</v>
      </c>
      <c r="H298" s="186"/>
    </row>
    <row r="299" spans="1:13" ht="12" thickBot="1" x14ac:dyDescent="0.2">
      <c r="A299" s="133"/>
      <c r="B299" s="211">
        <f>SUM(B286:B298)</f>
        <v>2741180</v>
      </c>
      <c r="C299" s="221"/>
      <c r="D299" s="237"/>
      <c r="E299" s="242">
        <f>SUM(E286:E298)</f>
        <v>548236</v>
      </c>
      <c r="F299" s="242">
        <f t="shared" ref="F299:G299" si="58">SUM(F286:F298)</f>
        <v>54823.600000000006</v>
      </c>
      <c r="G299" s="242">
        <f t="shared" si="58"/>
        <v>603059.6</v>
      </c>
      <c r="H299" s="186"/>
      <c r="I299" s="187"/>
    </row>
    <row r="300" spans="1:13" ht="12" thickTop="1" x14ac:dyDescent="0.15">
      <c r="A300" s="193"/>
      <c r="E300" s="183"/>
      <c r="F300" s="390"/>
      <c r="G300" s="219"/>
    </row>
  </sheetData>
  <mergeCells count="7">
    <mergeCell ref="B243:D24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3"/>
  <sheetViews>
    <sheetView topLeftCell="A377" workbookViewId="0">
      <selection activeCell="L387" sqref="L387:P502"/>
    </sheetView>
  </sheetViews>
  <sheetFormatPr defaultRowHeight="21.75" x14ac:dyDescent="0.5"/>
  <cols>
    <col min="1" max="1" width="6.85546875" style="420" customWidth="1"/>
    <col min="2" max="2" width="10.85546875" style="420" customWidth="1"/>
    <col min="3" max="3" width="14.140625" style="420" hidden="1" customWidth="1"/>
    <col min="4" max="4" width="14.140625" style="420" customWidth="1"/>
    <col min="5" max="5" width="64" style="420" hidden="1" customWidth="1"/>
    <col min="6" max="6" width="3.5703125" style="420" hidden="1" customWidth="1"/>
    <col min="7" max="7" width="30.7109375" style="420" hidden="1" customWidth="1"/>
    <col min="8" max="8" width="21.140625" style="420" hidden="1" customWidth="1"/>
    <col min="9" max="9" width="11.7109375" style="420" hidden="1" customWidth="1"/>
    <col min="10" max="10" width="11.42578125" style="420" hidden="1" customWidth="1"/>
    <col min="11" max="11" width="3.28515625" style="420" hidden="1" customWidth="1"/>
    <col min="12" max="12" width="16.5703125" style="420" bestFit="1" customWidth="1"/>
    <col min="13" max="13" width="16.28515625" style="419" bestFit="1" customWidth="1"/>
    <col min="14" max="15" width="16.28515625" style="419" customWidth="1"/>
    <col min="16" max="16" width="14.85546875" style="419" bestFit="1" customWidth="1"/>
    <col min="17" max="16384" width="9.140625" style="418"/>
  </cols>
  <sheetData>
    <row r="1" spans="1:16" x14ac:dyDescent="0.5">
      <c r="A1" s="430" t="s">
        <v>3257</v>
      </c>
    </row>
    <row r="2" spans="1:16" x14ac:dyDescent="0.5">
      <c r="A2" s="430" t="s">
        <v>3256</v>
      </c>
      <c r="E2" s="420" t="s">
        <v>2537</v>
      </c>
      <c r="G2" s="420" t="s">
        <v>2538</v>
      </c>
    </row>
    <row r="3" spans="1:16" ht="12.75" x14ac:dyDescent="0.2">
      <c r="A3" s="428" t="s">
        <v>2539</v>
      </c>
      <c r="B3" s="429" t="s">
        <v>8</v>
      </c>
      <c r="C3" s="428" t="s">
        <v>2540</v>
      </c>
      <c r="D3" s="428" t="s">
        <v>2541</v>
      </c>
      <c r="E3" s="428" t="s">
        <v>2542</v>
      </c>
      <c r="F3" s="428" t="s">
        <v>2543</v>
      </c>
      <c r="G3" s="428" t="s">
        <v>2544</v>
      </c>
      <c r="H3" s="428" t="s">
        <v>2545</v>
      </c>
      <c r="I3" s="428" t="s">
        <v>2546</v>
      </c>
      <c r="J3" s="428" t="s">
        <v>2547</v>
      </c>
      <c r="K3" s="428" t="s">
        <v>2548</v>
      </c>
      <c r="L3" s="428" t="s">
        <v>2549</v>
      </c>
      <c r="M3" s="427" t="s">
        <v>2550</v>
      </c>
      <c r="N3" s="427"/>
      <c r="O3" s="427"/>
      <c r="P3" s="426" t="s">
        <v>2551</v>
      </c>
    </row>
    <row r="4" spans="1:16" hidden="1" x14ac:dyDescent="0.5">
      <c r="A4" s="423">
        <v>1</v>
      </c>
      <c r="B4" s="423" t="s">
        <v>2114</v>
      </c>
      <c r="C4" s="423" t="s">
        <v>3255</v>
      </c>
      <c r="D4" s="423" t="s">
        <v>3254</v>
      </c>
      <c r="E4" s="423" t="s">
        <v>2672</v>
      </c>
      <c r="F4" s="423" t="s">
        <v>2554</v>
      </c>
      <c r="G4" s="423" t="s">
        <v>2768</v>
      </c>
      <c r="H4" s="423" t="s">
        <v>2876</v>
      </c>
      <c r="I4" s="423" t="s">
        <v>2555</v>
      </c>
      <c r="J4" s="423" t="s">
        <v>2555</v>
      </c>
      <c r="K4" s="423" t="s">
        <v>2556</v>
      </c>
      <c r="L4" s="423" t="s">
        <v>2557</v>
      </c>
      <c r="M4" s="422">
        <v>11589</v>
      </c>
      <c r="N4" s="422"/>
      <c r="O4" s="422"/>
      <c r="P4" s="422">
        <v>11594.874</v>
      </c>
    </row>
    <row r="5" spans="1:16" hidden="1" x14ac:dyDescent="0.5">
      <c r="A5" s="423">
        <v>2</v>
      </c>
      <c r="B5" s="423" t="s">
        <v>2114</v>
      </c>
      <c r="C5" s="423" t="s">
        <v>3056</v>
      </c>
      <c r="D5" s="423" t="s">
        <v>3253</v>
      </c>
      <c r="E5" s="423" t="s">
        <v>2553</v>
      </c>
      <c r="F5" s="423" t="s">
        <v>2554</v>
      </c>
      <c r="G5" s="423" t="s">
        <v>2887</v>
      </c>
      <c r="H5" s="423" t="s">
        <v>2886</v>
      </c>
      <c r="I5" s="423" t="s">
        <v>2567</v>
      </c>
      <c r="J5" s="423" t="s">
        <v>2567</v>
      </c>
      <c r="K5" s="423" t="s">
        <v>2556</v>
      </c>
      <c r="L5" s="423" t="s">
        <v>2557</v>
      </c>
      <c r="M5" s="422">
        <v>14813</v>
      </c>
      <c r="N5" s="422"/>
      <c r="O5" s="422"/>
      <c r="P5" s="422">
        <v>14820.508</v>
      </c>
    </row>
    <row r="6" spans="1:16" hidden="1" x14ac:dyDescent="0.5">
      <c r="A6" s="423">
        <v>3</v>
      </c>
      <c r="B6" s="423" t="s">
        <v>2114</v>
      </c>
      <c r="C6" s="423" t="s">
        <v>3056</v>
      </c>
      <c r="D6" s="423" t="s">
        <v>3252</v>
      </c>
      <c r="E6" s="423" t="s">
        <v>2566</v>
      </c>
      <c r="F6" s="423" t="s">
        <v>2559</v>
      </c>
      <c r="G6" s="423" t="s">
        <v>2885</v>
      </c>
      <c r="H6" s="423" t="s">
        <v>2884</v>
      </c>
      <c r="I6" s="423" t="s">
        <v>2883</v>
      </c>
      <c r="J6" s="423" t="s">
        <v>2883</v>
      </c>
      <c r="K6" s="423" t="s">
        <v>2556</v>
      </c>
      <c r="L6" s="423" t="s">
        <v>2557</v>
      </c>
      <c r="M6" s="422">
        <v>6305</v>
      </c>
      <c r="N6" s="422"/>
      <c r="O6" s="422"/>
      <c r="P6" s="422">
        <v>6301.8050000000003</v>
      </c>
    </row>
    <row r="7" spans="1:16" hidden="1" x14ac:dyDescent="0.5">
      <c r="A7" s="423">
        <v>4</v>
      </c>
      <c r="B7" s="423" t="s">
        <v>2114</v>
      </c>
      <c r="C7" s="423" t="s">
        <v>3056</v>
      </c>
      <c r="D7" s="423" t="s">
        <v>3251</v>
      </c>
      <c r="E7" s="423" t="s">
        <v>2560</v>
      </c>
      <c r="F7" s="423" t="s">
        <v>2554</v>
      </c>
      <c r="G7" s="423" t="s">
        <v>2561</v>
      </c>
      <c r="H7" s="423" t="s">
        <v>2849</v>
      </c>
      <c r="I7" s="423" t="s">
        <v>2562</v>
      </c>
      <c r="J7" s="423" t="s">
        <v>2563</v>
      </c>
      <c r="K7" s="423" t="s">
        <v>2556</v>
      </c>
      <c r="L7" s="423" t="s">
        <v>2557</v>
      </c>
      <c r="M7" s="422">
        <v>3905</v>
      </c>
      <c r="N7" s="422"/>
      <c r="O7" s="422"/>
      <c r="P7" s="422">
        <v>3903.0210000000002</v>
      </c>
    </row>
    <row r="8" spans="1:16" hidden="1" x14ac:dyDescent="0.5">
      <c r="A8" s="423">
        <v>5</v>
      </c>
      <c r="B8" s="423" t="s">
        <v>2114</v>
      </c>
      <c r="C8" s="423" t="s">
        <v>3056</v>
      </c>
      <c r="D8" s="423" t="s">
        <v>3250</v>
      </c>
      <c r="E8" s="423" t="s">
        <v>2553</v>
      </c>
      <c r="F8" s="423" t="s">
        <v>2559</v>
      </c>
      <c r="G8" s="423" t="s">
        <v>2748</v>
      </c>
      <c r="H8" s="423" t="s">
        <v>2674</v>
      </c>
      <c r="I8" s="423" t="s">
        <v>2558</v>
      </c>
      <c r="J8" s="423" t="s">
        <v>2558</v>
      </c>
      <c r="K8" s="423" t="s">
        <v>2556</v>
      </c>
      <c r="L8" s="423" t="s">
        <v>2557</v>
      </c>
      <c r="M8" s="422">
        <v>15246</v>
      </c>
      <c r="N8" s="422"/>
      <c r="O8" s="422"/>
      <c r="P8" s="422">
        <v>15238.273999999999</v>
      </c>
    </row>
    <row r="9" spans="1:16" hidden="1" x14ac:dyDescent="0.5">
      <c r="A9" s="423">
        <v>6</v>
      </c>
      <c r="B9" s="423" t="s">
        <v>2115</v>
      </c>
      <c r="C9" s="423" t="s">
        <v>3056</v>
      </c>
      <c r="D9" s="423" t="s">
        <v>3249</v>
      </c>
      <c r="E9" s="423" t="s">
        <v>2568</v>
      </c>
      <c r="F9" s="423" t="s">
        <v>2559</v>
      </c>
      <c r="G9" s="423" t="s">
        <v>2838</v>
      </c>
      <c r="H9" s="423" t="s">
        <v>2569</v>
      </c>
      <c r="I9" s="423" t="s">
        <v>2577</v>
      </c>
      <c r="J9" s="423" t="s">
        <v>2570</v>
      </c>
      <c r="K9" s="423" t="s">
        <v>2556</v>
      </c>
      <c r="L9" s="423" t="s">
        <v>2557</v>
      </c>
      <c r="M9" s="422">
        <v>9323</v>
      </c>
      <c r="N9" s="422"/>
      <c r="O9" s="422"/>
      <c r="P9" s="422">
        <v>9321.11</v>
      </c>
    </row>
    <row r="10" spans="1:16" hidden="1" x14ac:dyDescent="0.5">
      <c r="A10" s="423">
        <v>7</v>
      </c>
      <c r="B10" s="423" t="s">
        <v>2115</v>
      </c>
      <c r="C10" s="423" t="s">
        <v>3056</v>
      </c>
      <c r="D10" s="423" t="s">
        <v>3248</v>
      </c>
      <c r="E10" s="423" t="s">
        <v>2560</v>
      </c>
      <c r="F10" s="423" t="s">
        <v>2554</v>
      </c>
      <c r="G10" s="423" t="s">
        <v>2561</v>
      </c>
      <c r="H10" s="423" t="s">
        <v>2849</v>
      </c>
      <c r="I10" s="423" t="s">
        <v>2577</v>
      </c>
      <c r="J10" s="423" t="s">
        <v>2563</v>
      </c>
      <c r="K10" s="423" t="s">
        <v>2556</v>
      </c>
      <c r="L10" s="423" t="s">
        <v>2557</v>
      </c>
      <c r="M10" s="422">
        <v>3843</v>
      </c>
      <c r="N10" s="422"/>
      <c r="O10" s="422"/>
      <c r="P10" s="422">
        <v>3842.221</v>
      </c>
    </row>
    <row r="11" spans="1:16" hidden="1" x14ac:dyDescent="0.5">
      <c r="A11" s="423">
        <v>8</v>
      </c>
      <c r="B11" s="423" t="s">
        <v>2116</v>
      </c>
      <c r="C11" s="423" t="s">
        <v>3056</v>
      </c>
      <c r="D11" s="423" t="s">
        <v>3247</v>
      </c>
      <c r="E11" s="423" t="s">
        <v>2553</v>
      </c>
      <c r="F11" s="423" t="s">
        <v>2554</v>
      </c>
      <c r="G11" s="423" t="s">
        <v>2766</v>
      </c>
      <c r="H11" s="423" t="s">
        <v>2575</v>
      </c>
      <c r="I11" s="423" t="s">
        <v>2555</v>
      </c>
      <c r="J11" s="423" t="s">
        <v>2555</v>
      </c>
      <c r="K11" s="423" t="s">
        <v>2556</v>
      </c>
      <c r="L11" s="423" t="s">
        <v>2557</v>
      </c>
      <c r="M11" s="422">
        <v>11274</v>
      </c>
      <c r="N11" s="422"/>
      <c r="O11" s="422"/>
      <c r="P11" s="422">
        <v>11269.43</v>
      </c>
    </row>
    <row r="12" spans="1:16" hidden="1" x14ac:dyDescent="0.5">
      <c r="A12" s="423">
        <v>9</v>
      </c>
      <c r="B12" s="423" t="s">
        <v>2116</v>
      </c>
      <c r="C12" s="423" t="s">
        <v>3056</v>
      </c>
      <c r="D12" s="423" t="s">
        <v>3246</v>
      </c>
      <c r="E12" s="423" t="s">
        <v>2760</v>
      </c>
      <c r="F12" s="423" t="s">
        <v>2600</v>
      </c>
      <c r="G12" s="423" t="s">
        <v>2825</v>
      </c>
      <c r="H12" s="423" t="s">
        <v>2882</v>
      </c>
      <c r="I12" s="423" t="s">
        <v>2823</v>
      </c>
      <c r="J12" s="423" t="s">
        <v>2823</v>
      </c>
      <c r="K12" s="423" t="s">
        <v>2556</v>
      </c>
      <c r="L12" s="423" t="s">
        <v>2557</v>
      </c>
      <c r="M12" s="422">
        <v>63473</v>
      </c>
      <c r="N12" s="422"/>
      <c r="O12" s="422"/>
      <c r="P12" s="422">
        <v>63447.269</v>
      </c>
    </row>
    <row r="13" spans="1:16" hidden="1" x14ac:dyDescent="0.5">
      <c r="A13" s="423">
        <v>10</v>
      </c>
      <c r="B13" s="423" t="s">
        <v>2116</v>
      </c>
      <c r="C13" s="423" t="s">
        <v>3056</v>
      </c>
      <c r="D13" s="423" t="s">
        <v>3245</v>
      </c>
      <c r="E13" s="423" t="s">
        <v>2760</v>
      </c>
      <c r="F13" s="423" t="s">
        <v>2600</v>
      </c>
      <c r="G13" s="423" t="s">
        <v>2759</v>
      </c>
      <c r="H13" s="423" t="s">
        <v>2758</v>
      </c>
      <c r="I13" s="423" t="s">
        <v>2757</v>
      </c>
      <c r="J13" s="423" t="s">
        <v>2757</v>
      </c>
      <c r="K13" s="423" t="s">
        <v>2556</v>
      </c>
      <c r="L13" s="423" t="s">
        <v>2557</v>
      </c>
      <c r="M13" s="422">
        <v>72150</v>
      </c>
      <c r="N13" s="422"/>
      <c r="O13" s="422"/>
      <c r="P13" s="422">
        <v>72120.751000000004</v>
      </c>
    </row>
    <row r="14" spans="1:16" hidden="1" x14ac:dyDescent="0.5">
      <c r="A14" s="423">
        <v>11</v>
      </c>
      <c r="B14" s="423" t="s">
        <v>2116</v>
      </c>
      <c r="C14" s="423" t="s">
        <v>3056</v>
      </c>
      <c r="D14" s="423" t="s">
        <v>3244</v>
      </c>
      <c r="E14" s="423" t="s">
        <v>2566</v>
      </c>
      <c r="F14" s="423" t="s">
        <v>2559</v>
      </c>
      <c r="G14" s="423" t="s">
        <v>2881</v>
      </c>
      <c r="H14" s="423" t="s">
        <v>2863</v>
      </c>
      <c r="I14" s="423" t="s">
        <v>2880</v>
      </c>
      <c r="J14" s="423" t="s">
        <v>2842</v>
      </c>
      <c r="K14" s="423" t="s">
        <v>2556</v>
      </c>
      <c r="L14" s="423" t="s">
        <v>2557</v>
      </c>
      <c r="M14" s="422">
        <v>38010</v>
      </c>
      <c r="N14" s="422"/>
      <c r="O14" s="422"/>
      <c r="P14" s="422">
        <v>37994.591</v>
      </c>
    </row>
    <row r="15" spans="1:16" hidden="1" x14ac:dyDescent="0.5">
      <c r="A15" s="423">
        <v>12</v>
      </c>
      <c r="B15" s="423" t="s">
        <v>2116</v>
      </c>
      <c r="C15" s="423" t="s">
        <v>3056</v>
      </c>
      <c r="D15" s="423" t="s">
        <v>3243</v>
      </c>
      <c r="E15" s="423" t="s">
        <v>2560</v>
      </c>
      <c r="F15" s="423" t="s">
        <v>2554</v>
      </c>
      <c r="G15" s="423" t="s">
        <v>2561</v>
      </c>
      <c r="H15" s="423" t="s">
        <v>2849</v>
      </c>
      <c r="I15" s="423" t="s">
        <v>2562</v>
      </c>
      <c r="J15" s="423" t="s">
        <v>2563</v>
      </c>
      <c r="K15" s="423" t="s">
        <v>2556</v>
      </c>
      <c r="L15" s="423" t="s">
        <v>2557</v>
      </c>
      <c r="M15" s="422">
        <v>12060</v>
      </c>
      <c r="N15" s="422"/>
      <c r="O15" s="422"/>
      <c r="P15" s="422">
        <v>12055.111000000001</v>
      </c>
    </row>
    <row r="16" spans="1:16" hidden="1" x14ac:dyDescent="0.5">
      <c r="A16" s="423">
        <v>13</v>
      </c>
      <c r="B16" s="423" t="s">
        <v>2116</v>
      </c>
      <c r="C16" s="423" t="s">
        <v>3056</v>
      </c>
      <c r="D16" s="423" t="s">
        <v>3242</v>
      </c>
      <c r="E16" s="423" t="s">
        <v>2553</v>
      </c>
      <c r="F16" s="423" t="s">
        <v>2559</v>
      </c>
      <c r="G16" s="423" t="s">
        <v>2748</v>
      </c>
      <c r="H16" s="423" t="s">
        <v>2686</v>
      </c>
      <c r="I16" s="423" t="s">
        <v>2558</v>
      </c>
      <c r="J16" s="423" t="s">
        <v>2558</v>
      </c>
      <c r="K16" s="423" t="s">
        <v>2556</v>
      </c>
      <c r="L16" s="423" t="s">
        <v>2557</v>
      </c>
      <c r="M16" s="422">
        <v>14768</v>
      </c>
      <c r="N16" s="422"/>
      <c r="O16" s="422"/>
      <c r="P16" s="422">
        <v>14762.013000000001</v>
      </c>
    </row>
    <row r="17" spans="1:16" hidden="1" x14ac:dyDescent="0.5">
      <c r="A17" s="423">
        <v>14</v>
      </c>
      <c r="B17" s="423" t="s">
        <v>2117</v>
      </c>
      <c r="C17" s="423" t="s">
        <v>3056</v>
      </c>
      <c r="D17" s="423" t="s">
        <v>3241</v>
      </c>
      <c r="E17" s="423" t="s">
        <v>2672</v>
      </c>
      <c r="F17" s="423" t="s">
        <v>2554</v>
      </c>
      <c r="G17" s="423" t="s">
        <v>2768</v>
      </c>
      <c r="H17" s="423" t="s">
        <v>2879</v>
      </c>
      <c r="I17" s="423" t="s">
        <v>2555</v>
      </c>
      <c r="J17" s="423" t="s">
        <v>2555</v>
      </c>
      <c r="K17" s="423" t="s">
        <v>2556</v>
      </c>
      <c r="L17" s="423" t="s">
        <v>2557</v>
      </c>
      <c r="M17" s="422">
        <v>12612</v>
      </c>
      <c r="N17" s="422"/>
      <c r="O17" s="422"/>
      <c r="P17" s="422">
        <v>12632.46</v>
      </c>
    </row>
    <row r="18" spans="1:16" hidden="1" x14ac:dyDescent="0.5">
      <c r="A18" s="423">
        <v>15</v>
      </c>
      <c r="B18" s="423" t="s">
        <v>2117</v>
      </c>
      <c r="C18" s="423" t="s">
        <v>3056</v>
      </c>
      <c r="D18" s="423" t="s">
        <v>3240</v>
      </c>
      <c r="E18" s="423" t="s">
        <v>2760</v>
      </c>
      <c r="F18" s="423" t="s">
        <v>2600</v>
      </c>
      <c r="G18" s="423" t="s">
        <v>2866</v>
      </c>
      <c r="H18" s="423" t="s">
        <v>2801</v>
      </c>
      <c r="I18" s="423" t="s">
        <v>2794</v>
      </c>
      <c r="J18" s="423" t="s">
        <v>2794</v>
      </c>
      <c r="K18" s="423" t="s">
        <v>2556</v>
      </c>
      <c r="L18" s="423" t="s">
        <v>2557</v>
      </c>
      <c r="M18" s="422">
        <v>76500</v>
      </c>
      <c r="N18" s="422"/>
      <c r="O18" s="422"/>
      <c r="P18" s="422">
        <v>76461.218999999997</v>
      </c>
    </row>
    <row r="19" spans="1:16" hidden="1" x14ac:dyDescent="0.5">
      <c r="A19" s="423">
        <v>16</v>
      </c>
      <c r="B19" s="423" t="s">
        <v>2117</v>
      </c>
      <c r="C19" s="423" t="s">
        <v>3056</v>
      </c>
      <c r="D19" s="423" t="s">
        <v>3239</v>
      </c>
      <c r="E19" s="423" t="s">
        <v>2568</v>
      </c>
      <c r="F19" s="423" t="s">
        <v>2559</v>
      </c>
      <c r="G19" s="423" t="s">
        <v>2769</v>
      </c>
      <c r="H19" s="423" t="s">
        <v>2569</v>
      </c>
      <c r="I19" s="423" t="s">
        <v>2570</v>
      </c>
      <c r="J19" s="423" t="s">
        <v>2570</v>
      </c>
      <c r="K19" s="423" t="s">
        <v>2556</v>
      </c>
      <c r="L19" s="423" t="s">
        <v>2557</v>
      </c>
      <c r="M19" s="422">
        <v>10408</v>
      </c>
      <c r="N19" s="422"/>
      <c r="O19" s="422"/>
      <c r="P19" s="422">
        <v>10402.724</v>
      </c>
    </row>
    <row r="20" spans="1:16" hidden="1" x14ac:dyDescent="0.5">
      <c r="A20" s="423">
        <v>17</v>
      </c>
      <c r="B20" s="423" t="s">
        <v>2117</v>
      </c>
      <c r="C20" s="423" t="s">
        <v>3056</v>
      </c>
      <c r="D20" s="423" t="s">
        <v>3238</v>
      </c>
      <c r="E20" s="423" t="s">
        <v>2560</v>
      </c>
      <c r="F20" s="423" t="s">
        <v>2554</v>
      </c>
      <c r="G20" s="423" t="s">
        <v>2561</v>
      </c>
      <c r="H20" s="423" t="s">
        <v>2849</v>
      </c>
      <c r="I20" s="423" t="s">
        <v>2577</v>
      </c>
      <c r="J20" s="423" t="s">
        <v>2563</v>
      </c>
      <c r="K20" s="423" t="s">
        <v>2556</v>
      </c>
      <c r="L20" s="423" t="s">
        <v>2557</v>
      </c>
      <c r="M20" s="422">
        <v>12371</v>
      </c>
      <c r="N20" s="422"/>
      <c r="O20" s="422"/>
      <c r="P20" s="422">
        <v>12364.728999999999</v>
      </c>
    </row>
    <row r="21" spans="1:16" hidden="1" x14ac:dyDescent="0.5">
      <c r="A21" s="423">
        <v>18</v>
      </c>
      <c r="B21" s="423" t="s">
        <v>2117</v>
      </c>
      <c r="C21" s="423" t="s">
        <v>3056</v>
      </c>
      <c r="D21" s="423" t="s">
        <v>3237</v>
      </c>
      <c r="E21" s="423" t="s">
        <v>2566</v>
      </c>
      <c r="F21" s="423" t="s">
        <v>2559</v>
      </c>
      <c r="G21" s="423" t="s">
        <v>2844</v>
      </c>
      <c r="H21" s="423" t="s">
        <v>2863</v>
      </c>
      <c r="I21" s="423" t="s">
        <v>2842</v>
      </c>
      <c r="J21" s="423" t="s">
        <v>2841</v>
      </c>
      <c r="K21" s="423" t="s">
        <v>2556</v>
      </c>
      <c r="L21" s="423" t="s">
        <v>2557</v>
      </c>
      <c r="M21" s="422">
        <v>31150</v>
      </c>
      <c r="N21" s="422"/>
      <c r="O21" s="422"/>
      <c r="P21" s="422">
        <v>31134.208999999999</v>
      </c>
    </row>
    <row r="22" spans="1:16" hidden="1" x14ac:dyDescent="0.5">
      <c r="A22" s="423">
        <v>19</v>
      </c>
      <c r="B22" s="423" t="s">
        <v>2118</v>
      </c>
      <c r="C22" s="423" t="s">
        <v>3056</v>
      </c>
      <c r="D22" s="423" t="s">
        <v>3236</v>
      </c>
      <c r="E22" s="423" t="s">
        <v>2553</v>
      </c>
      <c r="F22" s="423" t="s">
        <v>2559</v>
      </c>
      <c r="G22" s="423" t="s">
        <v>2773</v>
      </c>
      <c r="H22" s="423" t="s">
        <v>2671</v>
      </c>
      <c r="I22" s="423" t="s">
        <v>2573</v>
      </c>
      <c r="J22" s="423" t="s">
        <v>2573</v>
      </c>
      <c r="K22" s="423" t="s">
        <v>2556</v>
      </c>
      <c r="L22" s="423" t="s">
        <v>2557</v>
      </c>
      <c r="M22" s="422">
        <v>14697</v>
      </c>
      <c r="N22" s="422"/>
      <c r="O22" s="422"/>
      <c r="P22" s="422">
        <v>14689.552</v>
      </c>
    </row>
    <row r="23" spans="1:16" hidden="1" x14ac:dyDescent="0.5">
      <c r="A23" s="423">
        <v>20</v>
      </c>
      <c r="B23" s="423" t="s">
        <v>2118</v>
      </c>
      <c r="C23" s="423" t="s">
        <v>3056</v>
      </c>
      <c r="D23" s="423" t="s">
        <v>3235</v>
      </c>
      <c r="E23" s="423" t="s">
        <v>2553</v>
      </c>
      <c r="F23" s="423" t="s">
        <v>2554</v>
      </c>
      <c r="G23" s="423" t="s">
        <v>2766</v>
      </c>
      <c r="H23" s="423" t="s">
        <v>2579</v>
      </c>
      <c r="I23" s="423" t="s">
        <v>2555</v>
      </c>
      <c r="J23" s="423" t="s">
        <v>2555</v>
      </c>
      <c r="K23" s="423" t="s">
        <v>2556</v>
      </c>
      <c r="L23" s="423" t="s">
        <v>2557</v>
      </c>
      <c r="M23" s="422">
        <v>11313</v>
      </c>
      <c r="N23" s="422"/>
      <c r="O23" s="422"/>
      <c r="P23" s="422">
        <v>11307.267</v>
      </c>
    </row>
    <row r="24" spans="1:16" hidden="1" x14ac:dyDescent="0.5">
      <c r="A24" s="423">
        <v>21</v>
      </c>
      <c r="B24" s="423" t="s">
        <v>2118</v>
      </c>
      <c r="C24" s="423" t="s">
        <v>3056</v>
      </c>
      <c r="D24" s="423" t="s">
        <v>3234</v>
      </c>
      <c r="E24" s="423" t="s">
        <v>2560</v>
      </c>
      <c r="F24" s="423" t="s">
        <v>2554</v>
      </c>
      <c r="G24" s="423" t="s">
        <v>2598</v>
      </c>
      <c r="H24" s="423" t="s">
        <v>2849</v>
      </c>
      <c r="I24" s="423" t="s">
        <v>2576</v>
      </c>
      <c r="J24" s="423" t="s">
        <v>2562</v>
      </c>
      <c r="K24" s="423" t="s">
        <v>2556</v>
      </c>
      <c r="L24" s="423" t="s">
        <v>2557</v>
      </c>
      <c r="M24" s="422">
        <v>2511</v>
      </c>
      <c r="N24" s="422"/>
      <c r="O24" s="422"/>
      <c r="P24" s="422">
        <v>2509.7280000000001</v>
      </c>
    </row>
    <row r="25" spans="1:16" hidden="1" x14ac:dyDescent="0.5">
      <c r="A25" s="423">
        <v>22</v>
      </c>
      <c r="B25" s="423" t="s">
        <v>2118</v>
      </c>
      <c r="C25" s="423" t="s">
        <v>3056</v>
      </c>
      <c r="D25" s="423" t="s">
        <v>3233</v>
      </c>
      <c r="E25" s="423" t="s">
        <v>2591</v>
      </c>
      <c r="F25" s="423" t="s">
        <v>2554</v>
      </c>
      <c r="G25" s="423" t="s">
        <v>2678</v>
      </c>
      <c r="H25" s="423" t="s">
        <v>2878</v>
      </c>
      <c r="I25" s="423" t="s">
        <v>2592</v>
      </c>
      <c r="J25" s="423" t="s">
        <v>2592</v>
      </c>
      <c r="K25" s="423" t="s">
        <v>2556</v>
      </c>
      <c r="L25" s="423" t="s">
        <v>2557</v>
      </c>
      <c r="M25" s="422">
        <v>630</v>
      </c>
      <c r="N25" s="422"/>
      <c r="O25" s="422"/>
      <c r="P25" s="422">
        <v>629.68100000000004</v>
      </c>
    </row>
    <row r="26" spans="1:16" hidden="1" x14ac:dyDescent="0.5">
      <c r="A26" s="423">
        <v>23</v>
      </c>
      <c r="B26" s="423" t="s">
        <v>2118</v>
      </c>
      <c r="C26" s="423" t="s">
        <v>3056</v>
      </c>
      <c r="D26" s="423" t="s">
        <v>3232</v>
      </c>
      <c r="E26" s="423" t="s">
        <v>2752</v>
      </c>
      <c r="F26" s="423" t="s">
        <v>2554</v>
      </c>
      <c r="G26" s="423" t="s">
        <v>2751</v>
      </c>
      <c r="H26" s="423" t="s">
        <v>2877</v>
      </c>
      <c r="I26" s="423" t="s">
        <v>2592</v>
      </c>
      <c r="J26" s="423" t="s">
        <v>2592</v>
      </c>
      <c r="K26" s="423" t="s">
        <v>2556</v>
      </c>
      <c r="L26" s="423" t="s">
        <v>2557</v>
      </c>
      <c r="M26" s="422">
        <v>3830</v>
      </c>
      <c r="N26" s="422"/>
      <c r="O26" s="422"/>
      <c r="P26" s="422">
        <v>3828.0590000000002</v>
      </c>
    </row>
    <row r="27" spans="1:16" hidden="1" x14ac:dyDescent="0.5">
      <c r="A27" s="423">
        <v>24</v>
      </c>
      <c r="B27" s="423" t="s">
        <v>2118</v>
      </c>
      <c r="C27" s="423" t="s">
        <v>3056</v>
      </c>
      <c r="D27" s="423" t="s">
        <v>3231</v>
      </c>
      <c r="E27" s="423" t="s">
        <v>2560</v>
      </c>
      <c r="F27" s="423" t="s">
        <v>2554</v>
      </c>
      <c r="G27" s="423" t="s">
        <v>2561</v>
      </c>
      <c r="H27" s="423" t="s">
        <v>2849</v>
      </c>
      <c r="I27" s="423" t="s">
        <v>2562</v>
      </c>
      <c r="J27" s="423" t="s">
        <v>2563</v>
      </c>
      <c r="K27" s="423" t="s">
        <v>2556</v>
      </c>
      <c r="L27" s="423" t="s">
        <v>2557</v>
      </c>
      <c r="M27" s="422">
        <v>5904</v>
      </c>
      <c r="N27" s="422"/>
      <c r="O27" s="422"/>
      <c r="P27" s="422">
        <v>5901.0079999999998</v>
      </c>
    </row>
    <row r="28" spans="1:16" hidden="1" x14ac:dyDescent="0.5">
      <c r="A28" s="423">
        <v>25</v>
      </c>
      <c r="B28" s="423" t="s">
        <v>2119</v>
      </c>
      <c r="C28" s="423" t="s">
        <v>3056</v>
      </c>
      <c r="D28" s="423" t="s">
        <v>3230</v>
      </c>
      <c r="E28" s="423" t="s">
        <v>2672</v>
      </c>
      <c r="F28" s="423" t="s">
        <v>2554</v>
      </c>
      <c r="G28" s="423" t="s">
        <v>2768</v>
      </c>
      <c r="H28" s="423" t="s">
        <v>2876</v>
      </c>
      <c r="I28" s="423" t="s">
        <v>2555</v>
      </c>
      <c r="J28" s="423" t="s">
        <v>2555</v>
      </c>
      <c r="K28" s="423" t="s">
        <v>2556</v>
      </c>
      <c r="L28" s="423" t="s">
        <v>2557</v>
      </c>
      <c r="M28" s="422">
        <v>11818</v>
      </c>
      <c r="N28" s="422"/>
      <c r="O28" s="422"/>
      <c r="P28" s="422">
        <v>11829.981</v>
      </c>
    </row>
    <row r="29" spans="1:16" hidden="1" x14ac:dyDescent="0.5">
      <c r="A29" s="423">
        <v>26</v>
      </c>
      <c r="B29" s="423" t="s">
        <v>2119</v>
      </c>
      <c r="C29" s="423" t="s">
        <v>3056</v>
      </c>
      <c r="D29" s="423" t="s">
        <v>3229</v>
      </c>
      <c r="E29" s="423" t="s">
        <v>2566</v>
      </c>
      <c r="F29" s="423" t="s">
        <v>2559</v>
      </c>
      <c r="G29" s="423" t="s">
        <v>2875</v>
      </c>
      <c r="H29" s="423" t="s">
        <v>2780</v>
      </c>
      <c r="I29" s="423" t="s">
        <v>2778</v>
      </c>
      <c r="J29" s="423" t="s">
        <v>2779</v>
      </c>
      <c r="K29" s="423" t="s">
        <v>2556</v>
      </c>
      <c r="L29" s="423" t="s">
        <v>2557</v>
      </c>
      <c r="M29" s="422">
        <v>31680</v>
      </c>
      <c r="N29" s="422"/>
      <c r="O29" s="422"/>
      <c r="P29" s="422">
        <v>31712.116999999998</v>
      </c>
    </row>
    <row r="30" spans="1:16" hidden="1" x14ac:dyDescent="0.5">
      <c r="A30" s="423">
        <v>27</v>
      </c>
      <c r="B30" s="423" t="s">
        <v>2119</v>
      </c>
      <c r="C30" s="423" t="s">
        <v>3056</v>
      </c>
      <c r="D30" s="423" t="s">
        <v>3228</v>
      </c>
      <c r="E30" s="423" t="s">
        <v>2760</v>
      </c>
      <c r="F30" s="423" t="s">
        <v>2600</v>
      </c>
      <c r="G30" s="423" t="s">
        <v>2802</v>
      </c>
      <c r="H30" s="423" t="s">
        <v>2791</v>
      </c>
      <c r="I30" s="423" t="s">
        <v>2761</v>
      </c>
      <c r="J30" s="423" t="s">
        <v>2761</v>
      </c>
      <c r="K30" s="423" t="s">
        <v>2556</v>
      </c>
      <c r="L30" s="423" t="s">
        <v>2557</v>
      </c>
      <c r="M30" s="422">
        <v>72587</v>
      </c>
      <c r="N30" s="422"/>
      <c r="O30" s="422"/>
      <c r="P30" s="422">
        <v>72660.588000000003</v>
      </c>
    </row>
    <row r="31" spans="1:16" hidden="1" x14ac:dyDescent="0.5">
      <c r="A31" s="423">
        <v>28</v>
      </c>
      <c r="B31" s="423" t="s">
        <v>2119</v>
      </c>
      <c r="C31" s="423" t="s">
        <v>3056</v>
      </c>
      <c r="D31" s="423" t="s">
        <v>3227</v>
      </c>
      <c r="E31" s="423" t="s">
        <v>2568</v>
      </c>
      <c r="F31" s="423" t="s">
        <v>2559</v>
      </c>
      <c r="G31" s="423" t="s">
        <v>2812</v>
      </c>
      <c r="H31" s="423" t="s">
        <v>2569</v>
      </c>
      <c r="I31" s="423" t="s">
        <v>2577</v>
      </c>
      <c r="J31" s="423" t="s">
        <v>2570</v>
      </c>
      <c r="K31" s="423" t="s">
        <v>2556</v>
      </c>
      <c r="L31" s="423" t="s">
        <v>2557</v>
      </c>
      <c r="M31" s="422">
        <v>10462</v>
      </c>
      <c r="N31" s="422"/>
      <c r="O31" s="422"/>
      <c r="P31" s="422">
        <v>10456.696</v>
      </c>
    </row>
    <row r="32" spans="1:16" hidden="1" x14ac:dyDescent="0.5">
      <c r="A32" s="423">
        <v>29</v>
      </c>
      <c r="B32" s="423" t="s">
        <v>2119</v>
      </c>
      <c r="C32" s="423" t="s">
        <v>3056</v>
      </c>
      <c r="D32" s="423" t="s">
        <v>3226</v>
      </c>
      <c r="E32" s="423" t="s">
        <v>2560</v>
      </c>
      <c r="F32" s="423" t="s">
        <v>2554</v>
      </c>
      <c r="G32" s="423" t="s">
        <v>2561</v>
      </c>
      <c r="H32" s="423" t="s">
        <v>2849</v>
      </c>
      <c r="I32" s="423" t="s">
        <v>2577</v>
      </c>
      <c r="J32" s="423" t="s">
        <v>2563</v>
      </c>
      <c r="K32" s="423" t="s">
        <v>2556</v>
      </c>
      <c r="L32" s="423" t="s">
        <v>2557</v>
      </c>
      <c r="M32" s="422">
        <v>6336</v>
      </c>
      <c r="N32" s="422"/>
      <c r="O32" s="422"/>
      <c r="P32" s="422">
        <v>6332.7879999999996</v>
      </c>
    </row>
    <row r="33" spans="1:16" hidden="1" x14ac:dyDescent="0.5">
      <c r="A33" s="423">
        <v>30</v>
      </c>
      <c r="B33" s="423" t="s">
        <v>2119</v>
      </c>
      <c r="C33" s="423" t="s">
        <v>3034</v>
      </c>
      <c r="D33" s="423" t="s">
        <v>3225</v>
      </c>
      <c r="E33" s="423" t="s">
        <v>2553</v>
      </c>
      <c r="F33" s="423" t="s">
        <v>2559</v>
      </c>
      <c r="G33" s="423" t="s">
        <v>2748</v>
      </c>
      <c r="H33" s="423" t="s">
        <v>2564</v>
      </c>
      <c r="I33" s="423" t="s">
        <v>2558</v>
      </c>
      <c r="J33" s="423" t="s">
        <v>2558</v>
      </c>
      <c r="K33" s="423" t="s">
        <v>2556</v>
      </c>
      <c r="L33" s="423" t="s">
        <v>2557</v>
      </c>
      <c r="M33" s="422">
        <v>13180</v>
      </c>
      <c r="N33" s="422"/>
      <c r="O33" s="422"/>
      <c r="P33" s="422">
        <v>13173.319</v>
      </c>
    </row>
    <row r="34" spans="1:16" hidden="1" x14ac:dyDescent="0.5">
      <c r="A34" s="423">
        <v>31</v>
      </c>
      <c r="B34" s="423" t="s">
        <v>2120</v>
      </c>
      <c r="C34" s="423" t="s">
        <v>3034</v>
      </c>
      <c r="D34" s="423" t="s">
        <v>3224</v>
      </c>
      <c r="E34" s="423" t="s">
        <v>2553</v>
      </c>
      <c r="F34" s="423" t="s">
        <v>2554</v>
      </c>
      <c r="G34" s="423" t="s">
        <v>2766</v>
      </c>
      <c r="H34" s="423" t="s">
        <v>2590</v>
      </c>
      <c r="I34" s="423" t="s">
        <v>2555</v>
      </c>
      <c r="J34" s="423" t="s">
        <v>2555</v>
      </c>
      <c r="K34" s="423" t="s">
        <v>2556</v>
      </c>
      <c r="L34" s="423" t="s">
        <v>2557</v>
      </c>
      <c r="M34" s="422">
        <v>11843</v>
      </c>
      <c r="N34" s="422"/>
      <c r="O34" s="422"/>
      <c r="P34" s="422">
        <v>11836.995999999999</v>
      </c>
    </row>
    <row r="35" spans="1:16" hidden="1" x14ac:dyDescent="0.5">
      <c r="A35" s="423">
        <v>32</v>
      </c>
      <c r="B35" s="423" t="s">
        <v>2120</v>
      </c>
      <c r="C35" s="423" t="s">
        <v>3034</v>
      </c>
      <c r="D35" s="423" t="s">
        <v>3223</v>
      </c>
      <c r="E35" s="423" t="s">
        <v>2760</v>
      </c>
      <c r="F35" s="423" t="s">
        <v>2600</v>
      </c>
      <c r="G35" s="423" t="s">
        <v>2792</v>
      </c>
      <c r="H35" s="423" t="s">
        <v>2801</v>
      </c>
      <c r="I35" s="423" t="s">
        <v>2790</v>
      </c>
      <c r="J35" s="423" t="s">
        <v>2790</v>
      </c>
      <c r="K35" s="423" t="s">
        <v>2556</v>
      </c>
      <c r="L35" s="423" t="s">
        <v>2557</v>
      </c>
      <c r="M35" s="422">
        <v>76168</v>
      </c>
      <c r="N35" s="422"/>
      <c r="O35" s="422"/>
      <c r="P35" s="422">
        <v>76129.387000000002</v>
      </c>
    </row>
    <row r="36" spans="1:16" hidden="1" x14ac:dyDescent="0.5">
      <c r="A36" s="423">
        <v>33</v>
      </c>
      <c r="B36" s="423" t="s">
        <v>2120</v>
      </c>
      <c r="C36" s="423" t="s">
        <v>3034</v>
      </c>
      <c r="D36" s="423" t="s">
        <v>3222</v>
      </c>
      <c r="E36" s="423" t="s">
        <v>2760</v>
      </c>
      <c r="F36" s="423" t="s">
        <v>2600</v>
      </c>
      <c r="G36" s="423" t="s">
        <v>2789</v>
      </c>
      <c r="H36" s="423" t="s">
        <v>2801</v>
      </c>
      <c r="I36" s="423" t="s">
        <v>2757</v>
      </c>
      <c r="J36" s="423" t="s">
        <v>2757</v>
      </c>
      <c r="K36" s="423" t="s">
        <v>2556</v>
      </c>
      <c r="L36" s="423" t="s">
        <v>2557</v>
      </c>
      <c r="M36" s="422">
        <v>72790</v>
      </c>
      <c r="N36" s="422"/>
      <c r="O36" s="422"/>
      <c r="P36" s="422">
        <v>72753.100000000006</v>
      </c>
    </row>
    <row r="37" spans="1:16" hidden="1" x14ac:dyDescent="0.5">
      <c r="A37" s="423">
        <v>34</v>
      </c>
      <c r="B37" s="423" t="s">
        <v>2120</v>
      </c>
      <c r="C37" s="423" t="s">
        <v>3034</v>
      </c>
      <c r="D37" s="423" t="s">
        <v>3221</v>
      </c>
      <c r="E37" s="423" t="s">
        <v>2560</v>
      </c>
      <c r="F37" s="423" t="s">
        <v>2554</v>
      </c>
      <c r="G37" s="423" t="s">
        <v>2561</v>
      </c>
      <c r="H37" s="423" t="s">
        <v>2849</v>
      </c>
      <c r="I37" s="423" t="s">
        <v>2562</v>
      </c>
      <c r="J37" s="423" t="s">
        <v>2563</v>
      </c>
      <c r="K37" s="423" t="s">
        <v>2556</v>
      </c>
      <c r="L37" s="423" t="s">
        <v>2557</v>
      </c>
      <c r="M37" s="422">
        <v>7812</v>
      </c>
      <c r="N37" s="422"/>
      <c r="O37" s="422"/>
      <c r="P37" s="422">
        <v>7808.04</v>
      </c>
    </row>
    <row r="38" spans="1:16" hidden="1" x14ac:dyDescent="0.5">
      <c r="A38" s="423">
        <v>35</v>
      </c>
      <c r="B38" s="423" t="s">
        <v>2121</v>
      </c>
      <c r="C38" s="423" t="s">
        <v>3034</v>
      </c>
      <c r="D38" s="423" t="s">
        <v>3220</v>
      </c>
      <c r="E38" s="423" t="s">
        <v>2672</v>
      </c>
      <c r="F38" s="423" t="s">
        <v>2554</v>
      </c>
      <c r="G38" s="423" t="s">
        <v>2768</v>
      </c>
      <c r="H38" s="423" t="s">
        <v>2840</v>
      </c>
      <c r="I38" s="423" t="s">
        <v>2555</v>
      </c>
      <c r="J38" s="423" t="s">
        <v>2555</v>
      </c>
      <c r="K38" s="423" t="s">
        <v>2556</v>
      </c>
      <c r="L38" s="423" t="s">
        <v>2557</v>
      </c>
      <c r="M38" s="422">
        <v>12507</v>
      </c>
      <c r="N38" s="422"/>
      <c r="O38" s="422"/>
      <c r="P38" s="422">
        <v>12519.679</v>
      </c>
    </row>
    <row r="39" spans="1:16" hidden="1" x14ac:dyDescent="0.5">
      <c r="A39" s="423">
        <v>36</v>
      </c>
      <c r="B39" s="423" t="s">
        <v>2121</v>
      </c>
      <c r="C39" s="423" t="s">
        <v>3034</v>
      </c>
      <c r="D39" s="423" t="s">
        <v>3219</v>
      </c>
      <c r="E39" s="423" t="s">
        <v>2591</v>
      </c>
      <c r="F39" s="423" t="s">
        <v>2554</v>
      </c>
      <c r="G39" s="423" t="s">
        <v>2834</v>
      </c>
      <c r="H39" s="423" t="s">
        <v>2874</v>
      </c>
      <c r="I39" s="423" t="s">
        <v>2592</v>
      </c>
      <c r="J39" s="423" t="s">
        <v>2592</v>
      </c>
      <c r="K39" s="423" t="s">
        <v>2556</v>
      </c>
      <c r="L39" s="423" t="s">
        <v>2557</v>
      </c>
      <c r="M39" s="422">
        <v>573</v>
      </c>
      <c r="N39" s="422"/>
      <c r="O39" s="422"/>
      <c r="P39" s="422">
        <v>573</v>
      </c>
    </row>
    <row r="40" spans="1:16" hidden="1" x14ac:dyDescent="0.5">
      <c r="A40" s="423">
        <v>37</v>
      </c>
      <c r="B40" s="423" t="s">
        <v>2121</v>
      </c>
      <c r="C40" s="423" t="s">
        <v>3034</v>
      </c>
      <c r="D40" s="423" t="s">
        <v>3218</v>
      </c>
      <c r="E40" s="423" t="s">
        <v>2560</v>
      </c>
      <c r="F40" s="423" t="s">
        <v>2554</v>
      </c>
      <c r="G40" s="423" t="s">
        <v>2561</v>
      </c>
      <c r="H40" s="423" t="s">
        <v>2849</v>
      </c>
      <c r="I40" s="423" t="s">
        <v>2577</v>
      </c>
      <c r="J40" s="423" t="s">
        <v>2563</v>
      </c>
      <c r="K40" s="423" t="s">
        <v>2556</v>
      </c>
      <c r="L40" s="423" t="s">
        <v>2557</v>
      </c>
      <c r="M40" s="422">
        <v>7465</v>
      </c>
      <c r="N40" s="422"/>
      <c r="O40" s="422"/>
      <c r="P40" s="422">
        <v>7465</v>
      </c>
    </row>
    <row r="41" spans="1:16" hidden="1" x14ac:dyDescent="0.5">
      <c r="A41" s="423">
        <v>38</v>
      </c>
      <c r="B41" s="423" t="s">
        <v>2121</v>
      </c>
      <c r="C41" s="423" t="s">
        <v>3034</v>
      </c>
      <c r="D41" s="423" t="s">
        <v>3217</v>
      </c>
      <c r="E41" s="423" t="s">
        <v>2553</v>
      </c>
      <c r="F41" s="423" t="s">
        <v>2559</v>
      </c>
      <c r="G41" s="423" t="s">
        <v>2748</v>
      </c>
      <c r="H41" s="423" t="s">
        <v>2587</v>
      </c>
      <c r="I41" s="423" t="s">
        <v>2558</v>
      </c>
      <c r="J41" s="423" t="s">
        <v>2558</v>
      </c>
      <c r="K41" s="423" t="s">
        <v>2556</v>
      </c>
      <c r="L41" s="423" t="s">
        <v>2557</v>
      </c>
      <c r="M41" s="422">
        <v>13505</v>
      </c>
      <c r="N41" s="422"/>
      <c r="O41" s="422"/>
      <c r="P41" s="422">
        <v>13505</v>
      </c>
    </row>
    <row r="42" spans="1:16" hidden="1" x14ac:dyDescent="0.5">
      <c r="A42" s="423">
        <v>39</v>
      </c>
      <c r="B42" s="423" t="s">
        <v>2122</v>
      </c>
      <c r="C42" s="423" t="s">
        <v>3034</v>
      </c>
      <c r="D42" s="423" t="s">
        <v>3216</v>
      </c>
      <c r="E42" s="423" t="s">
        <v>2752</v>
      </c>
      <c r="F42" s="423" t="s">
        <v>2554</v>
      </c>
      <c r="G42" s="423" t="s">
        <v>2848</v>
      </c>
      <c r="H42" s="423" t="s">
        <v>2873</v>
      </c>
      <c r="I42" s="423" t="s">
        <v>2592</v>
      </c>
      <c r="J42" s="423" t="s">
        <v>2592</v>
      </c>
      <c r="K42" s="423" t="s">
        <v>2556</v>
      </c>
      <c r="L42" s="423" t="s">
        <v>2557</v>
      </c>
      <c r="M42" s="422">
        <v>3022</v>
      </c>
      <c r="N42" s="422"/>
      <c r="O42" s="422"/>
      <c r="P42" s="422">
        <v>3034.8690000000001</v>
      </c>
    </row>
    <row r="43" spans="1:16" hidden="1" x14ac:dyDescent="0.5">
      <c r="A43" s="423">
        <v>40</v>
      </c>
      <c r="B43" s="423" t="s">
        <v>2122</v>
      </c>
      <c r="C43" s="423" t="s">
        <v>3034</v>
      </c>
      <c r="D43" s="423" t="s">
        <v>3215</v>
      </c>
      <c r="E43" s="423" t="s">
        <v>2568</v>
      </c>
      <c r="F43" s="423" t="s">
        <v>2559</v>
      </c>
      <c r="G43" s="423" t="s">
        <v>2769</v>
      </c>
      <c r="H43" s="423" t="s">
        <v>2569</v>
      </c>
      <c r="I43" s="423" t="s">
        <v>2570</v>
      </c>
      <c r="J43" s="423" t="s">
        <v>2570</v>
      </c>
      <c r="K43" s="423" t="s">
        <v>2556</v>
      </c>
      <c r="L43" s="423" t="s">
        <v>2557</v>
      </c>
      <c r="M43" s="422">
        <v>11620</v>
      </c>
      <c r="N43" s="422"/>
      <c r="O43" s="422"/>
      <c r="P43" s="422">
        <v>11638.848</v>
      </c>
    </row>
    <row r="44" spans="1:16" hidden="1" x14ac:dyDescent="0.5">
      <c r="A44" s="423">
        <v>41</v>
      </c>
      <c r="B44" s="423" t="s">
        <v>2122</v>
      </c>
      <c r="C44" s="423" t="s">
        <v>3034</v>
      </c>
      <c r="D44" s="423" t="s">
        <v>3214</v>
      </c>
      <c r="E44" s="423" t="s">
        <v>2560</v>
      </c>
      <c r="F44" s="423" t="s">
        <v>2554</v>
      </c>
      <c r="G44" s="423" t="s">
        <v>2561</v>
      </c>
      <c r="H44" s="423" t="s">
        <v>2849</v>
      </c>
      <c r="I44" s="423" t="s">
        <v>2562</v>
      </c>
      <c r="J44" s="423" t="s">
        <v>2563</v>
      </c>
      <c r="K44" s="423" t="s">
        <v>2556</v>
      </c>
      <c r="L44" s="423" t="s">
        <v>2557</v>
      </c>
      <c r="M44" s="422">
        <v>6906</v>
      </c>
      <c r="N44" s="422"/>
      <c r="O44" s="422"/>
      <c r="P44" s="422">
        <v>6917.2020000000002</v>
      </c>
    </row>
    <row r="45" spans="1:16" hidden="1" x14ac:dyDescent="0.5">
      <c r="A45" s="423">
        <v>42</v>
      </c>
      <c r="B45" s="423" t="s">
        <v>2123</v>
      </c>
      <c r="C45" s="423" t="s">
        <v>3034</v>
      </c>
      <c r="D45" s="423" t="s">
        <v>3213</v>
      </c>
      <c r="E45" s="423" t="s">
        <v>2553</v>
      </c>
      <c r="F45" s="423" t="s">
        <v>2559</v>
      </c>
      <c r="G45" s="423" t="s">
        <v>2773</v>
      </c>
      <c r="H45" s="423" t="s">
        <v>2707</v>
      </c>
      <c r="I45" s="423" t="s">
        <v>2573</v>
      </c>
      <c r="J45" s="423" t="s">
        <v>2573</v>
      </c>
      <c r="K45" s="423" t="s">
        <v>2556</v>
      </c>
      <c r="L45" s="423" t="s">
        <v>2557</v>
      </c>
      <c r="M45" s="422">
        <v>13057</v>
      </c>
      <c r="N45" s="422"/>
      <c r="O45" s="422"/>
      <c r="P45" s="422">
        <v>13063.619000000001</v>
      </c>
    </row>
    <row r="46" spans="1:16" hidden="1" x14ac:dyDescent="0.5">
      <c r="A46" s="423">
        <v>43</v>
      </c>
      <c r="B46" s="423" t="s">
        <v>2123</v>
      </c>
      <c r="C46" s="423" t="s">
        <v>3034</v>
      </c>
      <c r="D46" s="423" t="s">
        <v>3212</v>
      </c>
      <c r="E46" s="423" t="s">
        <v>2566</v>
      </c>
      <c r="F46" s="423" t="s">
        <v>2559</v>
      </c>
      <c r="G46" s="423" t="s">
        <v>2872</v>
      </c>
      <c r="H46" s="423" t="s">
        <v>2871</v>
      </c>
      <c r="I46" s="423" t="s">
        <v>2870</v>
      </c>
      <c r="J46" s="423" t="s">
        <v>2870</v>
      </c>
      <c r="K46" s="423" t="s">
        <v>2556</v>
      </c>
      <c r="L46" s="423" t="s">
        <v>2557</v>
      </c>
      <c r="M46" s="422">
        <v>26597</v>
      </c>
      <c r="N46" s="422"/>
      <c r="O46" s="422"/>
      <c r="P46" s="422">
        <v>26610.482</v>
      </c>
    </row>
    <row r="47" spans="1:16" hidden="1" x14ac:dyDescent="0.5">
      <c r="A47" s="423">
        <v>44</v>
      </c>
      <c r="B47" s="423" t="s">
        <v>2123</v>
      </c>
      <c r="C47" s="423" t="s">
        <v>3034</v>
      </c>
      <c r="D47" s="423" t="s">
        <v>3211</v>
      </c>
      <c r="E47" s="423" t="s">
        <v>2553</v>
      </c>
      <c r="F47" s="423" t="s">
        <v>2554</v>
      </c>
      <c r="G47" s="423" t="s">
        <v>2766</v>
      </c>
      <c r="H47" s="423" t="s">
        <v>2869</v>
      </c>
      <c r="I47" s="423" t="s">
        <v>2555</v>
      </c>
      <c r="J47" s="423" t="s">
        <v>2555</v>
      </c>
      <c r="K47" s="423" t="s">
        <v>2556</v>
      </c>
      <c r="L47" s="423" t="s">
        <v>2557</v>
      </c>
      <c r="M47" s="422">
        <v>10940</v>
      </c>
      <c r="N47" s="422"/>
      <c r="O47" s="422"/>
      <c r="P47" s="422">
        <v>10945.545</v>
      </c>
    </row>
    <row r="48" spans="1:16" hidden="1" x14ac:dyDescent="0.5">
      <c r="A48" s="423">
        <v>45</v>
      </c>
      <c r="B48" s="423" t="s">
        <v>2123</v>
      </c>
      <c r="C48" s="423" t="s">
        <v>3034</v>
      </c>
      <c r="D48" s="423" t="s">
        <v>3210</v>
      </c>
      <c r="E48" s="423" t="s">
        <v>2566</v>
      </c>
      <c r="F48" s="423" t="s">
        <v>2559</v>
      </c>
      <c r="G48" s="423" t="s">
        <v>2831</v>
      </c>
      <c r="H48" s="423" t="s">
        <v>2830</v>
      </c>
      <c r="I48" s="423" t="s">
        <v>2829</v>
      </c>
      <c r="J48" s="423" t="s">
        <v>2829</v>
      </c>
      <c r="K48" s="423" t="s">
        <v>2556</v>
      </c>
      <c r="L48" s="423" t="s">
        <v>2557</v>
      </c>
      <c r="M48" s="422">
        <v>58380</v>
      </c>
      <c r="N48" s="422"/>
      <c r="O48" s="422"/>
      <c r="P48" s="422">
        <v>58409.593000000001</v>
      </c>
    </row>
    <row r="49" spans="1:16" hidden="1" x14ac:dyDescent="0.5">
      <c r="A49" s="423">
        <v>46</v>
      </c>
      <c r="B49" s="423" t="s">
        <v>2123</v>
      </c>
      <c r="C49" s="423" t="s">
        <v>3034</v>
      </c>
      <c r="D49" s="423" t="s">
        <v>3209</v>
      </c>
      <c r="E49" s="423" t="s">
        <v>2756</v>
      </c>
      <c r="F49" s="423" t="s">
        <v>2559</v>
      </c>
      <c r="G49" s="423" t="s">
        <v>2755</v>
      </c>
      <c r="H49" s="423" t="s">
        <v>2868</v>
      </c>
      <c r="I49" s="423" t="s">
        <v>2753</v>
      </c>
      <c r="J49" s="423" t="s">
        <v>2753</v>
      </c>
      <c r="K49" s="423" t="s">
        <v>2556</v>
      </c>
      <c r="L49" s="423" t="s">
        <v>2557</v>
      </c>
      <c r="M49" s="422">
        <v>61000</v>
      </c>
      <c r="N49" s="422"/>
      <c r="O49" s="422"/>
      <c r="P49" s="422">
        <v>61030.921000000002</v>
      </c>
    </row>
    <row r="50" spans="1:16" hidden="1" x14ac:dyDescent="0.5">
      <c r="A50" s="423">
        <v>47</v>
      </c>
      <c r="B50" s="423" t="s">
        <v>2123</v>
      </c>
      <c r="C50" s="423" t="s">
        <v>3034</v>
      </c>
      <c r="D50" s="423" t="s">
        <v>3208</v>
      </c>
      <c r="E50" s="423" t="s">
        <v>2760</v>
      </c>
      <c r="F50" s="423" t="s">
        <v>2600</v>
      </c>
      <c r="G50" s="423" t="s">
        <v>2759</v>
      </c>
      <c r="H50" s="423" t="s">
        <v>2801</v>
      </c>
      <c r="I50" s="423" t="s">
        <v>2757</v>
      </c>
      <c r="J50" s="423" t="s">
        <v>2757</v>
      </c>
      <c r="K50" s="423" t="s">
        <v>2556</v>
      </c>
      <c r="L50" s="423" t="s">
        <v>2557</v>
      </c>
      <c r="M50" s="422">
        <v>72702</v>
      </c>
      <c r="N50" s="422"/>
      <c r="O50" s="422"/>
      <c r="P50" s="422">
        <v>72738.851999999999</v>
      </c>
    </row>
    <row r="51" spans="1:16" hidden="1" x14ac:dyDescent="0.5">
      <c r="A51" s="423">
        <v>48</v>
      </c>
      <c r="B51" s="423" t="s">
        <v>2123</v>
      </c>
      <c r="C51" s="423" t="s">
        <v>3034</v>
      </c>
      <c r="D51" s="423" t="s">
        <v>3207</v>
      </c>
      <c r="E51" s="423" t="s">
        <v>2560</v>
      </c>
      <c r="F51" s="423" t="s">
        <v>2554</v>
      </c>
      <c r="G51" s="423" t="s">
        <v>2561</v>
      </c>
      <c r="H51" s="423" t="s">
        <v>2849</v>
      </c>
      <c r="I51" s="423" t="s">
        <v>2577</v>
      </c>
      <c r="J51" s="423" t="s">
        <v>2563</v>
      </c>
      <c r="K51" s="423" t="s">
        <v>2556</v>
      </c>
      <c r="L51" s="423" t="s">
        <v>2557</v>
      </c>
      <c r="M51" s="422">
        <v>6568</v>
      </c>
      <c r="N51" s="422"/>
      <c r="O51" s="422"/>
      <c r="P51" s="422">
        <v>6564.67</v>
      </c>
    </row>
    <row r="52" spans="1:16" hidden="1" x14ac:dyDescent="0.5">
      <c r="A52" s="423">
        <v>49</v>
      </c>
      <c r="B52" s="423" t="s">
        <v>2123</v>
      </c>
      <c r="C52" s="423" t="s">
        <v>3034</v>
      </c>
      <c r="D52" s="423" t="s">
        <v>3206</v>
      </c>
      <c r="E52" s="423" t="s">
        <v>2566</v>
      </c>
      <c r="F52" s="423" t="s">
        <v>2559</v>
      </c>
      <c r="G52" s="423" t="s">
        <v>2867</v>
      </c>
      <c r="H52" s="423" t="s">
        <v>2819</v>
      </c>
      <c r="I52" s="423" t="s">
        <v>2808</v>
      </c>
      <c r="J52" s="423" t="s">
        <v>2808</v>
      </c>
      <c r="K52" s="423" t="s">
        <v>2556</v>
      </c>
      <c r="L52" s="423" t="s">
        <v>2557</v>
      </c>
      <c r="M52" s="422">
        <v>34250</v>
      </c>
      <c r="N52" s="422"/>
      <c r="O52" s="422"/>
      <c r="P52" s="422">
        <v>34232.637000000002</v>
      </c>
    </row>
    <row r="53" spans="1:16" hidden="1" x14ac:dyDescent="0.5">
      <c r="A53" s="423">
        <v>50</v>
      </c>
      <c r="B53" s="423" t="s">
        <v>2123</v>
      </c>
      <c r="C53" s="423" t="s">
        <v>3034</v>
      </c>
      <c r="D53" s="423" t="s">
        <v>3205</v>
      </c>
      <c r="E53" s="423" t="s">
        <v>2553</v>
      </c>
      <c r="F53" s="423" t="s">
        <v>2559</v>
      </c>
      <c r="G53" s="423" t="s">
        <v>2748</v>
      </c>
      <c r="H53" s="423" t="s">
        <v>2679</v>
      </c>
      <c r="I53" s="423" t="s">
        <v>2558</v>
      </c>
      <c r="J53" s="423" t="s">
        <v>2558</v>
      </c>
      <c r="K53" s="423" t="s">
        <v>2556</v>
      </c>
      <c r="L53" s="423" t="s">
        <v>2557</v>
      </c>
      <c r="M53" s="422">
        <v>15547</v>
      </c>
      <c r="N53" s="422"/>
      <c r="O53" s="422"/>
      <c r="P53" s="422">
        <v>15539.119000000001</v>
      </c>
    </row>
    <row r="54" spans="1:16" hidden="1" x14ac:dyDescent="0.5">
      <c r="A54" s="423">
        <v>51</v>
      </c>
      <c r="B54" s="423" t="s">
        <v>2124</v>
      </c>
      <c r="C54" s="423" t="s">
        <v>3034</v>
      </c>
      <c r="D54" s="423" t="s">
        <v>3204</v>
      </c>
      <c r="E54" s="423" t="s">
        <v>2672</v>
      </c>
      <c r="F54" s="423" t="s">
        <v>2554</v>
      </c>
      <c r="G54" s="423" t="s">
        <v>2768</v>
      </c>
      <c r="H54" s="423" t="s">
        <v>2610</v>
      </c>
      <c r="I54" s="423" t="s">
        <v>2555</v>
      </c>
      <c r="J54" s="423" t="s">
        <v>2555</v>
      </c>
      <c r="K54" s="423" t="s">
        <v>2556</v>
      </c>
      <c r="L54" s="423" t="s">
        <v>2557</v>
      </c>
      <c r="M54" s="422">
        <v>12288</v>
      </c>
      <c r="N54" s="422"/>
      <c r="O54" s="422"/>
      <c r="P54" s="422">
        <v>12292.983</v>
      </c>
    </row>
    <row r="55" spans="1:16" hidden="1" x14ac:dyDescent="0.5">
      <c r="A55" s="423">
        <v>52</v>
      </c>
      <c r="B55" s="423" t="s">
        <v>2124</v>
      </c>
      <c r="C55" s="423" t="s">
        <v>3034</v>
      </c>
      <c r="D55" s="423" t="s">
        <v>3203</v>
      </c>
      <c r="E55" s="423" t="s">
        <v>2764</v>
      </c>
      <c r="F55" s="423" t="s">
        <v>2554</v>
      </c>
      <c r="G55" s="423" t="s">
        <v>2763</v>
      </c>
      <c r="H55" s="423" t="s">
        <v>2818</v>
      </c>
      <c r="I55" s="423" t="s">
        <v>2761</v>
      </c>
      <c r="J55" s="423" t="s">
        <v>2761</v>
      </c>
      <c r="K55" s="423" t="s">
        <v>2556</v>
      </c>
      <c r="L55" s="423" t="s">
        <v>2557</v>
      </c>
      <c r="M55" s="422">
        <v>77800</v>
      </c>
      <c r="N55" s="422"/>
      <c r="O55" s="422"/>
      <c r="P55" s="422">
        <v>77831.548999999999</v>
      </c>
    </row>
    <row r="56" spans="1:16" hidden="1" x14ac:dyDescent="0.5">
      <c r="A56" s="423">
        <v>53</v>
      </c>
      <c r="B56" s="423" t="s">
        <v>2124</v>
      </c>
      <c r="C56" s="423" t="s">
        <v>3034</v>
      </c>
      <c r="D56" s="423" t="s">
        <v>3202</v>
      </c>
      <c r="E56" s="423" t="s">
        <v>2760</v>
      </c>
      <c r="F56" s="423" t="s">
        <v>2600</v>
      </c>
      <c r="G56" s="423" t="s">
        <v>2866</v>
      </c>
      <c r="H56" s="423" t="s">
        <v>2758</v>
      </c>
      <c r="I56" s="423" t="s">
        <v>2794</v>
      </c>
      <c r="J56" s="423" t="s">
        <v>2794</v>
      </c>
      <c r="K56" s="423" t="s">
        <v>2556</v>
      </c>
      <c r="L56" s="423" t="s">
        <v>2557</v>
      </c>
      <c r="M56" s="422">
        <v>75180</v>
      </c>
      <c r="N56" s="422"/>
      <c r="O56" s="422"/>
      <c r="P56" s="422">
        <v>75210.486999999994</v>
      </c>
    </row>
    <row r="57" spans="1:16" hidden="1" x14ac:dyDescent="0.5">
      <c r="A57" s="423">
        <v>54</v>
      </c>
      <c r="B57" s="423" t="s">
        <v>2124</v>
      </c>
      <c r="C57" s="423" t="s">
        <v>3034</v>
      </c>
      <c r="D57" s="423" t="s">
        <v>3201</v>
      </c>
      <c r="E57" s="423" t="s">
        <v>2568</v>
      </c>
      <c r="F57" s="423" t="s">
        <v>2559</v>
      </c>
      <c r="G57" s="423" t="s">
        <v>2769</v>
      </c>
      <c r="H57" s="423" t="s">
        <v>2569</v>
      </c>
      <c r="I57" s="423" t="s">
        <v>2570</v>
      </c>
      <c r="J57" s="423" t="s">
        <v>2570</v>
      </c>
      <c r="K57" s="423" t="s">
        <v>2556</v>
      </c>
      <c r="L57" s="423" t="s">
        <v>2557</v>
      </c>
      <c r="M57" s="422">
        <v>10546</v>
      </c>
      <c r="N57" s="422"/>
      <c r="O57" s="422"/>
      <c r="P57" s="422">
        <v>10538.518</v>
      </c>
    </row>
    <row r="58" spans="1:16" hidden="1" x14ac:dyDescent="0.5">
      <c r="A58" s="423">
        <v>55</v>
      </c>
      <c r="B58" s="423" t="s">
        <v>2124</v>
      </c>
      <c r="C58" s="423" t="s">
        <v>3034</v>
      </c>
      <c r="D58" s="423" t="s">
        <v>3200</v>
      </c>
      <c r="E58" s="423" t="s">
        <v>2752</v>
      </c>
      <c r="F58" s="423" t="s">
        <v>2554</v>
      </c>
      <c r="G58" s="423" t="s">
        <v>2751</v>
      </c>
      <c r="H58" s="423" t="s">
        <v>2865</v>
      </c>
      <c r="I58" s="423" t="s">
        <v>2592</v>
      </c>
      <c r="J58" s="423" t="s">
        <v>2592</v>
      </c>
      <c r="K58" s="423" t="s">
        <v>2556</v>
      </c>
      <c r="L58" s="423" t="s">
        <v>2557</v>
      </c>
      <c r="M58" s="422">
        <v>4276</v>
      </c>
      <c r="N58" s="422"/>
      <c r="O58" s="422"/>
      <c r="P58" s="422">
        <v>4272.9660000000003</v>
      </c>
    </row>
    <row r="59" spans="1:16" hidden="1" x14ac:dyDescent="0.5">
      <c r="A59" s="423">
        <v>56</v>
      </c>
      <c r="B59" s="423" t="s">
        <v>2124</v>
      </c>
      <c r="C59" s="423" t="s">
        <v>3034</v>
      </c>
      <c r="D59" s="423" t="s">
        <v>3199</v>
      </c>
      <c r="E59" s="423" t="s">
        <v>2566</v>
      </c>
      <c r="F59" s="423" t="s">
        <v>2559</v>
      </c>
      <c r="G59" s="423" t="s">
        <v>2864</v>
      </c>
      <c r="H59" s="423" t="s">
        <v>2863</v>
      </c>
      <c r="I59" s="423" t="s">
        <v>2862</v>
      </c>
      <c r="J59" s="423" t="s">
        <v>2809</v>
      </c>
      <c r="K59" s="423" t="s">
        <v>2556</v>
      </c>
      <c r="L59" s="423" t="s">
        <v>2557</v>
      </c>
      <c r="M59" s="422">
        <v>34500</v>
      </c>
      <c r="N59" s="422"/>
      <c r="O59" s="422"/>
      <c r="P59" s="422">
        <v>34475.521999999997</v>
      </c>
    </row>
    <row r="60" spans="1:16" hidden="1" x14ac:dyDescent="0.5">
      <c r="A60" s="423">
        <v>57</v>
      </c>
      <c r="B60" s="423" t="s">
        <v>2124</v>
      </c>
      <c r="C60" s="423" t="s">
        <v>3034</v>
      </c>
      <c r="D60" s="423" t="s">
        <v>3198</v>
      </c>
      <c r="E60" s="423" t="s">
        <v>2560</v>
      </c>
      <c r="F60" s="423" t="s">
        <v>2554</v>
      </c>
      <c r="G60" s="423" t="s">
        <v>2561</v>
      </c>
      <c r="H60" s="423" t="s">
        <v>2849</v>
      </c>
      <c r="I60" s="423" t="s">
        <v>2562</v>
      </c>
      <c r="J60" s="423" t="s">
        <v>2563</v>
      </c>
      <c r="K60" s="423" t="s">
        <v>2556</v>
      </c>
      <c r="L60" s="423" t="s">
        <v>2557</v>
      </c>
      <c r="M60" s="422">
        <v>13670</v>
      </c>
      <c r="N60" s="422"/>
      <c r="O60" s="422"/>
      <c r="P60" s="422">
        <v>13660.300999999999</v>
      </c>
    </row>
    <row r="61" spans="1:16" hidden="1" x14ac:dyDescent="0.5">
      <c r="A61" s="423">
        <v>58</v>
      </c>
      <c r="B61" s="423" t="s">
        <v>2125</v>
      </c>
      <c r="C61" s="423" t="s">
        <v>3034</v>
      </c>
      <c r="D61" s="423" t="s">
        <v>3197</v>
      </c>
      <c r="E61" s="423" t="s">
        <v>2553</v>
      </c>
      <c r="F61" s="423" t="s">
        <v>2554</v>
      </c>
      <c r="G61" s="423" t="s">
        <v>2766</v>
      </c>
      <c r="H61" s="423" t="s">
        <v>2572</v>
      </c>
      <c r="I61" s="423" t="s">
        <v>2555</v>
      </c>
      <c r="J61" s="423" t="s">
        <v>2555</v>
      </c>
      <c r="K61" s="423" t="s">
        <v>2556</v>
      </c>
      <c r="L61" s="423" t="s">
        <v>2557</v>
      </c>
      <c r="M61" s="422">
        <v>11086</v>
      </c>
      <c r="N61" s="422"/>
      <c r="O61" s="422"/>
      <c r="P61" s="422">
        <v>11078.134</v>
      </c>
    </row>
    <row r="62" spans="1:16" hidden="1" x14ac:dyDescent="0.5">
      <c r="A62" s="423">
        <v>59</v>
      </c>
      <c r="B62" s="423" t="s">
        <v>2125</v>
      </c>
      <c r="C62" s="423" t="s">
        <v>3010</v>
      </c>
      <c r="D62" s="423" t="s">
        <v>3196</v>
      </c>
      <c r="E62" s="423" t="s">
        <v>2560</v>
      </c>
      <c r="F62" s="423" t="s">
        <v>2554</v>
      </c>
      <c r="G62" s="423" t="s">
        <v>2561</v>
      </c>
      <c r="H62" s="423" t="s">
        <v>2849</v>
      </c>
      <c r="I62" s="423" t="s">
        <v>2562</v>
      </c>
      <c r="J62" s="423" t="s">
        <v>2563</v>
      </c>
      <c r="K62" s="423" t="s">
        <v>2556</v>
      </c>
      <c r="L62" s="423" t="s">
        <v>2557</v>
      </c>
      <c r="M62" s="422">
        <v>6746</v>
      </c>
      <c r="N62" s="422"/>
      <c r="O62" s="422"/>
      <c r="P62" s="422">
        <v>6741.2139999999999</v>
      </c>
    </row>
    <row r="63" spans="1:16" hidden="1" x14ac:dyDescent="0.5">
      <c r="A63" s="423">
        <v>60</v>
      </c>
      <c r="B63" s="423" t="s">
        <v>2126</v>
      </c>
      <c r="C63" s="423" t="s">
        <v>3010</v>
      </c>
      <c r="D63" s="423" t="s">
        <v>3195</v>
      </c>
      <c r="E63" s="423" t="s">
        <v>2672</v>
      </c>
      <c r="F63" s="423" t="s">
        <v>2554</v>
      </c>
      <c r="G63" s="423" t="s">
        <v>2768</v>
      </c>
      <c r="H63" s="423" t="s">
        <v>2861</v>
      </c>
      <c r="I63" s="423" t="s">
        <v>2555</v>
      </c>
      <c r="J63" s="423" t="s">
        <v>2555</v>
      </c>
      <c r="K63" s="423" t="s">
        <v>2556</v>
      </c>
      <c r="L63" s="423" t="s">
        <v>2557</v>
      </c>
      <c r="M63" s="422">
        <v>11895</v>
      </c>
      <c r="N63" s="422"/>
      <c r="O63" s="422"/>
      <c r="P63" s="422">
        <v>11888.971</v>
      </c>
    </row>
    <row r="64" spans="1:16" hidden="1" x14ac:dyDescent="0.5">
      <c r="A64" s="423">
        <v>61</v>
      </c>
      <c r="B64" s="423" t="s">
        <v>2126</v>
      </c>
      <c r="C64" s="423" t="s">
        <v>3010</v>
      </c>
      <c r="D64" s="423" t="s">
        <v>3194</v>
      </c>
      <c r="E64" s="423" t="s">
        <v>2752</v>
      </c>
      <c r="F64" s="423" t="s">
        <v>2554</v>
      </c>
      <c r="G64" s="423" t="s">
        <v>2751</v>
      </c>
      <c r="H64" s="423" t="s">
        <v>2860</v>
      </c>
      <c r="I64" s="423" t="s">
        <v>2592</v>
      </c>
      <c r="J64" s="423" t="s">
        <v>2592</v>
      </c>
      <c r="K64" s="423" t="s">
        <v>2556</v>
      </c>
      <c r="L64" s="423" t="s">
        <v>2557</v>
      </c>
      <c r="M64" s="422">
        <v>2754</v>
      </c>
      <c r="N64" s="422"/>
      <c r="O64" s="422"/>
      <c r="P64" s="422">
        <v>2752.6039999999998</v>
      </c>
    </row>
    <row r="65" spans="1:16" hidden="1" x14ac:dyDescent="0.5">
      <c r="A65" s="423">
        <v>62</v>
      </c>
      <c r="B65" s="423" t="s">
        <v>2126</v>
      </c>
      <c r="C65" s="423" t="s">
        <v>3010</v>
      </c>
      <c r="D65" s="423" t="s">
        <v>3193</v>
      </c>
      <c r="E65" s="423" t="s">
        <v>2760</v>
      </c>
      <c r="F65" s="423" t="s">
        <v>2600</v>
      </c>
      <c r="G65" s="423" t="s">
        <v>2802</v>
      </c>
      <c r="H65" s="423" t="s">
        <v>2791</v>
      </c>
      <c r="I65" s="423" t="s">
        <v>2761</v>
      </c>
      <c r="J65" s="423" t="s">
        <v>2761</v>
      </c>
      <c r="K65" s="423" t="s">
        <v>2556</v>
      </c>
      <c r="L65" s="423" t="s">
        <v>2557</v>
      </c>
      <c r="M65" s="422">
        <v>72780</v>
      </c>
      <c r="N65" s="422"/>
      <c r="O65" s="422"/>
      <c r="P65" s="422">
        <v>72743.107999999993</v>
      </c>
    </row>
    <row r="66" spans="1:16" hidden="1" x14ac:dyDescent="0.5">
      <c r="A66" s="423">
        <v>63</v>
      </c>
      <c r="B66" s="423" t="s">
        <v>2126</v>
      </c>
      <c r="C66" s="423" t="s">
        <v>3010</v>
      </c>
      <c r="D66" s="423" t="s">
        <v>3192</v>
      </c>
      <c r="E66" s="423" t="s">
        <v>2568</v>
      </c>
      <c r="F66" s="423" t="s">
        <v>2559</v>
      </c>
      <c r="G66" s="423" t="s">
        <v>2769</v>
      </c>
      <c r="H66" s="423" t="s">
        <v>2616</v>
      </c>
      <c r="I66" s="423" t="s">
        <v>2570</v>
      </c>
      <c r="J66" s="423" t="s">
        <v>2570</v>
      </c>
      <c r="K66" s="423" t="s">
        <v>2556</v>
      </c>
      <c r="L66" s="423" t="s">
        <v>2557</v>
      </c>
      <c r="M66" s="422">
        <v>7363</v>
      </c>
      <c r="N66" s="422"/>
      <c r="O66" s="422"/>
      <c r="P66" s="422">
        <v>7358.5209999999997</v>
      </c>
    </row>
    <row r="67" spans="1:16" hidden="1" x14ac:dyDescent="0.5">
      <c r="A67" s="423">
        <v>64</v>
      </c>
      <c r="B67" s="423" t="s">
        <v>2126</v>
      </c>
      <c r="C67" s="423" t="s">
        <v>3010</v>
      </c>
      <c r="D67" s="423" t="s">
        <v>3191</v>
      </c>
      <c r="E67" s="423" t="s">
        <v>2560</v>
      </c>
      <c r="F67" s="423" t="s">
        <v>2554</v>
      </c>
      <c r="G67" s="423" t="s">
        <v>2561</v>
      </c>
      <c r="H67" s="423" t="s">
        <v>2849</v>
      </c>
      <c r="I67" s="423" t="s">
        <v>2562</v>
      </c>
      <c r="J67" s="423" t="s">
        <v>2563</v>
      </c>
      <c r="K67" s="423" t="s">
        <v>2556</v>
      </c>
      <c r="L67" s="423" t="s">
        <v>2557</v>
      </c>
      <c r="M67" s="422">
        <v>7893</v>
      </c>
      <c r="N67" s="422"/>
      <c r="O67" s="422"/>
      <c r="P67" s="422">
        <v>7888.1989999999996</v>
      </c>
    </row>
    <row r="68" spans="1:16" hidden="1" x14ac:dyDescent="0.5">
      <c r="A68" s="423">
        <v>65</v>
      </c>
      <c r="B68" s="423" t="s">
        <v>2126</v>
      </c>
      <c r="C68" s="423" t="s">
        <v>3010</v>
      </c>
      <c r="D68" s="423" t="s">
        <v>3190</v>
      </c>
      <c r="E68" s="423" t="s">
        <v>2553</v>
      </c>
      <c r="F68" s="423" t="s">
        <v>2559</v>
      </c>
      <c r="G68" s="423" t="s">
        <v>2748</v>
      </c>
      <c r="H68" s="423" t="s">
        <v>2593</v>
      </c>
      <c r="I68" s="423" t="s">
        <v>2558</v>
      </c>
      <c r="J68" s="423" t="s">
        <v>2558</v>
      </c>
      <c r="K68" s="423" t="s">
        <v>2556</v>
      </c>
      <c r="L68" s="423" t="s">
        <v>2557</v>
      </c>
      <c r="M68" s="422">
        <v>15540</v>
      </c>
      <c r="N68" s="422"/>
      <c r="O68" s="422"/>
      <c r="P68" s="422">
        <v>15530.547</v>
      </c>
    </row>
    <row r="69" spans="1:16" hidden="1" x14ac:dyDescent="0.5">
      <c r="A69" s="423">
        <v>66</v>
      </c>
      <c r="B69" s="423" t="s">
        <v>2127</v>
      </c>
      <c r="C69" s="423" t="s">
        <v>3010</v>
      </c>
      <c r="D69" s="423" t="s">
        <v>3189</v>
      </c>
      <c r="E69" s="423" t="s">
        <v>2553</v>
      </c>
      <c r="F69" s="423" t="s">
        <v>2554</v>
      </c>
      <c r="G69" s="423" t="s">
        <v>2766</v>
      </c>
      <c r="H69" s="423" t="s">
        <v>2572</v>
      </c>
      <c r="I69" s="423" t="s">
        <v>2555</v>
      </c>
      <c r="J69" s="423" t="s">
        <v>2555</v>
      </c>
      <c r="K69" s="423" t="s">
        <v>2556</v>
      </c>
      <c r="L69" s="423" t="s">
        <v>2557</v>
      </c>
      <c r="M69" s="422">
        <v>11500</v>
      </c>
      <c r="N69" s="422"/>
      <c r="O69" s="422"/>
      <c r="P69" s="422">
        <v>11488.241</v>
      </c>
    </row>
    <row r="70" spans="1:16" hidden="1" x14ac:dyDescent="0.5">
      <c r="A70" s="423">
        <v>67</v>
      </c>
      <c r="B70" s="423" t="s">
        <v>2127</v>
      </c>
      <c r="C70" s="423" t="s">
        <v>3010</v>
      </c>
      <c r="D70" s="423" t="s">
        <v>3188</v>
      </c>
      <c r="E70" s="423" t="s">
        <v>2760</v>
      </c>
      <c r="F70" s="423" t="s">
        <v>2600</v>
      </c>
      <c r="G70" s="423" t="s">
        <v>2825</v>
      </c>
      <c r="H70" s="423" t="s">
        <v>2859</v>
      </c>
      <c r="I70" s="423" t="s">
        <v>2823</v>
      </c>
      <c r="J70" s="423" t="s">
        <v>2823</v>
      </c>
      <c r="K70" s="423" t="s">
        <v>2556</v>
      </c>
      <c r="L70" s="423" t="s">
        <v>2557</v>
      </c>
      <c r="M70" s="422">
        <v>67702</v>
      </c>
      <c r="N70" s="422"/>
      <c r="O70" s="422"/>
      <c r="P70" s="422">
        <v>67632.774999999994</v>
      </c>
    </row>
    <row r="71" spans="1:16" hidden="1" x14ac:dyDescent="0.5">
      <c r="A71" s="423">
        <v>68</v>
      </c>
      <c r="B71" s="423" t="s">
        <v>2127</v>
      </c>
      <c r="C71" s="423" t="s">
        <v>3010</v>
      </c>
      <c r="D71" s="423" t="s">
        <v>3187</v>
      </c>
      <c r="E71" s="423" t="s">
        <v>2760</v>
      </c>
      <c r="F71" s="423" t="s">
        <v>2600</v>
      </c>
      <c r="G71" s="423" t="s">
        <v>2792</v>
      </c>
      <c r="H71" s="423" t="s">
        <v>2758</v>
      </c>
      <c r="I71" s="423" t="s">
        <v>2790</v>
      </c>
      <c r="J71" s="423" t="s">
        <v>2790</v>
      </c>
      <c r="K71" s="423" t="s">
        <v>2556</v>
      </c>
      <c r="L71" s="423" t="s">
        <v>2557</v>
      </c>
      <c r="M71" s="422">
        <v>74949</v>
      </c>
      <c r="N71" s="422"/>
      <c r="O71" s="422"/>
      <c r="P71" s="422">
        <v>74872.365000000005</v>
      </c>
    </row>
    <row r="72" spans="1:16" hidden="1" x14ac:dyDescent="0.5">
      <c r="A72" s="423">
        <v>69</v>
      </c>
      <c r="B72" s="423" t="s">
        <v>2127</v>
      </c>
      <c r="C72" s="423" t="s">
        <v>3010</v>
      </c>
      <c r="D72" s="423" t="s">
        <v>3186</v>
      </c>
      <c r="E72" s="423" t="s">
        <v>2760</v>
      </c>
      <c r="F72" s="423" t="s">
        <v>2600</v>
      </c>
      <c r="G72" s="423" t="s">
        <v>2789</v>
      </c>
      <c r="H72" s="423" t="s">
        <v>2801</v>
      </c>
      <c r="I72" s="423" t="s">
        <v>2757</v>
      </c>
      <c r="J72" s="423" t="s">
        <v>2757</v>
      </c>
      <c r="K72" s="423" t="s">
        <v>2556</v>
      </c>
      <c r="L72" s="423" t="s">
        <v>2557</v>
      </c>
      <c r="M72" s="422">
        <v>74240</v>
      </c>
      <c r="N72" s="422"/>
      <c r="O72" s="422"/>
      <c r="P72" s="422">
        <v>74164.09</v>
      </c>
    </row>
    <row r="73" spans="1:16" hidden="1" x14ac:dyDescent="0.5">
      <c r="A73" s="423">
        <v>70</v>
      </c>
      <c r="B73" s="423" t="s">
        <v>2127</v>
      </c>
      <c r="C73" s="423" t="s">
        <v>3010</v>
      </c>
      <c r="D73" s="423" t="s">
        <v>3185</v>
      </c>
      <c r="E73" s="423" t="s">
        <v>2560</v>
      </c>
      <c r="F73" s="423" t="s">
        <v>2554</v>
      </c>
      <c r="G73" s="423" t="s">
        <v>2561</v>
      </c>
      <c r="H73" s="423" t="s">
        <v>2849</v>
      </c>
      <c r="I73" s="423" t="s">
        <v>2562</v>
      </c>
      <c r="J73" s="423" t="s">
        <v>2563</v>
      </c>
      <c r="K73" s="423" t="s">
        <v>2556</v>
      </c>
      <c r="L73" s="423" t="s">
        <v>2557</v>
      </c>
      <c r="M73" s="422">
        <v>7080</v>
      </c>
      <c r="N73" s="422"/>
      <c r="O73" s="422"/>
      <c r="P73" s="422">
        <v>7072.7610000000004</v>
      </c>
    </row>
    <row r="74" spans="1:16" hidden="1" x14ac:dyDescent="0.5">
      <c r="A74" s="423">
        <v>71</v>
      </c>
      <c r="B74" s="423" t="s">
        <v>2128</v>
      </c>
      <c r="C74" s="423" t="s">
        <v>3010</v>
      </c>
      <c r="D74" s="423" t="s">
        <v>3184</v>
      </c>
      <c r="E74" s="423" t="s">
        <v>2553</v>
      </c>
      <c r="F74" s="423" t="s">
        <v>2559</v>
      </c>
      <c r="G74" s="423" t="s">
        <v>2773</v>
      </c>
      <c r="H74" s="423" t="s">
        <v>2858</v>
      </c>
      <c r="I74" s="423" t="s">
        <v>2573</v>
      </c>
      <c r="J74" s="423" t="s">
        <v>2573</v>
      </c>
      <c r="K74" s="423" t="s">
        <v>2556</v>
      </c>
      <c r="L74" s="423" t="s">
        <v>2557</v>
      </c>
      <c r="M74" s="422">
        <v>14767</v>
      </c>
      <c r="N74" s="422"/>
      <c r="O74" s="422"/>
      <c r="P74" s="422">
        <v>14790.955</v>
      </c>
    </row>
    <row r="75" spans="1:16" hidden="1" x14ac:dyDescent="0.5">
      <c r="A75" s="423">
        <v>72</v>
      </c>
      <c r="B75" s="423" t="s">
        <v>2128</v>
      </c>
      <c r="C75" s="423" t="s">
        <v>3010</v>
      </c>
      <c r="D75" s="423" t="s">
        <v>3183</v>
      </c>
      <c r="E75" s="423" t="s">
        <v>2672</v>
      </c>
      <c r="F75" s="423" t="s">
        <v>2554</v>
      </c>
      <c r="G75" s="423" t="s">
        <v>2768</v>
      </c>
      <c r="H75" s="423" t="s">
        <v>2857</v>
      </c>
      <c r="I75" s="423" t="s">
        <v>2555</v>
      </c>
      <c r="J75" s="423" t="s">
        <v>2555</v>
      </c>
      <c r="K75" s="423" t="s">
        <v>2556</v>
      </c>
      <c r="L75" s="423" t="s">
        <v>2557</v>
      </c>
      <c r="M75" s="422">
        <v>11418</v>
      </c>
      <c r="N75" s="422"/>
      <c r="O75" s="422"/>
      <c r="P75" s="422">
        <v>11436.522999999999</v>
      </c>
    </row>
    <row r="76" spans="1:16" hidden="1" x14ac:dyDescent="0.5">
      <c r="A76" s="423">
        <v>73</v>
      </c>
      <c r="B76" s="423" t="s">
        <v>2128</v>
      </c>
      <c r="C76" s="423" t="s">
        <v>3010</v>
      </c>
      <c r="D76" s="423" t="s">
        <v>3182</v>
      </c>
      <c r="E76" s="423" t="s">
        <v>2566</v>
      </c>
      <c r="F76" s="423" t="s">
        <v>2559</v>
      </c>
      <c r="G76" s="423" t="s">
        <v>2856</v>
      </c>
      <c r="H76" s="423" t="s">
        <v>2855</v>
      </c>
      <c r="I76" s="423" t="s">
        <v>2797</v>
      </c>
      <c r="J76" s="423" t="s">
        <v>2829</v>
      </c>
      <c r="K76" s="423" t="s">
        <v>2556</v>
      </c>
      <c r="L76" s="423" t="s">
        <v>2557</v>
      </c>
      <c r="M76" s="422">
        <v>33760</v>
      </c>
      <c r="N76" s="422"/>
      <c r="O76" s="422"/>
      <c r="P76" s="422">
        <v>33814.766000000003</v>
      </c>
    </row>
    <row r="77" spans="1:16" hidden="1" x14ac:dyDescent="0.5">
      <c r="A77" s="423">
        <v>74</v>
      </c>
      <c r="B77" s="423" t="s">
        <v>2128</v>
      </c>
      <c r="C77" s="423" t="s">
        <v>3010</v>
      </c>
      <c r="D77" s="423" t="s">
        <v>3181</v>
      </c>
      <c r="E77" s="423" t="s">
        <v>2566</v>
      </c>
      <c r="F77" s="423" t="s">
        <v>2559</v>
      </c>
      <c r="G77" s="423" t="s">
        <v>2854</v>
      </c>
      <c r="H77" s="423" t="s">
        <v>2850</v>
      </c>
      <c r="I77" s="423" t="s">
        <v>2853</v>
      </c>
      <c r="J77" s="423" t="s">
        <v>2798</v>
      </c>
      <c r="K77" s="423" t="s">
        <v>2556</v>
      </c>
      <c r="L77" s="423" t="s">
        <v>2557</v>
      </c>
      <c r="M77" s="422">
        <v>71810</v>
      </c>
      <c r="N77" s="422"/>
      <c r="O77" s="422"/>
      <c r="P77" s="422">
        <v>71926.491999999998</v>
      </c>
    </row>
    <row r="78" spans="1:16" hidden="1" x14ac:dyDescent="0.5">
      <c r="A78" s="423">
        <v>75</v>
      </c>
      <c r="B78" s="423" t="s">
        <v>2128</v>
      </c>
      <c r="C78" s="423" t="s">
        <v>3010</v>
      </c>
      <c r="D78" s="423" t="s">
        <v>3180</v>
      </c>
      <c r="E78" s="423" t="s">
        <v>2752</v>
      </c>
      <c r="F78" s="423" t="s">
        <v>2554</v>
      </c>
      <c r="G78" s="423" t="s">
        <v>2751</v>
      </c>
      <c r="H78" s="423" t="s">
        <v>2750</v>
      </c>
      <c r="I78" s="423" t="s">
        <v>2592</v>
      </c>
      <c r="J78" s="423" t="s">
        <v>2592</v>
      </c>
      <c r="K78" s="423" t="s">
        <v>2556</v>
      </c>
      <c r="L78" s="423" t="s">
        <v>2557</v>
      </c>
      <c r="M78" s="422">
        <v>3535</v>
      </c>
      <c r="N78" s="422"/>
      <c r="O78" s="422"/>
      <c r="P78" s="422">
        <v>3533.2080000000001</v>
      </c>
    </row>
    <row r="79" spans="1:16" hidden="1" x14ac:dyDescent="0.5">
      <c r="A79" s="423">
        <v>76</v>
      </c>
      <c r="B79" s="423" t="s">
        <v>2128</v>
      </c>
      <c r="C79" s="423" t="s">
        <v>3010</v>
      </c>
      <c r="D79" s="423" t="s">
        <v>3179</v>
      </c>
      <c r="E79" s="423" t="s">
        <v>2560</v>
      </c>
      <c r="F79" s="423" t="s">
        <v>2554</v>
      </c>
      <c r="G79" s="423" t="s">
        <v>2561</v>
      </c>
      <c r="H79" s="423" t="s">
        <v>2849</v>
      </c>
      <c r="I79" s="423" t="s">
        <v>2577</v>
      </c>
      <c r="J79" s="423" t="s">
        <v>2563</v>
      </c>
      <c r="K79" s="423" t="s">
        <v>2556</v>
      </c>
      <c r="L79" s="423" t="s">
        <v>2557</v>
      </c>
      <c r="M79" s="422">
        <v>6933</v>
      </c>
      <c r="N79" s="422"/>
      <c r="O79" s="422"/>
      <c r="P79" s="422">
        <v>6929.4849999999997</v>
      </c>
    </row>
    <row r="80" spans="1:16" hidden="1" x14ac:dyDescent="0.5">
      <c r="A80" s="423">
        <v>77</v>
      </c>
      <c r="B80" s="423" t="s">
        <v>2128</v>
      </c>
      <c r="C80" s="423" t="s">
        <v>3010</v>
      </c>
      <c r="D80" s="423" t="s">
        <v>3178</v>
      </c>
      <c r="E80" s="423" t="s">
        <v>2553</v>
      </c>
      <c r="F80" s="423" t="s">
        <v>2559</v>
      </c>
      <c r="G80" s="423" t="s">
        <v>2748</v>
      </c>
      <c r="H80" s="423" t="s">
        <v>2603</v>
      </c>
      <c r="I80" s="423" t="s">
        <v>2558</v>
      </c>
      <c r="J80" s="423" t="s">
        <v>2558</v>
      </c>
      <c r="K80" s="423" t="s">
        <v>2556</v>
      </c>
      <c r="L80" s="423" t="s">
        <v>2557</v>
      </c>
      <c r="M80" s="422">
        <v>16747</v>
      </c>
      <c r="N80" s="422"/>
      <c r="O80" s="422"/>
      <c r="P80" s="422">
        <v>16738.509999999998</v>
      </c>
    </row>
    <row r="81" spans="1:16" hidden="1" x14ac:dyDescent="0.5">
      <c r="A81" s="423">
        <v>78</v>
      </c>
      <c r="B81" s="423" t="s">
        <v>2129</v>
      </c>
      <c r="C81" s="423" t="s">
        <v>3010</v>
      </c>
      <c r="D81" s="423" t="s">
        <v>3177</v>
      </c>
      <c r="E81" s="423" t="s">
        <v>2566</v>
      </c>
      <c r="F81" s="423" t="s">
        <v>2559</v>
      </c>
      <c r="G81" s="423" t="s">
        <v>2852</v>
      </c>
      <c r="H81" s="423" t="s">
        <v>2810</v>
      </c>
      <c r="I81" s="423" t="s">
        <v>2808</v>
      </c>
      <c r="J81" s="423" t="s">
        <v>2808</v>
      </c>
      <c r="K81" s="423" t="s">
        <v>2556</v>
      </c>
      <c r="L81" s="423" t="s">
        <v>2557</v>
      </c>
      <c r="M81" s="422">
        <v>32330</v>
      </c>
      <c r="N81" s="422"/>
      <c r="O81" s="422"/>
      <c r="P81" s="422">
        <v>32382.447</v>
      </c>
    </row>
    <row r="82" spans="1:16" hidden="1" x14ac:dyDescent="0.5">
      <c r="A82" s="423">
        <v>79</v>
      </c>
      <c r="B82" s="423" t="s">
        <v>2129</v>
      </c>
      <c r="C82" s="423" t="s">
        <v>3010</v>
      </c>
      <c r="D82" s="423" t="s">
        <v>3176</v>
      </c>
      <c r="E82" s="423" t="s">
        <v>2566</v>
      </c>
      <c r="F82" s="423" t="s">
        <v>2559</v>
      </c>
      <c r="G82" s="423" t="s">
        <v>2851</v>
      </c>
      <c r="H82" s="423" t="s">
        <v>2850</v>
      </c>
      <c r="I82" s="423" t="s">
        <v>2808</v>
      </c>
      <c r="J82" s="423" t="s">
        <v>2808</v>
      </c>
      <c r="K82" s="423" t="s">
        <v>2556</v>
      </c>
      <c r="L82" s="423" t="s">
        <v>2557</v>
      </c>
      <c r="M82" s="422">
        <v>25900</v>
      </c>
      <c r="N82" s="422"/>
      <c r="O82" s="422"/>
      <c r="P82" s="422">
        <v>25942.016</v>
      </c>
    </row>
    <row r="83" spans="1:16" hidden="1" x14ac:dyDescent="0.5">
      <c r="A83" s="423">
        <v>80</v>
      </c>
      <c r="B83" s="423" t="s">
        <v>2129</v>
      </c>
      <c r="C83" s="423" t="s">
        <v>3010</v>
      </c>
      <c r="D83" s="423" t="s">
        <v>3175</v>
      </c>
      <c r="E83" s="423" t="s">
        <v>2568</v>
      </c>
      <c r="F83" s="423" t="s">
        <v>2559</v>
      </c>
      <c r="G83" s="423" t="s">
        <v>2812</v>
      </c>
      <c r="H83" s="423" t="s">
        <v>2616</v>
      </c>
      <c r="I83" s="423" t="s">
        <v>2577</v>
      </c>
      <c r="J83" s="423" t="s">
        <v>2570</v>
      </c>
      <c r="K83" s="423" t="s">
        <v>2556</v>
      </c>
      <c r="L83" s="423" t="s">
        <v>2557</v>
      </c>
      <c r="M83" s="422">
        <v>9395</v>
      </c>
      <c r="N83" s="422"/>
      <c r="O83" s="422"/>
      <c r="P83" s="422">
        <v>9385.4750000000004</v>
      </c>
    </row>
    <row r="84" spans="1:16" hidden="1" x14ac:dyDescent="0.5">
      <c r="A84" s="423">
        <v>81</v>
      </c>
      <c r="B84" s="423" t="s">
        <v>2129</v>
      </c>
      <c r="C84" s="423" t="s">
        <v>3010</v>
      </c>
      <c r="D84" s="423" t="s">
        <v>3174</v>
      </c>
      <c r="E84" s="423" t="s">
        <v>2560</v>
      </c>
      <c r="F84" s="423" t="s">
        <v>2554</v>
      </c>
      <c r="G84" s="423" t="s">
        <v>2561</v>
      </c>
      <c r="H84" s="423" t="s">
        <v>2849</v>
      </c>
      <c r="I84" s="423" t="s">
        <v>2577</v>
      </c>
      <c r="J84" s="423" t="s">
        <v>2563</v>
      </c>
      <c r="K84" s="423" t="s">
        <v>2556</v>
      </c>
      <c r="L84" s="423" t="s">
        <v>2557</v>
      </c>
      <c r="M84" s="422">
        <v>6653</v>
      </c>
      <c r="N84" s="422"/>
      <c r="O84" s="422"/>
      <c r="P84" s="422">
        <v>6646.2550000000001</v>
      </c>
    </row>
    <row r="85" spans="1:16" hidden="1" x14ac:dyDescent="0.5">
      <c r="A85" s="423">
        <v>82</v>
      </c>
      <c r="B85" s="423" t="s">
        <v>2130</v>
      </c>
      <c r="C85" s="423" t="s">
        <v>3010</v>
      </c>
      <c r="D85" s="423" t="s">
        <v>3173</v>
      </c>
      <c r="E85" s="423" t="s">
        <v>2553</v>
      </c>
      <c r="F85" s="423" t="s">
        <v>2554</v>
      </c>
      <c r="G85" s="423" t="s">
        <v>2766</v>
      </c>
      <c r="H85" s="423" t="s">
        <v>2579</v>
      </c>
      <c r="I85" s="423" t="s">
        <v>2555</v>
      </c>
      <c r="J85" s="423" t="s">
        <v>2555</v>
      </c>
      <c r="K85" s="423" t="s">
        <v>2556</v>
      </c>
      <c r="L85" s="423" t="s">
        <v>2557</v>
      </c>
      <c r="M85" s="422">
        <v>10522</v>
      </c>
      <c r="N85" s="422"/>
      <c r="O85" s="422"/>
      <c r="P85" s="422">
        <v>10527.334000000001</v>
      </c>
    </row>
    <row r="86" spans="1:16" hidden="1" x14ac:dyDescent="0.5">
      <c r="A86" s="423">
        <v>83</v>
      </c>
      <c r="B86" s="423" t="s">
        <v>2130</v>
      </c>
      <c r="C86" s="423" t="s">
        <v>3010</v>
      </c>
      <c r="D86" s="423" t="s">
        <v>3172</v>
      </c>
      <c r="E86" s="423" t="s">
        <v>2764</v>
      </c>
      <c r="F86" s="423" t="s">
        <v>2554</v>
      </c>
      <c r="G86" s="423" t="s">
        <v>2763</v>
      </c>
      <c r="H86" s="423" t="s">
        <v>2818</v>
      </c>
      <c r="I86" s="423" t="s">
        <v>2761</v>
      </c>
      <c r="J86" s="423" t="s">
        <v>2761</v>
      </c>
      <c r="K86" s="423" t="s">
        <v>2556</v>
      </c>
      <c r="L86" s="423" t="s">
        <v>2557</v>
      </c>
      <c r="M86" s="422">
        <v>80053</v>
      </c>
      <c r="N86" s="422"/>
      <c r="O86" s="422"/>
      <c r="P86" s="422">
        <v>80093.582999999999</v>
      </c>
    </row>
    <row r="87" spans="1:16" hidden="1" x14ac:dyDescent="0.5">
      <c r="A87" s="423">
        <v>84</v>
      </c>
      <c r="B87" s="423" t="s">
        <v>2130</v>
      </c>
      <c r="C87" s="423" t="s">
        <v>3010</v>
      </c>
      <c r="D87" s="423" t="s">
        <v>3171</v>
      </c>
      <c r="E87" s="423" t="s">
        <v>2752</v>
      </c>
      <c r="F87" s="423" t="s">
        <v>2554</v>
      </c>
      <c r="G87" s="423" t="s">
        <v>2848</v>
      </c>
      <c r="H87" s="423" t="s">
        <v>2847</v>
      </c>
      <c r="I87" s="423" t="s">
        <v>2592</v>
      </c>
      <c r="J87" s="423" t="s">
        <v>2592</v>
      </c>
      <c r="K87" s="423" t="s">
        <v>2556</v>
      </c>
      <c r="L87" s="423" t="s">
        <v>2557</v>
      </c>
      <c r="M87" s="422">
        <v>3863</v>
      </c>
      <c r="N87" s="422"/>
      <c r="O87" s="422"/>
      <c r="P87" s="422">
        <v>3864.9580000000001</v>
      </c>
    </row>
    <row r="88" spans="1:16" hidden="1" x14ac:dyDescent="0.5">
      <c r="A88" s="423">
        <v>85</v>
      </c>
      <c r="B88" s="423" t="s">
        <v>2130</v>
      </c>
      <c r="C88" s="423" t="s">
        <v>3010</v>
      </c>
      <c r="D88" s="423" t="s">
        <v>3170</v>
      </c>
      <c r="E88" s="423" t="s">
        <v>2599</v>
      </c>
      <c r="F88" s="423" t="s">
        <v>2600</v>
      </c>
      <c r="G88" s="423" t="s">
        <v>2601</v>
      </c>
      <c r="H88" s="423" t="s">
        <v>2846</v>
      </c>
      <c r="I88" s="423" t="s">
        <v>2562</v>
      </c>
      <c r="J88" s="423" t="s">
        <v>2562</v>
      </c>
      <c r="K88" s="423" t="s">
        <v>2556</v>
      </c>
      <c r="L88" s="423" t="s">
        <v>2557</v>
      </c>
      <c r="M88" s="422">
        <v>1123</v>
      </c>
      <c r="N88" s="422"/>
      <c r="O88" s="422"/>
      <c r="P88" s="422">
        <v>1123.2280000000001</v>
      </c>
    </row>
    <row r="89" spans="1:16" hidden="1" x14ac:dyDescent="0.5">
      <c r="A89" s="423">
        <v>86</v>
      </c>
      <c r="B89" s="423" t="s">
        <v>2130</v>
      </c>
      <c r="C89" s="423" t="s">
        <v>3010</v>
      </c>
      <c r="D89" s="423" t="s">
        <v>3169</v>
      </c>
      <c r="E89" s="423" t="s">
        <v>2591</v>
      </c>
      <c r="F89" s="423" t="s">
        <v>2554</v>
      </c>
      <c r="G89" s="423" t="s">
        <v>2834</v>
      </c>
      <c r="H89" s="423" t="s">
        <v>2845</v>
      </c>
      <c r="I89" s="423" t="s">
        <v>2592</v>
      </c>
      <c r="J89" s="423" t="s">
        <v>2592</v>
      </c>
      <c r="K89" s="423" t="s">
        <v>2556</v>
      </c>
      <c r="L89" s="423" t="s">
        <v>2557</v>
      </c>
      <c r="M89" s="422">
        <v>774</v>
      </c>
      <c r="N89" s="422"/>
      <c r="O89" s="422"/>
      <c r="P89" s="422">
        <v>774.15700000000004</v>
      </c>
    </row>
    <row r="90" spans="1:16" hidden="1" x14ac:dyDescent="0.5">
      <c r="A90" s="423">
        <v>87</v>
      </c>
      <c r="B90" s="423" t="s">
        <v>2130</v>
      </c>
      <c r="C90" s="423" t="s">
        <v>3010</v>
      </c>
      <c r="D90" s="423" t="s">
        <v>3168</v>
      </c>
      <c r="E90" s="423" t="s">
        <v>2560</v>
      </c>
      <c r="F90" s="423" t="s">
        <v>2554</v>
      </c>
      <c r="G90" s="423" t="s">
        <v>2561</v>
      </c>
      <c r="H90" s="423" t="s">
        <v>2749</v>
      </c>
      <c r="I90" s="423" t="s">
        <v>2562</v>
      </c>
      <c r="J90" s="423" t="s">
        <v>2563</v>
      </c>
      <c r="K90" s="423" t="s">
        <v>2556</v>
      </c>
      <c r="L90" s="423" t="s">
        <v>2557</v>
      </c>
      <c r="M90" s="422">
        <v>4597</v>
      </c>
      <c r="N90" s="422"/>
      <c r="O90" s="422"/>
      <c r="P90" s="422">
        <v>4597.9319999999998</v>
      </c>
    </row>
    <row r="91" spans="1:16" hidden="1" x14ac:dyDescent="0.5">
      <c r="A91" s="423">
        <v>88</v>
      </c>
      <c r="B91" s="423" t="s">
        <v>2130</v>
      </c>
      <c r="C91" s="423" t="s">
        <v>3010</v>
      </c>
      <c r="D91" s="423" t="s">
        <v>3167</v>
      </c>
      <c r="E91" s="423" t="s">
        <v>2566</v>
      </c>
      <c r="F91" s="423" t="s">
        <v>2559</v>
      </c>
      <c r="G91" s="423" t="s">
        <v>2844</v>
      </c>
      <c r="H91" s="423" t="s">
        <v>2843</v>
      </c>
      <c r="I91" s="423" t="s">
        <v>2842</v>
      </c>
      <c r="J91" s="423" t="s">
        <v>2841</v>
      </c>
      <c r="K91" s="423" t="s">
        <v>2556</v>
      </c>
      <c r="L91" s="423" t="s">
        <v>2557</v>
      </c>
      <c r="M91" s="422">
        <v>31570</v>
      </c>
      <c r="N91" s="422"/>
      <c r="O91" s="422"/>
      <c r="P91" s="422">
        <v>31576.401999999998</v>
      </c>
    </row>
    <row r="92" spans="1:16" hidden="1" x14ac:dyDescent="0.5">
      <c r="A92" s="423">
        <v>89</v>
      </c>
      <c r="B92" s="423" t="s">
        <v>2130</v>
      </c>
      <c r="C92" s="423" t="s">
        <v>3010</v>
      </c>
      <c r="D92" s="423" t="s">
        <v>3166</v>
      </c>
      <c r="E92" s="423" t="s">
        <v>2553</v>
      </c>
      <c r="F92" s="423" t="s">
        <v>2559</v>
      </c>
      <c r="G92" s="423" t="s">
        <v>2748</v>
      </c>
      <c r="H92" s="423" t="s">
        <v>2679</v>
      </c>
      <c r="I92" s="423" t="s">
        <v>2558</v>
      </c>
      <c r="J92" s="423" t="s">
        <v>2558</v>
      </c>
      <c r="K92" s="423" t="s">
        <v>2556</v>
      </c>
      <c r="L92" s="423" t="s">
        <v>2557</v>
      </c>
      <c r="M92" s="422">
        <v>15950</v>
      </c>
      <c r="N92" s="422"/>
      <c r="O92" s="422"/>
      <c r="P92" s="422">
        <v>15953.234</v>
      </c>
    </row>
    <row r="93" spans="1:16" hidden="1" x14ac:dyDescent="0.5">
      <c r="A93" s="423">
        <v>90</v>
      </c>
      <c r="B93" s="423" t="s">
        <v>2131</v>
      </c>
      <c r="C93" s="423" t="s">
        <v>2980</v>
      </c>
      <c r="D93" s="423" t="s">
        <v>3165</v>
      </c>
      <c r="E93" s="423" t="s">
        <v>2672</v>
      </c>
      <c r="F93" s="423" t="s">
        <v>2554</v>
      </c>
      <c r="G93" s="423" t="s">
        <v>2768</v>
      </c>
      <c r="H93" s="423" t="s">
        <v>2822</v>
      </c>
      <c r="I93" s="423" t="s">
        <v>2555</v>
      </c>
      <c r="J93" s="423" t="s">
        <v>2555</v>
      </c>
      <c r="K93" s="423" t="s">
        <v>2556</v>
      </c>
      <c r="L93" s="423" t="s">
        <v>2557</v>
      </c>
      <c r="M93" s="422">
        <v>12463</v>
      </c>
      <c r="N93" s="422"/>
      <c r="O93" s="422"/>
      <c r="P93" s="422">
        <v>12469.316999999999</v>
      </c>
    </row>
    <row r="94" spans="1:16" hidden="1" x14ac:dyDescent="0.5">
      <c r="A94" s="423">
        <v>91</v>
      </c>
      <c r="B94" s="423" t="s">
        <v>2131</v>
      </c>
      <c r="C94" s="423" t="s">
        <v>2980</v>
      </c>
      <c r="D94" s="423" t="s">
        <v>3164</v>
      </c>
      <c r="E94" s="423" t="s">
        <v>2760</v>
      </c>
      <c r="F94" s="423" t="s">
        <v>2600</v>
      </c>
      <c r="G94" s="423" t="s">
        <v>2759</v>
      </c>
      <c r="H94" s="423" t="s">
        <v>2791</v>
      </c>
      <c r="I94" s="423" t="s">
        <v>2757</v>
      </c>
      <c r="J94" s="423" t="s">
        <v>2757</v>
      </c>
      <c r="K94" s="423" t="s">
        <v>2556</v>
      </c>
      <c r="L94" s="423" t="s">
        <v>2557</v>
      </c>
      <c r="M94" s="422">
        <v>76762</v>
      </c>
      <c r="N94" s="422"/>
      <c r="O94" s="422"/>
      <c r="P94" s="422">
        <v>76800.91</v>
      </c>
    </row>
    <row r="95" spans="1:16" hidden="1" x14ac:dyDescent="0.5">
      <c r="A95" s="423">
        <v>92</v>
      </c>
      <c r="B95" s="423" t="s">
        <v>2131</v>
      </c>
      <c r="C95" s="423" t="s">
        <v>2980</v>
      </c>
      <c r="D95" s="423" t="s">
        <v>3163</v>
      </c>
      <c r="E95" s="423" t="s">
        <v>2764</v>
      </c>
      <c r="F95" s="423" t="s">
        <v>2554</v>
      </c>
      <c r="G95" s="423" t="s">
        <v>2763</v>
      </c>
      <c r="H95" s="423" t="s">
        <v>2818</v>
      </c>
      <c r="I95" s="423" t="s">
        <v>2761</v>
      </c>
      <c r="J95" s="423" t="s">
        <v>2761</v>
      </c>
      <c r="K95" s="423" t="s">
        <v>2556</v>
      </c>
      <c r="L95" s="423" t="s">
        <v>2557</v>
      </c>
      <c r="M95" s="422">
        <v>82020</v>
      </c>
      <c r="N95" s="422"/>
      <c r="O95" s="422"/>
      <c r="P95" s="422">
        <v>82061.574999999997</v>
      </c>
    </row>
    <row r="96" spans="1:16" hidden="1" x14ac:dyDescent="0.5">
      <c r="A96" s="423">
        <v>93</v>
      </c>
      <c r="B96" s="423" t="s">
        <v>2131</v>
      </c>
      <c r="C96" s="423" t="s">
        <v>2980</v>
      </c>
      <c r="D96" s="423" t="s">
        <v>3162</v>
      </c>
      <c r="E96" s="423" t="s">
        <v>2760</v>
      </c>
      <c r="F96" s="423" t="s">
        <v>2600</v>
      </c>
      <c r="G96" s="423" t="s">
        <v>2817</v>
      </c>
      <c r="H96" s="423" t="s">
        <v>2758</v>
      </c>
      <c r="I96" s="423" t="s">
        <v>2790</v>
      </c>
      <c r="J96" s="423" t="s">
        <v>2794</v>
      </c>
      <c r="K96" s="423" t="s">
        <v>2556</v>
      </c>
      <c r="L96" s="423" t="s">
        <v>2557</v>
      </c>
      <c r="M96" s="422">
        <v>79343</v>
      </c>
      <c r="N96" s="422"/>
      <c r="O96" s="422"/>
      <c r="P96" s="422">
        <v>79302.778000000006</v>
      </c>
    </row>
    <row r="97" spans="1:16" hidden="1" x14ac:dyDescent="0.5">
      <c r="A97" s="423">
        <v>94</v>
      </c>
      <c r="B97" s="423" t="s">
        <v>2131</v>
      </c>
      <c r="C97" s="423" t="s">
        <v>2980</v>
      </c>
      <c r="D97" s="423" t="s">
        <v>3161</v>
      </c>
      <c r="E97" s="423" t="s">
        <v>2568</v>
      </c>
      <c r="F97" s="423" t="s">
        <v>2559</v>
      </c>
      <c r="G97" s="423" t="s">
        <v>2838</v>
      </c>
      <c r="H97" s="423" t="s">
        <v>2616</v>
      </c>
      <c r="I97" s="423" t="s">
        <v>2577</v>
      </c>
      <c r="J97" s="423" t="s">
        <v>2570</v>
      </c>
      <c r="K97" s="423" t="s">
        <v>2556</v>
      </c>
      <c r="L97" s="423" t="s">
        <v>2557</v>
      </c>
      <c r="M97" s="422">
        <v>9542</v>
      </c>
      <c r="N97" s="422"/>
      <c r="O97" s="422"/>
      <c r="P97" s="422">
        <v>9537.1630000000005</v>
      </c>
    </row>
    <row r="98" spans="1:16" hidden="1" x14ac:dyDescent="0.5">
      <c r="A98" s="423">
        <v>95</v>
      </c>
      <c r="B98" s="423" t="s">
        <v>2131</v>
      </c>
      <c r="C98" s="423" t="s">
        <v>2980</v>
      </c>
      <c r="D98" s="423" t="s">
        <v>3160</v>
      </c>
      <c r="E98" s="423" t="s">
        <v>2560</v>
      </c>
      <c r="F98" s="423" t="s">
        <v>2554</v>
      </c>
      <c r="G98" s="423" t="s">
        <v>2561</v>
      </c>
      <c r="H98" s="423" t="s">
        <v>2749</v>
      </c>
      <c r="I98" s="423" t="s">
        <v>2577</v>
      </c>
      <c r="J98" s="423" t="s">
        <v>2563</v>
      </c>
      <c r="K98" s="423" t="s">
        <v>2556</v>
      </c>
      <c r="L98" s="423" t="s">
        <v>2557</v>
      </c>
      <c r="M98" s="422">
        <v>6525</v>
      </c>
      <c r="N98" s="422"/>
      <c r="O98" s="422"/>
      <c r="P98" s="422">
        <v>6521.692</v>
      </c>
    </row>
    <row r="99" spans="1:16" hidden="1" x14ac:dyDescent="0.5">
      <c r="A99" s="423">
        <v>96</v>
      </c>
      <c r="B99" s="423" t="s">
        <v>2131</v>
      </c>
      <c r="C99" s="423" t="s">
        <v>2980</v>
      </c>
      <c r="D99" s="423" t="s">
        <v>3159</v>
      </c>
      <c r="E99" s="423" t="s">
        <v>2566</v>
      </c>
      <c r="F99" s="423" t="s">
        <v>2559</v>
      </c>
      <c r="G99" s="423" t="s">
        <v>2820</v>
      </c>
      <c r="H99" s="423" t="s">
        <v>2819</v>
      </c>
      <c r="I99" s="423" t="s">
        <v>2779</v>
      </c>
      <c r="J99" s="423" t="s">
        <v>2778</v>
      </c>
      <c r="K99" s="423" t="s">
        <v>2556</v>
      </c>
      <c r="L99" s="423" t="s">
        <v>2557</v>
      </c>
      <c r="M99" s="422">
        <v>37110</v>
      </c>
      <c r="N99" s="422"/>
      <c r="O99" s="422"/>
      <c r="P99" s="422">
        <v>37091.186999999998</v>
      </c>
    </row>
    <row r="100" spans="1:16" hidden="1" x14ac:dyDescent="0.5">
      <c r="A100" s="423">
        <v>97</v>
      </c>
      <c r="B100" s="423" t="s">
        <v>2132</v>
      </c>
      <c r="C100" s="423" t="s">
        <v>2980</v>
      </c>
      <c r="D100" s="423" t="s">
        <v>3158</v>
      </c>
      <c r="E100" s="423" t="s">
        <v>2553</v>
      </c>
      <c r="F100" s="423" t="s">
        <v>2554</v>
      </c>
      <c r="G100" s="423" t="s">
        <v>2766</v>
      </c>
      <c r="H100" s="423" t="s">
        <v>2572</v>
      </c>
      <c r="I100" s="423" t="s">
        <v>2555</v>
      </c>
      <c r="J100" s="423" t="s">
        <v>2555</v>
      </c>
      <c r="K100" s="423" t="s">
        <v>2556</v>
      </c>
      <c r="L100" s="423" t="s">
        <v>2557</v>
      </c>
      <c r="M100" s="422">
        <v>11640</v>
      </c>
      <c r="N100" s="422"/>
      <c r="O100" s="422"/>
      <c r="P100" s="422">
        <v>11645.9</v>
      </c>
    </row>
    <row r="101" spans="1:16" hidden="1" x14ac:dyDescent="0.5">
      <c r="A101" s="423">
        <v>98</v>
      </c>
      <c r="B101" s="423" t="s">
        <v>2132</v>
      </c>
      <c r="C101" s="423" t="s">
        <v>2980</v>
      </c>
      <c r="D101" s="423" t="s">
        <v>3157</v>
      </c>
      <c r="E101" s="423" t="s">
        <v>2560</v>
      </c>
      <c r="F101" s="423" t="s">
        <v>2554</v>
      </c>
      <c r="G101" s="423" t="s">
        <v>2561</v>
      </c>
      <c r="H101" s="423" t="s">
        <v>2749</v>
      </c>
      <c r="I101" s="423" t="s">
        <v>2562</v>
      </c>
      <c r="J101" s="423" t="s">
        <v>2563</v>
      </c>
      <c r="K101" s="423" t="s">
        <v>2556</v>
      </c>
      <c r="L101" s="423" t="s">
        <v>2557</v>
      </c>
      <c r="M101" s="422">
        <v>6610</v>
      </c>
      <c r="N101" s="422"/>
      <c r="O101" s="422"/>
      <c r="P101" s="422">
        <v>6608.66</v>
      </c>
    </row>
    <row r="102" spans="1:16" hidden="1" x14ac:dyDescent="0.5">
      <c r="A102" s="423">
        <v>99</v>
      </c>
      <c r="B102" s="423" t="s">
        <v>2133</v>
      </c>
      <c r="C102" s="423" t="s">
        <v>2980</v>
      </c>
      <c r="D102" s="423" t="s">
        <v>3156</v>
      </c>
      <c r="E102" s="423" t="s">
        <v>2672</v>
      </c>
      <c r="F102" s="423" t="s">
        <v>2554</v>
      </c>
      <c r="G102" s="423" t="s">
        <v>2768</v>
      </c>
      <c r="H102" s="423" t="s">
        <v>2840</v>
      </c>
      <c r="I102" s="423" t="s">
        <v>2555</v>
      </c>
      <c r="J102" s="423" t="s">
        <v>2555</v>
      </c>
      <c r="K102" s="423" t="s">
        <v>2556</v>
      </c>
      <c r="L102" s="423" t="s">
        <v>2557</v>
      </c>
      <c r="M102" s="422">
        <v>12184</v>
      </c>
      <c r="N102" s="422"/>
      <c r="O102" s="422"/>
      <c r="P102" s="422">
        <v>12217.353999999999</v>
      </c>
    </row>
    <row r="103" spans="1:16" hidden="1" x14ac:dyDescent="0.5">
      <c r="A103" s="423">
        <v>100</v>
      </c>
      <c r="B103" s="423" t="s">
        <v>2133</v>
      </c>
      <c r="C103" s="423" t="s">
        <v>2980</v>
      </c>
      <c r="D103" s="423" t="s">
        <v>3155</v>
      </c>
      <c r="E103" s="423" t="s">
        <v>2553</v>
      </c>
      <c r="F103" s="423" t="s">
        <v>2554</v>
      </c>
      <c r="G103" s="423" t="s">
        <v>2772</v>
      </c>
      <c r="H103" s="423" t="s">
        <v>2821</v>
      </c>
      <c r="I103" s="423" t="s">
        <v>2770</v>
      </c>
      <c r="J103" s="423" t="s">
        <v>2770</v>
      </c>
      <c r="K103" s="423" t="s">
        <v>2556</v>
      </c>
      <c r="L103" s="423" t="s">
        <v>2557</v>
      </c>
      <c r="M103" s="422">
        <v>14069</v>
      </c>
      <c r="N103" s="422"/>
      <c r="O103" s="422"/>
      <c r="P103" s="422">
        <v>14107.513999999999</v>
      </c>
    </row>
    <row r="104" spans="1:16" hidden="1" x14ac:dyDescent="0.5">
      <c r="A104" s="423">
        <v>101</v>
      </c>
      <c r="B104" s="423" t="s">
        <v>2133</v>
      </c>
      <c r="C104" s="423" t="s">
        <v>2980</v>
      </c>
      <c r="D104" s="423" t="s">
        <v>3154</v>
      </c>
      <c r="E104" s="423" t="s">
        <v>2553</v>
      </c>
      <c r="F104" s="423" t="s">
        <v>2559</v>
      </c>
      <c r="G104" s="423" t="s">
        <v>2773</v>
      </c>
      <c r="H104" s="423" t="s">
        <v>2583</v>
      </c>
      <c r="I104" s="423" t="s">
        <v>2573</v>
      </c>
      <c r="J104" s="423" t="s">
        <v>2573</v>
      </c>
      <c r="K104" s="423" t="s">
        <v>2556</v>
      </c>
      <c r="L104" s="423" t="s">
        <v>2557</v>
      </c>
      <c r="M104" s="422">
        <v>13984</v>
      </c>
      <c r="N104" s="422"/>
      <c r="O104" s="422"/>
      <c r="P104" s="422">
        <v>14022.281000000001</v>
      </c>
    </row>
    <row r="105" spans="1:16" hidden="1" x14ac:dyDescent="0.5">
      <c r="A105" s="423">
        <v>102</v>
      </c>
      <c r="B105" s="423" t="s">
        <v>2133</v>
      </c>
      <c r="C105" s="423" t="s">
        <v>2980</v>
      </c>
      <c r="D105" s="423" t="s">
        <v>3153</v>
      </c>
      <c r="E105" s="423" t="s">
        <v>2756</v>
      </c>
      <c r="F105" s="423" t="s">
        <v>2559</v>
      </c>
      <c r="G105" s="423" t="s">
        <v>2755</v>
      </c>
      <c r="H105" s="423" t="s">
        <v>2839</v>
      </c>
      <c r="I105" s="423" t="s">
        <v>2753</v>
      </c>
      <c r="J105" s="423" t="s">
        <v>2753</v>
      </c>
      <c r="K105" s="423" t="s">
        <v>2556</v>
      </c>
      <c r="L105" s="423" t="s">
        <v>2557</v>
      </c>
      <c r="M105" s="422">
        <v>59620</v>
      </c>
      <c r="N105" s="422"/>
      <c r="O105" s="422"/>
      <c r="P105" s="422">
        <v>59783.21</v>
      </c>
    </row>
    <row r="106" spans="1:16" hidden="1" x14ac:dyDescent="0.5">
      <c r="A106" s="423">
        <v>103</v>
      </c>
      <c r="B106" s="423" t="s">
        <v>2133</v>
      </c>
      <c r="C106" s="423" t="s">
        <v>2980</v>
      </c>
      <c r="D106" s="423" t="s">
        <v>3152</v>
      </c>
      <c r="E106" s="423" t="s">
        <v>2760</v>
      </c>
      <c r="F106" s="423" t="s">
        <v>2600</v>
      </c>
      <c r="G106" s="423" t="s">
        <v>2802</v>
      </c>
      <c r="H106" s="423" t="s">
        <v>2801</v>
      </c>
      <c r="I106" s="423" t="s">
        <v>2761</v>
      </c>
      <c r="J106" s="423" t="s">
        <v>2761</v>
      </c>
      <c r="K106" s="423" t="s">
        <v>2556</v>
      </c>
      <c r="L106" s="423" t="s">
        <v>2557</v>
      </c>
      <c r="M106" s="422">
        <v>68180</v>
      </c>
      <c r="N106" s="422"/>
      <c r="O106" s="422"/>
      <c r="P106" s="422">
        <v>68366.642999999996</v>
      </c>
    </row>
    <row r="107" spans="1:16" hidden="1" x14ac:dyDescent="0.5">
      <c r="A107" s="423">
        <v>104</v>
      </c>
      <c r="B107" s="423" t="s">
        <v>2133</v>
      </c>
      <c r="C107" s="423" t="s">
        <v>2980</v>
      </c>
      <c r="D107" s="423" t="s">
        <v>3151</v>
      </c>
      <c r="E107" s="423" t="s">
        <v>2568</v>
      </c>
      <c r="F107" s="423" t="s">
        <v>2559</v>
      </c>
      <c r="G107" s="423" t="s">
        <v>2838</v>
      </c>
      <c r="H107" s="423" t="s">
        <v>2616</v>
      </c>
      <c r="I107" s="423" t="s">
        <v>2577</v>
      </c>
      <c r="J107" s="423" t="s">
        <v>2570</v>
      </c>
      <c r="K107" s="423" t="s">
        <v>2556</v>
      </c>
      <c r="L107" s="423" t="s">
        <v>2557</v>
      </c>
      <c r="M107" s="422">
        <v>10022</v>
      </c>
      <c r="N107" s="422"/>
      <c r="O107" s="422"/>
      <c r="P107" s="422">
        <v>10016.919</v>
      </c>
    </row>
    <row r="108" spans="1:16" hidden="1" x14ac:dyDescent="0.5">
      <c r="A108" s="423">
        <v>105</v>
      </c>
      <c r="B108" s="423" t="s">
        <v>2133</v>
      </c>
      <c r="C108" s="423" t="s">
        <v>2980</v>
      </c>
      <c r="D108" s="423" t="s">
        <v>3150</v>
      </c>
      <c r="E108" s="423" t="s">
        <v>2599</v>
      </c>
      <c r="F108" s="423" t="s">
        <v>2600</v>
      </c>
      <c r="G108" s="423" t="s">
        <v>2601</v>
      </c>
      <c r="H108" s="423" t="s">
        <v>2837</v>
      </c>
      <c r="I108" s="423" t="s">
        <v>2562</v>
      </c>
      <c r="J108" s="423" t="s">
        <v>2562</v>
      </c>
      <c r="K108" s="423" t="s">
        <v>2556</v>
      </c>
      <c r="L108" s="423" t="s">
        <v>2557</v>
      </c>
      <c r="M108" s="422">
        <v>1380</v>
      </c>
      <c r="N108" s="422"/>
      <c r="O108" s="422"/>
      <c r="P108" s="422">
        <v>1379.3</v>
      </c>
    </row>
    <row r="109" spans="1:16" hidden="1" x14ac:dyDescent="0.5">
      <c r="A109" s="423">
        <v>106</v>
      </c>
      <c r="B109" s="423" t="s">
        <v>2133</v>
      </c>
      <c r="C109" s="423" t="s">
        <v>2980</v>
      </c>
      <c r="D109" s="423" t="s">
        <v>3149</v>
      </c>
      <c r="E109" s="423" t="s">
        <v>2560</v>
      </c>
      <c r="F109" s="423" t="s">
        <v>2554</v>
      </c>
      <c r="G109" s="423" t="s">
        <v>2561</v>
      </c>
      <c r="H109" s="423" t="s">
        <v>2749</v>
      </c>
      <c r="I109" s="423" t="s">
        <v>2577</v>
      </c>
      <c r="J109" s="423" t="s">
        <v>2563</v>
      </c>
      <c r="K109" s="423" t="s">
        <v>2556</v>
      </c>
      <c r="L109" s="423" t="s">
        <v>2557</v>
      </c>
      <c r="M109" s="422">
        <v>6417</v>
      </c>
      <c r="N109" s="422"/>
      <c r="O109" s="422"/>
      <c r="P109" s="422">
        <v>6413.7470000000003</v>
      </c>
    </row>
    <row r="110" spans="1:16" hidden="1" x14ac:dyDescent="0.5">
      <c r="A110" s="423">
        <v>107</v>
      </c>
      <c r="B110" s="423" t="s">
        <v>2133</v>
      </c>
      <c r="C110" s="423" t="s">
        <v>2980</v>
      </c>
      <c r="D110" s="423" t="s">
        <v>3148</v>
      </c>
      <c r="E110" s="423" t="s">
        <v>2553</v>
      </c>
      <c r="F110" s="423" t="s">
        <v>2559</v>
      </c>
      <c r="G110" s="423" t="s">
        <v>2748</v>
      </c>
      <c r="H110" s="423" t="s">
        <v>2836</v>
      </c>
      <c r="I110" s="423" t="s">
        <v>2558</v>
      </c>
      <c r="J110" s="423" t="s">
        <v>2558</v>
      </c>
      <c r="K110" s="423" t="s">
        <v>2556</v>
      </c>
      <c r="L110" s="423" t="s">
        <v>2557</v>
      </c>
      <c r="M110" s="422">
        <v>15898</v>
      </c>
      <c r="N110" s="422"/>
      <c r="O110" s="422"/>
      <c r="P110" s="422">
        <v>15889.941000000001</v>
      </c>
    </row>
    <row r="111" spans="1:16" hidden="1" x14ac:dyDescent="0.5">
      <c r="A111" s="423">
        <v>108</v>
      </c>
      <c r="B111" s="423" t="s">
        <v>2134</v>
      </c>
      <c r="C111" s="423" t="s">
        <v>2980</v>
      </c>
      <c r="D111" s="423" t="s">
        <v>3147</v>
      </c>
      <c r="E111" s="423" t="s">
        <v>2553</v>
      </c>
      <c r="F111" s="423" t="s">
        <v>2554</v>
      </c>
      <c r="G111" s="423" t="s">
        <v>2766</v>
      </c>
      <c r="H111" s="423" t="s">
        <v>2579</v>
      </c>
      <c r="I111" s="423" t="s">
        <v>2555</v>
      </c>
      <c r="J111" s="423" t="s">
        <v>2555</v>
      </c>
      <c r="K111" s="423" t="s">
        <v>2556</v>
      </c>
      <c r="L111" s="423" t="s">
        <v>2557</v>
      </c>
      <c r="M111" s="422">
        <v>10800</v>
      </c>
      <c r="N111" s="422"/>
      <c r="O111" s="422"/>
      <c r="P111" s="422">
        <v>10798.905000000001</v>
      </c>
    </row>
    <row r="112" spans="1:16" hidden="1" x14ac:dyDescent="0.5">
      <c r="A112" s="423">
        <v>109</v>
      </c>
      <c r="B112" s="423" t="s">
        <v>2134</v>
      </c>
      <c r="C112" s="423" t="s">
        <v>2980</v>
      </c>
      <c r="D112" s="423" t="s">
        <v>3146</v>
      </c>
      <c r="E112" s="423" t="s">
        <v>2760</v>
      </c>
      <c r="F112" s="423" t="s">
        <v>2600</v>
      </c>
      <c r="G112" s="423" t="s">
        <v>2796</v>
      </c>
      <c r="H112" s="423" t="s">
        <v>2835</v>
      </c>
      <c r="I112" s="423" t="s">
        <v>2794</v>
      </c>
      <c r="J112" s="423" t="s">
        <v>2794</v>
      </c>
      <c r="K112" s="423" t="s">
        <v>2556</v>
      </c>
      <c r="L112" s="423" t="s">
        <v>2557</v>
      </c>
      <c r="M112" s="422">
        <v>62720</v>
      </c>
      <c r="N112" s="422"/>
      <c r="O112" s="422"/>
      <c r="P112" s="422">
        <v>62713.642</v>
      </c>
    </row>
    <row r="113" spans="1:16" hidden="1" x14ac:dyDescent="0.5">
      <c r="A113" s="423">
        <v>110</v>
      </c>
      <c r="B113" s="423" t="s">
        <v>2134</v>
      </c>
      <c r="C113" s="423" t="s">
        <v>2980</v>
      </c>
      <c r="D113" s="423" t="s">
        <v>3145</v>
      </c>
      <c r="E113" s="423" t="s">
        <v>2760</v>
      </c>
      <c r="F113" s="423" t="s">
        <v>2600</v>
      </c>
      <c r="G113" s="423" t="s">
        <v>2792</v>
      </c>
      <c r="H113" s="423" t="s">
        <v>2758</v>
      </c>
      <c r="I113" s="423" t="s">
        <v>2790</v>
      </c>
      <c r="J113" s="423" t="s">
        <v>2790</v>
      </c>
      <c r="K113" s="423" t="s">
        <v>2556</v>
      </c>
      <c r="L113" s="423" t="s">
        <v>2557</v>
      </c>
      <c r="M113" s="422">
        <v>77218</v>
      </c>
      <c r="N113" s="422"/>
      <c r="O113" s="422"/>
      <c r="P113" s="422">
        <v>77210.172999999995</v>
      </c>
    </row>
    <row r="114" spans="1:16" hidden="1" x14ac:dyDescent="0.5">
      <c r="A114" s="423">
        <v>111</v>
      </c>
      <c r="B114" s="423" t="s">
        <v>2134</v>
      </c>
      <c r="C114" s="423" t="s">
        <v>2980</v>
      </c>
      <c r="D114" s="423" t="s">
        <v>3144</v>
      </c>
      <c r="E114" s="423" t="s">
        <v>2760</v>
      </c>
      <c r="F114" s="423" t="s">
        <v>2600</v>
      </c>
      <c r="G114" s="423" t="s">
        <v>2789</v>
      </c>
      <c r="H114" s="423" t="s">
        <v>2791</v>
      </c>
      <c r="I114" s="423" t="s">
        <v>2757</v>
      </c>
      <c r="J114" s="423" t="s">
        <v>2757</v>
      </c>
      <c r="K114" s="423" t="s">
        <v>2556</v>
      </c>
      <c r="L114" s="423" t="s">
        <v>2557</v>
      </c>
      <c r="M114" s="422">
        <v>76330</v>
      </c>
      <c r="N114" s="422"/>
      <c r="O114" s="422"/>
      <c r="P114" s="422">
        <v>76322.263000000006</v>
      </c>
    </row>
    <row r="115" spans="1:16" hidden="1" x14ac:dyDescent="0.5">
      <c r="A115" s="423">
        <v>112</v>
      </c>
      <c r="B115" s="423" t="s">
        <v>2134</v>
      </c>
      <c r="C115" s="423" t="s">
        <v>2980</v>
      </c>
      <c r="D115" s="423" t="s">
        <v>3143</v>
      </c>
      <c r="E115" s="423" t="s">
        <v>2591</v>
      </c>
      <c r="F115" s="423" t="s">
        <v>2554</v>
      </c>
      <c r="G115" s="423" t="s">
        <v>2834</v>
      </c>
      <c r="H115" s="423" t="s">
        <v>2833</v>
      </c>
      <c r="I115" s="423" t="s">
        <v>2592</v>
      </c>
      <c r="J115" s="423" t="s">
        <v>2592</v>
      </c>
      <c r="K115" s="423" t="s">
        <v>2556</v>
      </c>
      <c r="L115" s="423" t="s">
        <v>2557</v>
      </c>
      <c r="M115" s="422">
        <v>610</v>
      </c>
      <c r="N115" s="422"/>
      <c r="O115" s="422"/>
      <c r="P115" s="422">
        <v>610</v>
      </c>
    </row>
    <row r="116" spans="1:16" hidden="1" x14ac:dyDescent="0.5">
      <c r="A116" s="423">
        <v>113</v>
      </c>
      <c r="B116" s="423" t="s">
        <v>2134</v>
      </c>
      <c r="C116" s="423" t="s">
        <v>2980</v>
      </c>
      <c r="D116" s="423" t="s">
        <v>3142</v>
      </c>
      <c r="E116" s="423" t="s">
        <v>2560</v>
      </c>
      <c r="F116" s="423" t="s">
        <v>2554</v>
      </c>
      <c r="G116" s="423" t="s">
        <v>2561</v>
      </c>
      <c r="H116" s="423" t="s">
        <v>2749</v>
      </c>
      <c r="I116" s="423" t="s">
        <v>2562</v>
      </c>
      <c r="J116" s="423" t="s">
        <v>2563</v>
      </c>
      <c r="K116" s="423" t="s">
        <v>2556</v>
      </c>
      <c r="L116" s="423" t="s">
        <v>2557</v>
      </c>
      <c r="M116" s="422">
        <v>6507</v>
      </c>
      <c r="N116" s="422"/>
      <c r="O116" s="422"/>
      <c r="P116" s="422">
        <v>6507</v>
      </c>
    </row>
    <row r="117" spans="1:16" hidden="1" x14ac:dyDescent="0.5">
      <c r="A117" s="423">
        <v>114</v>
      </c>
      <c r="B117" s="423" t="s">
        <v>2135</v>
      </c>
      <c r="C117" s="423" t="s">
        <v>2980</v>
      </c>
      <c r="D117" s="423" t="s">
        <v>3141</v>
      </c>
      <c r="E117" s="423" t="s">
        <v>2672</v>
      </c>
      <c r="F117" s="423" t="s">
        <v>2554</v>
      </c>
      <c r="G117" s="423" t="s">
        <v>2768</v>
      </c>
      <c r="H117" s="423" t="s">
        <v>2832</v>
      </c>
      <c r="I117" s="423" t="s">
        <v>2555</v>
      </c>
      <c r="J117" s="423" t="s">
        <v>2555</v>
      </c>
      <c r="K117" s="423" t="s">
        <v>2556</v>
      </c>
      <c r="L117" s="423" t="s">
        <v>2557</v>
      </c>
      <c r="M117" s="422">
        <v>11696</v>
      </c>
      <c r="N117" s="422"/>
      <c r="O117" s="422"/>
      <c r="P117" s="422">
        <v>11705.486000000001</v>
      </c>
    </row>
    <row r="118" spans="1:16" hidden="1" x14ac:dyDescent="0.5">
      <c r="A118" s="423">
        <v>115</v>
      </c>
      <c r="B118" s="423" t="s">
        <v>2135</v>
      </c>
      <c r="C118" s="423" t="s">
        <v>2980</v>
      </c>
      <c r="D118" s="423" t="s">
        <v>3140</v>
      </c>
      <c r="E118" s="423" t="s">
        <v>2560</v>
      </c>
      <c r="F118" s="423" t="s">
        <v>2554</v>
      </c>
      <c r="G118" s="423" t="s">
        <v>2561</v>
      </c>
      <c r="H118" s="423" t="s">
        <v>2749</v>
      </c>
      <c r="I118" s="423" t="s">
        <v>2562</v>
      </c>
      <c r="J118" s="423" t="s">
        <v>2563</v>
      </c>
      <c r="K118" s="423" t="s">
        <v>2556</v>
      </c>
      <c r="L118" s="423" t="s">
        <v>2557</v>
      </c>
      <c r="M118" s="422">
        <v>5564</v>
      </c>
      <c r="N118" s="422"/>
      <c r="O118" s="422"/>
      <c r="P118" s="422">
        <v>5565.1279999999997</v>
      </c>
    </row>
    <row r="119" spans="1:16" hidden="1" x14ac:dyDescent="0.5">
      <c r="A119" s="423">
        <v>116</v>
      </c>
      <c r="B119" s="423" t="s">
        <v>2135</v>
      </c>
      <c r="C119" s="423" t="s">
        <v>2980</v>
      </c>
      <c r="D119" s="423" t="s">
        <v>3139</v>
      </c>
      <c r="E119" s="423" t="s">
        <v>2553</v>
      </c>
      <c r="F119" s="423" t="s">
        <v>2559</v>
      </c>
      <c r="G119" s="423" t="s">
        <v>2748</v>
      </c>
      <c r="H119" s="423" t="s">
        <v>2686</v>
      </c>
      <c r="I119" s="423" t="s">
        <v>2558</v>
      </c>
      <c r="J119" s="423" t="s">
        <v>2558</v>
      </c>
      <c r="K119" s="423" t="s">
        <v>2556</v>
      </c>
      <c r="L119" s="423" t="s">
        <v>2557</v>
      </c>
      <c r="M119" s="422">
        <v>15384</v>
      </c>
      <c r="N119" s="422"/>
      <c r="O119" s="422"/>
      <c r="P119" s="422">
        <v>15387.119000000001</v>
      </c>
    </row>
    <row r="120" spans="1:16" hidden="1" x14ac:dyDescent="0.5">
      <c r="A120" s="423">
        <v>117</v>
      </c>
      <c r="B120" s="423" t="s">
        <v>2136</v>
      </c>
      <c r="C120" s="423" t="s">
        <v>2946</v>
      </c>
      <c r="D120" s="423" t="s">
        <v>3138</v>
      </c>
      <c r="E120" s="423" t="s">
        <v>2566</v>
      </c>
      <c r="F120" s="423" t="s">
        <v>2559</v>
      </c>
      <c r="G120" s="423" t="s">
        <v>2831</v>
      </c>
      <c r="H120" s="423" t="s">
        <v>2830</v>
      </c>
      <c r="I120" s="423" t="s">
        <v>2829</v>
      </c>
      <c r="J120" s="423" t="s">
        <v>2829</v>
      </c>
      <c r="K120" s="423" t="s">
        <v>2556</v>
      </c>
      <c r="L120" s="423" t="s">
        <v>2557</v>
      </c>
      <c r="M120" s="422">
        <v>64030</v>
      </c>
      <c r="N120" s="422"/>
      <c r="O120" s="422"/>
      <c r="P120" s="422">
        <v>64030</v>
      </c>
    </row>
    <row r="121" spans="1:16" hidden="1" x14ac:dyDescent="0.5">
      <c r="A121" s="423">
        <v>118</v>
      </c>
      <c r="B121" s="423" t="s">
        <v>2136</v>
      </c>
      <c r="C121" s="423" t="s">
        <v>2946</v>
      </c>
      <c r="D121" s="423" t="s">
        <v>3137</v>
      </c>
      <c r="E121" s="423" t="s">
        <v>2591</v>
      </c>
      <c r="F121" s="423" t="s">
        <v>2554</v>
      </c>
      <c r="G121" s="423" t="s">
        <v>2678</v>
      </c>
      <c r="H121" s="423" t="s">
        <v>2828</v>
      </c>
      <c r="I121" s="423" t="s">
        <v>2592</v>
      </c>
      <c r="J121" s="423" t="s">
        <v>2592</v>
      </c>
      <c r="K121" s="423" t="s">
        <v>2556</v>
      </c>
      <c r="L121" s="423" t="s">
        <v>2557</v>
      </c>
      <c r="M121" s="422">
        <v>776</v>
      </c>
      <c r="N121" s="422"/>
      <c r="O121" s="422"/>
      <c r="P121" s="422">
        <v>776</v>
      </c>
    </row>
    <row r="122" spans="1:16" hidden="1" x14ac:dyDescent="0.5">
      <c r="A122" s="423">
        <v>119</v>
      </c>
      <c r="B122" s="423" t="s">
        <v>2136</v>
      </c>
      <c r="C122" s="423" t="s">
        <v>2946</v>
      </c>
      <c r="D122" s="423" t="s">
        <v>3136</v>
      </c>
      <c r="E122" s="423" t="s">
        <v>2568</v>
      </c>
      <c r="F122" s="423" t="s">
        <v>2559</v>
      </c>
      <c r="G122" s="423" t="s">
        <v>2812</v>
      </c>
      <c r="H122" s="423" t="s">
        <v>2616</v>
      </c>
      <c r="I122" s="423" t="s">
        <v>2691</v>
      </c>
      <c r="J122" s="423" t="s">
        <v>2570</v>
      </c>
      <c r="K122" s="423" t="s">
        <v>2556</v>
      </c>
      <c r="L122" s="423" t="s">
        <v>2557</v>
      </c>
      <c r="M122" s="422">
        <v>9389</v>
      </c>
      <c r="N122" s="422"/>
      <c r="O122" s="422"/>
      <c r="P122" s="422">
        <v>9389</v>
      </c>
    </row>
    <row r="123" spans="1:16" hidden="1" x14ac:dyDescent="0.5">
      <c r="A123" s="423">
        <v>120</v>
      </c>
      <c r="B123" s="423" t="s">
        <v>2136</v>
      </c>
      <c r="C123" s="423" t="s">
        <v>2946</v>
      </c>
      <c r="D123" s="423" t="s">
        <v>3135</v>
      </c>
      <c r="E123" s="423" t="s">
        <v>2566</v>
      </c>
      <c r="F123" s="423" t="s">
        <v>2559</v>
      </c>
      <c r="G123" s="423" t="s">
        <v>2827</v>
      </c>
      <c r="H123" s="423" t="s">
        <v>2826</v>
      </c>
      <c r="I123" s="423" t="s">
        <v>2809</v>
      </c>
      <c r="J123" s="423" t="s">
        <v>2809</v>
      </c>
      <c r="K123" s="423" t="s">
        <v>2556</v>
      </c>
      <c r="L123" s="423" t="s">
        <v>2557</v>
      </c>
      <c r="M123" s="422">
        <v>41540</v>
      </c>
      <c r="N123" s="422"/>
      <c r="O123" s="422"/>
      <c r="P123" s="422">
        <v>41540</v>
      </c>
    </row>
    <row r="124" spans="1:16" hidden="1" x14ac:dyDescent="0.5">
      <c r="A124" s="423">
        <v>121</v>
      </c>
      <c r="B124" s="423" t="s">
        <v>2136</v>
      </c>
      <c r="C124" s="423" t="s">
        <v>2946</v>
      </c>
      <c r="D124" s="423" t="s">
        <v>3134</v>
      </c>
      <c r="E124" s="423" t="s">
        <v>2560</v>
      </c>
      <c r="F124" s="423" t="s">
        <v>2554</v>
      </c>
      <c r="G124" s="423" t="s">
        <v>2561</v>
      </c>
      <c r="H124" s="423" t="s">
        <v>2749</v>
      </c>
      <c r="I124" s="423" t="s">
        <v>2577</v>
      </c>
      <c r="J124" s="423" t="s">
        <v>2563</v>
      </c>
      <c r="K124" s="423" t="s">
        <v>2556</v>
      </c>
      <c r="L124" s="423" t="s">
        <v>2557</v>
      </c>
      <c r="M124" s="422">
        <v>6119</v>
      </c>
      <c r="N124" s="422"/>
      <c r="O124" s="422"/>
      <c r="P124" s="422">
        <v>6119</v>
      </c>
    </row>
    <row r="125" spans="1:16" hidden="1" x14ac:dyDescent="0.5">
      <c r="A125" s="423">
        <v>122</v>
      </c>
      <c r="B125" s="423" t="s">
        <v>2137</v>
      </c>
      <c r="C125" s="423" t="s">
        <v>2946</v>
      </c>
      <c r="D125" s="423" t="s">
        <v>3133</v>
      </c>
      <c r="E125" s="423" t="s">
        <v>2553</v>
      </c>
      <c r="F125" s="423" t="s">
        <v>2554</v>
      </c>
      <c r="G125" s="423" t="s">
        <v>2766</v>
      </c>
      <c r="H125" s="423" t="s">
        <v>2572</v>
      </c>
      <c r="I125" s="423" t="s">
        <v>2555</v>
      </c>
      <c r="J125" s="423" t="s">
        <v>2555</v>
      </c>
      <c r="K125" s="423" t="s">
        <v>2556</v>
      </c>
      <c r="L125" s="423" t="s">
        <v>2557</v>
      </c>
      <c r="M125" s="422">
        <v>10922</v>
      </c>
      <c r="N125" s="422"/>
      <c r="O125" s="422"/>
      <c r="P125" s="422">
        <v>10925.321</v>
      </c>
    </row>
    <row r="126" spans="1:16" hidden="1" x14ac:dyDescent="0.5">
      <c r="A126" s="423">
        <v>123</v>
      </c>
      <c r="B126" s="423" t="s">
        <v>2137</v>
      </c>
      <c r="C126" s="423" t="s">
        <v>2946</v>
      </c>
      <c r="D126" s="423" t="s">
        <v>3132</v>
      </c>
      <c r="E126" s="423" t="s">
        <v>2760</v>
      </c>
      <c r="F126" s="423" t="s">
        <v>2600</v>
      </c>
      <c r="G126" s="423" t="s">
        <v>2825</v>
      </c>
      <c r="H126" s="423" t="s">
        <v>2824</v>
      </c>
      <c r="I126" s="423" t="s">
        <v>2823</v>
      </c>
      <c r="J126" s="423" t="s">
        <v>2823</v>
      </c>
      <c r="K126" s="423" t="s">
        <v>2556</v>
      </c>
      <c r="L126" s="423" t="s">
        <v>2557</v>
      </c>
      <c r="M126" s="422">
        <v>67803</v>
      </c>
      <c r="N126" s="422"/>
      <c r="O126" s="422"/>
      <c r="P126" s="422">
        <v>67823.616999999998</v>
      </c>
    </row>
    <row r="127" spans="1:16" hidden="1" x14ac:dyDescent="0.5">
      <c r="A127" s="423">
        <v>124</v>
      </c>
      <c r="B127" s="423" t="s">
        <v>2137</v>
      </c>
      <c r="C127" s="423" t="s">
        <v>2946</v>
      </c>
      <c r="D127" s="423" t="s">
        <v>3131</v>
      </c>
      <c r="E127" s="423" t="s">
        <v>2764</v>
      </c>
      <c r="F127" s="423" t="s">
        <v>2554</v>
      </c>
      <c r="G127" s="423" t="s">
        <v>2763</v>
      </c>
      <c r="H127" s="423" t="s">
        <v>2818</v>
      </c>
      <c r="I127" s="423" t="s">
        <v>2761</v>
      </c>
      <c r="J127" s="423" t="s">
        <v>2761</v>
      </c>
      <c r="K127" s="423" t="s">
        <v>2556</v>
      </c>
      <c r="L127" s="423" t="s">
        <v>2557</v>
      </c>
      <c r="M127" s="422">
        <v>83320</v>
      </c>
      <c r="N127" s="422"/>
      <c r="O127" s="422"/>
      <c r="P127" s="422">
        <v>83345.335999999996</v>
      </c>
    </row>
    <row r="128" spans="1:16" hidden="1" x14ac:dyDescent="0.5">
      <c r="A128" s="423">
        <v>125</v>
      </c>
      <c r="B128" s="423" t="s">
        <v>2137</v>
      </c>
      <c r="C128" s="423" t="s">
        <v>2946</v>
      </c>
      <c r="D128" s="423" t="s">
        <v>3130</v>
      </c>
      <c r="E128" s="423" t="s">
        <v>2760</v>
      </c>
      <c r="F128" s="423" t="s">
        <v>2600</v>
      </c>
      <c r="G128" s="423" t="s">
        <v>2759</v>
      </c>
      <c r="H128" s="423" t="s">
        <v>2791</v>
      </c>
      <c r="I128" s="423" t="s">
        <v>2757</v>
      </c>
      <c r="J128" s="423" t="s">
        <v>2757</v>
      </c>
      <c r="K128" s="423" t="s">
        <v>2556</v>
      </c>
      <c r="L128" s="423" t="s">
        <v>2557</v>
      </c>
      <c r="M128" s="422">
        <v>79538</v>
      </c>
      <c r="N128" s="422"/>
      <c r="O128" s="422"/>
      <c r="P128" s="422">
        <v>79562.186000000002</v>
      </c>
    </row>
    <row r="129" spans="1:16" hidden="1" x14ac:dyDescent="0.5">
      <c r="A129" s="423">
        <v>126</v>
      </c>
      <c r="B129" s="423" t="s">
        <v>2137</v>
      </c>
      <c r="C129" s="423" t="s">
        <v>2946</v>
      </c>
      <c r="D129" s="423" t="s">
        <v>3129</v>
      </c>
      <c r="E129" s="423" t="s">
        <v>2560</v>
      </c>
      <c r="F129" s="423" t="s">
        <v>2554</v>
      </c>
      <c r="G129" s="423" t="s">
        <v>2561</v>
      </c>
      <c r="H129" s="423" t="s">
        <v>2749</v>
      </c>
      <c r="I129" s="423" t="s">
        <v>2576</v>
      </c>
      <c r="J129" s="423" t="s">
        <v>2563</v>
      </c>
      <c r="K129" s="423" t="s">
        <v>2556</v>
      </c>
      <c r="L129" s="423" t="s">
        <v>2557</v>
      </c>
      <c r="M129" s="422">
        <v>4325</v>
      </c>
      <c r="N129" s="422"/>
      <c r="O129" s="422"/>
      <c r="P129" s="422">
        <v>4323.6850000000004</v>
      </c>
    </row>
    <row r="130" spans="1:16" hidden="1" x14ac:dyDescent="0.5">
      <c r="A130" s="423">
        <v>127</v>
      </c>
      <c r="B130" s="423" t="s">
        <v>2137</v>
      </c>
      <c r="C130" s="423" t="s">
        <v>2946</v>
      </c>
      <c r="D130" s="423" t="s">
        <v>3128</v>
      </c>
      <c r="E130" s="423" t="s">
        <v>2553</v>
      </c>
      <c r="F130" s="423" t="s">
        <v>2559</v>
      </c>
      <c r="G130" s="423" t="s">
        <v>2748</v>
      </c>
      <c r="H130" s="423" t="s">
        <v>2701</v>
      </c>
      <c r="I130" s="423" t="s">
        <v>2558</v>
      </c>
      <c r="J130" s="423" t="s">
        <v>2558</v>
      </c>
      <c r="K130" s="423" t="s">
        <v>2556</v>
      </c>
      <c r="L130" s="423" t="s">
        <v>2557</v>
      </c>
      <c r="M130" s="422">
        <v>13771</v>
      </c>
      <c r="N130" s="422"/>
      <c r="O130" s="422"/>
      <c r="P130" s="422">
        <v>13766.812</v>
      </c>
    </row>
    <row r="131" spans="1:16" hidden="1" x14ac:dyDescent="0.5">
      <c r="A131" s="423">
        <v>128</v>
      </c>
      <c r="B131" s="423" t="s">
        <v>2138</v>
      </c>
      <c r="C131" s="423" t="s">
        <v>2946</v>
      </c>
      <c r="D131" s="423" t="s">
        <v>3127</v>
      </c>
      <c r="E131" s="423" t="s">
        <v>2553</v>
      </c>
      <c r="F131" s="423" t="s">
        <v>2559</v>
      </c>
      <c r="G131" s="423" t="s">
        <v>2773</v>
      </c>
      <c r="H131" s="423" t="s">
        <v>2671</v>
      </c>
      <c r="I131" s="423" t="s">
        <v>2573</v>
      </c>
      <c r="J131" s="423" t="s">
        <v>2573</v>
      </c>
      <c r="K131" s="423" t="s">
        <v>2556</v>
      </c>
      <c r="L131" s="423" t="s">
        <v>2557</v>
      </c>
      <c r="M131" s="422">
        <v>14437</v>
      </c>
      <c r="N131" s="422"/>
      <c r="O131" s="422"/>
      <c r="P131" s="422">
        <v>14482.371999999999</v>
      </c>
    </row>
    <row r="132" spans="1:16" hidden="1" x14ac:dyDescent="0.5">
      <c r="A132" s="423">
        <v>129</v>
      </c>
      <c r="B132" s="423" t="s">
        <v>2138</v>
      </c>
      <c r="C132" s="423" t="s">
        <v>2946</v>
      </c>
      <c r="D132" s="423" t="s">
        <v>3126</v>
      </c>
      <c r="E132" s="423" t="s">
        <v>2672</v>
      </c>
      <c r="F132" s="423" t="s">
        <v>2554</v>
      </c>
      <c r="G132" s="423" t="s">
        <v>2768</v>
      </c>
      <c r="H132" s="423" t="s">
        <v>2822</v>
      </c>
      <c r="I132" s="423" t="s">
        <v>2555</v>
      </c>
      <c r="J132" s="423" t="s">
        <v>2555</v>
      </c>
      <c r="K132" s="423" t="s">
        <v>2556</v>
      </c>
      <c r="L132" s="423" t="s">
        <v>2557</v>
      </c>
      <c r="M132" s="422">
        <v>10489</v>
      </c>
      <c r="N132" s="422"/>
      <c r="O132" s="422"/>
      <c r="P132" s="422">
        <v>10521.964</v>
      </c>
    </row>
    <row r="133" spans="1:16" hidden="1" x14ac:dyDescent="0.5">
      <c r="A133" s="423">
        <v>130</v>
      </c>
      <c r="B133" s="423" t="s">
        <v>2138</v>
      </c>
      <c r="C133" s="423" t="s">
        <v>2946</v>
      </c>
      <c r="D133" s="423" t="s">
        <v>3125</v>
      </c>
      <c r="E133" s="423" t="s">
        <v>2553</v>
      </c>
      <c r="F133" s="423" t="s">
        <v>2554</v>
      </c>
      <c r="G133" s="423" t="s">
        <v>2772</v>
      </c>
      <c r="H133" s="423" t="s">
        <v>2821</v>
      </c>
      <c r="I133" s="423" t="s">
        <v>2770</v>
      </c>
      <c r="J133" s="423" t="s">
        <v>2770</v>
      </c>
      <c r="K133" s="423" t="s">
        <v>2556</v>
      </c>
      <c r="L133" s="423" t="s">
        <v>2557</v>
      </c>
      <c r="M133" s="422">
        <v>14822</v>
      </c>
      <c r="N133" s="422"/>
      <c r="O133" s="422"/>
      <c r="P133" s="422">
        <v>14868.582</v>
      </c>
    </row>
    <row r="134" spans="1:16" hidden="1" x14ac:dyDescent="0.5">
      <c r="A134" s="423">
        <v>131</v>
      </c>
      <c r="B134" s="423" t="s">
        <v>2138</v>
      </c>
      <c r="C134" s="423" t="s">
        <v>2946</v>
      </c>
      <c r="D134" s="423" t="s">
        <v>3124</v>
      </c>
      <c r="E134" s="423" t="s">
        <v>2566</v>
      </c>
      <c r="F134" s="423" t="s">
        <v>2559</v>
      </c>
      <c r="G134" s="423" t="s">
        <v>2820</v>
      </c>
      <c r="H134" s="423" t="s">
        <v>2819</v>
      </c>
      <c r="I134" s="423" t="s">
        <v>2778</v>
      </c>
      <c r="J134" s="423" t="s">
        <v>2778</v>
      </c>
      <c r="K134" s="423" t="s">
        <v>2556</v>
      </c>
      <c r="L134" s="423" t="s">
        <v>2557</v>
      </c>
      <c r="M134" s="422">
        <v>34390</v>
      </c>
      <c r="N134" s="422"/>
      <c r="O134" s="422"/>
      <c r="P134" s="422">
        <v>34498.078999999998</v>
      </c>
    </row>
    <row r="135" spans="1:16" hidden="1" x14ac:dyDescent="0.5">
      <c r="A135" s="423">
        <v>132</v>
      </c>
      <c r="B135" s="423" t="s">
        <v>2138</v>
      </c>
      <c r="C135" s="423" t="s">
        <v>2946</v>
      </c>
      <c r="D135" s="423" t="s">
        <v>3123</v>
      </c>
      <c r="E135" s="423" t="s">
        <v>2764</v>
      </c>
      <c r="F135" s="423" t="s">
        <v>2554</v>
      </c>
      <c r="G135" s="423" t="s">
        <v>2763</v>
      </c>
      <c r="H135" s="423" t="s">
        <v>2818</v>
      </c>
      <c r="I135" s="423" t="s">
        <v>2761</v>
      </c>
      <c r="J135" s="423" t="s">
        <v>2761</v>
      </c>
      <c r="K135" s="423" t="s">
        <v>2556</v>
      </c>
      <c r="L135" s="423" t="s">
        <v>2557</v>
      </c>
      <c r="M135" s="422">
        <v>91820</v>
      </c>
      <c r="N135" s="422"/>
      <c r="O135" s="422"/>
      <c r="P135" s="422">
        <v>92108.566999999995</v>
      </c>
    </row>
    <row r="136" spans="1:16" hidden="1" x14ac:dyDescent="0.5">
      <c r="A136" s="423">
        <v>133</v>
      </c>
      <c r="B136" s="423" t="s">
        <v>2138</v>
      </c>
      <c r="C136" s="423" t="s">
        <v>2946</v>
      </c>
      <c r="D136" s="423" t="s">
        <v>3122</v>
      </c>
      <c r="E136" s="423" t="s">
        <v>2760</v>
      </c>
      <c r="F136" s="423" t="s">
        <v>2600</v>
      </c>
      <c r="G136" s="423" t="s">
        <v>2817</v>
      </c>
      <c r="H136" s="423" t="s">
        <v>2758</v>
      </c>
      <c r="I136" s="423" t="s">
        <v>2790</v>
      </c>
      <c r="J136" s="423" t="s">
        <v>2794</v>
      </c>
      <c r="K136" s="423" t="s">
        <v>2556</v>
      </c>
      <c r="L136" s="423" t="s">
        <v>2557</v>
      </c>
      <c r="M136" s="422">
        <v>77980</v>
      </c>
      <c r="N136" s="422"/>
      <c r="O136" s="422"/>
      <c r="P136" s="422">
        <v>78225.070999999996</v>
      </c>
    </row>
    <row r="137" spans="1:16" hidden="1" x14ac:dyDescent="0.5">
      <c r="A137" s="423">
        <v>134</v>
      </c>
      <c r="B137" s="423" t="s">
        <v>2138</v>
      </c>
      <c r="C137" s="423" t="s">
        <v>2946</v>
      </c>
      <c r="D137" s="423" t="s">
        <v>3121</v>
      </c>
      <c r="E137" s="423" t="s">
        <v>2816</v>
      </c>
      <c r="F137" s="423" t="s">
        <v>2559</v>
      </c>
      <c r="G137" s="423" t="s">
        <v>2815</v>
      </c>
      <c r="H137" s="423" t="s">
        <v>2814</v>
      </c>
      <c r="I137" s="423" t="s">
        <v>2813</v>
      </c>
      <c r="J137" s="423" t="s">
        <v>2813</v>
      </c>
      <c r="K137" s="423" t="s">
        <v>2556</v>
      </c>
      <c r="L137" s="423" t="s">
        <v>2557</v>
      </c>
      <c r="M137" s="422">
        <v>1681</v>
      </c>
      <c r="N137" s="422"/>
      <c r="O137" s="422"/>
      <c r="P137" s="422">
        <v>1681.8520000000001</v>
      </c>
    </row>
    <row r="138" spans="1:16" hidden="1" x14ac:dyDescent="0.5">
      <c r="A138" s="423">
        <v>135</v>
      </c>
      <c r="B138" s="423" t="s">
        <v>2138</v>
      </c>
      <c r="C138" s="423" t="s">
        <v>2946</v>
      </c>
      <c r="D138" s="423" t="s">
        <v>3120</v>
      </c>
      <c r="E138" s="423" t="s">
        <v>2568</v>
      </c>
      <c r="F138" s="423" t="s">
        <v>2559</v>
      </c>
      <c r="G138" s="423" t="s">
        <v>2812</v>
      </c>
      <c r="H138" s="423" t="s">
        <v>2616</v>
      </c>
      <c r="I138" s="423" t="s">
        <v>2570</v>
      </c>
      <c r="J138" s="423" t="s">
        <v>2570</v>
      </c>
      <c r="K138" s="423" t="s">
        <v>2556</v>
      </c>
      <c r="L138" s="423" t="s">
        <v>2557</v>
      </c>
      <c r="M138" s="422">
        <v>10067</v>
      </c>
      <c r="N138" s="422"/>
      <c r="O138" s="422"/>
      <c r="P138" s="422">
        <v>10072.102999999999</v>
      </c>
    </row>
    <row r="139" spans="1:16" hidden="1" x14ac:dyDescent="0.5">
      <c r="A139" s="423">
        <v>136</v>
      </c>
      <c r="B139" s="423" t="s">
        <v>2138</v>
      </c>
      <c r="C139" s="423" t="s">
        <v>2946</v>
      </c>
      <c r="D139" s="423" t="s">
        <v>3119</v>
      </c>
      <c r="E139" s="423" t="s">
        <v>2560</v>
      </c>
      <c r="F139" s="423" t="s">
        <v>2554</v>
      </c>
      <c r="G139" s="423" t="s">
        <v>2561</v>
      </c>
      <c r="H139" s="423" t="s">
        <v>2749</v>
      </c>
      <c r="I139" s="423" t="s">
        <v>2577</v>
      </c>
      <c r="J139" s="423" t="s">
        <v>2563</v>
      </c>
      <c r="K139" s="423" t="s">
        <v>2556</v>
      </c>
      <c r="L139" s="423" t="s">
        <v>2557</v>
      </c>
      <c r="M139" s="422">
        <v>5316</v>
      </c>
      <c r="N139" s="422"/>
      <c r="O139" s="422"/>
      <c r="P139" s="422">
        <v>5318.6949999999997</v>
      </c>
    </row>
    <row r="140" spans="1:16" hidden="1" x14ac:dyDescent="0.5">
      <c r="A140" s="423">
        <v>137</v>
      </c>
      <c r="B140" s="423" t="s">
        <v>2138</v>
      </c>
      <c r="C140" s="423" t="s">
        <v>2946</v>
      </c>
      <c r="D140" s="423" t="s">
        <v>3118</v>
      </c>
      <c r="E140" s="423" t="s">
        <v>2566</v>
      </c>
      <c r="F140" s="423" t="s">
        <v>2559</v>
      </c>
      <c r="G140" s="423" t="s">
        <v>2811</v>
      </c>
      <c r="H140" s="423" t="s">
        <v>2810</v>
      </c>
      <c r="I140" s="423" t="s">
        <v>2809</v>
      </c>
      <c r="J140" s="423" t="s">
        <v>2808</v>
      </c>
      <c r="K140" s="423" t="s">
        <v>2556</v>
      </c>
      <c r="L140" s="423" t="s">
        <v>2557</v>
      </c>
      <c r="M140" s="422">
        <v>32250</v>
      </c>
      <c r="N140" s="422"/>
      <c r="O140" s="422"/>
      <c r="P140" s="422">
        <v>32266.347000000002</v>
      </c>
    </row>
    <row r="141" spans="1:16" hidden="1" x14ac:dyDescent="0.5">
      <c r="A141" s="423">
        <v>138</v>
      </c>
      <c r="B141" s="423" t="s">
        <v>2139</v>
      </c>
      <c r="C141" s="423" t="s">
        <v>2946</v>
      </c>
      <c r="D141" s="423" t="s">
        <v>3117</v>
      </c>
      <c r="E141" s="423" t="s">
        <v>2553</v>
      </c>
      <c r="F141" s="423" t="s">
        <v>2554</v>
      </c>
      <c r="G141" s="423" t="s">
        <v>2766</v>
      </c>
      <c r="H141" s="423" t="s">
        <v>2590</v>
      </c>
      <c r="I141" s="423" t="s">
        <v>2555</v>
      </c>
      <c r="J141" s="423" t="s">
        <v>2555</v>
      </c>
      <c r="K141" s="423" t="s">
        <v>2556</v>
      </c>
      <c r="L141" s="423" t="s">
        <v>2557</v>
      </c>
      <c r="M141" s="422">
        <v>11744</v>
      </c>
      <c r="N141" s="422"/>
      <c r="O141" s="422"/>
      <c r="P141" s="422">
        <v>11748.762000000001</v>
      </c>
    </row>
    <row r="142" spans="1:16" hidden="1" x14ac:dyDescent="0.5">
      <c r="A142" s="423">
        <v>139</v>
      </c>
      <c r="B142" s="423" t="s">
        <v>2139</v>
      </c>
      <c r="C142" s="423" t="s">
        <v>2946</v>
      </c>
      <c r="D142" s="423" t="s">
        <v>3116</v>
      </c>
      <c r="E142" s="423" t="s">
        <v>2599</v>
      </c>
      <c r="F142" s="423" t="s">
        <v>2600</v>
      </c>
      <c r="G142" s="423" t="s">
        <v>2601</v>
      </c>
      <c r="H142" s="423" t="s">
        <v>2807</v>
      </c>
      <c r="I142" s="423" t="s">
        <v>2562</v>
      </c>
      <c r="J142" s="423" t="s">
        <v>2562</v>
      </c>
      <c r="K142" s="423" t="s">
        <v>2556</v>
      </c>
      <c r="L142" s="423" t="s">
        <v>2557</v>
      </c>
      <c r="M142" s="422">
        <v>1556</v>
      </c>
      <c r="N142" s="422"/>
      <c r="O142" s="422"/>
      <c r="P142" s="422">
        <v>1556.473</v>
      </c>
    </row>
    <row r="143" spans="1:16" hidden="1" x14ac:dyDescent="0.5">
      <c r="A143" s="423">
        <v>140</v>
      </c>
      <c r="B143" s="423" t="s">
        <v>2139</v>
      </c>
      <c r="C143" s="423" t="s">
        <v>2946</v>
      </c>
      <c r="D143" s="423" t="s">
        <v>3115</v>
      </c>
      <c r="E143" s="423" t="s">
        <v>2560</v>
      </c>
      <c r="F143" s="423" t="s">
        <v>2554</v>
      </c>
      <c r="G143" s="423" t="s">
        <v>2561</v>
      </c>
      <c r="H143" s="423" t="s">
        <v>2749</v>
      </c>
      <c r="I143" s="423" t="s">
        <v>2562</v>
      </c>
      <c r="J143" s="423" t="s">
        <v>2563</v>
      </c>
      <c r="K143" s="423" t="s">
        <v>2556</v>
      </c>
      <c r="L143" s="423" t="s">
        <v>2557</v>
      </c>
      <c r="M143" s="422">
        <v>5938</v>
      </c>
      <c r="N143" s="422"/>
      <c r="O143" s="422"/>
      <c r="P143" s="422">
        <v>5939.8059999999996</v>
      </c>
    </row>
    <row r="144" spans="1:16" hidden="1" x14ac:dyDescent="0.5">
      <c r="A144" s="423">
        <v>141</v>
      </c>
      <c r="B144" s="423" t="s">
        <v>2140</v>
      </c>
      <c r="C144" s="423" t="s">
        <v>2946</v>
      </c>
      <c r="D144" s="423" t="s">
        <v>3114</v>
      </c>
      <c r="E144" s="423" t="s">
        <v>2672</v>
      </c>
      <c r="F144" s="423" t="s">
        <v>2554</v>
      </c>
      <c r="G144" s="423" t="s">
        <v>2768</v>
      </c>
      <c r="H144" s="423" t="s">
        <v>2806</v>
      </c>
      <c r="I144" s="423" t="s">
        <v>2555</v>
      </c>
      <c r="J144" s="423" t="s">
        <v>2555</v>
      </c>
      <c r="K144" s="423" t="s">
        <v>2556</v>
      </c>
      <c r="L144" s="423" t="s">
        <v>2557</v>
      </c>
      <c r="M144" s="422">
        <v>12244</v>
      </c>
      <c r="N144" s="422"/>
      <c r="O144" s="422"/>
      <c r="P144" s="422">
        <v>12267.587</v>
      </c>
    </row>
    <row r="145" spans="1:16" hidden="1" x14ac:dyDescent="0.5">
      <c r="A145" s="423">
        <v>142</v>
      </c>
      <c r="B145" s="423" t="s">
        <v>2140</v>
      </c>
      <c r="C145" s="423" t="s">
        <v>2946</v>
      </c>
      <c r="D145" s="423" t="s">
        <v>3113</v>
      </c>
      <c r="E145" s="423" t="s">
        <v>2560</v>
      </c>
      <c r="F145" s="423" t="s">
        <v>2554</v>
      </c>
      <c r="G145" s="423" t="s">
        <v>2598</v>
      </c>
      <c r="H145" s="423" t="s">
        <v>2749</v>
      </c>
      <c r="I145" s="423" t="s">
        <v>2576</v>
      </c>
      <c r="J145" s="423" t="s">
        <v>2562</v>
      </c>
      <c r="K145" s="423" t="s">
        <v>2556</v>
      </c>
      <c r="L145" s="423" t="s">
        <v>2557</v>
      </c>
      <c r="M145" s="422">
        <v>753</v>
      </c>
      <c r="N145" s="422"/>
      <c r="O145" s="422"/>
      <c r="P145" s="422">
        <v>754.45100000000002</v>
      </c>
    </row>
    <row r="146" spans="1:16" hidden="1" x14ac:dyDescent="0.5">
      <c r="A146" s="423">
        <v>143</v>
      </c>
      <c r="B146" s="423" t="s">
        <v>2140</v>
      </c>
      <c r="C146" s="423" t="s">
        <v>2893</v>
      </c>
      <c r="D146" s="423" t="s">
        <v>3112</v>
      </c>
      <c r="E146" s="423" t="s">
        <v>2805</v>
      </c>
      <c r="F146" s="423" t="s">
        <v>2554</v>
      </c>
      <c r="G146" s="423" t="s">
        <v>2612</v>
      </c>
      <c r="H146" s="423" t="s">
        <v>2804</v>
      </c>
      <c r="I146" s="423" t="s">
        <v>2576</v>
      </c>
      <c r="J146" s="423" t="s">
        <v>2803</v>
      </c>
      <c r="K146" s="423" t="s">
        <v>2556</v>
      </c>
      <c r="L146" s="423" t="s">
        <v>2557</v>
      </c>
      <c r="M146" s="422">
        <v>2889</v>
      </c>
      <c r="N146" s="422"/>
      <c r="O146" s="422"/>
      <c r="P146" s="422">
        <v>2894.5650000000001</v>
      </c>
    </row>
    <row r="147" spans="1:16" hidden="1" x14ac:dyDescent="0.5">
      <c r="A147" s="423">
        <v>144</v>
      </c>
      <c r="B147" s="423" t="s">
        <v>2140</v>
      </c>
      <c r="C147" s="423" t="s">
        <v>2893</v>
      </c>
      <c r="D147" s="423" t="s">
        <v>3111</v>
      </c>
      <c r="E147" s="423" t="s">
        <v>2760</v>
      </c>
      <c r="F147" s="423" t="s">
        <v>2600</v>
      </c>
      <c r="G147" s="423" t="s">
        <v>2802</v>
      </c>
      <c r="H147" s="423" t="s">
        <v>2801</v>
      </c>
      <c r="I147" s="423" t="s">
        <v>2761</v>
      </c>
      <c r="J147" s="423" t="s">
        <v>2761</v>
      </c>
      <c r="K147" s="423" t="s">
        <v>2556</v>
      </c>
      <c r="L147" s="423" t="s">
        <v>2557</v>
      </c>
      <c r="M147" s="422">
        <v>71784</v>
      </c>
      <c r="N147" s="422"/>
      <c r="O147" s="422"/>
      <c r="P147" s="422">
        <v>71922.284</v>
      </c>
    </row>
    <row r="148" spans="1:16" hidden="1" x14ac:dyDescent="0.5">
      <c r="A148" s="423">
        <v>145</v>
      </c>
      <c r="B148" s="423" t="s">
        <v>2140</v>
      </c>
      <c r="C148" s="423" t="s">
        <v>2893</v>
      </c>
      <c r="D148" s="423" t="s">
        <v>3110</v>
      </c>
      <c r="E148" s="423" t="s">
        <v>2568</v>
      </c>
      <c r="F148" s="423" t="s">
        <v>2559</v>
      </c>
      <c r="G148" s="423" t="s">
        <v>2769</v>
      </c>
      <c r="H148" s="423" t="s">
        <v>2616</v>
      </c>
      <c r="I148" s="423" t="s">
        <v>2691</v>
      </c>
      <c r="J148" s="423" t="s">
        <v>2570</v>
      </c>
      <c r="K148" s="423" t="s">
        <v>2556</v>
      </c>
      <c r="L148" s="423" t="s">
        <v>2557</v>
      </c>
      <c r="M148" s="422">
        <v>9383</v>
      </c>
      <c r="N148" s="422"/>
      <c r="O148" s="422"/>
      <c r="P148" s="422">
        <v>9401.0750000000007</v>
      </c>
    </row>
    <row r="149" spans="1:16" hidden="1" x14ac:dyDescent="0.5">
      <c r="A149" s="423">
        <v>146</v>
      </c>
      <c r="B149" s="423" t="s">
        <v>2140</v>
      </c>
      <c r="C149" s="423" t="s">
        <v>2893</v>
      </c>
      <c r="D149" s="423" t="s">
        <v>3109</v>
      </c>
      <c r="E149" s="423" t="s">
        <v>2560</v>
      </c>
      <c r="F149" s="423" t="s">
        <v>2554</v>
      </c>
      <c r="G149" s="423" t="s">
        <v>2561</v>
      </c>
      <c r="H149" s="423" t="s">
        <v>2749</v>
      </c>
      <c r="I149" s="423" t="s">
        <v>2562</v>
      </c>
      <c r="J149" s="423" t="s">
        <v>2563</v>
      </c>
      <c r="K149" s="423" t="s">
        <v>2556</v>
      </c>
      <c r="L149" s="423" t="s">
        <v>2557</v>
      </c>
      <c r="M149" s="422">
        <v>6619</v>
      </c>
      <c r="N149" s="422"/>
      <c r="O149" s="422"/>
      <c r="P149" s="422">
        <v>6631.7510000000002</v>
      </c>
    </row>
    <row r="150" spans="1:16" hidden="1" x14ac:dyDescent="0.5">
      <c r="A150" s="423">
        <v>147</v>
      </c>
      <c r="B150" s="423" t="s">
        <v>2140</v>
      </c>
      <c r="C150" s="423" t="s">
        <v>2893</v>
      </c>
      <c r="D150" s="423" t="s">
        <v>3108</v>
      </c>
      <c r="E150" s="423" t="s">
        <v>2553</v>
      </c>
      <c r="F150" s="423" t="s">
        <v>2559</v>
      </c>
      <c r="G150" s="423" t="s">
        <v>2748</v>
      </c>
      <c r="H150" s="423" t="s">
        <v>2603</v>
      </c>
      <c r="I150" s="423" t="s">
        <v>2558</v>
      </c>
      <c r="J150" s="423" t="s">
        <v>2558</v>
      </c>
      <c r="K150" s="423" t="s">
        <v>2556</v>
      </c>
      <c r="L150" s="423" t="s">
        <v>2557</v>
      </c>
      <c r="M150" s="422">
        <v>14562</v>
      </c>
      <c r="N150" s="422"/>
      <c r="O150" s="422"/>
      <c r="P150" s="422">
        <v>14590.052</v>
      </c>
    </row>
    <row r="151" spans="1:16" hidden="1" x14ac:dyDescent="0.5">
      <c r="A151" s="423">
        <v>148</v>
      </c>
      <c r="B151" s="423" t="s">
        <v>2141</v>
      </c>
      <c r="C151" s="423" t="s">
        <v>2893</v>
      </c>
      <c r="D151" s="423" t="s">
        <v>3107</v>
      </c>
      <c r="E151" s="423" t="s">
        <v>2553</v>
      </c>
      <c r="F151" s="423" t="s">
        <v>2554</v>
      </c>
      <c r="G151" s="423" t="s">
        <v>2766</v>
      </c>
      <c r="H151" s="423" t="s">
        <v>2572</v>
      </c>
      <c r="I151" s="423" t="s">
        <v>2555</v>
      </c>
      <c r="J151" s="423" t="s">
        <v>2555</v>
      </c>
      <c r="K151" s="423" t="s">
        <v>2556</v>
      </c>
      <c r="L151" s="423" t="s">
        <v>2557</v>
      </c>
      <c r="M151" s="422">
        <v>12000</v>
      </c>
      <c r="N151" s="422"/>
      <c r="O151" s="422"/>
      <c r="P151" s="422">
        <v>12029.197</v>
      </c>
    </row>
    <row r="152" spans="1:16" hidden="1" x14ac:dyDescent="0.5">
      <c r="A152" s="423">
        <v>149</v>
      </c>
      <c r="B152" s="423" t="s">
        <v>2141</v>
      </c>
      <c r="C152" s="423" t="s">
        <v>2893</v>
      </c>
      <c r="D152" s="423" t="s">
        <v>3106</v>
      </c>
      <c r="E152" s="423" t="s">
        <v>2566</v>
      </c>
      <c r="F152" s="423" t="s">
        <v>2559</v>
      </c>
      <c r="G152" s="423" t="s">
        <v>2800</v>
      </c>
      <c r="H152" s="423" t="s">
        <v>2799</v>
      </c>
      <c r="I152" s="423" t="s">
        <v>2798</v>
      </c>
      <c r="J152" s="423" t="s">
        <v>2797</v>
      </c>
      <c r="K152" s="423" t="s">
        <v>2556</v>
      </c>
      <c r="L152" s="423" t="s">
        <v>2557</v>
      </c>
      <c r="M152" s="422">
        <v>8820</v>
      </c>
      <c r="N152" s="422"/>
      <c r="O152" s="422"/>
      <c r="P152" s="422">
        <v>8841.4599999999991</v>
      </c>
    </row>
    <row r="153" spans="1:16" hidden="1" x14ac:dyDescent="0.5">
      <c r="A153" s="423">
        <v>150</v>
      </c>
      <c r="B153" s="423" t="s">
        <v>2141</v>
      </c>
      <c r="C153" s="423" t="s">
        <v>2893</v>
      </c>
      <c r="D153" s="423" t="s">
        <v>3105</v>
      </c>
      <c r="E153" s="423" t="s">
        <v>2760</v>
      </c>
      <c r="F153" s="423" t="s">
        <v>2600</v>
      </c>
      <c r="G153" s="423" t="s">
        <v>2796</v>
      </c>
      <c r="H153" s="423" t="s">
        <v>2795</v>
      </c>
      <c r="I153" s="423" t="s">
        <v>2794</v>
      </c>
      <c r="J153" s="423" t="s">
        <v>2794</v>
      </c>
      <c r="K153" s="423" t="s">
        <v>2556</v>
      </c>
      <c r="L153" s="423" t="s">
        <v>2557</v>
      </c>
      <c r="M153" s="422">
        <v>62940</v>
      </c>
      <c r="N153" s="422"/>
      <c r="O153" s="422"/>
      <c r="P153" s="422">
        <v>63093.139000000003</v>
      </c>
    </row>
    <row r="154" spans="1:16" hidden="1" x14ac:dyDescent="0.5">
      <c r="A154" s="423">
        <v>151</v>
      </c>
      <c r="B154" s="423" t="s">
        <v>2141</v>
      </c>
      <c r="C154" s="423" t="s">
        <v>2893</v>
      </c>
      <c r="D154" s="423" t="s">
        <v>3104</v>
      </c>
      <c r="E154" s="423" t="s">
        <v>2566</v>
      </c>
      <c r="F154" s="423" t="s">
        <v>2559</v>
      </c>
      <c r="G154" s="423" t="s">
        <v>2793</v>
      </c>
      <c r="H154" s="423" t="s">
        <v>2780</v>
      </c>
      <c r="I154" s="423" t="s">
        <v>2778</v>
      </c>
      <c r="J154" s="423" t="s">
        <v>2779</v>
      </c>
      <c r="K154" s="423" t="s">
        <v>2556</v>
      </c>
      <c r="L154" s="423" t="s">
        <v>2557</v>
      </c>
      <c r="M154" s="422">
        <v>32170</v>
      </c>
      <c r="N154" s="422"/>
      <c r="O154" s="422"/>
      <c r="P154" s="422">
        <v>32248.273000000001</v>
      </c>
    </row>
    <row r="155" spans="1:16" hidden="1" x14ac:dyDescent="0.5">
      <c r="A155" s="423">
        <v>152</v>
      </c>
      <c r="B155" s="423" t="s">
        <v>2141</v>
      </c>
      <c r="C155" s="423" t="s">
        <v>2893</v>
      </c>
      <c r="D155" s="423" t="s">
        <v>3103</v>
      </c>
      <c r="E155" s="423" t="s">
        <v>2760</v>
      </c>
      <c r="F155" s="423" t="s">
        <v>2600</v>
      </c>
      <c r="G155" s="423" t="s">
        <v>2792</v>
      </c>
      <c r="H155" s="423" t="s">
        <v>2791</v>
      </c>
      <c r="I155" s="423" t="s">
        <v>2790</v>
      </c>
      <c r="J155" s="423" t="s">
        <v>2790</v>
      </c>
      <c r="K155" s="423" t="s">
        <v>2556</v>
      </c>
      <c r="L155" s="423" t="s">
        <v>2557</v>
      </c>
      <c r="M155" s="422">
        <v>74662</v>
      </c>
      <c r="N155" s="422"/>
      <c r="O155" s="422"/>
      <c r="P155" s="422">
        <v>74843.659</v>
      </c>
    </row>
    <row r="156" spans="1:16" hidden="1" x14ac:dyDescent="0.5">
      <c r="A156" s="423">
        <v>153</v>
      </c>
      <c r="B156" s="423" t="s">
        <v>2141</v>
      </c>
      <c r="C156" s="423" t="s">
        <v>2893</v>
      </c>
      <c r="D156" s="423" t="s">
        <v>3102</v>
      </c>
      <c r="E156" s="423" t="s">
        <v>2760</v>
      </c>
      <c r="F156" s="423" t="s">
        <v>2600</v>
      </c>
      <c r="G156" s="423" t="s">
        <v>2789</v>
      </c>
      <c r="H156" s="423" t="s">
        <v>2758</v>
      </c>
      <c r="I156" s="423" t="s">
        <v>2757</v>
      </c>
      <c r="J156" s="423" t="s">
        <v>2757</v>
      </c>
      <c r="K156" s="423" t="s">
        <v>2556</v>
      </c>
      <c r="L156" s="423" t="s">
        <v>2557</v>
      </c>
      <c r="M156" s="422">
        <v>69820</v>
      </c>
      <c r="N156" s="422"/>
      <c r="O156" s="422"/>
      <c r="P156" s="422">
        <v>69989.877999999997</v>
      </c>
    </row>
    <row r="157" spans="1:16" hidden="1" x14ac:dyDescent="0.5">
      <c r="A157" s="423">
        <v>154</v>
      </c>
      <c r="B157" s="423" t="s">
        <v>2141</v>
      </c>
      <c r="C157" s="423" t="s">
        <v>2893</v>
      </c>
      <c r="D157" s="423" t="s">
        <v>3101</v>
      </c>
      <c r="E157" s="423" t="s">
        <v>2566</v>
      </c>
      <c r="F157" s="423" t="s">
        <v>2559</v>
      </c>
      <c r="G157" s="423" t="s">
        <v>2788</v>
      </c>
      <c r="H157" s="423" t="s">
        <v>2787</v>
      </c>
      <c r="I157" s="423" t="s">
        <v>2786</v>
      </c>
      <c r="J157" s="423" t="s">
        <v>2785</v>
      </c>
      <c r="K157" s="423" t="s">
        <v>2556</v>
      </c>
      <c r="L157" s="423" t="s">
        <v>2557</v>
      </c>
      <c r="M157" s="422">
        <v>6087</v>
      </c>
      <c r="N157" s="422"/>
      <c r="O157" s="422"/>
      <c r="P157" s="422">
        <v>6096.875</v>
      </c>
    </row>
    <row r="158" spans="1:16" hidden="1" x14ac:dyDescent="0.5">
      <c r="A158" s="423">
        <v>155</v>
      </c>
      <c r="B158" s="423" t="s">
        <v>2141</v>
      </c>
      <c r="C158" s="423" t="s">
        <v>2893</v>
      </c>
      <c r="D158" s="423" t="s">
        <v>3100</v>
      </c>
      <c r="E158" s="423" t="s">
        <v>2560</v>
      </c>
      <c r="F158" s="423" t="s">
        <v>2554</v>
      </c>
      <c r="G158" s="423" t="s">
        <v>2561</v>
      </c>
      <c r="H158" s="423" t="s">
        <v>2749</v>
      </c>
      <c r="I158" s="423" t="s">
        <v>2577</v>
      </c>
      <c r="J158" s="423" t="s">
        <v>2563</v>
      </c>
      <c r="K158" s="423" t="s">
        <v>2556</v>
      </c>
      <c r="L158" s="423" t="s">
        <v>2557</v>
      </c>
      <c r="M158" s="422">
        <v>2668</v>
      </c>
      <c r="N158" s="422"/>
      <c r="O158" s="422"/>
      <c r="P158" s="422">
        <v>2672.328</v>
      </c>
    </row>
    <row r="159" spans="1:16" hidden="1" x14ac:dyDescent="0.5">
      <c r="A159" s="423">
        <v>156</v>
      </c>
      <c r="B159" s="423" t="s">
        <v>2141</v>
      </c>
      <c r="C159" s="423" t="s">
        <v>2893</v>
      </c>
      <c r="D159" s="423" t="s">
        <v>3099</v>
      </c>
      <c r="E159" s="423" t="s">
        <v>2566</v>
      </c>
      <c r="F159" s="423" t="s">
        <v>2559</v>
      </c>
      <c r="G159" s="423" t="s">
        <v>2784</v>
      </c>
      <c r="H159" s="423" t="s">
        <v>2776</v>
      </c>
      <c r="I159" s="423" t="s">
        <v>2783</v>
      </c>
      <c r="J159" s="423" t="s">
        <v>2775</v>
      </c>
      <c r="K159" s="423" t="s">
        <v>2556</v>
      </c>
      <c r="L159" s="423" t="s">
        <v>2557</v>
      </c>
      <c r="M159" s="422">
        <v>55950</v>
      </c>
      <c r="N159" s="422"/>
      <c r="O159" s="422"/>
      <c r="P159" s="422">
        <v>56040.764000000003</v>
      </c>
    </row>
    <row r="160" spans="1:16" hidden="1" x14ac:dyDescent="0.5">
      <c r="A160" s="423">
        <v>157</v>
      </c>
      <c r="B160" s="423" t="s">
        <v>2142</v>
      </c>
      <c r="C160" s="423" t="s">
        <v>2893</v>
      </c>
      <c r="D160" s="423" t="s">
        <v>3098</v>
      </c>
      <c r="E160" s="423" t="s">
        <v>2672</v>
      </c>
      <c r="F160" s="423" t="s">
        <v>2554</v>
      </c>
      <c r="G160" s="423" t="s">
        <v>2768</v>
      </c>
      <c r="H160" s="423" t="s">
        <v>2782</v>
      </c>
      <c r="I160" s="423" t="s">
        <v>2555</v>
      </c>
      <c r="J160" s="423" t="s">
        <v>2555</v>
      </c>
      <c r="K160" s="423" t="s">
        <v>2556</v>
      </c>
      <c r="L160" s="423" t="s">
        <v>2557</v>
      </c>
      <c r="M160" s="422">
        <v>11282</v>
      </c>
      <c r="N160" s="422"/>
      <c r="O160" s="422"/>
      <c r="P160" s="422">
        <v>11312.885</v>
      </c>
    </row>
    <row r="161" spans="1:16" hidden="1" x14ac:dyDescent="0.5">
      <c r="A161" s="423">
        <v>158</v>
      </c>
      <c r="B161" s="423" t="s">
        <v>2142</v>
      </c>
      <c r="C161" s="423" t="s">
        <v>2893</v>
      </c>
      <c r="D161" s="423" t="s">
        <v>3097</v>
      </c>
      <c r="E161" s="423" t="s">
        <v>2566</v>
      </c>
      <c r="F161" s="423" t="s">
        <v>2559</v>
      </c>
      <c r="G161" s="423" t="s">
        <v>2781</v>
      </c>
      <c r="H161" s="423" t="s">
        <v>2780</v>
      </c>
      <c r="I161" s="423" t="s">
        <v>2779</v>
      </c>
      <c r="J161" s="423" t="s">
        <v>2778</v>
      </c>
      <c r="K161" s="423" t="s">
        <v>2556</v>
      </c>
      <c r="L161" s="423" t="s">
        <v>2557</v>
      </c>
      <c r="M161" s="422">
        <v>32001</v>
      </c>
      <c r="N161" s="422"/>
      <c r="O161" s="422"/>
      <c r="P161" s="422">
        <v>32052.901999999998</v>
      </c>
    </row>
    <row r="162" spans="1:16" hidden="1" x14ac:dyDescent="0.5">
      <c r="A162" s="423">
        <v>159</v>
      </c>
      <c r="B162" s="423" t="s">
        <v>2142</v>
      </c>
      <c r="C162" s="423" t="s">
        <v>2893</v>
      </c>
      <c r="D162" s="423" t="s">
        <v>3096</v>
      </c>
      <c r="E162" s="423" t="s">
        <v>2566</v>
      </c>
      <c r="F162" s="423" t="s">
        <v>2559</v>
      </c>
      <c r="G162" s="423" t="s">
        <v>2777</v>
      </c>
      <c r="H162" s="423" t="s">
        <v>2776</v>
      </c>
      <c r="I162" s="423" t="s">
        <v>2775</v>
      </c>
      <c r="J162" s="423" t="s">
        <v>2774</v>
      </c>
      <c r="K162" s="423" t="s">
        <v>2556</v>
      </c>
      <c r="L162" s="423" t="s">
        <v>2557</v>
      </c>
      <c r="M162" s="422">
        <v>61670</v>
      </c>
      <c r="N162" s="422"/>
      <c r="O162" s="422"/>
      <c r="P162" s="422">
        <v>61770.021999999997</v>
      </c>
    </row>
    <row r="163" spans="1:16" hidden="1" x14ac:dyDescent="0.5">
      <c r="A163" s="423">
        <v>160</v>
      </c>
      <c r="B163" s="423" t="s">
        <v>2142</v>
      </c>
      <c r="C163" s="423" t="s">
        <v>2893</v>
      </c>
      <c r="D163" s="423" t="s">
        <v>3095</v>
      </c>
      <c r="E163" s="423" t="s">
        <v>2553</v>
      </c>
      <c r="F163" s="423" t="s">
        <v>2559</v>
      </c>
      <c r="G163" s="423" t="s">
        <v>2748</v>
      </c>
      <c r="H163" s="423" t="s">
        <v>2688</v>
      </c>
      <c r="I163" s="423" t="s">
        <v>2558</v>
      </c>
      <c r="J163" s="423" t="s">
        <v>2558</v>
      </c>
      <c r="K163" s="423" t="s">
        <v>2556</v>
      </c>
      <c r="L163" s="423" t="s">
        <v>2557</v>
      </c>
      <c r="M163" s="422">
        <v>13959</v>
      </c>
      <c r="N163" s="422"/>
      <c r="O163" s="422"/>
      <c r="P163" s="422">
        <v>13981.64</v>
      </c>
    </row>
    <row r="164" spans="1:16" hidden="1" x14ac:dyDescent="0.5">
      <c r="A164" s="423">
        <v>161</v>
      </c>
      <c r="B164" s="423" t="s">
        <v>2142</v>
      </c>
      <c r="C164" s="423" t="s">
        <v>2913</v>
      </c>
      <c r="D164" s="423" t="s">
        <v>3094</v>
      </c>
      <c r="E164" s="423" t="s">
        <v>2560</v>
      </c>
      <c r="F164" s="423" t="s">
        <v>2554</v>
      </c>
      <c r="G164" s="423" t="s">
        <v>2561</v>
      </c>
      <c r="H164" s="423" t="s">
        <v>2749</v>
      </c>
      <c r="I164" s="423" t="s">
        <v>2562</v>
      </c>
      <c r="J164" s="423" t="s">
        <v>2563</v>
      </c>
      <c r="K164" s="423" t="s">
        <v>2556</v>
      </c>
      <c r="L164" s="423" t="s">
        <v>2557</v>
      </c>
      <c r="M164" s="422">
        <v>650</v>
      </c>
      <c r="N164" s="422"/>
      <c r="O164" s="422"/>
      <c r="P164" s="422">
        <v>651.05399999999997</v>
      </c>
    </row>
    <row r="165" spans="1:16" hidden="1" x14ac:dyDescent="0.5">
      <c r="A165" s="423">
        <v>162</v>
      </c>
      <c r="B165" s="423" t="s">
        <v>2143</v>
      </c>
      <c r="C165" s="423" t="s">
        <v>2893</v>
      </c>
      <c r="D165" s="423" t="s">
        <v>3093</v>
      </c>
      <c r="E165" s="423" t="s">
        <v>2553</v>
      </c>
      <c r="F165" s="423" t="s">
        <v>2559</v>
      </c>
      <c r="G165" s="423" t="s">
        <v>2773</v>
      </c>
      <c r="H165" s="423" t="s">
        <v>2674</v>
      </c>
      <c r="I165" s="423" t="s">
        <v>2573</v>
      </c>
      <c r="J165" s="423" t="s">
        <v>2573</v>
      </c>
      <c r="K165" s="423" t="s">
        <v>2556</v>
      </c>
      <c r="L165" s="423" t="s">
        <v>2557</v>
      </c>
      <c r="M165" s="422">
        <v>14905</v>
      </c>
      <c r="N165" s="422"/>
      <c r="O165" s="422"/>
      <c r="P165" s="422">
        <v>14953.359</v>
      </c>
    </row>
    <row r="166" spans="1:16" hidden="1" x14ac:dyDescent="0.5">
      <c r="A166" s="423">
        <v>163</v>
      </c>
      <c r="B166" s="423" t="s">
        <v>2143</v>
      </c>
      <c r="C166" s="423" t="s">
        <v>2893</v>
      </c>
      <c r="D166" s="423" t="s">
        <v>3092</v>
      </c>
      <c r="E166" s="423" t="s">
        <v>2553</v>
      </c>
      <c r="F166" s="423" t="s">
        <v>2554</v>
      </c>
      <c r="G166" s="423" t="s">
        <v>2772</v>
      </c>
      <c r="H166" s="423" t="s">
        <v>2771</v>
      </c>
      <c r="I166" s="423" t="s">
        <v>2770</v>
      </c>
      <c r="J166" s="423" t="s">
        <v>2770</v>
      </c>
      <c r="K166" s="423" t="s">
        <v>2556</v>
      </c>
      <c r="L166" s="423" t="s">
        <v>2557</v>
      </c>
      <c r="M166" s="422">
        <v>13356</v>
      </c>
      <c r="N166" s="422"/>
      <c r="O166" s="422"/>
      <c r="P166" s="422">
        <v>13399.333000000001</v>
      </c>
    </row>
    <row r="167" spans="1:16" hidden="1" x14ac:dyDescent="0.5">
      <c r="A167" s="423">
        <v>164</v>
      </c>
      <c r="B167" s="423" t="s">
        <v>2143</v>
      </c>
      <c r="C167" s="423" t="s">
        <v>2893</v>
      </c>
      <c r="D167" s="423" t="s">
        <v>3091</v>
      </c>
      <c r="E167" s="423" t="s">
        <v>2568</v>
      </c>
      <c r="F167" s="423" t="s">
        <v>2559</v>
      </c>
      <c r="G167" s="423" t="s">
        <v>2769</v>
      </c>
      <c r="H167" s="423" t="s">
        <v>2616</v>
      </c>
      <c r="I167" s="423" t="s">
        <v>2570</v>
      </c>
      <c r="J167" s="423" t="s">
        <v>2570</v>
      </c>
      <c r="K167" s="423" t="s">
        <v>2556</v>
      </c>
      <c r="L167" s="423" t="s">
        <v>2557</v>
      </c>
      <c r="M167" s="422">
        <v>10193</v>
      </c>
      <c r="N167" s="422"/>
      <c r="O167" s="422"/>
      <c r="P167" s="422">
        <v>10226.071</v>
      </c>
    </row>
    <row r="168" spans="1:16" hidden="1" x14ac:dyDescent="0.5">
      <c r="A168" s="423">
        <v>165</v>
      </c>
      <c r="B168" s="423" t="s">
        <v>2143</v>
      </c>
      <c r="C168" s="423" t="s">
        <v>2895</v>
      </c>
      <c r="D168" s="423" t="s">
        <v>3090</v>
      </c>
      <c r="E168" s="423" t="s">
        <v>2560</v>
      </c>
      <c r="F168" s="423" t="s">
        <v>2554</v>
      </c>
      <c r="G168" s="423" t="s">
        <v>2561</v>
      </c>
      <c r="H168" s="423" t="s">
        <v>2749</v>
      </c>
      <c r="I168" s="423" t="s">
        <v>2562</v>
      </c>
      <c r="J168" s="423" t="s">
        <v>2563</v>
      </c>
      <c r="K168" s="423" t="s">
        <v>2556</v>
      </c>
      <c r="L168" s="423" t="s">
        <v>2557</v>
      </c>
      <c r="M168" s="422">
        <v>2502</v>
      </c>
      <c r="N168" s="422"/>
      <c r="O168" s="422"/>
      <c r="P168" s="422">
        <v>2510.1179999999999</v>
      </c>
    </row>
    <row r="169" spans="1:16" hidden="1" x14ac:dyDescent="0.5">
      <c r="A169" s="423">
        <v>166</v>
      </c>
      <c r="B169" s="423" t="s">
        <v>2144</v>
      </c>
      <c r="C169" s="423" t="s">
        <v>2895</v>
      </c>
      <c r="D169" s="423" t="s">
        <v>3089</v>
      </c>
      <c r="E169" s="423" t="s">
        <v>2672</v>
      </c>
      <c r="F169" s="423" t="s">
        <v>2554</v>
      </c>
      <c r="G169" s="423" t="s">
        <v>2768</v>
      </c>
      <c r="H169" s="423" t="s">
        <v>2767</v>
      </c>
      <c r="I169" s="423" t="s">
        <v>2555</v>
      </c>
      <c r="J169" s="423" t="s">
        <v>2555</v>
      </c>
      <c r="K169" s="423" t="s">
        <v>2556</v>
      </c>
      <c r="L169" s="423" t="s">
        <v>2557</v>
      </c>
      <c r="M169" s="422">
        <v>11949</v>
      </c>
      <c r="N169" s="422"/>
      <c r="O169" s="422"/>
      <c r="P169" s="422">
        <v>11980.495999999999</v>
      </c>
    </row>
    <row r="170" spans="1:16" hidden="1" x14ac:dyDescent="0.5">
      <c r="A170" s="423">
        <v>167</v>
      </c>
      <c r="B170" s="423" t="s">
        <v>2144</v>
      </c>
      <c r="C170" s="423" t="s">
        <v>2895</v>
      </c>
      <c r="D170" s="423" t="s">
        <v>3088</v>
      </c>
      <c r="E170" s="423" t="s">
        <v>2553</v>
      </c>
      <c r="F170" s="423" t="s">
        <v>2554</v>
      </c>
      <c r="G170" s="423" t="s">
        <v>2766</v>
      </c>
      <c r="H170" s="423" t="s">
        <v>2765</v>
      </c>
      <c r="I170" s="423" t="s">
        <v>2555</v>
      </c>
      <c r="J170" s="423" t="s">
        <v>2555</v>
      </c>
      <c r="K170" s="423" t="s">
        <v>2556</v>
      </c>
      <c r="L170" s="423" t="s">
        <v>2557</v>
      </c>
      <c r="M170" s="422">
        <v>12880</v>
      </c>
      <c r="N170" s="422"/>
      <c r="O170" s="422"/>
      <c r="P170" s="422">
        <v>12913.95</v>
      </c>
    </row>
    <row r="171" spans="1:16" hidden="1" x14ac:dyDescent="0.5">
      <c r="A171" s="423">
        <v>168</v>
      </c>
      <c r="B171" s="423" t="s">
        <v>2144</v>
      </c>
      <c r="C171" s="423" t="s">
        <v>2895</v>
      </c>
      <c r="D171" s="423" t="s">
        <v>3087</v>
      </c>
      <c r="E171" s="423" t="s">
        <v>2764</v>
      </c>
      <c r="F171" s="423" t="s">
        <v>2554</v>
      </c>
      <c r="G171" s="423" t="s">
        <v>2763</v>
      </c>
      <c r="H171" s="423" t="s">
        <v>2762</v>
      </c>
      <c r="I171" s="423" t="s">
        <v>2761</v>
      </c>
      <c r="J171" s="423" t="s">
        <v>2761</v>
      </c>
      <c r="K171" s="423" t="s">
        <v>2556</v>
      </c>
      <c r="L171" s="423" t="s">
        <v>2557</v>
      </c>
      <c r="M171" s="422">
        <v>87629</v>
      </c>
      <c r="N171" s="422"/>
      <c r="O171" s="422"/>
      <c r="P171" s="422">
        <v>87859.976999999999</v>
      </c>
    </row>
    <row r="172" spans="1:16" hidden="1" x14ac:dyDescent="0.5">
      <c r="A172" s="423">
        <v>169</v>
      </c>
      <c r="B172" s="423" t="s">
        <v>2144</v>
      </c>
      <c r="C172" s="423" t="s">
        <v>2895</v>
      </c>
      <c r="D172" s="423" t="s">
        <v>3086</v>
      </c>
      <c r="E172" s="423" t="s">
        <v>2760</v>
      </c>
      <c r="F172" s="423" t="s">
        <v>2600</v>
      </c>
      <c r="G172" s="423" t="s">
        <v>2759</v>
      </c>
      <c r="H172" s="423" t="s">
        <v>2758</v>
      </c>
      <c r="I172" s="423" t="s">
        <v>2757</v>
      </c>
      <c r="J172" s="423" t="s">
        <v>2757</v>
      </c>
      <c r="K172" s="423" t="s">
        <v>2556</v>
      </c>
      <c r="L172" s="423" t="s">
        <v>2557</v>
      </c>
      <c r="M172" s="422">
        <v>77328</v>
      </c>
      <c r="N172" s="422"/>
      <c r="O172" s="422"/>
      <c r="P172" s="422">
        <v>77531.824999999997</v>
      </c>
    </row>
    <row r="173" spans="1:16" hidden="1" x14ac:dyDescent="0.5">
      <c r="A173" s="423">
        <v>170</v>
      </c>
      <c r="B173" s="423" t="s">
        <v>2144</v>
      </c>
      <c r="C173" s="423" t="s">
        <v>2895</v>
      </c>
      <c r="D173" s="423" t="s">
        <v>3085</v>
      </c>
      <c r="E173" s="423" t="s">
        <v>2756</v>
      </c>
      <c r="F173" s="423" t="s">
        <v>2559</v>
      </c>
      <c r="G173" s="423" t="s">
        <v>2755</v>
      </c>
      <c r="H173" s="423" t="s">
        <v>2754</v>
      </c>
      <c r="I173" s="423" t="s">
        <v>2753</v>
      </c>
      <c r="J173" s="423" t="s">
        <v>2753</v>
      </c>
      <c r="K173" s="423" t="s">
        <v>2556</v>
      </c>
      <c r="L173" s="423" t="s">
        <v>2557</v>
      </c>
      <c r="M173" s="422">
        <v>45750</v>
      </c>
      <c r="N173" s="422"/>
      <c r="O173" s="422"/>
      <c r="P173" s="422">
        <v>45870.59</v>
      </c>
    </row>
    <row r="174" spans="1:16" hidden="1" x14ac:dyDescent="0.5">
      <c r="A174" s="423">
        <v>171</v>
      </c>
      <c r="B174" s="423" t="s">
        <v>2144</v>
      </c>
      <c r="C174" s="423" t="s">
        <v>2895</v>
      </c>
      <c r="D174" s="423" t="s">
        <v>3084</v>
      </c>
      <c r="E174" s="423" t="s">
        <v>2752</v>
      </c>
      <c r="F174" s="423" t="s">
        <v>2554</v>
      </c>
      <c r="G174" s="423" t="s">
        <v>2751</v>
      </c>
      <c r="H174" s="423" t="s">
        <v>2750</v>
      </c>
      <c r="I174" s="423" t="s">
        <v>2592</v>
      </c>
      <c r="J174" s="423" t="s">
        <v>2592</v>
      </c>
      <c r="K174" s="423" t="s">
        <v>2556</v>
      </c>
      <c r="L174" s="423" t="s">
        <v>2557</v>
      </c>
      <c r="M174" s="422">
        <v>441</v>
      </c>
      <c r="N174" s="422"/>
      <c r="O174" s="422"/>
      <c r="P174" s="422">
        <v>441.67099999999999</v>
      </c>
    </row>
    <row r="175" spans="1:16" hidden="1" x14ac:dyDescent="0.5">
      <c r="A175" s="423">
        <v>172</v>
      </c>
      <c r="B175" s="423" t="s">
        <v>2144</v>
      </c>
      <c r="C175" s="423" t="s">
        <v>2895</v>
      </c>
      <c r="D175" s="423" t="s">
        <v>3083</v>
      </c>
      <c r="E175" s="423" t="s">
        <v>2560</v>
      </c>
      <c r="F175" s="423" t="s">
        <v>2554</v>
      </c>
      <c r="G175" s="423" t="s">
        <v>2561</v>
      </c>
      <c r="H175" s="423" t="s">
        <v>2749</v>
      </c>
      <c r="I175" s="423" t="s">
        <v>2562</v>
      </c>
      <c r="J175" s="423" t="s">
        <v>2563</v>
      </c>
      <c r="K175" s="423" t="s">
        <v>2556</v>
      </c>
      <c r="L175" s="423" t="s">
        <v>2557</v>
      </c>
      <c r="M175" s="422">
        <v>488</v>
      </c>
      <c r="N175" s="422"/>
      <c r="O175" s="422"/>
      <c r="P175" s="422">
        <v>488.74200000000002</v>
      </c>
    </row>
    <row r="176" spans="1:16" hidden="1" x14ac:dyDescent="0.5">
      <c r="A176" s="423">
        <v>173</v>
      </c>
      <c r="B176" s="423" t="s">
        <v>2144</v>
      </c>
      <c r="C176" s="423" t="s">
        <v>2895</v>
      </c>
      <c r="D176" s="423" t="s">
        <v>3082</v>
      </c>
      <c r="E176" s="423" t="s">
        <v>2553</v>
      </c>
      <c r="F176" s="423" t="s">
        <v>2559</v>
      </c>
      <c r="G176" s="423" t="s">
        <v>2748</v>
      </c>
      <c r="H176" s="423" t="s">
        <v>2603</v>
      </c>
      <c r="I176" s="423" t="s">
        <v>2558</v>
      </c>
      <c r="J176" s="423" t="s">
        <v>2558</v>
      </c>
      <c r="K176" s="423" t="s">
        <v>2556</v>
      </c>
      <c r="L176" s="423" t="s">
        <v>2557</v>
      </c>
      <c r="M176" s="422">
        <v>16150</v>
      </c>
      <c r="N176" s="422"/>
      <c r="O176" s="422"/>
      <c r="P176" s="422">
        <v>16174.554</v>
      </c>
    </row>
    <row r="177" spans="1:16" ht="12.75" x14ac:dyDescent="0.2">
      <c r="A177" s="469" t="s">
        <v>2619</v>
      </c>
      <c r="B177" s="469"/>
      <c r="C177" s="469"/>
      <c r="D177" s="469"/>
      <c r="E177" s="469"/>
      <c r="F177" s="469"/>
      <c r="G177" s="469"/>
      <c r="H177" s="469"/>
      <c r="I177" s="469"/>
      <c r="J177" s="469"/>
      <c r="K177" s="469"/>
      <c r="L177" s="469"/>
      <c r="M177" s="421">
        <f>SUM(M4:M176)</f>
        <v>4450593</v>
      </c>
      <c r="N177" s="421"/>
      <c r="O177" s="421"/>
      <c r="P177" s="421">
        <f>SUM(P4:P176)</f>
        <v>4453926.4419999998</v>
      </c>
    </row>
    <row r="178" spans="1:16" hidden="1" x14ac:dyDescent="0.5">
      <c r="A178" s="423">
        <v>1</v>
      </c>
      <c r="B178" s="423" t="s">
        <v>2114</v>
      </c>
      <c r="C178" s="423" t="s">
        <v>3056</v>
      </c>
      <c r="D178" s="423" t="s">
        <v>3081</v>
      </c>
      <c r="E178" s="423" t="s">
        <v>2560</v>
      </c>
      <c r="F178" s="423" t="s">
        <v>2554</v>
      </c>
      <c r="G178" s="423" t="s">
        <v>2620</v>
      </c>
      <c r="H178" s="423" t="s">
        <v>2985</v>
      </c>
      <c r="I178" s="423" t="s">
        <v>2563</v>
      </c>
      <c r="J178" s="423" t="s">
        <v>2576</v>
      </c>
      <c r="K178" s="423" t="s">
        <v>2621</v>
      </c>
      <c r="L178" s="423" t="s">
        <v>2557</v>
      </c>
      <c r="M178" s="422">
        <v>880</v>
      </c>
      <c r="N178" s="422"/>
      <c r="O178" s="422"/>
      <c r="P178" s="422">
        <v>880.44600000000003</v>
      </c>
    </row>
    <row r="179" spans="1:16" hidden="1" x14ac:dyDescent="0.5">
      <c r="A179" s="423">
        <v>2</v>
      </c>
      <c r="B179" s="423" t="s">
        <v>2114</v>
      </c>
      <c r="C179" s="423" t="s">
        <v>3056</v>
      </c>
      <c r="D179" s="423" t="s">
        <v>3080</v>
      </c>
      <c r="E179" s="423" t="s">
        <v>2560</v>
      </c>
      <c r="F179" s="423" t="s">
        <v>2554</v>
      </c>
      <c r="G179" s="423" t="s">
        <v>2622</v>
      </c>
      <c r="H179" s="423" t="s">
        <v>2712</v>
      </c>
      <c r="I179" s="423" t="s">
        <v>2623</v>
      </c>
      <c r="J179" s="423" t="s">
        <v>2623</v>
      </c>
      <c r="K179" s="423" t="s">
        <v>2621</v>
      </c>
      <c r="L179" s="423" t="s">
        <v>2557</v>
      </c>
      <c r="M179" s="422">
        <v>5627</v>
      </c>
      <c r="N179" s="422"/>
      <c r="O179" s="422"/>
      <c r="P179" s="422">
        <v>5629.8519999999999</v>
      </c>
    </row>
    <row r="180" spans="1:16" hidden="1" x14ac:dyDescent="0.5">
      <c r="A180" s="423">
        <v>3</v>
      </c>
      <c r="B180" s="423" t="s">
        <v>2114</v>
      </c>
      <c r="C180" s="423" t="s">
        <v>3056</v>
      </c>
      <c r="D180" s="423" t="s">
        <v>3079</v>
      </c>
      <c r="E180" s="423" t="s">
        <v>2625</v>
      </c>
      <c r="F180" s="423" t="s">
        <v>2554</v>
      </c>
      <c r="G180" s="423" t="s">
        <v>2626</v>
      </c>
      <c r="H180" s="423" t="s">
        <v>2718</v>
      </c>
      <c r="I180" s="423" t="s">
        <v>2628</v>
      </c>
      <c r="J180" s="423" t="s">
        <v>2628</v>
      </c>
      <c r="K180" s="423" t="s">
        <v>2621</v>
      </c>
      <c r="L180" s="423" t="s">
        <v>2557</v>
      </c>
      <c r="M180" s="422">
        <v>775</v>
      </c>
      <c r="N180" s="422"/>
      <c r="O180" s="422"/>
      <c r="P180" s="422">
        <v>774.60699999999997</v>
      </c>
    </row>
    <row r="181" spans="1:16" hidden="1" x14ac:dyDescent="0.5">
      <c r="A181" s="423">
        <v>4</v>
      </c>
      <c r="B181" s="423" t="s">
        <v>2114</v>
      </c>
      <c r="C181" s="423" t="s">
        <v>3056</v>
      </c>
      <c r="D181" s="423" t="s">
        <v>3078</v>
      </c>
      <c r="E181" s="423" t="s">
        <v>2560</v>
      </c>
      <c r="F181" s="423" t="s">
        <v>2554</v>
      </c>
      <c r="G181" s="423" t="s">
        <v>2624</v>
      </c>
      <c r="H181" s="423" t="s">
        <v>3004</v>
      </c>
      <c r="I181" s="423" t="s">
        <v>2623</v>
      </c>
      <c r="J181" s="423" t="s">
        <v>2623</v>
      </c>
      <c r="K181" s="423" t="s">
        <v>2621</v>
      </c>
      <c r="L181" s="423" t="s">
        <v>2557</v>
      </c>
      <c r="M181" s="422">
        <v>5072</v>
      </c>
      <c r="N181" s="422"/>
      <c r="O181" s="422"/>
      <c r="P181" s="422">
        <v>5069.43</v>
      </c>
    </row>
    <row r="182" spans="1:16" hidden="1" x14ac:dyDescent="0.5">
      <c r="A182" s="423">
        <v>5</v>
      </c>
      <c r="B182" s="423" t="s">
        <v>2115</v>
      </c>
      <c r="C182" s="423" t="s">
        <v>3056</v>
      </c>
      <c r="D182" s="423" t="s">
        <v>3077</v>
      </c>
      <c r="E182" s="423" t="s">
        <v>2560</v>
      </c>
      <c r="F182" s="423" t="s">
        <v>2554</v>
      </c>
      <c r="G182" s="423" t="s">
        <v>2620</v>
      </c>
      <c r="H182" s="423" t="s">
        <v>2849</v>
      </c>
      <c r="I182" s="423" t="s">
        <v>2563</v>
      </c>
      <c r="J182" s="423" t="s">
        <v>2576</v>
      </c>
      <c r="K182" s="423" t="s">
        <v>2621</v>
      </c>
      <c r="L182" s="423" t="s">
        <v>2557</v>
      </c>
      <c r="M182" s="422">
        <v>1840</v>
      </c>
      <c r="N182" s="422"/>
      <c r="O182" s="422"/>
      <c r="P182" s="422">
        <v>1843.5450000000001</v>
      </c>
    </row>
    <row r="183" spans="1:16" hidden="1" x14ac:dyDescent="0.5">
      <c r="A183" s="423">
        <v>6</v>
      </c>
      <c r="B183" s="423" t="s">
        <v>2115</v>
      </c>
      <c r="C183" s="423" t="s">
        <v>3056</v>
      </c>
      <c r="D183" s="423" t="s">
        <v>3076</v>
      </c>
      <c r="E183" s="423" t="s">
        <v>2560</v>
      </c>
      <c r="F183" s="423" t="s">
        <v>2554</v>
      </c>
      <c r="G183" s="423" t="s">
        <v>2622</v>
      </c>
      <c r="H183" s="423" t="s">
        <v>2978</v>
      </c>
      <c r="I183" s="423" t="s">
        <v>2623</v>
      </c>
      <c r="J183" s="423" t="s">
        <v>2623</v>
      </c>
      <c r="K183" s="423" t="s">
        <v>2621</v>
      </c>
      <c r="L183" s="423" t="s">
        <v>2557</v>
      </c>
      <c r="M183" s="422">
        <v>3327</v>
      </c>
      <c r="N183" s="422"/>
      <c r="O183" s="422"/>
      <c r="P183" s="422">
        <v>3333.4090000000001</v>
      </c>
    </row>
    <row r="184" spans="1:16" hidden="1" x14ac:dyDescent="0.5">
      <c r="A184" s="423">
        <v>7</v>
      </c>
      <c r="B184" s="423" t="s">
        <v>2115</v>
      </c>
      <c r="C184" s="423" t="s">
        <v>3056</v>
      </c>
      <c r="D184" s="423" t="s">
        <v>3075</v>
      </c>
      <c r="E184" s="423" t="s">
        <v>2625</v>
      </c>
      <c r="F184" s="423" t="s">
        <v>2554</v>
      </c>
      <c r="G184" s="423" t="s">
        <v>2634</v>
      </c>
      <c r="H184" s="423" t="s">
        <v>2635</v>
      </c>
      <c r="I184" s="423" t="s">
        <v>2636</v>
      </c>
      <c r="J184" s="423" t="s">
        <v>2636</v>
      </c>
      <c r="K184" s="423" t="s">
        <v>2621</v>
      </c>
      <c r="L184" s="423" t="s">
        <v>2557</v>
      </c>
      <c r="M184" s="422">
        <v>510</v>
      </c>
      <c r="N184" s="422"/>
      <c r="O184" s="422"/>
      <c r="P184" s="422">
        <v>509.89699999999999</v>
      </c>
    </row>
    <row r="185" spans="1:16" hidden="1" x14ac:dyDescent="0.5">
      <c r="A185" s="423">
        <v>8</v>
      </c>
      <c r="B185" s="423" t="s">
        <v>2115</v>
      </c>
      <c r="C185" s="423" t="s">
        <v>3056</v>
      </c>
      <c r="D185" s="423" t="s">
        <v>3074</v>
      </c>
      <c r="E185" s="423" t="s">
        <v>2560</v>
      </c>
      <c r="F185" s="423" t="s">
        <v>2554</v>
      </c>
      <c r="G185" s="423" t="s">
        <v>2624</v>
      </c>
      <c r="H185" s="423" t="s">
        <v>2978</v>
      </c>
      <c r="I185" s="423" t="s">
        <v>2623</v>
      </c>
      <c r="J185" s="423" t="s">
        <v>2623</v>
      </c>
      <c r="K185" s="423" t="s">
        <v>2621</v>
      </c>
      <c r="L185" s="423" t="s">
        <v>2557</v>
      </c>
      <c r="M185" s="422">
        <v>3632</v>
      </c>
      <c r="N185" s="422"/>
      <c r="O185" s="422"/>
      <c r="P185" s="422">
        <v>3631.2640000000001</v>
      </c>
    </row>
    <row r="186" spans="1:16" hidden="1" x14ac:dyDescent="0.5">
      <c r="A186" s="423">
        <v>9</v>
      </c>
      <c r="B186" s="423" t="s">
        <v>2116</v>
      </c>
      <c r="C186" s="423" t="s">
        <v>3056</v>
      </c>
      <c r="D186" s="423" t="s">
        <v>3073</v>
      </c>
      <c r="E186" s="423" t="s">
        <v>2560</v>
      </c>
      <c r="F186" s="423" t="s">
        <v>2554</v>
      </c>
      <c r="G186" s="423" t="s">
        <v>2620</v>
      </c>
      <c r="H186" s="423" t="s">
        <v>2849</v>
      </c>
      <c r="I186" s="423" t="s">
        <v>2563</v>
      </c>
      <c r="J186" s="423" t="s">
        <v>2576</v>
      </c>
      <c r="K186" s="423" t="s">
        <v>2621</v>
      </c>
      <c r="L186" s="423" t="s">
        <v>2557</v>
      </c>
      <c r="M186" s="422">
        <v>3176</v>
      </c>
      <c r="N186" s="422"/>
      <c r="O186" s="422"/>
      <c r="P186" s="422">
        <v>3174.7130000000002</v>
      </c>
    </row>
    <row r="187" spans="1:16" hidden="1" x14ac:dyDescent="0.5">
      <c r="A187" s="423">
        <v>10</v>
      </c>
      <c r="B187" s="423" t="s">
        <v>2116</v>
      </c>
      <c r="C187" s="423" t="s">
        <v>3056</v>
      </c>
      <c r="D187" s="423" t="s">
        <v>3072</v>
      </c>
      <c r="E187" s="423" t="s">
        <v>2560</v>
      </c>
      <c r="F187" s="423" t="s">
        <v>2554</v>
      </c>
      <c r="G187" s="423" t="s">
        <v>2622</v>
      </c>
      <c r="H187" s="423" t="s">
        <v>3004</v>
      </c>
      <c r="I187" s="423" t="s">
        <v>2623</v>
      </c>
      <c r="J187" s="423" t="s">
        <v>2623</v>
      </c>
      <c r="K187" s="423" t="s">
        <v>2621</v>
      </c>
      <c r="L187" s="423" t="s">
        <v>2557</v>
      </c>
      <c r="M187" s="422">
        <v>5024</v>
      </c>
      <c r="N187" s="422"/>
      <c r="O187" s="422"/>
      <c r="P187" s="422">
        <v>5021.9629999999997</v>
      </c>
    </row>
    <row r="188" spans="1:16" hidden="1" x14ac:dyDescent="0.5">
      <c r="A188" s="423">
        <v>11</v>
      </c>
      <c r="B188" s="423" t="s">
        <v>2116</v>
      </c>
      <c r="C188" s="423" t="s">
        <v>3056</v>
      </c>
      <c r="D188" s="423" t="s">
        <v>3071</v>
      </c>
      <c r="E188" s="423" t="s">
        <v>2560</v>
      </c>
      <c r="F188" s="423" t="s">
        <v>2554</v>
      </c>
      <c r="G188" s="423" t="s">
        <v>2624</v>
      </c>
      <c r="H188" s="423" t="s">
        <v>3004</v>
      </c>
      <c r="I188" s="423" t="s">
        <v>2623</v>
      </c>
      <c r="J188" s="423" t="s">
        <v>2623</v>
      </c>
      <c r="K188" s="423" t="s">
        <v>2621</v>
      </c>
      <c r="L188" s="423" t="s">
        <v>2557</v>
      </c>
      <c r="M188" s="422">
        <v>4300</v>
      </c>
      <c r="N188" s="422"/>
      <c r="O188" s="422"/>
      <c r="P188" s="422">
        <v>4298.2569999999996</v>
      </c>
    </row>
    <row r="189" spans="1:16" hidden="1" x14ac:dyDescent="0.5">
      <c r="A189" s="423">
        <v>12</v>
      </c>
      <c r="B189" s="423" t="s">
        <v>2117</v>
      </c>
      <c r="C189" s="423" t="s">
        <v>3056</v>
      </c>
      <c r="D189" s="423" t="s">
        <v>3070</v>
      </c>
      <c r="E189" s="423" t="s">
        <v>2560</v>
      </c>
      <c r="F189" s="423" t="s">
        <v>2554</v>
      </c>
      <c r="G189" s="423" t="s">
        <v>2620</v>
      </c>
      <c r="H189" s="423" t="s">
        <v>2849</v>
      </c>
      <c r="I189" s="423" t="s">
        <v>2563</v>
      </c>
      <c r="J189" s="423" t="s">
        <v>2576</v>
      </c>
      <c r="K189" s="423" t="s">
        <v>2621</v>
      </c>
      <c r="L189" s="423" t="s">
        <v>2557</v>
      </c>
      <c r="M189" s="422">
        <v>1892</v>
      </c>
      <c r="N189" s="422"/>
      <c r="O189" s="422"/>
      <c r="P189" s="422">
        <v>1895.069</v>
      </c>
    </row>
    <row r="190" spans="1:16" hidden="1" x14ac:dyDescent="0.5">
      <c r="A190" s="423">
        <v>13</v>
      </c>
      <c r="B190" s="423" t="s">
        <v>2117</v>
      </c>
      <c r="C190" s="423" t="s">
        <v>3056</v>
      </c>
      <c r="D190" s="423" t="s">
        <v>3069</v>
      </c>
      <c r="E190" s="423" t="s">
        <v>2560</v>
      </c>
      <c r="F190" s="423" t="s">
        <v>2554</v>
      </c>
      <c r="G190" s="423" t="s">
        <v>2622</v>
      </c>
      <c r="H190" s="423" t="s">
        <v>3068</v>
      </c>
      <c r="I190" s="423" t="s">
        <v>2623</v>
      </c>
      <c r="J190" s="423" t="s">
        <v>2623</v>
      </c>
      <c r="K190" s="423" t="s">
        <v>2621</v>
      </c>
      <c r="L190" s="423" t="s">
        <v>2557</v>
      </c>
      <c r="M190" s="422">
        <v>1320</v>
      </c>
      <c r="N190" s="422"/>
      <c r="O190" s="422"/>
      <c r="P190" s="422">
        <v>1322.1410000000001</v>
      </c>
    </row>
    <row r="191" spans="1:16" hidden="1" x14ac:dyDescent="0.5">
      <c r="A191" s="423">
        <v>14</v>
      </c>
      <c r="B191" s="423" t="s">
        <v>2117</v>
      </c>
      <c r="C191" s="423" t="s">
        <v>3056</v>
      </c>
      <c r="D191" s="423" t="s">
        <v>3067</v>
      </c>
      <c r="E191" s="423" t="s">
        <v>2711</v>
      </c>
      <c r="F191" s="423" t="s">
        <v>2554</v>
      </c>
      <c r="G191" s="423" t="s">
        <v>3066</v>
      </c>
      <c r="H191" s="423" t="s">
        <v>3065</v>
      </c>
      <c r="I191" s="423" t="s">
        <v>2576</v>
      </c>
      <c r="J191" s="423" t="s">
        <v>2576</v>
      </c>
      <c r="K191" s="423" t="s">
        <v>2621</v>
      </c>
      <c r="L191" s="423" t="s">
        <v>2557</v>
      </c>
      <c r="M191" s="422">
        <v>1119</v>
      </c>
      <c r="N191" s="422"/>
      <c r="O191" s="422"/>
      <c r="P191" s="422">
        <v>1120.8150000000001</v>
      </c>
    </row>
    <row r="192" spans="1:16" hidden="1" x14ac:dyDescent="0.5">
      <c r="A192" s="423">
        <v>15</v>
      </c>
      <c r="B192" s="423" t="s">
        <v>2117</v>
      </c>
      <c r="C192" s="423" t="s">
        <v>3056</v>
      </c>
      <c r="D192" s="423" t="s">
        <v>3064</v>
      </c>
      <c r="E192" s="423" t="s">
        <v>2625</v>
      </c>
      <c r="F192" s="423" t="s">
        <v>2554</v>
      </c>
      <c r="G192" s="423" t="s">
        <v>2634</v>
      </c>
      <c r="H192" s="423" t="s">
        <v>2710</v>
      </c>
      <c r="I192" s="423" t="s">
        <v>2636</v>
      </c>
      <c r="J192" s="423" t="s">
        <v>2636</v>
      </c>
      <c r="K192" s="423" t="s">
        <v>2621</v>
      </c>
      <c r="L192" s="423" t="s">
        <v>2557</v>
      </c>
      <c r="M192" s="422">
        <v>892</v>
      </c>
      <c r="N192" s="422"/>
      <c r="O192" s="422"/>
      <c r="P192" s="422">
        <v>891.548</v>
      </c>
    </row>
    <row r="193" spans="1:16" hidden="1" x14ac:dyDescent="0.5">
      <c r="A193" s="423">
        <v>16</v>
      </c>
      <c r="B193" s="423" t="s">
        <v>2117</v>
      </c>
      <c r="C193" s="423" t="s">
        <v>3056</v>
      </c>
      <c r="D193" s="423" t="s">
        <v>3063</v>
      </c>
      <c r="E193" s="423" t="s">
        <v>2560</v>
      </c>
      <c r="F193" s="423" t="s">
        <v>2554</v>
      </c>
      <c r="G193" s="423" t="s">
        <v>2624</v>
      </c>
      <c r="H193" s="423" t="s">
        <v>2712</v>
      </c>
      <c r="I193" s="423" t="s">
        <v>2623</v>
      </c>
      <c r="J193" s="423" t="s">
        <v>2623</v>
      </c>
      <c r="K193" s="423" t="s">
        <v>2621</v>
      </c>
      <c r="L193" s="423" t="s">
        <v>2557</v>
      </c>
      <c r="M193" s="422">
        <v>4811</v>
      </c>
      <c r="N193" s="422"/>
      <c r="O193" s="422"/>
      <c r="P193" s="422">
        <v>4808.5609999999997</v>
      </c>
    </row>
    <row r="194" spans="1:16" hidden="1" x14ac:dyDescent="0.5">
      <c r="A194" s="423">
        <v>17</v>
      </c>
      <c r="B194" s="423" t="s">
        <v>2118</v>
      </c>
      <c r="C194" s="423" t="s">
        <v>3056</v>
      </c>
      <c r="D194" s="423" t="s">
        <v>3062</v>
      </c>
      <c r="E194" s="423" t="s">
        <v>2560</v>
      </c>
      <c r="F194" s="423" t="s">
        <v>2554</v>
      </c>
      <c r="G194" s="423" t="s">
        <v>2620</v>
      </c>
      <c r="H194" s="423" t="s">
        <v>2849</v>
      </c>
      <c r="I194" s="423" t="s">
        <v>2563</v>
      </c>
      <c r="J194" s="423" t="s">
        <v>2576</v>
      </c>
      <c r="K194" s="423" t="s">
        <v>2621</v>
      </c>
      <c r="L194" s="423" t="s">
        <v>2557</v>
      </c>
      <c r="M194" s="422">
        <v>1879</v>
      </c>
      <c r="N194" s="422"/>
      <c r="O194" s="422"/>
      <c r="P194" s="422">
        <v>1878.048</v>
      </c>
    </row>
    <row r="195" spans="1:16" hidden="1" x14ac:dyDescent="0.5">
      <c r="A195" s="423">
        <v>18</v>
      </c>
      <c r="B195" s="423" t="s">
        <v>2118</v>
      </c>
      <c r="C195" s="423" t="s">
        <v>3056</v>
      </c>
      <c r="D195" s="423" t="s">
        <v>3061</v>
      </c>
      <c r="E195" s="423" t="s">
        <v>2625</v>
      </c>
      <c r="F195" s="423" t="s">
        <v>2554</v>
      </c>
      <c r="G195" s="423" t="s">
        <v>2626</v>
      </c>
      <c r="H195" s="423" t="s">
        <v>3060</v>
      </c>
      <c r="I195" s="423" t="s">
        <v>2628</v>
      </c>
      <c r="J195" s="423" t="s">
        <v>2628</v>
      </c>
      <c r="K195" s="423" t="s">
        <v>2621</v>
      </c>
      <c r="L195" s="423" t="s">
        <v>2557</v>
      </c>
      <c r="M195" s="422">
        <v>580</v>
      </c>
      <c r="N195" s="422"/>
      <c r="O195" s="422"/>
      <c r="P195" s="422">
        <v>579.70600000000002</v>
      </c>
    </row>
    <row r="196" spans="1:16" hidden="1" x14ac:dyDescent="0.5">
      <c r="A196" s="423">
        <v>19</v>
      </c>
      <c r="B196" s="423" t="s">
        <v>2118</v>
      </c>
      <c r="C196" s="423" t="s">
        <v>3056</v>
      </c>
      <c r="D196" s="423" t="s">
        <v>3059</v>
      </c>
      <c r="E196" s="423" t="s">
        <v>2560</v>
      </c>
      <c r="F196" s="423" t="s">
        <v>2554</v>
      </c>
      <c r="G196" s="423" t="s">
        <v>2622</v>
      </c>
      <c r="H196" s="423" t="s">
        <v>3004</v>
      </c>
      <c r="I196" s="423" t="s">
        <v>2623</v>
      </c>
      <c r="J196" s="423" t="s">
        <v>2623</v>
      </c>
      <c r="K196" s="423" t="s">
        <v>2621</v>
      </c>
      <c r="L196" s="423" t="s">
        <v>2557</v>
      </c>
      <c r="M196" s="422">
        <v>5756</v>
      </c>
      <c r="N196" s="422"/>
      <c r="O196" s="422"/>
      <c r="P196" s="422">
        <v>5753.0829999999996</v>
      </c>
    </row>
    <row r="197" spans="1:16" hidden="1" x14ac:dyDescent="0.5">
      <c r="A197" s="423">
        <v>20</v>
      </c>
      <c r="B197" s="423" t="s">
        <v>2118</v>
      </c>
      <c r="C197" s="423" t="s">
        <v>3056</v>
      </c>
      <c r="D197" s="423" t="s">
        <v>3058</v>
      </c>
      <c r="E197" s="423" t="s">
        <v>2560</v>
      </c>
      <c r="F197" s="423" t="s">
        <v>2554</v>
      </c>
      <c r="G197" s="423" t="s">
        <v>2624</v>
      </c>
      <c r="H197" s="423" t="s">
        <v>3004</v>
      </c>
      <c r="I197" s="423" t="s">
        <v>2623</v>
      </c>
      <c r="J197" s="423" t="s">
        <v>2623</v>
      </c>
      <c r="K197" s="423" t="s">
        <v>2621</v>
      </c>
      <c r="L197" s="423" t="s">
        <v>2557</v>
      </c>
      <c r="M197" s="422">
        <v>5489</v>
      </c>
      <c r="N197" s="422"/>
      <c r="O197" s="422"/>
      <c r="P197" s="422">
        <v>5486.2190000000001</v>
      </c>
    </row>
    <row r="198" spans="1:16" hidden="1" x14ac:dyDescent="0.5">
      <c r="A198" s="423">
        <v>21</v>
      </c>
      <c r="B198" s="423" t="s">
        <v>2119</v>
      </c>
      <c r="C198" s="423" t="s">
        <v>3056</v>
      </c>
      <c r="D198" s="423" t="s">
        <v>3057</v>
      </c>
      <c r="E198" s="423" t="s">
        <v>2560</v>
      </c>
      <c r="F198" s="423" t="s">
        <v>2554</v>
      </c>
      <c r="G198" s="423" t="s">
        <v>2622</v>
      </c>
      <c r="H198" s="423" t="s">
        <v>2712</v>
      </c>
      <c r="I198" s="423" t="s">
        <v>2623</v>
      </c>
      <c r="J198" s="423" t="s">
        <v>2623</v>
      </c>
      <c r="K198" s="423" t="s">
        <v>2621</v>
      </c>
      <c r="L198" s="423" t="s">
        <v>2557</v>
      </c>
      <c r="M198" s="422">
        <v>5024</v>
      </c>
      <c r="N198" s="422"/>
      <c r="O198" s="422"/>
      <c r="P198" s="422">
        <v>5029.0929999999998</v>
      </c>
    </row>
    <row r="199" spans="1:16" hidden="1" x14ac:dyDescent="0.5">
      <c r="A199" s="423">
        <v>22</v>
      </c>
      <c r="B199" s="423" t="s">
        <v>2119</v>
      </c>
      <c r="C199" s="423" t="s">
        <v>3056</v>
      </c>
      <c r="D199" s="423" t="s">
        <v>3055</v>
      </c>
      <c r="E199" s="423" t="s">
        <v>2560</v>
      </c>
      <c r="F199" s="423" t="s">
        <v>2554</v>
      </c>
      <c r="G199" s="423" t="s">
        <v>2624</v>
      </c>
      <c r="H199" s="423" t="s">
        <v>2712</v>
      </c>
      <c r="I199" s="423" t="s">
        <v>2623</v>
      </c>
      <c r="J199" s="423" t="s">
        <v>2623</v>
      </c>
      <c r="K199" s="423" t="s">
        <v>2621</v>
      </c>
      <c r="L199" s="423" t="s">
        <v>2557</v>
      </c>
      <c r="M199" s="422">
        <v>4961</v>
      </c>
      <c r="N199" s="422"/>
      <c r="O199" s="422"/>
      <c r="P199" s="422">
        <v>4958.4849999999997</v>
      </c>
    </row>
    <row r="200" spans="1:16" hidden="1" x14ac:dyDescent="0.5">
      <c r="A200" s="423">
        <v>23</v>
      </c>
      <c r="B200" s="423" t="s">
        <v>2120</v>
      </c>
      <c r="C200" s="423" t="s">
        <v>3034</v>
      </c>
      <c r="D200" s="423" t="s">
        <v>3054</v>
      </c>
      <c r="E200" s="423" t="s">
        <v>2560</v>
      </c>
      <c r="F200" s="423" t="s">
        <v>2554</v>
      </c>
      <c r="G200" s="423" t="s">
        <v>2620</v>
      </c>
      <c r="H200" s="423" t="s">
        <v>2849</v>
      </c>
      <c r="I200" s="423" t="s">
        <v>2563</v>
      </c>
      <c r="J200" s="423" t="s">
        <v>2576</v>
      </c>
      <c r="K200" s="423" t="s">
        <v>2621</v>
      </c>
      <c r="L200" s="423" t="s">
        <v>2557</v>
      </c>
      <c r="M200" s="422">
        <v>1589</v>
      </c>
      <c r="N200" s="422"/>
      <c r="O200" s="422"/>
      <c r="P200" s="422">
        <v>1588.1949999999999</v>
      </c>
    </row>
    <row r="201" spans="1:16" hidden="1" x14ac:dyDescent="0.5">
      <c r="A201" s="423">
        <v>24</v>
      </c>
      <c r="B201" s="423" t="s">
        <v>2120</v>
      </c>
      <c r="C201" s="423" t="s">
        <v>3034</v>
      </c>
      <c r="D201" s="423" t="s">
        <v>3053</v>
      </c>
      <c r="E201" s="423" t="s">
        <v>2560</v>
      </c>
      <c r="F201" s="423" t="s">
        <v>2554</v>
      </c>
      <c r="G201" s="423" t="s">
        <v>2622</v>
      </c>
      <c r="H201" s="423" t="s">
        <v>2712</v>
      </c>
      <c r="I201" s="423" t="s">
        <v>2623</v>
      </c>
      <c r="J201" s="423" t="s">
        <v>2623</v>
      </c>
      <c r="K201" s="423" t="s">
        <v>2621</v>
      </c>
      <c r="L201" s="423" t="s">
        <v>2557</v>
      </c>
      <c r="M201" s="422">
        <v>4336</v>
      </c>
      <c r="N201" s="422"/>
      <c r="O201" s="422"/>
      <c r="P201" s="422">
        <v>4333.8019999999997</v>
      </c>
    </row>
    <row r="202" spans="1:16" hidden="1" x14ac:dyDescent="0.5">
      <c r="A202" s="423">
        <v>25</v>
      </c>
      <c r="B202" s="423" t="s">
        <v>2120</v>
      </c>
      <c r="C202" s="423" t="s">
        <v>3034</v>
      </c>
      <c r="D202" s="423" t="s">
        <v>3052</v>
      </c>
      <c r="E202" s="423" t="s">
        <v>2625</v>
      </c>
      <c r="F202" s="423" t="s">
        <v>2554</v>
      </c>
      <c r="G202" s="423" t="s">
        <v>2626</v>
      </c>
      <c r="H202" s="423" t="s">
        <v>2629</v>
      </c>
      <c r="I202" s="423" t="s">
        <v>2628</v>
      </c>
      <c r="J202" s="423" t="s">
        <v>2628</v>
      </c>
      <c r="K202" s="423" t="s">
        <v>2621</v>
      </c>
      <c r="L202" s="423" t="s">
        <v>2557</v>
      </c>
      <c r="M202" s="422">
        <v>528</v>
      </c>
      <c r="N202" s="422"/>
      <c r="O202" s="422"/>
      <c r="P202" s="422">
        <v>527.73199999999997</v>
      </c>
    </row>
    <row r="203" spans="1:16" hidden="1" x14ac:dyDescent="0.5">
      <c r="A203" s="423">
        <v>26</v>
      </c>
      <c r="B203" s="423" t="s">
        <v>2120</v>
      </c>
      <c r="C203" s="423" t="s">
        <v>3034</v>
      </c>
      <c r="D203" s="423" t="s">
        <v>3051</v>
      </c>
      <c r="E203" s="423" t="s">
        <v>2560</v>
      </c>
      <c r="F203" s="423" t="s">
        <v>2554</v>
      </c>
      <c r="G203" s="423" t="s">
        <v>2624</v>
      </c>
      <c r="H203" s="423" t="s">
        <v>2712</v>
      </c>
      <c r="I203" s="423" t="s">
        <v>2623</v>
      </c>
      <c r="J203" s="423" t="s">
        <v>2623</v>
      </c>
      <c r="K203" s="423" t="s">
        <v>2621</v>
      </c>
      <c r="L203" s="423" t="s">
        <v>2557</v>
      </c>
      <c r="M203" s="422">
        <v>4567</v>
      </c>
      <c r="N203" s="422"/>
      <c r="O203" s="422"/>
      <c r="P203" s="422">
        <v>4564.6850000000004</v>
      </c>
    </row>
    <row r="204" spans="1:16" hidden="1" x14ac:dyDescent="0.5">
      <c r="A204" s="423">
        <v>27</v>
      </c>
      <c r="B204" s="423" t="s">
        <v>2121</v>
      </c>
      <c r="C204" s="423" t="s">
        <v>3034</v>
      </c>
      <c r="D204" s="423" t="s">
        <v>3050</v>
      </c>
      <c r="E204" s="423" t="s">
        <v>2560</v>
      </c>
      <c r="F204" s="423" t="s">
        <v>2554</v>
      </c>
      <c r="G204" s="423" t="s">
        <v>2620</v>
      </c>
      <c r="H204" s="423" t="s">
        <v>2849</v>
      </c>
      <c r="I204" s="423" t="s">
        <v>2563</v>
      </c>
      <c r="J204" s="423" t="s">
        <v>2576</v>
      </c>
      <c r="K204" s="423" t="s">
        <v>2621</v>
      </c>
      <c r="L204" s="423" t="s">
        <v>2557</v>
      </c>
      <c r="M204" s="422">
        <v>1582</v>
      </c>
      <c r="N204" s="422"/>
      <c r="O204" s="422"/>
      <c r="P204" s="422">
        <v>1583.604</v>
      </c>
    </row>
    <row r="205" spans="1:16" hidden="1" x14ac:dyDescent="0.5">
      <c r="A205" s="423">
        <v>28</v>
      </c>
      <c r="B205" s="423" t="s">
        <v>2121</v>
      </c>
      <c r="C205" s="423" t="s">
        <v>3034</v>
      </c>
      <c r="D205" s="423" t="s">
        <v>3049</v>
      </c>
      <c r="E205" s="423" t="s">
        <v>2560</v>
      </c>
      <c r="F205" s="423" t="s">
        <v>2554</v>
      </c>
      <c r="G205" s="423" t="s">
        <v>2622</v>
      </c>
      <c r="H205" s="423" t="s">
        <v>2712</v>
      </c>
      <c r="I205" s="423" t="s">
        <v>2623</v>
      </c>
      <c r="J205" s="423" t="s">
        <v>2623</v>
      </c>
      <c r="K205" s="423" t="s">
        <v>2621</v>
      </c>
      <c r="L205" s="423" t="s">
        <v>2557</v>
      </c>
      <c r="M205" s="422">
        <v>5226</v>
      </c>
      <c r="N205" s="422"/>
      <c r="O205" s="422"/>
      <c r="P205" s="422">
        <v>5231.2979999999998</v>
      </c>
    </row>
    <row r="206" spans="1:16" hidden="1" x14ac:dyDescent="0.5">
      <c r="A206" s="423">
        <v>29</v>
      </c>
      <c r="B206" s="423" t="s">
        <v>2121</v>
      </c>
      <c r="C206" s="423" t="s">
        <v>3034</v>
      </c>
      <c r="D206" s="423" t="s">
        <v>3048</v>
      </c>
      <c r="E206" s="423" t="s">
        <v>2560</v>
      </c>
      <c r="F206" s="423" t="s">
        <v>2554</v>
      </c>
      <c r="G206" s="423" t="s">
        <v>2624</v>
      </c>
      <c r="H206" s="423" t="s">
        <v>2712</v>
      </c>
      <c r="I206" s="423" t="s">
        <v>2623</v>
      </c>
      <c r="J206" s="423" t="s">
        <v>2623</v>
      </c>
      <c r="K206" s="423" t="s">
        <v>2621</v>
      </c>
      <c r="L206" s="423" t="s">
        <v>2557</v>
      </c>
      <c r="M206" s="422">
        <v>2908</v>
      </c>
      <c r="N206" s="422"/>
      <c r="O206" s="422"/>
      <c r="P206" s="422">
        <v>2908</v>
      </c>
    </row>
    <row r="207" spans="1:16" hidden="1" x14ac:dyDescent="0.5">
      <c r="A207" s="423">
        <v>30</v>
      </c>
      <c r="B207" s="423" t="s">
        <v>2122</v>
      </c>
      <c r="C207" s="423" t="s">
        <v>3034</v>
      </c>
      <c r="D207" s="423" t="s">
        <v>3047</v>
      </c>
      <c r="E207" s="423" t="s">
        <v>2560</v>
      </c>
      <c r="F207" s="423" t="s">
        <v>2554</v>
      </c>
      <c r="G207" s="423" t="s">
        <v>2620</v>
      </c>
      <c r="H207" s="423" t="s">
        <v>2849</v>
      </c>
      <c r="I207" s="423" t="s">
        <v>2563</v>
      </c>
      <c r="J207" s="423" t="s">
        <v>2576</v>
      </c>
      <c r="K207" s="423" t="s">
        <v>2621</v>
      </c>
      <c r="L207" s="423" t="s">
        <v>2557</v>
      </c>
      <c r="M207" s="422">
        <v>2748</v>
      </c>
      <c r="N207" s="422"/>
      <c r="O207" s="422"/>
      <c r="P207" s="422">
        <v>2759.7020000000002</v>
      </c>
    </row>
    <row r="208" spans="1:16" hidden="1" x14ac:dyDescent="0.5">
      <c r="A208" s="423">
        <v>31</v>
      </c>
      <c r="B208" s="423" t="s">
        <v>2122</v>
      </c>
      <c r="C208" s="423" t="s">
        <v>3034</v>
      </c>
      <c r="D208" s="423" t="s">
        <v>3046</v>
      </c>
      <c r="E208" s="423" t="s">
        <v>2560</v>
      </c>
      <c r="F208" s="423" t="s">
        <v>2554</v>
      </c>
      <c r="G208" s="423" t="s">
        <v>2622</v>
      </c>
      <c r="H208" s="423" t="s">
        <v>2712</v>
      </c>
      <c r="I208" s="423" t="s">
        <v>2623</v>
      </c>
      <c r="J208" s="423" t="s">
        <v>2623</v>
      </c>
      <c r="K208" s="423" t="s">
        <v>2621</v>
      </c>
      <c r="L208" s="423" t="s">
        <v>2557</v>
      </c>
      <c r="M208" s="422">
        <v>4396</v>
      </c>
      <c r="N208" s="422"/>
      <c r="O208" s="422"/>
      <c r="P208" s="422">
        <v>4414.72</v>
      </c>
    </row>
    <row r="209" spans="1:16" hidden="1" x14ac:dyDescent="0.5">
      <c r="A209" s="423">
        <v>32</v>
      </c>
      <c r="B209" s="423" t="s">
        <v>2122</v>
      </c>
      <c r="C209" s="423" t="s">
        <v>3034</v>
      </c>
      <c r="D209" s="423" t="s">
        <v>3045</v>
      </c>
      <c r="E209" s="423" t="s">
        <v>2625</v>
      </c>
      <c r="F209" s="423" t="s">
        <v>2554</v>
      </c>
      <c r="G209" s="423" t="s">
        <v>2634</v>
      </c>
      <c r="H209" s="423" t="s">
        <v>2717</v>
      </c>
      <c r="I209" s="423" t="s">
        <v>2636</v>
      </c>
      <c r="J209" s="423" t="s">
        <v>2636</v>
      </c>
      <c r="K209" s="423" t="s">
        <v>2621</v>
      </c>
      <c r="L209" s="423" t="s">
        <v>2557</v>
      </c>
      <c r="M209" s="422">
        <v>1175</v>
      </c>
      <c r="N209" s="422"/>
      <c r="O209" s="422"/>
      <c r="P209" s="422">
        <v>1176.9059999999999</v>
      </c>
    </row>
    <row r="210" spans="1:16" hidden="1" x14ac:dyDescent="0.5">
      <c r="A210" s="423">
        <v>33</v>
      </c>
      <c r="B210" s="423" t="s">
        <v>2122</v>
      </c>
      <c r="C210" s="423" t="s">
        <v>3034</v>
      </c>
      <c r="D210" s="423" t="s">
        <v>3044</v>
      </c>
      <c r="E210" s="423" t="s">
        <v>2560</v>
      </c>
      <c r="F210" s="423" t="s">
        <v>2554</v>
      </c>
      <c r="G210" s="423" t="s">
        <v>2624</v>
      </c>
      <c r="H210" s="423" t="s">
        <v>2712</v>
      </c>
      <c r="I210" s="423" t="s">
        <v>2623</v>
      </c>
      <c r="J210" s="423" t="s">
        <v>2623</v>
      </c>
      <c r="K210" s="423" t="s">
        <v>2621</v>
      </c>
      <c r="L210" s="423" t="s">
        <v>2557</v>
      </c>
      <c r="M210" s="422">
        <v>4475</v>
      </c>
      <c r="N210" s="422"/>
      <c r="O210" s="422"/>
      <c r="P210" s="422">
        <v>4482.259</v>
      </c>
    </row>
    <row r="211" spans="1:16" hidden="1" x14ac:dyDescent="0.5">
      <c r="A211" s="423">
        <v>34</v>
      </c>
      <c r="B211" s="423" t="s">
        <v>2123</v>
      </c>
      <c r="C211" s="423" t="s">
        <v>3034</v>
      </c>
      <c r="D211" s="423" t="s">
        <v>3043</v>
      </c>
      <c r="E211" s="423" t="s">
        <v>2560</v>
      </c>
      <c r="F211" s="423" t="s">
        <v>2554</v>
      </c>
      <c r="G211" s="423" t="s">
        <v>2620</v>
      </c>
      <c r="H211" s="423" t="s">
        <v>2849</v>
      </c>
      <c r="I211" s="423" t="s">
        <v>2563</v>
      </c>
      <c r="J211" s="423" t="s">
        <v>2576</v>
      </c>
      <c r="K211" s="423" t="s">
        <v>2621</v>
      </c>
      <c r="L211" s="423" t="s">
        <v>2557</v>
      </c>
      <c r="M211" s="422">
        <v>1947</v>
      </c>
      <c r="N211" s="422"/>
      <c r="O211" s="422"/>
      <c r="P211" s="422">
        <v>1947.9870000000001</v>
      </c>
    </row>
    <row r="212" spans="1:16" hidden="1" x14ac:dyDescent="0.5">
      <c r="A212" s="423">
        <v>35</v>
      </c>
      <c r="B212" s="423" t="s">
        <v>2123</v>
      </c>
      <c r="C212" s="423" t="s">
        <v>3034</v>
      </c>
      <c r="D212" s="423" t="s">
        <v>3042</v>
      </c>
      <c r="E212" s="423" t="s">
        <v>2560</v>
      </c>
      <c r="F212" s="423" t="s">
        <v>2554</v>
      </c>
      <c r="G212" s="423" t="s">
        <v>2622</v>
      </c>
      <c r="H212" s="423" t="s">
        <v>2712</v>
      </c>
      <c r="I212" s="423" t="s">
        <v>2623</v>
      </c>
      <c r="J212" s="423" t="s">
        <v>2623</v>
      </c>
      <c r="K212" s="423" t="s">
        <v>2621</v>
      </c>
      <c r="L212" s="423" t="s">
        <v>2557</v>
      </c>
      <c r="M212" s="422">
        <v>4135</v>
      </c>
      <c r="N212" s="422"/>
      <c r="O212" s="422"/>
      <c r="P212" s="422">
        <v>4137.0959999999995</v>
      </c>
    </row>
    <row r="213" spans="1:16" hidden="1" x14ac:dyDescent="0.5">
      <c r="A213" s="423">
        <v>36</v>
      </c>
      <c r="B213" s="423" t="s">
        <v>2123</v>
      </c>
      <c r="C213" s="423" t="s">
        <v>3034</v>
      </c>
      <c r="D213" s="423" t="s">
        <v>3041</v>
      </c>
      <c r="E213" s="423" t="s">
        <v>2625</v>
      </c>
      <c r="F213" s="423" t="s">
        <v>2554</v>
      </c>
      <c r="G213" s="423" t="s">
        <v>2626</v>
      </c>
      <c r="H213" s="423" t="s">
        <v>2629</v>
      </c>
      <c r="I213" s="423" t="s">
        <v>2628</v>
      </c>
      <c r="J213" s="423" t="s">
        <v>2628</v>
      </c>
      <c r="K213" s="423" t="s">
        <v>2621</v>
      </c>
      <c r="L213" s="423" t="s">
        <v>2557</v>
      </c>
      <c r="M213" s="422">
        <v>1269</v>
      </c>
      <c r="N213" s="422"/>
      <c r="O213" s="422"/>
      <c r="P213" s="422">
        <v>1268.357</v>
      </c>
    </row>
    <row r="214" spans="1:16" hidden="1" x14ac:dyDescent="0.5">
      <c r="A214" s="423">
        <v>37</v>
      </c>
      <c r="B214" s="423" t="s">
        <v>2123</v>
      </c>
      <c r="C214" s="423" t="s">
        <v>3034</v>
      </c>
      <c r="D214" s="423" t="s">
        <v>3040</v>
      </c>
      <c r="E214" s="423" t="s">
        <v>2560</v>
      </c>
      <c r="F214" s="423" t="s">
        <v>2554</v>
      </c>
      <c r="G214" s="423" t="s">
        <v>2624</v>
      </c>
      <c r="H214" s="423" t="s">
        <v>2712</v>
      </c>
      <c r="I214" s="423" t="s">
        <v>2623</v>
      </c>
      <c r="J214" s="423" t="s">
        <v>2623</v>
      </c>
      <c r="K214" s="423" t="s">
        <v>2621</v>
      </c>
      <c r="L214" s="423" t="s">
        <v>2557</v>
      </c>
      <c r="M214" s="422">
        <v>3758</v>
      </c>
      <c r="N214" s="422"/>
      <c r="O214" s="422"/>
      <c r="P214" s="422">
        <v>3756.0949999999998</v>
      </c>
    </row>
    <row r="215" spans="1:16" hidden="1" x14ac:dyDescent="0.5">
      <c r="A215" s="423">
        <v>38</v>
      </c>
      <c r="B215" s="423" t="s">
        <v>2124</v>
      </c>
      <c r="C215" s="423" t="s">
        <v>3034</v>
      </c>
      <c r="D215" s="423" t="s">
        <v>3039</v>
      </c>
      <c r="E215" s="423" t="s">
        <v>2560</v>
      </c>
      <c r="F215" s="423" t="s">
        <v>2554</v>
      </c>
      <c r="G215" s="423" t="s">
        <v>2620</v>
      </c>
      <c r="H215" s="423" t="s">
        <v>2849</v>
      </c>
      <c r="I215" s="423" t="s">
        <v>2563</v>
      </c>
      <c r="J215" s="423" t="s">
        <v>2576</v>
      </c>
      <c r="K215" s="423" t="s">
        <v>2621</v>
      </c>
      <c r="L215" s="423" t="s">
        <v>2557</v>
      </c>
      <c r="M215" s="422">
        <v>1852</v>
      </c>
      <c r="N215" s="422"/>
      <c r="O215" s="422"/>
      <c r="P215" s="422">
        <v>1852.751</v>
      </c>
    </row>
    <row r="216" spans="1:16" hidden="1" x14ac:dyDescent="0.5">
      <c r="A216" s="423">
        <v>39</v>
      </c>
      <c r="B216" s="423" t="s">
        <v>2124</v>
      </c>
      <c r="C216" s="423" t="s">
        <v>3034</v>
      </c>
      <c r="D216" s="423" t="s">
        <v>3038</v>
      </c>
      <c r="E216" s="423" t="s">
        <v>2560</v>
      </c>
      <c r="F216" s="423" t="s">
        <v>2554</v>
      </c>
      <c r="G216" s="423" t="s">
        <v>2622</v>
      </c>
      <c r="H216" s="423" t="s">
        <v>2978</v>
      </c>
      <c r="I216" s="423" t="s">
        <v>2623</v>
      </c>
      <c r="J216" s="423" t="s">
        <v>2623</v>
      </c>
      <c r="K216" s="423" t="s">
        <v>2621</v>
      </c>
      <c r="L216" s="423" t="s">
        <v>2557</v>
      </c>
      <c r="M216" s="422">
        <v>6105</v>
      </c>
      <c r="N216" s="422"/>
      <c r="O216" s="422"/>
      <c r="P216" s="422">
        <v>6107.4759999999997</v>
      </c>
    </row>
    <row r="217" spans="1:16" hidden="1" x14ac:dyDescent="0.5">
      <c r="A217" s="423">
        <v>40</v>
      </c>
      <c r="B217" s="423" t="s">
        <v>2124</v>
      </c>
      <c r="C217" s="423" t="s">
        <v>3034</v>
      </c>
      <c r="D217" s="423" t="s">
        <v>3037</v>
      </c>
      <c r="E217" s="423" t="s">
        <v>2560</v>
      </c>
      <c r="F217" s="423" t="s">
        <v>2554</v>
      </c>
      <c r="G217" s="423" t="s">
        <v>2624</v>
      </c>
      <c r="H217" s="423" t="s">
        <v>2978</v>
      </c>
      <c r="I217" s="423" t="s">
        <v>2623</v>
      </c>
      <c r="J217" s="423" t="s">
        <v>2623</v>
      </c>
      <c r="K217" s="423" t="s">
        <v>2621</v>
      </c>
      <c r="L217" s="423" t="s">
        <v>2557</v>
      </c>
      <c r="M217" s="422">
        <v>3469</v>
      </c>
      <c r="N217" s="422"/>
      <c r="O217" s="422"/>
      <c r="P217" s="422">
        <v>3466.5390000000002</v>
      </c>
    </row>
    <row r="218" spans="1:16" hidden="1" x14ac:dyDescent="0.5">
      <c r="A218" s="423">
        <v>41</v>
      </c>
      <c r="B218" s="423" t="s">
        <v>2125</v>
      </c>
      <c r="C218" s="423" t="s">
        <v>3034</v>
      </c>
      <c r="D218" s="423" t="s">
        <v>3036</v>
      </c>
      <c r="E218" s="423" t="s">
        <v>2560</v>
      </c>
      <c r="F218" s="423" t="s">
        <v>2554</v>
      </c>
      <c r="G218" s="423" t="s">
        <v>2620</v>
      </c>
      <c r="H218" s="423" t="s">
        <v>2849</v>
      </c>
      <c r="I218" s="423" t="s">
        <v>2563</v>
      </c>
      <c r="J218" s="423" t="s">
        <v>2576</v>
      </c>
      <c r="K218" s="423" t="s">
        <v>2621</v>
      </c>
      <c r="L218" s="423" t="s">
        <v>2557</v>
      </c>
      <c r="M218" s="422">
        <v>2367</v>
      </c>
      <c r="N218" s="422"/>
      <c r="O218" s="422"/>
      <c r="P218" s="422">
        <v>2365.3209999999999</v>
      </c>
    </row>
    <row r="219" spans="1:16" hidden="1" x14ac:dyDescent="0.5">
      <c r="A219" s="423">
        <v>42</v>
      </c>
      <c r="B219" s="423" t="s">
        <v>2125</v>
      </c>
      <c r="C219" s="423" t="s">
        <v>3034</v>
      </c>
      <c r="D219" s="423" t="s">
        <v>3035</v>
      </c>
      <c r="E219" s="423" t="s">
        <v>2560</v>
      </c>
      <c r="F219" s="423" t="s">
        <v>2554</v>
      </c>
      <c r="G219" s="423" t="s">
        <v>2622</v>
      </c>
      <c r="H219" s="423" t="s">
        <v>2712</v>
      </c>
      <c r="I219" s="423" t="s">
        <v>2623</v>
      </c>
      <c r="J219" s="423" t="s">
        <v>2623</v>
      </c>
      <c r="K219" s="423" t="s">
        <v>2621</v>
      </c>
      <c r="L219" s="423" t="s">
        <v>2557</v>
      </c>
      <c r="M219" s="422">
        <v>3867</v>
      </c>
      <c r="N219" s="422"/>
      <c r="O219" s="422"/>
      <c r="P219" s="422">
        <v>3864.2559999999999</v>
      </c>
    </row>
    <row r="220" spans="1:16" hidden="1" x14ac:dyDescent="0.5">
      <c r="A220" s="423">
        <v>43</v>
      </c>
      <c r="B220" s="423" t="s">
        <v>2125</v>
      </c>
      <c r="C220" s="423" t="s">
        <v>3034</v>
      </c>
      <c r="D220" s="423" t="s">
        <v>3033</v>
      </c>
      <c r="E220" s="423" t="s">
        <v>3032</v>
      </c>
      <c r="F220" s="423" t="s">
        <v>2559</v>
      </c>
      <c r="G220" s="423" t="s">
        <v>2769</v>
      </c>
      <c r="H220" s="423" t="s">
        <v>2569</v>
      </c>
      <c r="I220" s="423" t="s">
        <v>2570</v>
      </c>
      <c r="J220" s="423" t="s">
        <v>2576</v>
      </c>
      <c r="K220" s="423" t="s">
        <v>2621</v>
      </c>
      <c r="L220" s="423" t="s">
        <v>2557</v>
      </c>
      <c r="M220" s="422">
        <v>3174</v>
      </c>
      <c r="N220" s="422"/>
      <c r="O220" s="422"/>
      <c r="P220" s="422">
        <v>3174</v>
      </c>
    </row>
    <row r="221" spans="1:16" hidden="1" x14ac:dyDescent="0.5">
      <c r="A221" s="423">
        <v>44</v>
      </c>
      <c r="B221" s="423" t="s">
        <v>2125</v>
      </c>
      <c r="C221" s="423" t="s">
        <v>3010</v>
      </c>
      <c r="D221" s="423" t="s">
        <v>3031</v>
      </c>
      <c r="E221" s="423" t="s">
        <v>2560</v>
      </c>
      <c r="F221" s="423" t="s">
        <v>2554</v>
      </c>
      <c r="G221" s="423" t="s">
        <v>2624</v>
      </c>
      <c r="H221" s="423" t="s">
        <v>2712</v>
      </c>
      <c r="I221" s="423" t="s">
        <v>2623</v>
      </c>
      <c r="J221" s="423" t="s">
        <v>2623</v>
      </c>
      <c r="K221" s="423" t="s">
        <v>2621</v>
      </c>
      <c r="L221" s="423" t="s">
        <v>2557</v>
      </c>
      <c r="M221" s="422">
        <v>5233</v>
      </c>
      <c r="N221" s="422"/>
      <c r="O221" s="422"/>
      <c r="P221" s="422">
        <v>5229.2870000000003</v>
      </c>
    </row>
    <row r="222" spans="1:16" hidden="1" x14ac:dyDescent="0.5">
      <c r="A222" s="423">
        <v>45</v>
      </c>
      <c r="B222" s="423" t="s">
        <v>2126</v>
      </c>
      <c r="C222" s="423" t="s">
        <v>3010</v>
      </c>
      <c r="D222" s="423" t="s">
        <v>3030</v>
      </c>
      <c r="E222" s="423" t="s">
        <v>2560</v>
      </c>
      <c r="F222" s="423" t="s">
        <v>2554</v>
      </c>
      <c r="G222" s="423" t="s">
        <v>2620</v>
      </c>
      <c r="H222" s="423" t="s">
        <v>2849</v>
      </c>
      <c r="I222" s="423" t="s">
        <v>2563</v>
      </c>
      <c r="J222" s="423" t="s">
        <v>2576</v>
      </c>
      <c r="K222" s="423" t="s">
        <v>2621</v>
      </c>
      <c r="L222" s="423" t="s">
        <v>2557</v>
      </c>
      <c r="M222" s="422">
        <v>2409</v>
      </c>
      <c r="N222" s="422"/>
      <c r="O222" s="422"/>
      <c r="P222" s="422">
        <v>2407.779</v>
      </c>
    </row>
    <row r="223" spans="1:16" hidden="1" x14ac:dyDescent="0.5">
      <c r="A223" s="423">
        <v>46</v>
      </c>
      <c r="B223" s="423" t="s">
        <v>2126</v>
      </c>
      <c r="C223" s="423" t="s">
        <v>3010</v>
      </c>
      <c r="D223" s="423" t="s">
        <v>3029</v>
      </c>
      <c r="E223" s="423" t="s">
        <v>2560</v>
      </c>
      <c r="F223" s="423" t="s">
        <v>2554</v>
      </c>
      <c r="G223" s="423" t="s">
        <v>2622</v>
      </c>
      <c r="H223" s="423" t="s">
        <v>3004</v>
      </c>
      <c r="I223" s="423" t="s">
        <v>2623</v>
      </c>
      <c r="J223" s="423" t="s">
        <v>2623</v>
      </c>
      <c r="K223" s="423" t="s">
        <v>2621</v>
      </c>
      <c r="L223" s="423" t="s">
        <v>2557</v>
      </c>
      <c r="M223" s="422">
        <v>5101</v>
      </c>
      <c r="N223" s="422"/>
      <c r="O223" s="422"/>
      <c r="P223" s="422">
        <v>5098.4139999999998</v>
      </c>
    </row>
    <row r="224" spans="1:16" hidden="1" x14ac:dyDescent="0.5">
      <c r="A224" s="423">
        <v>47</v>
      </c>
      <c r="B224" s="423" t="s">
        <v>2126</v>
      </c>
      <c r="C224" s="423" t="s">
        <v>3010</v>
      </c>
      <c r="D224" s="423" t="s">
        <v>3028</v>
      </c>
      <c r="E224" s="423" t="s">
        <v>2566</v>
      </c>
      <c r="F224" s="423" t="s">
        <v>2559</v>
      </c>
      <c r="G224" s="423" t="s">
        <v>3027</v>
      </c>
      <c r="H224" s="423" t="s">
        <v>2871</v>
      </c>
      <c r="I224" s="423" t="s">
        <v>2900</v>
      </c>
      <c r="J224" s="423" t="s">
        <v>2900</v>
      </c>
      <c r="K224" s="423" t="s">
        <v>2621</v>
      </c>
      <c r="L224" s="423" t="s">
        <v>2557</v>
      </c>
      <c r="M224" s="422">
        <v>2176</v>
      </c>
      <c r="N224" s="422"/>
      <c r="O224" s="422"/>
      <c r="P224" s="422">
        <v>2174.6759999999999</v>
      </c>
    </row>
    <row r="225" spans="1:16" hidden="1" x14ac:dyDescent="0.5">
      <c r="A225" s="423">
        <v>48</v>
      </c>
      <c r="B225" s="423" t="s">
        <v>2126</v>
      </c>
      <c r="C225" s="423" t="s">
        <v>3010</v>
      </c>
      <c r="D225" s="423" t="s">
        <v>3026</v>
      </c>
      <c r="E225" s="423" t="s">
        <v>2560</v>
      </c>
      <c r="F225" s="423" t="s">
        <v>2554</v>
      </c>
      <c r="G225" s="423" t="s">
        <v>2624</v>
      </c>
      <c r="H225" s="423" t="s">
        <v>3004</v>
      </c>
      <c r="I225" s="423" t="s">
        <v>2623</v>
      </c>
      <c r="J225" s="423" t="s">
        <v>2623</v>
      </c>
      <c r="K225" s="423" t="s">
        <v>2621</v>
      </c>
      <c r="L225" s="423" t="s">
        <v>2557</v>
      </c>
      <c r="M225" s="422">
        <v>5222</v>
      </c>
      <c r="N225" s="422"/>
      <c r="O225" s="422"/>
      <c r="P225" s="422">
        <v>5218.8239999999996</v>
      </c>
    </row>
    <row r="226" spans="1:16" hidden="1" x14ac:dyDescent="0.5">
      <c r="A226" s="423">
        <v>49</v>
      </c>
      <c r="B226" s="423" t="s">
        <v>2127</v>
      </c>
      <c r="C226" s="423" t="s">
        <v>3010</v>
      </c>
      <c r="D226" s="423" t="s">
        <v>3025</v>
      </c>
      <c r="E226" s="423" t="s">
        <v>2560</v>
      </c>
      <c r="F226" s="423" t="s">
        <v>2554</v>
      </c>
      <c r="G226" s="423" t="s">
        <v>2620</v>
      </c>
      <c r="H226" s="423" t="s">
        <v>2849</v>
      </c>
      <c r="I226" s="423" t="s">
        <v>2562</v>
      </c>
      <c r="J226" s="423" t="s">
        <v>2576</v>
      </c>
      <c r="K226" s="423" t="s">
        <v>2621</v>
      </c>
      <c r="L226" s="423" t="s">
        <v>2557</v>
      </c>
      <c r="M226" s="422">
        <v>2549</v>
      </c>
      <c r="N226" s="422"/>
      <c r="O226" s="422"/>
      <c r="P226" s="422">
        <v>2546.3939999999998</v>
      </c>
    </row>
    <row r="227" spans="1:16" hidden="1" x14ac:dyDescent="0.5">
      <c r="A227" s="423">
        <v>50</v>
      </c>
      <c r="B227" s="423" t="s">
        <v>2127</v>
      </c>
      <c r="C227" s="423" t="s">
        <v>3010</v>
      </c>
      <c r="D227" s="423" t="s">
        <v>3024</v>
      </c>
      <c r="E227" s="423" t="s">
        <v>2560</v>
      </c>
      <c r="F227" s="423" t="s">
        <v>2554</v>
      </c>
      <c r="G227" s="423" t="s">
        <v>2622</v>
      </c>
      <c r="H227" s="423" t="s">
        <v>2978</v>
      </c>
      <c r="I227" s="423" t="s">
        <v>2623</v>
      </c>
      <c r="J227" s="423" t="s">
        <v>2623</v>
      </c>
      <c r="K227" s="423" t="s">
        <v>2621</v>
      </c>
      <c r="L227" s="423" t="s">
        <v>2557</v>
      </c>
      <c r="M227" s="422">
        <v>4955</v>
      </c>
      <c r="N227" s="422"/>
      <c r="O227" s="422"/>
      <c r="P227" s="422">
        <v>4949.9340000000002</v>
      </c>
    </row>
    <row r="228" spans="1:16" hidden="1" x14ac:dyDescent="0.5">
      <c r="A228" s="423">
        <v>51</v>
      </c>
      <c r="B228" s="423" t="s">
        <v>2127</v>
      </c>
      <c r="C228" s="423" t="s">
        <v>3010</v>
      </c>
      <c r="D228" s="423" t="s">
        <v>3023</v>
      </c>
      <c r="E228" s="423" t="s">
        <v>2625</v>
      </c>
      <c r="F228" s="423" t="s">
        <v>2554</v>
      </c>
      <c r="G228" s="423" t="s">
        <v>2634</v>
      </c>
      <c r="H228" s="423" t="s">
        <v>2905</v>
      </c>
      <c r="I228" s="423" t="s">
        <v>2636</v>
      </c>
      <c r="J228" s="423" t="s">
        <v>2636</v>
      </c>
      <c r="K228" s="423" t="s">
        <v>2621</v>
      </c>
      <c r="L228" s="423" t="s">
        <v>2557</v>
      </c>
      <c r="M228" s="422">
        <v>524</v>
      </c>
      <c r="N228" s="422"/>
      <c r="O228" s="422"/>
      <c r="P228" s="422">
        <v>541.20399999999995</v>
      </c>
    </row>
    <row r="229" spans="1:16" hidden="1" x14ac:dyDescent="0.5">
      <c r="A229" s="423">
        <v>52</v>
      </c>
      <c r="B229" s="423" t="s">
        <v>2127</v>
      </c>
      <c r="C229" s="423" t="s">
        <v>3010</v>
      </c>
      <c r="D229" s="423" t="s">
        <v>3022</v>
      </c>
      <c r="E229" s="423" t="s">
        <v>2560</v>
      </c>
      <c r="F229" s="423" t="s">
        <v>2554</v>
      </c>
      <c r="G229" s="423" t="s">
        <v>2624</v>
      </c>
      <c r="H229" s="423" t="s">
        <v>2978</v>
      </c>
      <c r="I229" s="423" t="s">
        <v>2623</v>
      </c>
      <c r="J229" s="423" t="s">
        <v>2623</v>
      </c>
      <c r="K229" s="423" t="s">
        <v>2621</v>
      </c>
      <c r="L229" s="423" t="s">
        <v>2557</v>
      </c>
      <c r="M229" s="422">
        <v>3762</v>
      </c>
      <c r="N229" s="422"/>
      <c r="O229" s="422"/>
      <c r="P229" s="422">
        <v>3758.1529999999998</v>
      </c>
    </row>
    <row r="230" spans="1:16" hidden="1" x14ac:dyDescent="0.5">
      <c r="A230" s="423">
        <v>53</v>
      </c>
      <c r="B230" s="423" t="s">
        <v>2128</v>
      </c>
      <c r="C230" s="423" t="s">
        <v>3010</v>
      </c>
      <c r="D230" s="423" t="s">
        <v>3021</v>
      </c>
      <c r="E230" s="423" t="s">
        <v>2560</v>
      </c>
      <c r="F230" s="423" t="s">
        <v>2554</v>
      </c>
      <c r="G230" s="423" t="s">
        <v>2620</v>
      </c>
      <c r="H230" s="423" t="s">
        <v>2849</v>
      </c>
      <c r="I230" s="423" t="s">
        <v>2563</v>
      </c>
      <c r="J230" s="423" t="s">
        <v>2576</v>
      </c>
      <c r="K230" s="423" t="s">
        <v>2621</v>
      </c>
      <c r="L230" s="423" t="s">
        <v>2557</v>
      </c>
      <c r="M230" s="422">
        <v>1176</v>
      </c>
      <c r="N230" s="422"/>
      <c r="O230" s="422"/>
      <c r="P230" s="422">
        <v>1177.9079999999999</v>
      </c>
    </row>
    <row r="231" spans="1:16" hidden="1" x14ac:dyDescent="0.5">
      <c r="A231" s="423">
        <v>54</v>
      </c>
      <c r="B231" s="423" t="s">
        <v>2128</v>
      </c>
      <c r="C231" s="423" t="s">
        <v>3010</v>
      </c>
      <c r="D231" s="423" t="s">
        <v>3020</v>
      </c>
      <c r="E231" s="423" t="s">
        <v>2560</v>
      </c>
      <c r="F231" s="423" t="s">
        <v>2554</v>
      </c>
      <c r="G231" s="423" t="s">
        <v>2622</v>
      </c>
      <c r="H231" s="423" t="s">
        <v>2978</v>
      </c>
      <c r="I231" s="423" t="s">
        <v>2623</v>
      </c>
      <c r="J231" s="423" t="s">
        <v>2623</v>
      </c>
      <c r="K231" s="423" t="s">
        <v>2621</v>
      </c>
      <c r="L231" s="423" t="s">
        <v>2557</v>
      </c>
      <c r="M231" s="422">
        <v>4810</v>
      </c>
      <c r="N231" s="422"/>
      <c r="O231" s="422"/>
      <c r="P231" s="422">
        <v>4817.8029999999999</v>
      </c>
    </row>
    <row r="232" spans="1:16" hidden="1" x14ac:dyDescent="0.5">
      <c r="A232" s="423">
        <v>55</v>
      </c>
      <c r="B232" s="423" t="s">
        <v>2128</v>
      </c>
      <c r="C232" s="423" t="s">
        <v>3010</v>
      </c>
      <c r="D232" s="423" t="s">
        <v>3019</v>
      </c>
      <c r="E232" s="423" t="s">
        <v>2560</v>
      </c>
      <c r="F232" s="423" t="s">
        <v>2554</v>
      </c>
      <c r="G232" s="423" t="s">
        <v>2624</v>
      </c>
      <c r="H232" s="423" t="s">
        <v>2978</v>
      </c>
      <c r="I232" s="423" t="s">
        <v>2623</v>
      </c>
      <c r="J232" s="423" t="s">
        <v>2623</v>
      </c>
      <c r="K232" s="423" t="s">
        <v>2621</v>
      </c>
      <c r="L232" s="423" t="s">
        <v>2557</v>
      </c>
      <c r="M232" s="422">
        <v>5042</v>
      </c>
      <c r="N232" s="422"/>
      <c r="O232" s="422"/>
      <c r="P232" s="422">
        <v>5039.4440000000004</v>
      </c>
    </row>
    <row r="233" spans="1:16" hidden="1" x14ac:dyDescent="0.5">
      <c r="A233" s="423">
        <v>56</v>
      </c>
      <c r="B233" s="423" t="s">
        <v>2129</v>
      </c>
      <c r="C233" s="423" t="s">
        <v>3010</v>
      </c>
      <c r="D233" s="423" t="s">
        <v>3018</v>
      </c>
      <c r="E233" s="423" t="s">
        <v>2560</v>
      </c>
      <c r="F233" s="423" t="s">
        <v>2554</v>
      </c>
      <c r="G233" s="423" t="s">
        <v>2620</v>
      </c>
      <c r="H233" s="423" t="s">
        <v>2849</v>
      </c>
      <c r="I233" s="423" t="s">
        <v>2563</v>
      </c>
      <c r="J233" s="423" t="s">
        <v>2576</v>
      </c>
      <c r="K233" s="423" t="s">
        <v>2621</v>
      </c>
      <c r="L233" s="423" t="s">
        <v>2557</v>
      </c>
      <c r="M233" s="422">
        <v>1735</v>
      </c>
      <c r="N233" s="422"/>
      <c r="O233" s="422"/>
      <c r="P233" s="422">
        <v>1737.8150000000001</v>
      </c>
    </row>
    <row r="234" spans="1:16" hidden="1" x14ac:dyDescent="0.5">
      <c r="A234" s="423">
        <v>57</v>
      </c>
      <c r="B234" s="423" t="s">
        <v>2129</v>
      </c>
      <c r="C234" s="423" t="s">
        <v>3010</v>
      </c>
      <c r="D234" s="423" t="s">
        <v>3017</v>
      </c>
      <c r="E234" s="423" t="s">
        <v>2560</v>
      </c>
      <c r="F234" s="423" t="s">
        <v>2554</v>
      </c>
      <c r="G234" s="423" t="s">
        <v>2622</v>
      </c>
      <c r="H234" s="423" t="s">
        <v>2712</v>
      </c>
      <c r="I234" s="423" t="s">
        <v>2623</v>
      </c>
      <c r="J234" s="423" t="s">
        <v>2623</v>
      </c>
      <c r="K234" s="423" t="s">
        <v>2621</v>
      </c>
      <c r="L234" s="423" t="s">
        <v>2557</v>
      </c>
      <c r="M234" s="422">
        <v>4420</v>
      </c>
      <c r="N234" s="422"/>
      <c r="O234" s="422"/>
      <c r="P234" s="422">
        <v>4427.17</v>
      </c>
    </row>
    <row r="235" spans="1:16" hidden="1" x14ac:dyDescent="0.5">
      <c r="A235" s="423">
        <v>58</v>
      </c>
      <c r="B235" s="423" t="s">
        <v>2129</v>
      </c>
      <c r="C235" s="423" t="s">
        <v>3010</v>
      </c>
      <c r="D235" s="423" t="s">
        <v>3016</v>
      </c>
      <c r="E235" s="423" t="s">
        <v>2560</v>
      </c>
      <c r="F235" s="423" t="s">
        <v>2554</v>
      </c>
      <c r="G235" s="423" t="s">
        <v>2624</v>
      </c>
      <c r="H235" s="423" t="s">
        <v>2712</v>
      </c>
      <c r="I235" s="423" t="s">
        <v>2623</v>
      </c>
      <c r="J235" s="423" t="s">
        <v>2623</v>
      </c>
      <c r="K235" s="423" t="s">
        <v>2621</v>
      </c>
      <c r="L235" s="423" t="s">
        <v>2557</v>
      </c>
      <c r="M235" s="422">
        <v>5556</v>
      </c>
      <c r="N235" s="422"/>
      <c r="O235" s="422"/>
      <c r="P235" s="422">
        <v>5550.3670000000002</v>
      </c>
    </row>
    <row r="236" spans="1:16" hidden="1" x14ac:dyDescent="0.5">
      <c r="A236" s="423">
        <v>59</v>
      </c>
      <c r="B236" s="423" t="s">
        <v>2130</v>
      </c>
      <c r="C236" s="423" t="s">
        <v>3010</v>
      </c>
      <c r="D236" s="423" t="s">
        <v>3015</v>
      </c>
      <c r="E236" s="423" t="s">
        <v>2560</v>
      </c>
      <c r="F236" s="423" t="s">
        <v>2554</v>
      </c>
      <c r="G236" s="423" t="s">
        <v>2620</v>
      </c>
      <c r="H236" s="423" t="s">
        <v>2849</v>
      </c>
      <c r="I236" s="423" t="s">
        <v>2563</v>
      </c>
      <c r="J236" s="423" t="s">
        <v>2576</v>
      </c>
      <c r="K236" s="423" t="s">
        <v>2621</v>
      </c>
      <c r="L236" s="423" t="s">
        <v>2557</v>
      </c>
      <c r="M236" s="422">
        <v>2362</v>
      </c>
      <c r="N236" s="422"/>
      <c r="O236" s="422"/>
      <c r="P236" s="422">
        <v>2363.1970000000001</v>
      </c>
    </row>
    <row r="237" spans="1:16" hidden="1" x14ac:dyDescent="0.5">
      <c r="A237" s="423">
        <v>60</v>
      </c>
      <c r="B237" s="423" t="s">
        <v>2130</v>
      </c>
      <c r="C237" s="423" t="s">
        <v>3010</v>
      </c>
      <c r="D237" s="423" t="s">
        <v>3014</v>
      </c>
      <c r="E237" s="423" t="s">
        <v>2625</v>
      </c>
      <c r="F237" s="423" t="s">
        <v>2554</v>
      </c>
      <c r="G237" s="423" t="s">
        <v>3013</v>
      </c>
      <c r="H237" s="423" t="s">
        <v>3012</v>
      </c>
      <c r="I237" s="423" t="s">
        <v>2628</v>
      </c>
      <c r="J237" s="423" t="s">
        <v>2628</v>
      </c>
      <c r="K237" s="423" t="s">
        <v>2621</v>
      </c>
      <c r="L237" s="423" t="s">
        <v>2557</v>
      </c>
      <c r="M237" s="422">
        <v>511</v>
      </c>
      <c r="N237" s="422"/>
      <c r="O237" s="422"/>
      <c r="P237" s="422">
        <v>511.25900000000001</v>
      </c>
    </row>
    <row r="238" spans="1:16" hidden="1" x14ac:dyDescent="0.5">
      <c r="A238" s="423">
        <v>61</v>
      </c>
      <c r="B238" s="423" t="s">
        <v>2130</v>
      </c>
      <c r="C238" s="423" t="s">
        <v>3010</v>
      </c>
      <c r="D238" s="423" t="s">
        <v>3011</v>
      </c>
      <c r="E238" s="423" t="s">
        <v>2560</v>
      </c>
      <c r="F238" s="423" t="s">
        <v>2554</v>
      </c>
      <c r="G238" s="423" t="s">
        <v>2622</v>
      </c>
      <c r="H238" s="423" t="s">
        <v>2978</v>
      </c>
      <c r="I238" s="423" t="s">
        <v>2623</v>
      </c>
      <c r="J238" s="423" t="s">
        <v>2623</v>
      </c>
      <c r="K238" s="423" t="s">
        <v>2621</v>
      </c>
      <c r="L238" s="423" t="s">
        <v>2557</v>
      </c>
      <c r="M238" s="422">
        <v>4213</v>
      </c>
      <c r="N238" s="422"/>
      <c r="O238" s="422"/>
      <c r="P238" s="422">
        <v>4215.1360000000004</v>
      </c>
    </row>
    <row r="239" spans="1:16" hidden="1" x14ac:dyDescent="0.5">
      <c r="A239" s="423">
        <v>62</v>
      </c>
      <c r="B239" s="423" t="s">
        <v>2130</v>
      </c>
      <c r="C239" s="423" t="s">
        <v>3010</v>
      </c>
      <c r="D239" s="423" t="s">
        <v>3009</v>
      </c>
      <c r="E239" s="423" t="s">
        <v>2560</v>
      </c>
      <c r="F239" s="423" t="s">
        <v>2554</v>
      </c>
      <c r="G239" s="423" t="s">
        <v>2624</v>
      </c>
      <c r="H239" s="423" t="s">
        <v>2978</v>
      </c>
      <c r="I239" s="423" t="s">
        <v>2623</v>
      </c>
      <c r="J239" s="423" t="s">
        <v>2623</v>
      </c>
      <c r="K239" s="423" t="s">
        <v>2621</v>
      </c>
      <c r="L239" s="423" t="s">
        <v>2557</v>
      </c>
      <c r="M239" s="422">
        <v>5623</v>
      </c>
      <c r="N239" s="422"/>
      <c r="O239" s="422"/>
      <c r="P239" s="422">
        <v>5624.14</v>
      </c>
    </row>
    <row r="240" spans="1:16" hidden="1" x14ac:dyDescent="0.5">
      <c r="A240" s="423">
        <v>63</v>
      </c>
      <c r="B240" s="423" t="s">
        <v>2131</v>
      </c>
      <c r="C240" s="423" t="s">
        <v>2980</v>
      </c>
      <c r="D240" s="423" t="s">
        <v>3008</v>
      </c>
      <c r="E240" s="423" t="s">
        <v>2560</v>
      </c>
      <c r="F240" s="423" t="s">
        <v>2554</v>
      </c>
      <c r="G240" s="423" t="s">
        <v>2620</v>
      </c>
      <c r="H240" s="423" t="s">
        <v>2749</v>
      </c>
      <c r="I240" s="423" t="s">
        <v>2563</v>
      </c>
      <c r="J240" s="423" t="s">
        <v>2576</v>
      </c>
      <c r="K240" s="423" t="s">
        <v>2621</v>
      </c>
      <c r="L240" s="423" t="s">
        <v>2557</v>
      </c>
      <c r="M240" s="422">
        <v>2102</v>
      </c>
      <c r="N240" s="422"/>
      <c r="O240" s="422"/>
      <c r="P240" s="422">
        <v>2103.0659999999998</v>
      </c>
    </row>
    <row r="241" spans="1:16" hidden="1" x14ac:dyDescent="0.5">
      <c r="A241" s="423">
        <v>64</v>
      </c>
      <c r="B241" s="423" t="s">
        <v>2131</v>
      </c>
      <c r="C241" s="423" t="s">
        <v>2980</v>
      </c>
      <c r="D241" s="423" t="s">
        <v>3007</v>
      </c>
      <c r="E241" s="423" t="s">
        <v>2560</v>
      </c>
      <c r="F241" s="423" t="s">
        <v>2554</v>
      </c>
      <c r="G241" s="423" t="s">
        <v>2622</v>
      </c>
      <c r="H241" s="423" t="s">
        <v>3004</v>
      </c>
      <c r="I241" s="423" t="s">
        <v>2623</v>
      </c>
      <c r="J241" s="423" t="s">
        <v>2623</v>
      </c>
      <c r="K241" s="423" t="s">
        <v>2621</v>
      </c>
      <c r="L241" s="423" t="s">
        <v>2557</v>
      </c>
      <c r="M241" s="422">
        <v>4215</v>
      </c>
      <c r="N241" s="422"/>
      <c r="O241" s="422"/>
      <c r="P241" s="422">
        <v>4217.1369999999997</v>
      </c>
    </row>
    <row r="242" spans="1:16" hidden="1" x14ac:dyDescent="0.5">
      <c r="A242" s="423">
        <v>65</v>
      </c>
      <c r="B242" s="423" t="s">
        <v>2131</v>
      </c>
      <c r="C242" s="423" t="s">
        <v>2980</v>
      </c>
      <c r="D242" s="423" t="s">
        <v>3006</v>
      </c>
      <c r="E242" s="423" t="s">
        <v>2560</v>
      </c>
      <c r="F242" s="423" t="s">
        <v>2554</v>
      </c>
      <c r="G242" s="423" t="s">
        <v>3005</v>
      </c>
      <c r="H242" s="423" t="s">
        <v>3004</v>
      </c>
      <c r="I242" s="423" t="s">
        <v>2623</v>
      </c>
      <c r="J242" s="423" t="s">
        <v>2623</v>
      </c>
      <c r="K242" s="423" t="s">
        <v>2621</v>
      </c>
      <c r="L242" s="423" t="s">
        <v>2557</v>
      </c>
      <c r="M242" s="422">
        <v>4586</v>
      </c>
      <c r="N242" s="422"/>
      <c r="O242" s="422"/>
      <c r="P242" s="422">
        <v>4583.6750000000002</v>
      </c>
    </row>
    <row r="243" spans="1:16" hidden="1" x14ac:dyDescent="0.5">
      <c r="A243" s="423">
        <v>66</v>
      </c>
      <c r="B243" s="423" t="s">
        <v>2132</v>
      </c>
      <c r="C243" s="423" t="s">
        <v>2980</v>
      </c>
      <c r="D243" s="423" t="s">
        <v>3003</v>
      </c>
      <c r="E243" s="423" t="s">
        <v>2560</v>
      </c>
      <c r="F243" s="423" t="s">
        <v>2554</v>
      </c>
      <c r="G243" s="423" t="s">
        <v>2620</v>
      </c>
      <c r="H243" s="423" t="s">
        <v>2749</v>
      </c>
      <c r="I243" s="423" t="s">
        <v>2563</v>
      </c>
      <c r="J243" s="423" t="s">
        <v>2576</v>
      </c>
      <c r="K243" s="423" t="s">
        <v>2621</v>
      </c>
      <c r="L243" s="423" t="s">
        <v>2557</v>
      </c>
      <c r="M243" s="422">
        <v>2520</v>
      </c>
      <c r="N243" s="422"/>
      <c r="O243" s="422"/>
      <c r="P243" s="422">
        <v>2521.277</v>
      </c>
    </row>
    <row r="244" spans="1:16" hidden="1" x14ac:dyDescent="0.5">
      <c r="A244" s="423">
        <v>67</v>
      </c>
      <c r="B244" s="423" t="s">
        <v>2132</v>
      </c>
      <c r="C244" s="423" t="s">
        <v>2980</v>
      </c>
      <c r="D244" s="423" t="s">
        <v>3002</v>
      </c>
      <c r="E244" s="423" t="s">
        <v>2560</v>
      </c>
      <c r="F244" s="423" t="s">
        <v>2554</v>
      </c>
      <c r="G244" s="423" t="s">
        <v>2622</v>
      </c>
      <c r="H244" s="423" t="s">
        <v>2712</v>
      </c>
      <c r="I244" s="423" t="s">
        <v>2623</v>
      </c>
      <c r="J244" s="423" t="s">
        <v>2623</v>
      </c>
      <c r="K244" s="423" t="s">
        <v>2621</v>
      </c>
      <c r="L244" s="423" t="s">
        <v>2557</v>
      </c>
      <c r="M244" s="422">
        <v>4063</v>
      </c>
      <c r="N244" s="422"/>
      <c r="O244" s="422"/>
      <c r="P244" s="422">
        <v>4065.06</v>
      </c>
    </row>
    <row r="245" spans="1:16" hidden="1" x14ac:dyDescent="0.5">
      <c r="A245" s="423">
        <v>68</v>
      </c>
      <c r="B245" s="423" t="s">
        <v>2132</v>
      </c>
      <c r="C245" s="423" t="s">
        <v>2980</v>
      </c>
      <c r="D245" s="423" t="s">
        <v>3001</v>
      </c>
      <c r="E245" s="423" t="s">
        <v>2973</v>
      </c>
      <c r="F245" s="423" t="s">
        <v>2554</v>
      </c>
      <c r="G245" s="423" t="s">
        <v>2631</v>
      </c>
      <c r="H245" s="423" t="s">
        <v>3000</v>
      </c>
      <c r="I245" s="423" t="s">
        <v>2576</v>
      </c>
      <c r="J245" s="423" t="s">
        <v>2576</v>
      </c>
      <c r="K245" s="423" t="s">
        <v>2621</v>
      </c>
      <c r="L245" s="423" t="s">
        <v>2557</v>
      </c>
      <c r="M245" s="422">
        <v>616</v>
      </c>
      <c r="N245" s="422"/>
      <c r="O245" s="422"/>
      <c r="P245" s="422">
        <v>616.31200000000001</v>
      </c>
    </row>
    <row r="246" spans="1:16" hidden="1" x14ac:dyDescent="0.5">
      <c r="A246" s="423">
        <v>69</v>
      </c>
      <c r="B246" s="423" t="s">
        <v>2132</v>
      </c>
      <c r="C246" s="423" t="s">
        <v>2980</v>
      </c>
      <c r="D246" s="423" t="s">
        <v>2999</v>
      </c>
      <c r="E246" s="423" t="s">
        <v>2625</v>
      </c>
      <c r="F246" s="423" t="s">
        <v>2554</v>
      </c>
      <c r="G246" s="423" t="s">
        <v>2626</v>
      </c>
      <c r="H246" s="423" t="s">
        <v>2629</v>
      </c>
      <c r="I246" s="423" t="s">
        <v>2628</v>
      </c>
      <c r="J246" s="423" t="s">
        <v>2628</v>
      </c>
      <c r="K246" s="423" t="s">
        <v>2621</v>
      </c>
      <c r="L246" s="423" t="s">
        <v>2557</v>
      </c>
      <c r="M246" s="422">
        <v>2402</v>
      </c>
      <c r="N246" s="422"/>
      <c r="O246" s="422"/>
      <c r="P246" s="422">
        <v>2401.5129999999999</v>
      </c>
    </row>
    <row r="247" spans="1:16" hidden="1" x14ac:dyDescent="0.5">
      <c r="A247" s="423">
        <v>70</v>
      </c>
      <c r="B247" s="423" t="s">
        <v>2132</v>
      </c>
      <c r="C247" s="423" t="s">
        <v>2980</v>
      </c>
      <c r="D247" s="423" t="s">
        <v>2998</v>
      </c>
      <c r="E247" s="423" t="s">
        <v>2560</v>
      </c>
      <c r="F247" s="423" t="s">
        <v>2554</v>
      </c>
      <c r="G247" s="423" t="s">
        <v>2624</v>
      </c>
      <c r="H247" s="423" t="s">
        <v>2712</v>
      </c>
      <c r="I247" s="423" t="s">
        <v>2623</v>
      </c>
      <c r="J247" s="423" t="s">
        <v>2623</v>
      </c>
      <c r="K247" s="423" t="s">
        <v>2621</v>
      </c>
      <c r="L247" s="423" t="s">
        <v>2557</v>
      </c>
      <c r="M247" s="422">
        <v>5380</v>
      </c>
      <c r="N247" s="422"/>
      <c r="O247" s="422"/>
      <c r="P247" s="422">
        <v>5378.9089999999997</v>
      </c>
    </row>
    <row r="248" spans="1:16" hidden="1" x14ac:dyDescent="0.5">
      <c r="A248" s="423">
        <v>71</v>
      </c>
      <c r="B248" s="423" t="s">
        <v>2133</v>
      </c>
      <c r="C248" s="423" t="s">
        <v>2980</v>
      </c>
      <c r="D248" s="423" t="s">
        <v>2997</v>
      </c>
      <c r="E248" s="423" t="s">
        <v>2560</v>
      </c>
      <c r="F248" s="423" t="s">
        <v>2554</v>
      </c>
      <c r="G248" s="423" t="s">
        <v>2620</v>
      </c>
      <c r="H248" s="423" t="s">
        <v>2749</v>
      </c>
      <c r="I248" s="423" t="s">
        <v>2563</v>
      </c>
      <c r="J248" s="423" t="s">
        <v>2576</v>
      </c>
      <c r="K248" s="423" t="s">
        <v>2621</v>
      </c>
      <c r="L248" s="423" t="s">
        <v>2557</v>
      </c>
      <c r="M248" s="422">
        <v>2611</v>
      </c>
      <c r="N248" s="422"/>
      <c r="O248" s="422"/>
      <c r="P248" s="422">
        <v>2618.1480000000001</v>
      </c>
    </row>
    <row r="249" spans="1:16" hidden="1" x14ac:dyDescent="0.5">
      <c r="A249" s="423">
        <v>72</v>
      </c>
      <c r="B249" s="423" t="s">
        <v>2133</v>
      </c>
      <c r="C249" s="423" t="s">
        <v>2980</v>
      </c>
      <c r="D249" s="423" t="s">
        <v>2996</v>
      </c>
      <c r="E249" s="423" t="s">
        <v>2560</v>
      </c>
      <c r="F249" s="423" t="s">
        <v>2554</v>
      </c>
      <c r="G249" s="423" t="s">
        <v>2622</v>
      </c>
      <c r="H249" s="423" t="s">
        <v>2978</v>
      </c>
      <c r="I249" s="423" t="s">
        <v>2623</v>
      </c>
      <c r="J249" s="423" t="s">
        <v>2623</v>
      </c>
      <c r="K249" s="423" t="s">
        <v>2621</v>
      </c>
      <c r="L249" s="423" t="s">
        <v>2557</v>
      </c>
      <c r="M249" s="422">
        <v>4571</v>
      </c>
      <c r="N249" s="422"/>
      <c r="O249" s="422"/>
      <c r="P249" s="422">
        <v>4583.5129999999999</v>
      </c>
    </row>
    <row r="250" spans="1:16" hidden="1" x14ac:dyDescent="0.5">
      <c r="A250" s="423">
        <v>73</v>
      </c>
      <c r="B250" s="423" t="s">
        <v>2133</v>
      </c>
      <c r="C250" s="423" t="s">
        <v>2980</v>
      </c>
      <c r="D250" s="423" t="s">
        <v>2995</v>
      </c>
      <c r="E250" s="423" t="s">
        <v>2625</v>
      </c>
      <c r="F250" s="423" t="s">
        <v>2554</v>
      </c>
      <c r="G250" s="423" t="s">
        <v>2634</v>
      </c>
      <c r="H250" s="423" t="s">
        <v>2994</v>
      </c>
      <c r="I250" s="423" t="s">
        <v>2628</v>
      </c>
      <c r="J250" s="423" t="s">
        <v>2628</v>
      </c>
      <c r="K250" s="423" t="s">
        <v>2621</v>
      </c>
      <c r="L250" s="423" t="s">
        <v>2557</v>
      </c>
      <c r="M250" s="422">
        <v>1410</v>
      </c>
      <c r="N250" s="422"/>
      <c r="O250" s="422"/>
      <c r="P250" s="422">
        <v>1413.86</v>
      </c>
    </row>
    <row r="251" spans="1:16" hidden="1" x14ac:dyDescent="0.5">
      <c r="A251" s="423">
        <v>74</v>
      </c>
      <c r="B251" s="423" t="s">
        <v>2133</v>
      </c>
      <c r="C251" s="423" t="s">
        <v>2980</v>
      </c>
      <c r="D251" s="423" t="s">
        <v>2993</v>
      </c>
      <c r="E251" s="423" t="s">
        <v>2560</v>
      </c>
      <c r="F251" s="423" t="s">
        <v>2554</v>
      </c>
      <c r="G251" s="423" t="s">
        <v>2624</v>
      </c>
      <c r="H251" s="423" t="s">
        <v>2978</v>
      </c>
      <c r="I251" s="423" t="s">
        <v>2623</v>
      </c>
      <c r="J251" s="423" t="s">
        <v>2623</v>
      </c>
      <c r="K251" s="423" t="s">
        <v>2621</v>
      </c>
      <c r="L251" s="423" t="s">
        <v>2557</v>
      </c>
      <c r="M251" s="422">
        <v>5424</v>
      </c>
      <c r="N251" s="422"/>
      <c r="O251" s="422"/>
      <c r="P251" s="422">
        <v>5421.25</v>
      </c>
    </row>
    <row r="252" spans="1:16" hidden="1" x14ac:dyDescent="0.5">
      <c r="A252" s="423">
        <v>75</v>
      </c>
      <c r="B252" s="423" t="s">
        <v>2134</v>
      </c>
      <c r="C252" s="423" t="s">
        <v>2980</v>
      </c>
      <c r="D252" s="423" t="s">
        <v>2992</v>
      </c>
      <c r="E252" s="423" t="s">
        <v>2560</v>
      </c>
      <c r="F252" s="423" t="s">
        <v>2554</v>
      </c>
      <c r="G252" s="423" t="s">
        <v>2620</v>
      </c>
      <c r="H252" s="423" t="s">
        <v>2749</v>
      </c>
      <c r="I252" s="423" t="s">
        <v>2563</v>
      </c>
      <c r="J252" s="423" t="s">
        <v>2576</v>
      </c>
      <c r="K252" s="423" t="s">
        <v>2621</v>
      </c>
      <c r="L252" s="423" t="s">
        <v>2557</v>
      </c>
      <c r="M252" s="422">
        <v>2993</v>
      </c>
      <c r="N252" s="422"/>
      <c r="O252" s="422"/>
      <c r="P252" s="422">
        <v>2992.6970000000001</v>
      </c>
    </row>
    <row r="253" spans="1:16" hidden="1" x14ac:dyDescent="0.5">
      <c r="A253" s="423">
        <v>76</v>
      </c>
      <c r="B253" s="423" t="s">
        <v>2134</v>
      </c>
      <c r="C253" s="423" t="s">
        <v>2980</v>
      </c>
      <c r="D253" s="423" t="s">
        <v>2991</v>
      </c>
      <c r="E253" s="423" t="s">
        <v>2560</v>
      </c>
      <c r="F253" s="423" t="s">
        <v>2554</v>
      </c>
      <c r="G253" s="423" t="s">
        <v>2622</v>
      </c>
      <c r="H253" s="423" t="s">
        <v>2919</v>
      </c>
      <c r="I253" s="423" t="s">
        <v>2623</v>
      </c>
      <c r="J253" s="423" t="s">
        <v>2623</v>
      </c>
      <c r="K253" s="423" t="s">
        <v>2621</v>
      </c>
      <c r="L253" s="423" t="s">
        <v>2557</v>
      </c>
      <c r="M253" s="422">
        <v>6297</v>
      </c>
      <c r="N253" s="422"/>
      <c r="O253" s="422"/>
      <c r="P253" s="422">
        <v>6296.3620000000001</v>
      </c>
    </row>
    <row r="254" spans="1:16" hidden="1" x14ac:dyDescent="0.5">
      <c r="A254" s="423">
        <v>77</v>
      </c>
      <c r="B254" s="423" t="s">
        <v>2134</v>
      </c>
      <c r="C254" s="423" t="s">
        <v>2980</v>
      </c>
      <c r="D254" s="423" t="s">
        <v>2990</v>
      </c>
      <c r="E254" s="423" t="s">
        <v>2625</v>
      </c>
      <c r="F254" s="423" t="s">
        <v>2554</v>
      </c>
      <c r="G254" s="423" t="s">
        <v>2626</v>
      </c>
      <c r="H254" s="423" t="s">
        <v>2639</v>
      </c>
      <c r="I254" s="423" t="s">
        <v>2628</v>
      </c>
      <c r="J254" s="423" t="s">
        <v>2628</v>
      </c>
      <c r="K254" s="423" t="s">
        <v>2621</v>
      </c>
      <c r="L254" s="423" t="s">
        <v>2557</v>
      </c>
      <c r="M254" s="422">
        <v>935</v>
      </c>
      <c r="N254" s="422"/>
      <c r="O254" s="422"/>
      <c r="P254" s="422">
        <v>934.90499999999997</v>
      </c>
    </row>
    <row r="255" spans="1:16" hidden="1" x14ac:dyDescent="0.5">
      <c r="A255" s="423">
        <v>78</v>
      </c>
      <c r="B255" s="423" t="s">
        <v>2134</v>
      </c>
      <c r="C255" s="423" t="s">
        <v>2980</v>
      </c>
      <c r="D255" s="423" t="s">
        <v>2989</v>
      </c>
      <c r="E255" s="423" t="s">
        <v>2625</v>
      </c>
      <c r="F255" s="423" t="s">
        <v>2554</v>
      </c>
      <c r="G255" s="423" t="s">
        <v>2626</v>
      </c>
      <c r="H255" s="423" t="s">
        <v>2627</v>
      </c>
      <c r="I255" s="423" t="s">
        <v>2628</v>
      </c>
      <c r="J255" s="423" t="s">
        <v>2628</v>
      </c>
      <c r="K255" s="423" t="s">
        <v>2621</v>
      </c>
      <c r="L255" s="423" t="s">
        <v>2557</v>
      </c>
      <c r="M255" s="422">
        <v>4019</v>
      </c>
      <c r="N255" s="422"/>
      <c r="O255" s="422"/>
      <c r="P255" s="422">
        <v>4019</v>
      </c>
    </row>
    <row r="256" spans="1:16" hidden="1" x14ac:dyDescent="0.5">
      <c r="A256" s="423">
        <v>79</v>
      </c>
      <c r="B256" s="423" t="s">
        <v>2134</v>
      </c>
      <c r="C256" s="423" t="s">
        <v>2980</v>
      </c>
      <c r="D256" s="423" t="s">
        <v>2988</v>
      </c>
      <c r="E256" s="423" t="s">
        <v>2560</v>
      </c>
      <c r="F256" s="423" t="s">
        <v>2554</v>
      </c>
      <c r="G256" s="423" t="s">
        <v>2624</v>
      </c>
      <c r="H256" s="423" t="s">
        <v>2919</v>
      </c>
      <c r="I256" s="423" t="s">
        <v>2623</v>
      </c>
      <c r="J256" s="423" t="s">
        <v>2623</v>
      </c>
      <c r="K256" s="423" t="s">
        <v>2621</v>
      </c>
      <c r="L256" s="423" t="s">
        <v>2557</v>
      </c>
      <c r="M256" s="422">
        <v>5412</v>
      </c>
      <c r="N256" s="422"/>
      <c r="O256" s="422"/>
      <c r="P256" s="422">
        <v>5412</v>
      </c>
    </row>
    <row r="257" spans="1:16" hidden="1" x14ac:dyDescent="0.5">
      <c r="A257" s="423">
        <v>80</v>
      </c>
      <c r="B257" s="423" t="s">
        <v>2135</v>
      </c>
      <c r="C257" s="423" t="s">
        <v>2980</v>
      </c>
      <c r="D257" s="423" t="s">
        <v>2987</v>
      </c>
      <c r="E257" s="423" t="s">
        <v>2560</v>
      </c>
      <c r="F257" s="423" t="s">
        <v>2554</v>
      </c>
      <c r="G257" s="423" t="s">
        <v>2620</v>
      </c>
      <c r="H257" s="423" t="s">
        <v>2749</v>
      </c>
      <c r="I257" s="423" t="s">
        <v>2563</v>
      </c>
      <c r="J257" s="423" t="s">
        <v>2576</v>
      </c>
      <c r="K257" s="423" t="s">
        <v>2621</v>
      </c>
      <c r="L257" s="423" t="s">
        <v>2557</v>
      </c>
      <c r="M257" s="422">
        <v>2169</v>
      </c>
      <c r="N257" s="422"/>
      <c r="O257" s="422"/>
      <c r="P257" s="422">
        <v>2170.759</v>
      </c>
    </row>
    <row r="258" spans="1:16" hidden="1" x14ac:dyDescent="0.5">
      <c r="A258" s="423">
        <v>81</v>
      </c>
      <c r="B258" s="423" t="s">
        <v>2135</v>
      </c>
      <c r="C258" s="423" t="s">
        <v>2980</v>
      </c>
      <c r="D258" s="423" t="s">
        <v>2986</v>
      </c>
      <c r="E258" s="423" t="s">
        <v>2560</v>
      </c>
      <c r="F258" s="423" t="s">
        <v>2554</v>
      </c>
      <c r="G258" s="423" t="s">
        <v>2622</v>
      </c>
      <c r="H258" s="423" t="s">
        <v>2985</v>
      </c>
      <c r="I258" s="423" t="s">
        <v>2623</v>
      </c>
      <c r="J258" s="423" t="s">
        <v>2623</v>
      </c>
      <c r="K258" s="423" t="s">
        <v>2621</v>
      </c>
      <c r="L258" s="423" t="s">
        <v>2557</v>
      </c>
      <c r="M258" s="422">
        <v>4700</v>
      </c>
      <c r="N258" s="422"/>
      <c r="O258" s="422"/>
      <c r="P258" s="422">
        <v>4703.8119999999999</v>
      </c>
    </row>
    <row r="259" spans="1:16" hidden="1" x14ac:dyDescent="0.5">
      <c r="A259" s="423">
        <v>82</v>
      </c>
      <c r="B259" s="423" t="s">
        <v>2135</v>
      </c>
      <c r="C259" s="423" t="s">
        <v>2980</v>
      </c>
      <c r="D259" s="423" t="s">
        <v>2984</v>
      </c>
      <c r="E259" s="423" t="s">
        <v>2973</v>
      </c>
      <c r="F259" s="423" t="s">
        <v>2554</v>
      </c>
      <c r="G259" s="423" t="s">
        <v>2631</v>
      </c>
      <c r="H259" s="423" t="s">
        <v>2972</v>
      </c>
      <c r="I259" s="423" t="s">
        <v>2576</v>
      </c>
      <c r="J259" s="423" t="s">
        <v>2577</v>
      </c>
      <c r="K259" s="423" t="s">
        <v>2621</v>
      </c>
      <c r="L259" s="423" t="s">
        <v>2557</v>
      </c>
      <c r="M259" s="422">
        <v>1298</v>
      </c>
      <c r="N259" s="422"/>
      <c r="O259" s="422"/>
      <c r="P259" s="422">
        <v>1299.0530000000001</v>
      </c>
    </row>
    <row r="260" spans="1:16" hidden="1" x14ac:dyDescent="0.5">
      <c r="A260" s="423">
        <v>83</v>
      </c>
      <c r="B260" s="423" t="s">
        <v>2135</v>
      </c>
      <c r="C260" s="423" t="s">
        <v>2980</v>
      </c>
      <c r="D260" s="423" t="s">
        <v>2983</v>
      </c>
      <c r="E260" s="423" t="s">
        <v>2560</v>
      </c>
      <c r="F260" s="423" t="s">
        <v>2554</v>
      </c>
      <c r="G260" s="423" t="s">
        <v>2982</v>
      </c>
      <c r="H260" s="423" t="s">
        <v>2981</v>
      </c>
      <c r="I260" s="423" t="s">
        <v>2576</v>
      </c>
      <c r="J260" s="423" t="s">
        <v>2576</v>
      </c>
      <c r="K260" s="423" t="s">
        <v>2621</v>
      </c>
      <c r="L260" s="423" t="s">
        <v>2557</v>
      </c>
      <c r="M260" s="422">
        <v>718</v>
      </c>
      <c r="N260" s="422"/>
      <c r="O260" s="422"/>
      <c r="P260" s="422">
        <v>718.14599999999996</v>
      </c>
    </row>
    <row r="261" spans="1:16" hidden="1" x14ac:dyDescent="0.5">
      <c r="A261" s="423">
        <v>84</v>
      </c>
      <c r="B261" s="423" t="s">
        <v>2135</v>
      </c>
      <c r="C261" s="423" t="s">
        <v>2980</v>
      </c>
      <c r="D261" s="423" t="s">
        <v>2979</v>
      </c>
      <c r="E261" s="423" t="s">
        <v>2560</v>
      </c>
      <c r="F261" s="423" t="s">
        <v>2554</v>
      </c>
      <c r="G261" s="423" t="s">
        <v>2624</v>
      </c>
      <c r="H261" s="423" t="s">
        <v>2978</v>
      </c>
      <c r="I261" s="423" t="s">
        <v>2623</v>
      </c>
      <c r="J261" s="423" t="s">
        <v>2623</v>
      </c>
      <c r="K261" s="423" t="s">
        <v>2621</v>
      </c>
      <c r="L261" s="423" t="s">
        <v>2557</v>
      </c>
      <c r="M261" s="422">
        <v>5292</v>
      </c>
      <c r="N261" s="422"/>
      <c r="O261" s="422"/>
      <c r="P261" s="422">
        <v>5293.0730000000003</v>
      </c>
    </row>
    <row r="262" spans="1:16" hidden="1" x14ac:dyDescent="0.5">
      <c r="A262" s="423">
        <v>85</v>
      </c>
      <c r="B262" s="423" t="s">
        <v>2136</v>
      </c>
      <c r="C262" s="423" t="s">
        <v>2946</v>
      </c>
      <c r="D262" s="423" t="s">
        <v>2977</v>
      </c>
      <c r="E262" s="423" t="s">
        <v>2560</v>
      </c>
      <c r="F262" s="423" t="s">
        <v>2554</v>
      </c>
      <c r="G262" s="423" t="s">
        <v>2620</v>
      </c>
      <c r="H262" s="423" t="s">
        <v>2749</v>
      </c>
      <c r="I262" s="423" t="s">
        <v>2563</v>
      </c>
      <c r="J262" s="423" t="s">
        <v>2576</v>
      </c>
      <c r="K262" s="423" t="s">
        <v>2621</v>
      </c>
      <c r="L262" s="423" t="s">
        <v>2557</v>
      </c>
      <c r="M262" s="422">
        <v>3402</v>
      </c>
      <c r="N262" s="422"/>
      <c r="O262" s="422"/>
      <c r="P262" s="422">
        <v>3403.7249999999999</v>
      </c>
    </row>
    <row r="263" spans="1:16" hidden="1" x14ac:dyDescent="0.5">
      <c r="A263" s="423">
        <v>86</v>
      </c>
      <c r="B263" s="423" t="s">
        <v>2136</v>
      </c>
      <c r="C263" s="423" t="s">
        <v>2946</v>
      </c>
      <c r="D263" s="423" t="s">
        <v>2976</v>
      </c>
      <c r="E263" s="423" t="s">
        <v>2560</v>
      </c>
      <c r="F263" s="423" t="s">
        <v>2554</v>
      </c>
      <c r="G263" s="423" t="s">
        <v>2622</v>
      </c>
      <c r="H263" s="423" t="s">
        <v>2712</v>
      </c>
      <c r="I263" s="423" t="s">
        <v>2623</v>
      </c>
      <c r="J263" s="423" t="s">
        <v>2623</v>
      </c>
      <c r="K263" s="423" t="s">
        <v>2621</v>
      </c>
      <c r="L263" s="423" t="s">
        <v>2557</v>
      </c>
      <c r="M263" s="422">
        <v>3726</v>
      </c>
      <c r="N263" s="422"/>
      <c r="O263" s="422"/>
      <c r="P263" s="422">
        <v>3727.8890000000001</v>
      </c>
    </row>
    <row r="264" spans="1:16" hidden="1" x14ac:dyDescent="0.5">
      <c r="A264" s="423">
        <v>87</v>
      </c>
      <c r="B264" s="423" t="s">
        <v>2136</v>
      </c>
      <c r="C264" s="423" t="s">
        <v>2946</v>
      </c>
      <c r="D264" s="423" t="s">
        <v>2975</v>
      </c>
      <c r="E264" s="423" t="s">
        <v>2973</v>
      </c>
      <c r="F264" s="423" t="s">
        <v>2554</v>
      </c>
      <c r="G264" s="423" t="s">
        <v>2632</v>
      </c>
      <c r="H264" s="423" t="s">
        <v>2972</v>
      </c>
      <c r="I264" s="423" t="s">
        <v>2577</v>
      </c>
      <c r="J264" s="423" t="s">
        <v>2577</v>
      </c>
      <c r="K264" s="423" t="s">
        <v>2621</v>
      </c>
      <c r="L264" s="423" t="s">
        <v>2557</v>
      </c>
      <c r="M264" s="422">
        <v>1220</v>
      </c>
      <c r="N264" s="422"/>
      <c r="O264" s="422"/>
      <c r="P264" s="422">
        <v>1220.6179999999999</v>
      </c>
    </row>
    <row r="265" spans="1:16" hidden="1" x14ac:dyDescent="0.5">
      <c r="A265" s="423">
        <v>88</v>
      </c>
      <c r="B265" s="423" t="s">
        <v>2136</v>
      </c>
      <c r="C265" s="423" t="s">
        <v>2946</v>
      </c>
      <c r="D265" s="423" t="s">
        <v>2974</v>
      </c>
      <c r="E265" s="423" t="s">
        <v>2973</v>
      </c>
      <c r="F265" s="423" t="s">
        <v>2554</v>
      </c>
      <c r="G265" s="423" t="s">
        <v>2631</v>
      </c>
      <c r="H265" s="423" t="s">
        <v>2972</v>
      </c>
      <c r="I265" s="423" t="s">
        <v>2577</v>
      </c>
      <c r="J265" s="423" t="s">
        <v>2971</v>
      </c>
      <c r="K265" s="423" t="s">
        <v>2621</v>
      </c>
      <c r="L265" s="423" t="s">
        <v>2557</v>
      </c>
      <c r="M265" s="422">
        <v>644</v>
      </c>
      <c r="N265" s="422"/>
      <c r="O265" s="422"/>
      <c r="P265" s="422">
        <v>644</v>
      </c>
    </row>
    <row r="266" spans="1:16" hidden="1" x14ac:dyDescent="0.5">
      <c r="A266" s="423">
        <v>89</v>
      </c>
      <c r="B266" s="423" t="s">
        <v>2136</v>
      </c>
      <c r="C266" s="423" t="s">
        <v>2946</v>
      </c>
      <c r="D266" s="423" t="s">
        <v>2970</v>
      </c>
      <c r="E266" s="423" t="s">
        <v>2625</v>
      </c>
      <c r="F266" s="423" t="s">
        <v>2554</v>
      </c>
      <c r="G266" s="423" t="s">
        <v>2626</v>
      </c>
      <c r="H266" s="423" t="s">
        <v>2639</v>
      </c>
      <c r="I266" s="423" t="s">
        <v>2628</v>
      </c>
      <c r="J266" s="423" t="s">
        <v>2628</v>
      </c>
      <c r="K266" s="423" t="s">
        <v>2621</v>
      </c>
      <c r="L266" s="423" t="s">
        <v>2557</v>
      </c>
      <c r="M266" s="422">
        <v>1072</v>
      </c>
      <c r="N266" s="422"/>
      <c r="O266" s="422"/>
      <c r="P266" s="422">
        <v>1072</v>
      </c>
    </row>
    <row r="267" spans="1:16" hidden="1" x14ac:dyDescent="0.5">
      <c r="A267" s="423">
        <v>90</v>
      </c>
      <c r="B267" s="423" t="s">
        <v>2137</v>
      </c>
      <c r="C267" s="423" t="s">
        <v>2946</v>
      </c>
      <c r="D267" s="423" t="s">
        <v>2969</v>
      </c>
      <c r="E267" s="423" t="s">
        <v>2560</v>
      </c>
      <c r="F267" s="423" t="s">
        <v>2554</v>
      </c>
      <c r="G267" s="423" t="s">
        <v>2620</v>
      </c>
      <c r="H267" s="423" t="s">
        <v>2749</v>
      </c>
      <c r="I267" s="423" t="s">
        <v>2563</v>
      </c>
      <c r="J267" s="423" t="s">
        <v>2576</v>
      </c>
      <c r="K267" s="423" t="s">
        <v>2621</v>
      </c>
      <c r="L267" s="423" t="s">
        <v>2557</v>
      </c>
      <c r="M267" s="422">
        <v>2406</v>
      </c>
      <c r="N267" s="422"/>
      <c r="O267" s="422"/>
      <c r="P267" s="422">
        <v>2406.732</v>
      </c>
    </row>
    <row r="268" spans="1:16" hidden="1" x14ac:dyDescent="0.5">
      <c r="A268" s="423">
        <v>91</v>
      </c>
      <c r="B268" s="423" t="s">
        <v>2137</v>
      </c>
      <c r="C268" s="423" t="s">
        <v>2946</v>
      </c>
      <c r="D268" s="423" t="s">
        <v>2968</v>
      </c>
      <c r="E268" s="423" t="s">
        <v>2560</v>
      </c>
      <c r="F268" s="423" t="s">
        <v>2554</v>
      </c>
      <c r="G268" s="423" t="s">
        <v>2622</v>
      </c>
      <c r="H268" s="423" t="s">
        <v>2919</v>
      </c>
      <c r="I268" s="423" t="s">
        <v>2623</v>
      </c>
      <c r="J268" s="423" t="s">
        <v>2623</v>
      </c>
      <c r="K268" s="423" t="s">
        <v>2621</v>
      </c>
      <c r="L268" s="423" t="s">
        <v>2557</v>
      </c>
      <c r="M268" s="422">
        <v>4352</v>
      </c>
      <c r="N268" s="422"/>
      <c r="O268" s="422"/>
      <c r="P268" s="422">
        <v>4353.3230000000003</v>
      </c>
    </row>
    <row r="269" spans="1:16" hidden="1" x14ac:dyDescent="0.5">
      <c r="A269" s="423">
        <v>92</v>
      </c>
      <c r="B269" s="423" t="s">
        <v>2137</v>
      </c>
      <c r="C269" s="423" t="s">
        <v>2946</v>
      </c>
      <c r="D269" s="423" t="s">
        <v>2967</v>
      </c>
      <c r="E269" s="423" t="s">
        <v>2625</v>
      </c>
      <c r="F269" s="423" t="s">
        <v>2554</v>
      </c>
      <c r="G269" s="423" t="s">
        <v>2966</v>
      </c>
      <c r="H269" s="423" t="s">
        <v>2629</v>
      </c>
      <c r="I269" s="423" t="s">
        <v>2628</v>
      </c>
      <c r="J269" s="423" t="s">
        <v>2628</v>
      </c>
      <c r="K269" s="423" t="s">
        <v>2621</v>
      </c>
      <c r="L269" s="423" t="s">
        <v>2557</v>
      </c>
      <c r="M269" s="422">
        <v>2466</v>
      </c>
      <c r="N269" s="422"/>
      <c r="O269" s="422"/>
      <c r="P269" s="422">
        <v>2466.75</v>
      </c>
    </row>
    <row r="270" spans="1:16" hidden="1" x14ac:dyDescent="0.5">
      <c r="A270" s="423">
        <v>93</v>
      </c>
      <c r="B270" s="423" t="s">
        <v>2137</v>
      </c>
      <c r="C270" s="423" t="s">
        <v>2946</v>
      </c>
      <c r="D270" s="423" t="s">
        <v>2965</v>
      </c>
      <c r="E270" s="423" t="s">
        <v>2625</v>
      </c>
      <c r="F270" s="423" t="s">
        <v>2554</v>
      </c>
      <c r="G270" s="423" t="s">
        <v>2634</v>
      </c>
      <c r="H270" s="423" t="s">
        <v>2717</v>
      </c>
      <c r="I270" s="423" t="s">
        <v>2636</v>
      </c>
      <c r="J270" s="423" t="s">
        <v>2636</v>
      </c>
      <c r="K270" s="423" t="s">
        <v>2621</v>
      </c>
      <c r="L270" s="423" t="s">
        <v>2557</v>
      </c>
      <c r="M270" s="422">
        <v>651</v>
      </c>
      <c r="N270" s="422"/>
      <c r="O270" s="422"/>
      <c r="P270" s="422">
        <v>650.80200000000002</v>
      </c>
    </row>
    <row r="271" spans="1:16" hidden="1" x14ac:dyDescent="0.5">
      <c r="A271" s="423">
        <v>94</v>
      </c>
      <c r="B271" s="423" t="s">
        <v>2137</v>
      </c>
      <c r="C271" s="423" t="s">
        <v>2946</v>
      </c>
      <c r="D271" s="423" t="s">
        <v>2964</v>
      </c>
      <c r="E271" s="423" t="s">
        <v>2560</v>
      </c>
      <c r="F271" s="423" t="s">
        <v>2554</v>
      </c>
      <c r="G271" s="423" t="s">
        <v>2624</v>
      </c>
      <c r="H271" s="423" t="s">
        <v>2919</v>
      </c>
      <c r="I271" s="423" t="s">
        <v>2623</v>
      </c>
      <c r="J271" s="423" t="s">
        <v>2623</v>
      </c>
      <c r="K271" s="423" t="s">
        <v>2621</v>
      </c>
      <c r="L271" s="423" t="s">
        <v>2557</v>
      </c>
      <c r="M271" s="422">
        <v>5407</v>
      </c>
      <c r="N271" s="422"/>
      <c r="O271" s="422"/>
      <c r="P271" s="422">
        <v>5405.3559999999998</v>
      </c>
    </row>
    <row r="272" spans="1:16" hidden="1" x14ac:dyDescent="0.5">
      <c r="A272" s="423">
        <v>95</v>
      </c>
      <c r="B272" s="423" t="s">
        <v>2138</v>
      </c>
      <c r="C272" s="423" t="s">
        <v>2946</v>
      </c>
      <c r="D272" s="423" t="s">
        <v>2963</v>
      </c>
      <c r="E272" s="423" t="s">
        <v>2924</v>
      </c>
      <c r="F272" s="423" t="s">
        <v>2554</v>
      </c>
      <c r="G272" s="423" t="s">
        <v>2631</v>
      </c>
      <c r="H272" s="423" t="s">
        <v>2923</v>
      </c>
      <c r="I272" s="423" t="s">
        <v>2576</v>
      </c>
      <c r="J272" s="423" t="s">
        <v>2576</v>
      </c>
      <c r="K272" s="423" t="s">
        <v>2621</v>
      </c>
      <c r="L272" s="423" t="s">
        <v>2557</v>
      </c>
      <c r="M272" s="422">
        <v>470</v>
      </c>
      <c r="N272" s="422"/>
      <c r="O272" s="422"/>
      <c r="P272" s="422">
        <v>471.47699999999998</v>
      </c>
    </row>
    <row r="273" spans="1:16" hidden="1" x14ac:dyDescent="0.5">
      <c r="A273" s="423">
        <v>96</v>
      </c>
      <c r="B273" s="423" t="s">
        <v>2138</v>
      </c>
      <c r="C273" s="423" t="s">
        <v>2946</v>
      </c>
      <c r="D273" s="423" t="s">
        <v>2962</v>
      </c>
      <c r="E273" s="423" t="s">
        <v>2560</v>
      </c>
      <c r="F273" s="423" t="s">
        <v>2554</v>
      </c>
      <c r="G273" s="423" t="s">
        <v>2620</v>
      </c>
      <c r="H273" s="423" t="s">
        <v>2749</v>
      </c>
      <c r="I273" s="423" t="s">
        <v>2563</v>
      </c>
      <c r="J273" s="423" t="s">
        <v>2576</v>
      </c>
      <c r="K273" s="423" t="s">
        <v>2621</v>
      </c>
      <c r="L273" s="423" t="s">
        <v>2557</v>
      </c>
      <c r="M273" s="422">
        <v>2000</v>
      </c>
      <c r="N273" s="422"/>
      <c r="O273" s="422"/>
      <c r="P273" s="422">
        <v>2006.2860000000001</v>
      </c>
    </row>
    <row r="274" spans="1:16" hidden="1" x14ac:dyDescent="0.5">
      <c r="A274" s="423">
        <v>97</v>
      </c>
      <c r="B274" s="423" t="s">
        <v>2138</v>
      </c>
      <c r="C274" s="423" t="s">
        <v>2946</v>
      </c>
      <c r="D274" s="423" t="s">
        <v>2961</v>
      </c>
      <c r="E274" s="423" t="s">
        <v>2560</v>
      </c>
      <c r="F274" s="423" t="s">
        <v>2554</v>
      </c>
      <c r="G274" s="423" t="s">
        <v>2622</v>
      </c>
      <c r="H274" s="423" t="s">
        <v>2712</v>
      </c>
      <c r="I274" s="423" t="s">
        <v>2623</v>
      </c>
      <c r="J274" s="423" t="s">
        <v>2623</v>
      </c>
      <c r="K274" s="423" t="s">
        <v>2621</v>
      </c>
      <c r="L274" s="423" t="s">
        <v>2557</v>
      </c>
      <c r="M274" s="422">
        <v>4960</v>
      </c>
      <c r="N274" s="422"/>
      <c r="O274" s="422"/>
      <c r="P274" s="422">
        <v>4975.5879999999997</v>
      </c>
    </row>
    <row r="275" spans="1:16" hidden="1" x14ac:dyDescent="0.5">
      <c r="A275" s="423">
        <v>98</v>
      </c>
      <c r="B275" s="423" t="s">
        <v>2138</v>
      </c>
      <c r="C275" s="423" t="s">
        <v>2946</v>
      </c>
      <c r="D275" s="423" t="s">
        <v>2960</v>
      </c>
      <c r="E275" s="423" t="s">
        <v>2625</v>
      </c>
      <c r="F275" s="423" t="s">
        <v>2554</v>
      </c>
      <c r="G275" s="423" t="s">
        <v>2626</v>
      </c>
      <c r="H275" s="423" t="s">
        <v>2627</v>
      </c>
      <c r="I275" s="423" t="s">
        <v>2628</v>
      </c>
      <c r="J275" s="423" t="s">
        <v>2628</v>
      </c>
      <c r="K275" s="423" t="s">
        <v>2621</v>
      </c>
      <c r="L275" s="423" t="s">
        <v>2557</v>
      </c>
      <c r="M275" s="422">
        <v>1647</v>
      </c>
      <c r="N275" s="422"/>
      <c r="O275" s="422"/>
      <c r="P275" s="422">
        <v>1647.835</v>
      </c>
    </row>
    <row r="276" spans="1:16" hidden="1" x14ac:dyDescent="0.5">
      <c r="A276" s="423">
        <v>99</v>
      </c>
      <c r="B276" s="423" t="s">
        <v>2138</v>
      </c>
      <c r="C276" s="423" t="s">
        <v>2946</v>
      </c>
      <c r="D276" s="423" t="s">
        <v>2959</v>
      </c>
      <c r="E276" s="423" t="s">
        <v>2560</v>
      </c>
      <c r="F276" s="423" t="s">
        <v>2554</v>
      </c>
      <c r="G276" s="423" t="s">
        <v>2624</v>
      </c>
      <c r="H276" s="423" t="s">
        <v>2712</v>
      </c>
      <c r="I276" s="423" t="s">
        <v>2623</v>
      </c>
      <c r="J276" s="423" t="s">
        <v>2623</v>
      </c>
      <c r="K276" s="423" t="s">
        <v>2621</v>
      </c>
      <c r="L276" s="423" t="s">
        <v>2557</v>
      </c>
      <c r="M276" s="422">
        <v>4574</v>
      </c>
      <c r="N276" s="422"/>
      <c r="O276" s="422"/>
      <c r="P276" s="422">
        <v>4576.3190000000004</v>
      </c>
    </row>
    <row r="277" spans="1:16" hidden="1" x14ac:dyDescent="0.5">
      <c r="A277" s="423">
        <v>100</v>
      </c>
      <c r="B277" s="423" t="s">
        <v>2138</v>
      </c>
      <c r="C277" s="423" t="s">
        <v>2946</v>
      </c>
      <c r="D277" s="423" t="s">
        <v>2958</v>
      </c>
      <c r="E277" s="423" t="s">
        <v>2637</v>
      </c>
      <c r="F277" s="423" t="s">
        <v>2554</v>
      </c>
      <c r="G277" s="423" t="s">
        <v>2957</v>
      </c>
      <c r="H277" s="423" t="s">
        <v>2956</v>
      </c>
      <c r="I277" s="423" t="s">
        <v>2628</v>
      </c>
      <c r="J277" s="423" t="s">
        <v>2628</v>
      </c>
      <c r="K277" s="423" t="s">
        <v>2621</v>
      </c>
      <c r="L277" s="423" t="s">
        <v>2557</v>
      </c>
      <c r="M277" s="422">
        <v>955</v>
      </c>
      <c r="N277" s="422"/>
      <c r="O277" s="422"/>
      <c r="P277" s="422">
        <v>955.48400000000004</v>
      </c>
    </row>
    <row r="278" spans="1:16" hidden="1" x14ac:dyDescent="0.5">
      <c r="A278" s="423">
        <v>101</v>
      </c>
      <c r="B278" s="423" t="s">
        <v>2139</v>
      </c>
      <c r="C278" s="423" t="s">
        <v>2946</v>
      </c>
      <c r="D278" s="423" t="s">
        <v>2955</v>
      </c>
      <c r="E278" s="423" t="s">
        <v>2560</v>
      </c>
      <c r="F278" s="423" t="s">
        <v>2554</v>
      </c>
      <c r="G278" s="423" t="s">
        <v>2620</v>
      </c>
      <c r="H278" s="423" t="s">
        <v>2749</v>
      </c>
      <c r="I278" s="423" t="s">
        <v>2563</v>
      </c>
      <c r="J278" s="423" t="s">
        <v>2576</v>
      </c>
      <c r="K278" s="423" t="s">
        <v>2621</v>
      </c>
      <c r="L278" s="423" t="s">
        <v>2557</v>
      </c>
      <c r="M278" s="422">
        <v>1982</v>
      </c>
      <c r="N278" s="422"/>
      <c r="O278" s="422"/>
      <c r="P278" s="422">
        <v>1982.8040000000001</v>
      </c>
    </row>
    <row r="279" spans="1:16" hidden="1" x14ac:dyDescent="0.5">
      <c r="A279" s="423">
        <v>102</v>
      </c>
      <c r="B279" s="423" t="s">
        <v>2139</v>
      </c>
      <c r="C279" s="423" t="s">
        <v>2946</v>
      </c>
      <c r="D279" s="423" t="s">
        <v>2954</v>
      </c>
      <c r="E279" s="423" t="s">
        <v>2560</v>
      </c>
      <c r="F279" s="423" t="s">
        <v>2554</v>
      </c>
      <c r="G279" s="423" t="s">
        <v>2622</v>
      </c>
      <c r="H279" s="423" t="s">
        <v>2712</v>
      </c>
      <c r="I279" s="423" t="s">
        <v>2623</v>
      </c>
      <c r="J279" s="423" t="s">
        <v>2623</v>
      </c>
      <c r="K279" s="423" t="s">
        <v>2621</v>
      </c>
      <c r="L279" s="423" t="s">
        <v>2557</v>
      </c>
      <c r="M279" s="422">
        <v>4430</v>
      </c>
      <c r="N279" s="422"/>
      <c r="O279" s="422"/>
      <c r="P279" s="422">
        <v>4431.7960000000003</v>
      </c>
    </row>
    <row r="280" spans="1:16" hidden="1" x14ac:dyDescent="0.5">
      <c r="A280" s="423">
        <v>103</v>
      </c>
      <c r="B280" s="423" t="s">
        <v>2139</v>
      </c>
      <c r="C280" s="423" t="s">
        <v>2946</v>
      </c>
      <c r="D280" s="423" t="s">
        <v>2953</v>
      </c>
      <c r="E280" s="423" t="s">
        <v>2625</v>
      </c>
      <c r="F280" s="423" t="s">
        <v>2554</v>
      </c>
      <c r="G280" s="423" t="s">
        <v>2634</v>
      </c>
      <c r="H280" s="423" t="s">
        <v>2710</v>
      </c>
      <c r="I280" s="423" t="s">
        <v>2636</v>
      </c>
      <c r="J280" s="423" t="s">
        <v>2636</v>
      </c>
      <c r="K280" s="423" t="s">
        <v>2621</v>
      </c>
      <c r="L280" s="423" t="s">
        <v>2557</v>
      </c>
      <c r="M280" s="422">
        <v>991</v>
      </c>
      <c r="N280" s="422"/>
      <c r="O280" s="422"/>
      <c r="P280" s="422">
        <v>991.30100000000004</v>
      </c>
    </row>
    <row r="281" spans="1:16" hidden="1" x14ac:dyDescent="0.5">
      <c r="A281" s="423">
        <v>104</v>
      </c>
      <c r="B281" s="423" t="s">
        <v>2139</v>
      </c>
      <c r="C281" s="423" t="s">
        <v>2946</v>
      </c>
      <c r="D281" s="423" t="s">
        <v>2952</v>
      </c>
      <c r="E281" s="423" t="s">
        <v>2951</v>
      </c>
      <c r="F281" s="423" t="s">
        <v>2554</v>
      </c>
      <c r="G281" s="423" t="s">
        <v>2612</v>
      </c>
      <c r="H281" s="423" t="s">
        <v>2950</v>
      </c>
      <c r="I281" s="423" t="s">
        <v>2576</v>
      </c>
      <c r="J281" s="423" t="s">
        <v>2576</v>
      </c>
      <c r="K281" s="423" t="s">
        <v>2621</v>
      </c>
      <c r="L281" s="423" t="s">
        <v>2557</v>
      </c>
      <c r="M281" s="422">
        <v>900</v>
      </c>
      <c r="N281" s="422"/>
      <c r="O281" s="422"/>
      <c r="P281" s="422">
        <v>900.274</v>
      </c>
    </row>
    <row r="282" spans="1:16" hidden="1" x14ac:dyDescent="0.5">
      <c r="A282" s="423">
        <v>105</v>
      </c>
      <c r="B282" s="423" t="s">
        <v>2139</v>
      </c>
      <c r="C282" s="423" t="s">
        <v>2946</v>
      </c>
      <c r="D282" s="423" t="s">
        <v>2949</v>
      </c>
      <c r="E282" s="423" t="s">
        <v>2625</v>
      </c>
      <c r="F282" s="423" t="s">
        <v>2554</v>
      </c>
      <c r="G282" s="423" t="s">
        <v>2626</v>
      </c>
      <c r="H282" s="423" t="s">
        <v>2639</v>
      </c>
      <c r="I282" s="423" t="s">
        <v>2628</v>
      </c>
      <c r="J282" s="423" t="s">
        <v>2628</v>
      </c>
      <c r="K282" s="423" t="s">
        <v>2621</v>
      </c>
      <c r="L282" s="423" t="s">
        <v>2557</v>
      </c>
      <c r="M282" s="422">
        <v>1786</v>
      </c>
      <c r="N282" s="422"/>
      <c r="O282" s="422"/>
      <c r="P282" s="422">
        <v>1786.5429999999999</v>
      </c>
    </row>
    <row r="283" spans="1:16" hidden="1" x14ac:dyDescent="0.5">
      <c r="A283" s="423">
        <v>106</v>
      </c>
      <c r="B283" s="423" t="s">
        <v>2139</v>
      </c>
      <c r="C283" s="423" t="s">
        <v>2946</v>
      </c>
      <c r="D283" s="423" t="s">
        <v>2948</v>
      </c>
      <c r="E283" s="423" t="s">
        <v>2560</v>
      </c>
      <c r="F283" s="423" t="s">
        <v>2554</v>
      </c>
      <c r="G283" s="423" t="s">
        <v>2624</v>
      </c>
      <c r="H283" s="423" t="s">
        <v>2712</v>
      </c>
      <c r="I283" s="423" t="s">
        <v>2623</v>
      </c>
      <c r="J283" s="423" t="s">
        <v>2623</v>
      </c>
      <c r="K283" s="423" t="s">
        <v>2621</v>
      </c>
      <c r="L283" s="423" t="s">
        <v>2557</v>
      </c>
      <c r="M283" s="422">
        <v>3289</v>
      </c>
      <c r="N283" s="422"/>
      <c r="O283" s="422"/>
      <c r="P283" s="422">
        <v>3290</v>
      </c>
    </row>
    <row r="284" spans="1:16" hidden="1" x14ac:dyDescent="0.5">
      <c r="A284" s="423">
        <v>107</v>
      </c>
      <c r="B284" s="423" t="s">
        <v>2140</v>
      </c>
      <c r="C284" s="423" t="s">
        <v>2946</v>
      </c>
      <c r="D284" s="423" t="s">
        <v>2947</v>
      </c>
      <c r="E284" s="423" t="s">
        <v>2560</v>
      </c>
      <c r="F284" s="423" t="s">
        <v>2554</v>
      </c>
      <c r="G284" s="423" t="s">
        <v>2620</v>
      </c>
      <c r="H284" s="423" t="s">
        <v>2749</v>
      </c>
      <c r="I284" s="423" t="s">
        <v>2563</v>
      </c>
      <c r="J284" s="423" t="s">
        <v>2576</v>
      </c>
      <c r="K284" s="423" t="s">
        <v>2621</v>
      </c>
      <c r="L284" s="423" t="s">
        <v>2557</v>
      </c>
      <c r="M284" s="422">
        <v>2024</v>
      </c>
      <c r="N284" s="422"/>
      <c r="O284" s="422"/>
      <c r="P284" s="422">
        <v>2027.8989999999999</v>
      </c>
    </row>
    <row r="285" spans="1:16" hidden="1" x14ac:dyDescent="0.5">
      <c r="A285" s="423">
        <v>108</v>
      </c>
      <c r="B285" s="423" t="s">
        <v>2140</v>
      </c>
      <c r="C285" s="423" t="s">
        <v>2946</v>
      </c>
      <c r="D285" s="423" t="s">
        <v>2945</v>
      </c>
      <c r="E285" s="423" t="s">
        <v>2560</v>
      </c>
      <c r="F285" s="423" t="s">
        <v>2554</v>
      </c>
      <c r="G285" s="423" t="s">
        <v>2622</v>
      </c>
      <c r="H285" s="423" t="s">
        <v>2716</v>
      </c>
      <c r="I285" s="423" t="s">
        <v>2623</v>
      </c>
      <c r="J285" s="423" t="s">
        <v>2623</v>
      </c>
      <c r="K285" s="423" t="s">
        <v>2621</v>
      </c>
      <c r="L285" s="423" t="s">
        <v>2557</v>
      </c>
      <c r="M285" s="422">
        <v>6634</v>
      </c>
      <c r="N285" s="422"/>
      <c r="O285" s="422"/>
      <c r="P285" s="422">
        <v>6646.78</v>
      </c>
    </row>
    <row r="286" spans="1:16" hidden="1" x14ac:dyDescent="0.5">
      <c r="A286" s="423">
        <v>109</v>
      </c>
      <c r="B286" s="423" t="s">
        <v>2140</v>
      </c>
      <c r="C286" s="423" t="s">
        <v>2893</v>
      </c>
      <c r="D286" s="423" t="s">
        <v>2944</v>
      </c>
      <c r="E286" s="423" t="s">
        <v>2625</v>
      </c>
      <c r="F286" s="423" t="s">
        <v>2554</v>
      </c>
      <c r="G286" s="423" t="s">
        <v>2633</v>
      </c>
      <c r="H286" s="423" t="s">
        <v>2627</v>
      </c>
      <c r="I286" s="423" t="s">
        <v>2628</v>
      </c>
      <c r="J286" s="423" t="s">
        <v>2628</v>
      </c>
      <c r="K286" s="423" t="s">
        <v>2621</v>
      </c>
      <c r="L286" s="423" t="s">
        <v>2557</v>
      </c>
      <c r="M286" s="422">
        <v>2007</v>
      </c>
      <c r="N286" s="422"/>
      <c r="O286" s="422"/>
      <c r="P286" s="422">
        <v>2010.866</v>
      </c>
    </row>
    <row r="287" spans="1:16" hidden="1" x14ac:dyDescent="0.5">
      <c r="A287" s="423">
        <v>110</v>
      </c>
      <c r="B287" s="423" t="s">
        <v>2140</v>
      </c>
      <c r="C287" s="423" t="s">
        <v>2893</v>
      </c>
      <c r="D287" s="423" t="s">
        <v>2943</v>
      </c>
      <c r="E287" s="423" t="s">
        <v>2625</v>
      </c>
      <c r="F287" s="423" t="s">
        <v>2554</v>
      </c>
      <c r="G287" s="423" t="s">
        <v>2634</v>
      </c>
      <c r="H287" s="423" t="s">
        <v>2635</v>
      </c>
      <c r="I287" s="423" t="s">
        <v>2636</v>
      </c>
      <c r="J287" s="423" t="s">
        <v>2636</v>
      </c>
      <c r="K287" s="423" t="s">
        <v>2621</v>
      </c>
      <c r="L287" s="423" t="s">
        <v>2557</v>
      </c>
      <c r="M287" s="422">
        <v>533</v>
      </c>
      <c r="N287" s="422"/>
      <c r="O287" s="422"/>
      <c r="P287" s="422">
        <v>534.02700000000004</v>
      </c>
    </row>
    <row r="288" spans="1:16" hidden="1" x14ac:dyDescent="0.5">
      <c r="A288" s="423">
        <v>111</v>
      </c>
      <c r="B288" s="423" t="s">
        <v>2140</v>
      </c>
      <c r="C288" s="423" t="s">
        <v>2893</v>
      </c>
      <c r="D288" s="423" t="s">
        <v>2942</v>
      </c>
      <c r="E288" s="423" t="s">
        <v>2625</v>
      </c>
      <c r="F288" s="423" t="s">
        <v>2554</v>
      </c>
      <c r="G288" s="423" t="s">
        <v>2626</v>
      </c>
      <c r="H288" s="423" t="s">
        <v>2718</v>
      </c>
      <c r="I288" s="423" t="s">
        <v>2628</v>
      </c>
      <c r="J288" s="423" t="s">
        <v>2628</v>
      </c>
      <c r="K288" s="423" t="s">
        <v>2621</v>
      </c>
      <c r="L288" s="423" t="s">
        <v>2557</v>
      </c>
      <c r="M288" s="422">
        <v>2476</v>
      </c>
      <c r="N288" s="422"/>
      <c r="O288" s="422"/>
      <c r="P288" s="422">
        <v>2480.77</v>
      </c>
    </row>
    <row r="289" spans="1:16" hidden="1" x14ac:dyDescent="0.5">
      <c r="A289" s="423">
        <v>112</v>
      </c>
      <c r="B289" s="423" t="s">
        <v>2140</v>
      </c>
      <c r="C289" s="423" t="s">
        <v>2893</v>
      </c>
      <c r="D289" s="423" t="s">
        <v>2941</v>
      </c>
      <c r="E289" s="423" t="s">
        <v>2713</v>
      </c>
      <c r="F289" s="423" t="s">
        <v>2554</v>
      </c>
      <c r="G289" s="423" t="s">
        <v>2612</v>
      </c>
      <c r="H289" s="423" t="s">
        <v>2714</v>
      </c>
      <c r="I289" s="423" t="s">
        <v>2715</v>
      </c>
      <c r="J289" s="423" t="s">
        <v>2715</v>
      </c>
      <c r="K289" s="423" t="s">
        <v>2621</v>
      </c>
      <c r="L289" s="423" t="s">
        <v>2557</v>
      </c>
      <c r="M289" s="422">
        <v>248</v>
      </c>
      <c r="N289" s="422"/>
      <c r="O289" s="422"/>
      <c r="P289" s="422">
        <v>248.47800000000001</v>
      </c>
    </row>
    <row r="290" spans="1:16" hidden="1" x14ac:dyDescent="0.5">
      <c r="A290" s="423">
        <v>113</v>
      </c>
      <c r="B290" s="423" t="s">
        <v>2140</v>
      </c>
      <c r="C290" s="423" t="s">
        <v>2893</v>
      </c>
      <c r="D290" s="423" t="s">
        <v>2940</v>
      </c>
      <c r="E290" s="423" t="s">
        <v>2566</v>
      </c>
      <c r="F290" s="423" t="s">
        <v>2559</v>
      </c>
      <c r="G290" s="423" t="s">
        <v>2939</v>
      </c>
      <c r="H290" s="423" t="s">
        <v>2938</v>
      </c>
      <c r="I290" s="423" t="s">
        <v>2937</v>
      </c>
      <c r="J290" s="423" t="s">
        <v>2900</v>
      </c>
      <c r="K290" s="423" t="s">
        <v>2621</v>
      </c>
      <c r="L290" s="423" t="s">
        <v>2557</v>
      </c>
      <c r="M290" s="422">
        <v>3076</v>
      </c>
      <c r="N290" s="422"/>
      <c r="O290" s="422"/>
      <c r="P290" s="422">
        <v>3081.9259999999999</v>
      </c>
    </row>
    <row r="291" spans="1:16" hidden="1" x14ac:dyDescent="0.5">
      <c r="A291" s="423">
        <v>114</v>
      </c>
      <c r="B291" s="423" t="s">
        <v>2140</v>
      </c>
      <c r="C291" s="423" t="s">
        <v>2893</v>
      </c>
      <c r="D291" s="423" t="s">
        <v>2936</v>
      </c>
      <c r="E291" s="423" t="s">
        <v>2625</v>
      </c>
      <c r="F291" s="423" t="s">
        <v>2554</v>
      </c>
      <c r="G291" s="423" t="s">
        <v>2719</v>
      </c>
      <c r="H291" s="423" t="s">
        <v>2627</v>
      </c>
      <c r="I291" s="423" t="s">
        <v>2628</v>
      </c>
      <c r="J291" s="423" t="s">
        <v>2628</v>
      </c>
      <c r="K291" s="423" t="s">
        <v>2621</v>
      </c>
      <c r="L291" s="423" t="s">
        <v>2557</v>
      </c>
      <c r="M291" s="422">
        <v>2726</v>
      </c>
      <c r="N291" s="422"/>
      <c r="O291" s="422"/>
      <c r="P291" s="422">
        <v>2731.2510000000002</v>
      </c>
    </row>
    <row r="292" spans="1:16" hidden="1" x14ac:dyDescent="0.5">
      <c r="A292" s="423">
        <v>115</v>
      </c>
      <c r="B292" s="423" t="s">
        <v>2140</v>
      </c>
      <c r="C292" s="423" t="s">
        <v>2893</v>
      </c>
      <c r="D292" s="423" t="s">
        <v>2935</v>
      </c>
      <c r="E292" s="423" t="s">
        <v>2560</v>
      </c>
      <c r="F292" s="423" t="s">
        <v>2554</v>
      </c>
      <c r="G292" s="423" t="s">
        <v>2624</v>
      </c>
      <c r="H292" s="423" t="s">
        <v>2716</v>
      </c>
      <c r="I292" s="423" t="s">
        <v>2623</v>
      </c>
      <c r="J292" s="423" t="s">
        <v>2623</v>
      </c>
      <c r="K292" s="423" t="s">
        <v>2621</v>
      </c>
      <c r="L292" s="423" t="s">
        <v>2557</v>
      </c>
      <c r="M292" s="422">
        <v>6189</v>
      </c>
      <c r="N292" s="422"/>
      <c r="O292" s="422"/>
      <c r="P292" s="422">
        <v>6200.9219999999996</v>
      </c>
    </row>
    <row r="293" spans="1:16" hidden="1" x14ac:dyDescent="0.5">
      <c r="A293" s="423">
        <v>116</v>
      </c>
      <c r="B293" s="423" t="s">
        <v>2141</v>
      </c>
      <c r="C293" s="423" t="s">
        <v>2893</v>
      </c>
      <c r="D293" s="423" t="s">
        <v>2934</v>
      </c>
      <c r="E293" s="423" t="s">
        <v>2560</v>
      </c>
      <c r="F293" s="423" t="s">
        <v>2554</v>
      </c>
      <c r="G293" s="423" t="s">
        <v>2620</v>
      </c>
      <c r="H293" s="423" t="s">
        <v>2749</v>
      </c>
      <c r="I293" s="423" t="s">
        <v>2563</v>
      </c>
      <c r="J293" s="423" t="s">
        <v>2576</v>
      </c>
      <c r="K293" s="423" t="s">
        <v>2621</v>
      </c>
      <c r="L293" s="423" t="s">
        <v>2557</v>
      </c>
      <c r="M293" s="422">
        <v>2413</v>
      </c>
      <c r="N293" s="422"/>
      <c r="O293" s="422"/>
      <c r="P293" s="422">
        <v>2418.8710000000001</v>
      </c>
    </row>
    <row r="294" spans="1:16" hidden="1" x14ac:dyDescent="0.5">
      <c r="A294" s="423">
        <v>117</v>
      </c>
      <c r="B294" s="423" t="s">
        <v>2141</v>
      </c>
      <c r="C294" s="423" t="s">
        <v>2893</v>
      </c>
      <c r="D294" s="423" t="s">
        <v>2933</v>
      </c>
      <c r="E294" s="423" t="s">
        <v>2560</v>
      </c>
      <c r="F294" s="423" t="s">
        <v>2554</v>
      </c>
      <c r="G294" s="423" t="s">
        <v>2624</v>
      </c>
      <c r="H294" s="423" t="s">
        <v>2919</v>
      </c>
      <c r="I294" s="423" t="s">
        <v>2623</v>
      </c>
      <c r="J294" s="423" t="s">
        <v>2623</v>
      </c>
      <c r="K294" s="423" t="s">
        <v>2621</v>
      </c>
      <c r="L294" s="423" t="s">
        <v>2557</v>
      </c>
      <c r="M294" s="422">
        <v>3960</v>
      </c>
      <c r="N294" s="422"/>
      <c r="O294" s="422"/>
      <c r="P294" s="422">
        <v>3969.6350000000002</v>
      </c>
    </row>
    <row r="295" spans="1:16" hidden="1" x14ac:dyDescent="0.5">
      <c r="A295" s="423">
        <v>118</v>
      </c>
      <c r="B295" s="423" t="s">
        <v>2141</v>
      </c>
      <c r="C295" s="423" t="s">
        <v>2893</v>
      </c>
      <c r="D295" s="423" t="s">
        <v>2932</v>
      </c>
      <c r="E295" s="423" t="s">
        <v>2625</v>
      </c>
      <c r="F295" s="423" t="s">
        <v>2554</v>
      </c>
      <c r="G295" s="423" t="s">
        <v>2633</v>
      </c>
      <c r="H295" s="423" t="s">
        <v>2921</v>
      </c>
      <c r="I295" s="423" t="s">
        <v>2628</v>
      </c>
      <c r="J295" s="423" t="s">
        <v>2628</v>
      </c>
      <c r="K295" s="423" t="s">
        <v>2621</v>
      </c>
      <c r="L295" s="423" t="s">
        <v>2557</v>
      </c>
      <c r="M295" s="422">
        <v>1621</v>
      </c>
      <c r="N295" s="422"/>
      <c r="O295" s="422"/>
      <c r="P295" s="422">
        <v>1624.944</v>
      </c>
    </row>
    <row r="296" spans="1:16" hidden="1" x14ac:dyDescent="0.5">
      <c r="A296" s="423">
        <v>119</v>
      </c>
      <c r="B296" s="423" t="s">
        <v>2141</v>
      </c>
      <c r="C296" s="423" t="s">
        <v>2893</v>
      </c>
      <c r="D296" s="423" t="s">
        <v>2931</v>
      </c>
      <c r="E296" s="423" t="s">
        <v>2625</v>
      </c>
      <c r="F296" s="423" t="s">
        <v>2554</v>
      </c>
      <c r="G296" s="423" t="s">
        <v>2930</v>
      </c>
      <c r="H296" s="423" t="s">
        <v>2635</v>
      </c>
      <c r="I296" s="423" t="s">
        <v>2636</v>
      </c>
      <c r="J296" s="423" t="s">
        <v>2636</v>
      </c>
      <c r="K296" s="423" t="s">
        <v>2621</v>
      </c>
      <c r="L296" s="423" t="s">
        <v>2557</v>
      </c>
      <c r="M296" s="422">
        <v>1094</v>
      </c>
      <c r="N296" s="422"/>
      <c r="O296" s="422"/>
      <c r="P296" s="422">
        <v>1095.7750000000001</v>
      </c>
    </row>
    <row r="297" spans="1:16" hidden="1" x14ac:dyDescent="0.5">
      <c r="A297" s="423">
        <v>120</v>
      </c>
      <c r="B297" s="423" t="s">
        <v>2141</v>
      </c>
      <c r="C297" s="423" t="s">
        <v>2893</v>
      </c>
      <c r="D297" s="423" t="s">
        <v>2929</v>
      </c>
      <c r="E297" s="423" t="s">
        <v>2625</v>
      </c>
      <c r="F297" s="423" t="s">
        <v>2554</v>
      </c>
      <c r="G297" s="423" t="s">
        <v>2928</v>
      </c>
      <c r="H297" s="423" t="s">
        <v>2896</v>
      </c>
      <c r="I297" s="423" t="s">
        <v>2636</v>
      </c>
      <c r="J297" s="423" t="s">
        <v>2636</v>
      </c>
      <c r="K297" s="423" t="s">
        <v>2621</v>
      </c>
      <c r="L297" s="423" t="s">
        <v>2557</v>
      </c>
      <c r="M297" s="422">
        <v>2158</v>
      </c>
      <c r="N297" s="422"/>
      <c r="O297" s="422"/>
      <c r="P297" s="422">
        <v>2161.5010000000002</v>
      </c>
    </row>
    <row r="298" spans="1:16" hidden="1" x14ac:dyDescent="0.5">
      <c r="A298" s="423">
        <v>121</v>
      </c>
      <c r="B298" s="423" t="s">
        <v>2141</v>
      </c>
      <c r="C298" s="423" t="s">
        <v>2893</v>
      </c>
      <c r="D298" s="423" t="s">
        <v>2927</v>
      </c>
      <c r="E298" s="423" t="s">
        <v>2625</v>
      </c>
      <c r="F298" s="423" t="s">
        <v>2554</v>
      </c>
      <c r="G298" s="423" t="s">
        <v>2626</v>
      </c>
      <c r="H298" s="423" t="s">
        <v>2630</v>
      </c>
      <c r="I298" s="423" t="s">
        <v>2628</v>
      </c>
      <c r="J298" s="423" t="s">
        <v>2628</v>
      </c>
      <c r="K298" s="423" t="s">
        <v>2621</v>
      </c>
      <c r="L298" s="423" t="s">
        <v>2557</v>
      </c>
      <c r="M298" s="422">
        <v>682</v>
      </c>
      <c r="N298" s="422"/>
      <c r="O298" s="422"/>
      <c r="P298" s="422">
        <v>683.10599999999999</v>
      </c>
    </row>
    <row r="299" spans="1:16" hidden="1" x14ac:dyDescent="0.5">
      <c r="A299" s="423">
        <v>122</v>
      </c>
      <c r="B299" s="423" t="s">
        <v>2141</v>
      </c>
      <c r="C299" s="423" t="s">
        <v>2893</v>
      </c>
      <c r="D299" s="423" t="s">
        <v>2926</v>
      </c>
      <c r="E299" s="423" t="s">
        <v>2625</v>
      </c>
      <c r="F299" s="423" t="s">
        <v>2554</v>
      </c>
      <c r="G299" s="423" t="s">
        <v>2634</v>
      </c>
      <c r="H299" s="423" t="s">
        <v>2635</v>
      </c>
      <c r="I299" s="423" t="s">
        <v>2636</v>
      </c>
      <c r="J299" s="423" t="s">
        <v>2636</v>
      </c>
      <c r="K299" s="423" t="s">
        <v>2621</v>
      </c>
      <c r="L299" s="423" t="s">
        <v>2557</v>
      </c>
      <c r="M299" s="422">
        <v>945</v>
      </c>
      <c r="N299" s="422"/>
      <c r="O299" s="422"/>
      <c r="P299" s="422">
        <v>946.53300000000002</v>
      </c>
    </row>
    <row r="300" spans="1:16" hidden="1" x14ac:dyDescent="0.5">
      <c r="A300" s="423">
        <v>123</v>
      </c>
      <c r="B300" s="423" t="s">
        <v>2141</v>
      </c>
      <c r="C300" s="423" t="s">
        <v>2893</v>
      </c>
      <c r="D300" s="423" t="s">
        <v>2925</v>
      </c>
      <c r="E300" s="423" t="s">
        <v>2924</v>
      </c>
      <c r="F300" s="423" t="s">
        <v>2554</v>
      </c>
      <c r="G300" s="423" t="s">
        <v>2612</v>
      </c>
      <c r="H300" s="423" t="s">
        <v>2923</v>
      </c>
      <c r="I300" s="423" t="s">
        <v>2576</v>
      </c>
      <c r="J300" s="423" t="s">
        <v>2576</v>
      </c>
      <c r="K300" s="423" t="s">
        <v>2621</v>
      </c>
      <c r="L300" s="423" t="s">
        <v>2557</v>
      </c>
      <c r="M300" s="422">
        <v>420</v>
      </c>
      <c r="N300" s="422"/>
      <c r="O300" s="422"/>
      <c r="P300" s="422">
        <v>420.68099999999998</v>
      </c>
    </row>
    <row r="301" spans="1:16" hidden="1" x14ac:dyDescent="0.5">
      <c r="A301" s="423">
        <v>124</v>
      </c>
      <c r="B301" s="423" t="s">
        <v>2141</v>
      </c>
      <c r="C301" s="423" t="s">
        <v>2893</v>
      </c>
      <c r="D301" s="423" t="s">
        <v>2922</v>
      </c>
      <c r="E301" s="423" t="s">
        <v>2625</v>
      </c>
      <c r="F301" s="423" t="s">
        <v>2554</v>
      </c>
      <c r="G301" s="423" t="s">
        <v>2719</v>
      </c>
      <c r="H301" s="423" t="s">
        <v>2921</v>
      </c>
      <c r="I301" s="423" t="s">
        <v>2628</v>
      </c>
      <c r="J301" s="423" t="s">
        <v>2628</v>
      </c>
      <c r="K301" s="423" t="s">
        <v>2621</v>
      </c>
      <c r="L301" s="423" t="s">
        <v>2557</v>
      </c>
      <c r="M301" s="422">
        <v>698</v>
      </c>
      <c r="N301" s="422"/>
      <c r="O301" s="422"/>
      <c r="P301" s="422">
        <v>699.13199999999995</v>
      </c>
    </row>
    <row r="302" spans="1:16" hidden="1" x14ac:dyDescent="0.5">
      <c r="A302" s="423">
        <v>125</v>
      </c>
      <c r="B302" s="423" t="s">
        <v>2141</v>
      </c>
      <c r="C302" s="423" t="s">
        <v>2893</v>
      </c>
      <c r="D302" s="423" t="s">
        <v>2920</v>
      </c>
      <c r="E302" s="423" t="s">
        <v>2560</v>
      </c>
      <c r="F302" s="423" t="s">
        <v>2554</v>
      </c>
      <c r="G302" s="423" t="s">
        <v>2624</v>
      </c>
      <c r="H302" s="423" t="s">
        <v>2919</v>
      </c>
      <c r="I302" s="423" t="s">
        <v>2623</v>
      </c>
      <c r="J302" s="423" t="s">
        <v>2623</v>
      </c>
      <c r="K302" s="423" t="s">
        <v>2621</v>
      </c>
      <c r="L302" s="423" t="s">
        <v>2557</v>
      </c>
      <c r="M302" s="422">
        <v>5982</v>
      </c>
      <c r="N302" s="422"/>
      <c r="O302" s="422"/>
      <c r="P302" s="422">
        <v>5991.7039999999997</v>
      </c>
    </row>
    <row r="303" spans="1:16" hidden="1" x14ac:dyDescent="0.5">
      <c r="A303" s="423">
        <v>126</v>
      </c>
      <c r="B303" s="420" t="s">
        <v>2142</v>
      </c>
      <c r="C303" s="420" t="s">
        <v>2893</v>
      </c>
      <c r="D303" s="420" t="s">
        <v>2892</v>
      </c>
      <c r="E303" s="420" t="s">
        <v>2891</v>
      </c>
      <c r="F303" s="420" t="s">
        <v>2554</v>
      </c>
      <c r="G303" s="420" t="s">
        <v>2631</v>
      </c>
      <c r="H303" s="420" t="s">
        <v>2890</v>
      </c>
      <c r="I303" s="420" t="s">
        <v>2889</v>
      </c>
      <c r="J303" s="420" t="s">
        <v>2715</v>
      </c>
      <c r="K303" s="420" t="s">
        <v>2621</v>
      </c>
      <c r="L303" s="420" t="s">
        <v>2557</v>
      </c>
      <c r="M303" s="419">
        <v>439</v>
      </c>
      <c r="P303" s="419">
        <v>439</v>
      </c>
    </row>
    <row r="304" spans="1:16" hidden="1" x14ac:dyDescent="0.5">
      <c r="A304" s="423">
        <v>127</v>
      </c>
      <c r="B304" s="423" t="s">
        <v>2142</v>
      </c>
      <c r="C304" s="423" t="s">
        <v>2893</v>
      </c>
      <c r="D304" s="423" t="s">
        <v>2918</v>
      </c>
      <c r="E304" s="423" t="s">
        <v>2560</v>
      </c>
      <c r="F304" s="423" t="s">
        <v>2554</v>
      </c>
      <c r="G304" s="423" t="s">
        <v>2620</v>
      </c>
      <c r="H304" s="423" t="s">
        <v>2749</v>
      </c>
      <c r="I304" s="423" t="s">
        <v>2563</v>
      </c>
      <c r="J304" s="423" t="s">
        <v>2576</v>
      </c>
      <c r="K304" s="423" t="s">
        <v>2621</v>
      </c>
      <c r="L304" s="423" t="s">
        <v>2557</v>
      </c>
      <c r="M304" s="422">
        <v>1464</v>
      </c>
      <c r="N304" s="422"/>
      <c r="O304" s="422"/>
      <c r="P304" s="422">
        <v>1468.008</v>
      </c>
    </row>
    <row r="305" spans="1:16" hidden="1" x14ac:dyDescent="0.5">
      <c r="A305" s="423">
        <v>128</v>
      </c>
      <c r="B305" s="423" t="s">
        <v>2142</v>
      </c>
      <c r="C305" s="423" t="s">
        <v>2893</v>
      </c>
      <c r="D305" s="423" t="s">
        <v>2917</v>
      </c>
      <c r="E305" s="423" t="s">
        <v>2560</v>
      </c>
      <c r="F305" s="423" t="s">
        <v>2554</v>
      </c>
      <c r="G305" s="423" t="s">
        <v>2622</v>
      </c>
      <c r="H305" s="423" t="s">
        <v>2712</v>
      </c>
      <c r="I305" s="423" t="s">
        <v>2623</v>
      </c>
      <c r="J305" s="423" t="s">
        <v>2623</v>
      </c>
      <c r="K305" s="423" t="s">
        <v>2621</v>
      </c>
      <c r="L305" s="423" t="s">
        <v>2557</v>
      </c>
      <c r="M305" s="422">
        <v>5836</v>
      </c>
      <c r="N305" s="422"/>
      <c r="O305" s="422"/>
      <c r="P305" s="422">
        <v>5851.9759999999997</v>
      </c>
    </row>
    <row r="306" spans="1:16" hidden="1" x14ac:dyDescent="0.5">
      <c r="A306" s="423">
        <v>129</v>
      </c>
      <c r="B306" s="423" t="s">
        <v>2142</v>
      </c>
      <c r="C306" s="423" t="s">
        <v>2893</v>
      </c>
      <c r="D306" s="423" t="s">
        <v>2916</v>
      </c>
      <c r="E306" s="423" t="s">
        <v>2625</v>
      </c>
      <c r="F306" s="423" t="s">
        <v>2554</v>
      </c>
      <c r="G306" s="423" t="s">
        <v>2634</v>
      </c>
      <c r="H306" s="423" t="s">
        <v>2915</v>
      </c>
      <c r="I306" s="423" t="s">
        <v>2636</v>
      </c>
      <c r="J306" s="423" t="s">
        <v>2636</v>
      </c>
      <c r="K306" s="423" t="s">
        <v>2621</v>
      </c>
      <c r="L306" s="423" t="s">
        <v>2557</v>
      </c>
      <c r="M306" s="422">
        <v>375</v>
      </c>
      <c r="N306" s="422"/>
      <c r="O306" s="422"/>
      <c r="P306" s="422">
        <v>375.608</v>
      </c>
    </row>
    <row r="307" spans="1:16" hidden="1" x14ac:dyDescent="0.5">
      <c r="A307" s="423">
        <v>130</v>
      </c>
      <c r="B307" s="423" t="s">
        <v>2142</v>
      </c>
      <c r="C307" s="423" t="s">
        <v>2893</v>
      </c>
      <c r="D307" s="423" t="s">
        <v>2914</v>
      </c>
      <c r="E307" s="423" t="s">
        <v>2625</v>
      </c>
      <c r="F307" s="423" t="s">
        <v>2554</v>
      </c>
      <c r="G307" s="423" t="s">
        <v>2626</v>
      </c>
      <c r="H307" s="423" t="s">
        <v>2627</v>
      </c>
      <c r="I307" s="423" t="s">
        <v>2628</v>
      </c>
      <c r="J307" s="423" t="s">
        <v>2628</v>
      </c>
      <c r="K307" s="423" t="s">
        <v>2621</v>
      </c>
      <c r="L307" s="423" t="s">
        <v>2557</v>
      </c>
      <c r="M307" s="422">
        <v>1992</v>
      </c>
      <c r="N307" s="422"/>
      <c r="O307" s="422"/>
      <c r="P307" s="422">
        <v>1995.231</v>
      </c>
    </row>
    <row r="308" spans="1:16" hidden="1" x14ac:dyDescent="0.5">
      <c r="A308" s="423">
        <v>131</v>
      </c>
      <c r="B308" s="423" t="s">
        <v>2142</v>
      </c>
      <c r="C308" s="423" t="s">
        <v>2913</v>
      </c>
      <c r="D308" s="423" t="s">
        <v>2912</v>
      </c>
      <c r="E308" s="423" t="s">
        <v>2560</v>
      </c>
      <c r="F308" s="423" t="s">
        <v>2554</v>
      </c>
      <c r="G308" s="423" t="s">
        <v>2624</v>
      </c>
      <c r="H308" s="423" t="s">
        <v>2712</v>
      </c>
      <c r="I308" s="423" t="s">
        <v>2623</v>
      </c>
      <c r="J308" s="423" t="s">
        <v>2623</v>
      </c>
      <c r="K308" s="423" t="s">
        <v>2621</v>
      </c>
      <c r="L308" s="423" t="s">
        <v>2557</v>
      </c>
      <c r="M308" s="422">
        <v>4748</v>
      </c>
      <c r="N308" s="422"/>
      <c r="O308" s="422"/>
      <c r="P308" s="422">
        <v>4755.701</v>
      </c>
    </row>
    <row r="309" spans="1:16" hidden="1" x14ac:dyDescent="0.5">
      <c r="A309" s="423">
        <v>132</v>
      </c>
      <c r="B309" s="423" t="s">
        <v>2143</v>
      </c>
      <c r="C309" s="423" t="s">
        <v>2893</v>
      </c>
      <c r="D309" s="423" t="s">
        <v>2911</v>
      </c>
      <c r="E309" s="423" t="s">
        <v>2560</v>
      </c>
      <c r="F309" s="423" t="s">
        <v>2554</v>
      </c>
      <c r="G309" s="423" t="s">
        <v>2620</v>
      </c>
      <c r="H309" s="423" t="s">
        <v>2749</v>
      </c>
      <c r="I309" s="423" t="s">
        <v>2563</v>
      </c>
      <c r="J309" s="423" t="s">
        <v>2576</v>
      </c>
      <c r="K309" s="423" t="s">
        <v>2621</v>
      </c>
      <c r="L309" s="423" t="s">
        <v>2557</v>
      </c>
      <c r="M309" s="422">
        <v>2100</v>
      </c>
      <c r="N309" s="422"/>
      <c r="O309" s="422"/>
      <c r="P309" s="422">
        <v>2106.8130000000001</v>
      </c>
    </row>
    <row r="310" spans="1:16" hidden="1" x14ac:dyDescent="0.5">
      <c r="A310" s="423">
        <v>133</v>
      </c>
      <c r="B310" s="423" t="s">
        <v>2143</v>
      </c>
      <c r="C310" s="423" t="s">
        <v>2893</v>
      </c>
      <c r="D310" s="423" t="s">
        <v>2910</v>
      </c>
      <c r="E310" s="423" t="s">
        <v>2560</v>
      </c>
      <c r="F310" s="423" t="s">
        <v>2554</v>
      </c>
      <c r="G310" s="423" t="s">
        <v>2624</v>
      </c>
      <c r="H310" s="423" t="s">
        <v>2716</v>
      </c>
      <c r="I310" s="423" t="s">
        <v>2623</v>
      </c>
      <c r="J310" s="423" t="s">
        <v>2623</v>
      </c>
      <c r="K310" s="423" t="s">
        <v>2621</v>
      </c>
      <c r="L310" s="423" t="s">
        <v>2557</v>
      </c>
      <c r="M310" s="422">
        <v>4560</v>
      </c>
      <c r="N310" s="422"/>
      <c r="O310" s="422"/>
      <c r="P310" s="422">
        <v>4574.7950000000001</v>
      </c>
    </row>
    <row r="311" spans="1:16" hidden="1" x14ac:dyDescent="0.5">
      <c r="A311" s="423">
        <v>134</v>
      </c>
      <c r="B311" s="423" t="s">
        <v>2143</v>
      </c>
      <c r="C311" s="423" t="s">
        <v>2893</v>
      </c>
      <c r="D311" s="423" t="s">
        <v>2909</v>
      </c>
      <c r="E311" s="423" t="s">
        <v>2637</v>
      </c>
      <c r="F311" s="423" t="s">
        <v>2554</v>
      </c>
      <c r="G311" s="423" t="s">
        <v>2638</v>
      </c>
      <c r="H311" s="423" t="s">
        <v>2908</v>
      </c>
      <c r="I311" s="423" t="s">
        <v>2628</v>
      </c>
      <c r="J311" s="423" t="s">
        <v>2628</v>
      </c>
      <c r="K311" s="423" t="s">
        <v>2621</v>
      </c>
      <c r="L311" s="423" t="s">
        <v>2557</v>
      </c>
      <c r="M311" s="422">
        <v>1893</v>
      </c>
      <c r="N311" s="422"/>
      <c r="O311" s="422"/>
      <c r="P311" s="422">
        <v>1899.1420000000001</v>
      </c>
    </row>
    <row r="312" spans="1:16" hidden="1" x14ac:dyDescent="0.5">
      <c r="A312" s="423">
        <v>135</v>
      </c>
      <c r="B312" s="423" t="s">
        <v>2143</v>
      </c>
      <c r="C312" s="423" t="s">
        <v>2893</v>
      </c>
      <c r="D312" s="423" t="s">
        <v>2907</v>
      </c>
      <c r="E312" s="423" t="s">
        <v>2625</v>
      </c>
      <c r="F312" s="423" t="s">
        <v>2554</v>
      </c>
      <c r="G312" s="423" t="s">
        <v>2633</v>
      </c>
      <c r="H312" s="423" t="s">
        <v>2639</v>
      </c>
      <c r="I312" s="423" t="s">
        <v>2628</v>
      </c>
      <c r="J312" s="423" t="s">
        <v>2628</v>
      </c>
      <c r="K312" s="423" t="s">
        <v>2621</v>
      </c>
      <c r="L312" s="423" t="s">
        <v>2557</v>
      </c>
      <c r="M312" s="422">
        <v>1318</v>
      </c>
      <c r="N312" s="422"/>
      <c r="O312" s="422"/>
      <c r="P312" s="422">
        <v>1322.2760000000001</v>
      </c>
    </row>
    <row r="313" spans="1:16" hidden="1" x14ac:dyDescent="0.5">
      <c r="A313" s="423">
        <v>136</v>
      </c>
      <c r="B313" s="423" t="s">
        <v>2143</v>
      </c>
      <c r="C313" s="423" t="s">
        <v>2893</v>
      </c>
      <c r="D313" s="423" t="s">
        <v>2906</v>
      </c>
      <c r="E313" s="423" t="s">
        <v>2625</v>
      </c>
      <c r="F313" s="423" t="s">
        <v>2554</v>
      </c>
      <c r="G313" s="423" t="s">
        <v>2634</v>
      </c>
      <c r="H313" s="423" t="s">
        <v>2905</v>
      </c>
      <c r="I313" s="423" t="s">
        <v>2636</v>
      </c>
      <c r="J313" s="423" t="s">
        <v>2636</v>
      </c>
      <c r="K313" s="423" t="s">
        <v>2621</v>
      </c>
      <c r="L313" s="423" t="s">
        <v>2557</v>
      </c>
      <c r="M313" s="422">
        <v>589</v>
      </c>
      <c r="N313" s="422"/>
      <c r="O313" s="422"/>
      <c r="P313" s="422">
        <v>590.91099999999994</v>
      </c>
    </row>
    <row r="314" spans="1:16" hidden="1" x14ac:dyDescent="0.5">
      <c r="A314" s="423">
        <v>137</v>
      </c>
      <c r="B314" s="423" t="s">
        <v>2143</v>
      </c>
      <c r="C314" s="423" t="s">
        <v>2895</v>
      </c>
      <c r="D314" s="423" t="s">
        <v>2904</v>
      </c>
      <c r="E314" s="423" t="s">
        <v>2625</v>
      </c>
      <c r="F314" s="423" t="s">
        <v>2554</v>
      </c>
      <c r="G314" s="423" t="s">
        <v>2719</v>
      </c>
      <c r="H314" s="423" t="s">
        <v>2639</v>
      </c>
      <c r="I314" s="423" t="s">
        <v>2628</v>
      </c>
      <c r="J314" s="423" t="s">
        <v>2628</v>
      </c>
      <c r="K314" s="423" t="s">
        <v>2621</v>
      </c>
      <c r="L314" s="423" t="s">
        <v>2557</v>
      </c>
      <c r="M314" s="422">
        <v>625</v>
      </c>
      <c r="N314" s="422"/>
      <c r="O314" s="422"/>
      <c r="P314" s="422">
        <v>627.02800000000002</v>
      </c>
    </row>
    <row r="315" spans="1:16" hidden="1" x14ac:dyDescent="0.5">
      <c r="A315" s="423">
        <v>138</v>
      </c>
      <c r="B315" s="423" t="s">
        <v>2143</v>
      </c>
      <c r="C315" s="423" t="s">
        <v>2895</v>
      </c>
      <c r="D315" s="423" t="s">
        <v>2903</v>
      </c>
      <c r="E315" s="423" t="s">
        <v>2560</v>
      </c>
      <c r="F315" s="423" t="s">
        <v>2554</v>
      </c>
      <c r="G315" s="423" t="s">
        <v>2624</v>
      </c>
      <c r="H315" s="423" t="s">
        <v>2716</v>
      </c>
      <c r="I315" s="423" t="s">
        <v>2623</v>
      </c>
      <c r="J315" s="423" t="s">
        <v>2623</v>
      </c>
      <c r="K315" s="423" t="s">
        <v>2621</v>
      </c>
      <c r="L315" s="423" t="s">
        <v>2557</v>
      </c>
      <c r="M315" s="422">
        <v>3530</v>
      </c>
      <c r="N315" s="422"/>
      <c r="O315" s="422"/>
      <c r="P315" s="422">
        <v>3541.453</v>
      </c>
    </row>
    <row r="316" spans="1:16" hidden="1" x14ac:dyDescent="0.5">
      <c r="A316" s="423">
        <v>139</v>
      </c>
      <c r="B316" s="423" t="s">
        <v>2143</v>
      </c>
      <c r="C316" s="423" t="s">
        <v>2895</v>
      </c>
      <c r="D316" s="423" t="s">
        <v>2902</v>
      </c>
      <c r="E316" s="423" t="s">
        <v>2760</v>
      </c>
      <c r="F316" s="423" t="s">
        <v>2600</v>
      </c>
      <c r="G316" s="423" t="s">
        <v>2612</v>
      </c>
      <c r="H316" s="423" t="s">
        <v>2901</v>
      </c>
      <c r="I316" s="423" t="s">
        <v>2786</v>
      </c>
      <c r="J316" s="423" t="s">
        <v>2900</v>
      </c>
      <c r="K316" s="423" t="s">
        <v>2621</v>
      </c>
      <c r="L316" s="423" t="s">
        <v>2557</v>
      </c>
      <c r="M316" s="422">
        <v>4938</v>
      </c>
      <c r="N316" s="422"/>
      <c r="O316" s="422"/>
      <c r="P316" s="422">
        <v>4954.0209999999997</v>
      </c>
    </row>
    <row r="317" spans="1:16" hidden="1" x14ac:dyDescent="0.5">
      <c r="A317" s="423">
        <v>140</v>
      </c>
      <c r="B317" s="423" t="s">
        <v>2144</v>
      </c>
      <c r="C317" s="423" t="s">
        <v>2895</v>
      </c>
      <c r="D317" s="423" t="s">
        <v>2899</v>
      </c>
      <c r="E317" s="423" t="s">
        <v>2560</v>
      </c>
      <c r="F317" s="423" t="s">
        <v>2554</v>
      </c>
      <c r="G317" s="423" t="s">
        <v>2620</v>
      </c>
      <c r="H317" s="423" t="s">
        <v>2749</v>
      </c>
      <c r="I317" s="423" t="s">
        <v>2563</v>
      </c>
      <c r="J317" s="423" t="s">
        <v>2576</v>
      </c>
      <c r="K317" s="423" t="s">
        <v>2621</v>
      </c>
      <c r="L317" s="423" t="s">
        <v>2557</v>
      </c>
      <c r="M317" s="422">
        <v>2400</v>
      </c>
      <c r="N317" s="422"/>
      <c r="O317" s="422"/>
      <c r="P317" s="422">
        <v>2406.326</v>
      </c>
    </row>
    <row r="318" spans="1:16" hidden="1" x14ac:dyDescent="0.5">
      <c r="A318" s="423">
        <v>141</v>
      </c>
      <c r="B318" s="423" t="s">
        <v>2144</v>
      </c>
      <c r="C318" s="423" t="s">
        <v>2895</v>
      </c>
      <c r="D318" s="423" t="s">
        <v>2898</v>
      </c>
      <c r="E318" s="423" t="s">
        <v>2560</v>
      </c>
      <c r="F318" s="423" t="s">
        <v>2554</v>
      </c>
      <c r="G318" s="423" t="s">
        <v>2622</v>
      </c>
      <c r="H318" s="423" t="s">
        <v>2716</v>
      </c>
      <c r="I318" s="423" t="s">
        <v>2623</v>
      </c>
      <c r="J318" s="423" t="s">
        <v>2623</v>
      </c>
      <c r="K318" s="423" t="s">
        <v>2621</v>
      </c>
      <c r="L318" s="423" t="s">
        <v>2557</v>
      </c>
      <c r="M318" s="422">
        <v>4664</v>
      </c>
      <c r="N318" s="422"/>
      <c r="O318" s="422"/>
      <c r="P318" s="422">
        <v>4676.2939999999999</v>
      </c>
    </row>
    <row r="319" spans="1:16" hidden="1" x14ac:dyDescent="0.5">
      <c r="A319" s="423">
        <v>142</v>
      </c>
      <c r="B319" s="423" t="s">
        <v>2144</v>
      </c>
      <c r="C319" s="423" t="s">
        <v>2895</v>
      </c>
      <c r="D319" s="423" t="s">
        <v>2897</v>
      </c>
      <c r="E319" s="423" t="s">
        <v>2625</v>
      </c>
      <c r="F319" s="423" t="s">
        <v>2554</v>
      </c>
      <c r="G319" s="423" t="s">
        <v>2634</v>
      </c>
      <c r="H319" s="423" t="s">
        <v>2896</v>
      </c>
      <c r="I319" s="423" t="s">
        <v>2636</v>
      </c>
      <c r="J319" s="423" t="s">
        <v>2636</v>
      </c>
      <c r="K319" s="423" t="s">
        <v>2621</v>
      </c>
      <c r="L319" s="423" t="s">
        <v>2557</v>
      </c>
      <c r="M319" s="422">
        <v>1066</v>
      </c>
      <c r="N319" s="422"/>
      <c r="O319" s="422"/>
      <c r="P319" s="422">
        <v>1067.6210000000001</v>
      </c>
    </row>
    <row r="320" spans="1:16" hidden="1" x14ac:dyDescent="0.5">
      <c r="A320" s="423">
        <v>143</v>
      </c>
      <c r="B320" s="423" t="s">
        <v>2144</v>
      </c>
      <c r="C320" s="423" t="s">
        <v>2895</v>
      </c>
      <c r="D320" s="423" t="s">
        <v>2894</v>
      </c>
      <c r="E320" s="423" t="s">
        <v>2560</v>
      </c>
      <c r="F320" s="423" t="s">
        <v>2554</v>
      </c>
      <c r="G320" s="423" t="s">
        <v>2624</v>
      </c>
      <c r="H320" s="423" t="s">
        <v>2716</v>
      </c>
      <c r="I320" s="423" t="s">
        <v>2623</v>
      </c>
      <c r="J320" s="423" t="s">
        <v>2623</v>
      </c>
      <c r="K320" s="423" t="s">
        <v>2621</v>
      </c>
      <c r="L320" s="423" t="s">
        <v>2557</v>
      </c>
      <c r="M320" s="422">
        <v>4338</v>
      </c>
      <c r="N320" s="422"/>
      <c r="O320" s="422"/>
      <c r="P320" s="422">
        <v>4344.5950000000003</v>
      </c>
    </row>
    <row r="321" spans="1:16" ht="12.75" x14ac:dyDescent="0.2">
      <c r="A321" s="469" t="s">
        <v>2640</v>
      </c>
      <c r="B321" s="469"/>
      <c r="C321" s="469"/>
      <c r="D321" s="469"/>
      <c r="E321" s="469"/>
      <c r="F321" s="469"/>
      <c r="G321" s="469"/>
      <c r="H321" s="469"/>
      <c r="I321" s="469"/>
      <c r="J321" s="469"/>
      <c r="K321" s="469"/>
      <c r="L321" s="469"/>
      <c r="M321" s="421">
        <f>SUM(M178:M320)</f>
        <v>420562</v>
      </c>
      <c r="N321" s="421"/>
      <c r="O321" s="421"/>
      <c r="P321" s="421">
        <f>SUM(P178:P320)</f>
        <v>420891.86500000011</v>
      </c>
    </row>
    <row r="322" spans="1:16" ht="12.75" x14ac:dyDescent="0.2">
      <c r="A322" s="469" t="s">
        <v>2641</v>
      </c>
      <c r="B322" s="469"/>
      <c r="C322" s="469"/>
      <c r="D322" s="469"/>
      <c r="E322" s="469"/>
      <c r="F322" s="469"/>
      <c r="G322" s="469"/>
      <c r="H322" s="469"/>
      <c r="I322" s="469"/>
      <c r="J322" s="469"/>
      <c r="K322" s="469"/>
      <c r="L322" s="469"/>
      <c r="M322" s="421">
        <f>SUM(M321,M177)</f>
        <v>4871155</v>
      </c>
      <c r="N322" s="421"/>
      <c r="O322" s="421"/>
      <c r="P322" s="421">
        <f>SUM(P321,P177)</f>
        <v>4874818.307</v>
      </c>
    </row>
    <row r="325" spans="1:16" hidden="1" x14ac:dyDescent="0.5">
      <c r="A325" s="423">
        <v>1</v>
      </c>
      <c r="B325" s="423" t="s">
        <v>2142</v>
      </c>
      <c r="C325" s="423" t="s">
        <v>2893</v>
      </c>
      <c r="D325" s="423" t="s">
        <v>2892</v>
      </c>
      <c r="E325" s="423" t="s">
        <v>2891</v>
      </c>
      <c r="F325" s="423" t="s">
        <v>2554</v>
      </c>
      <c r="G325" s="423" t="s">
        <v>2631</v>
      </c>
      <c r="H325" s="423" t="s">
        <v>2890</v>
      </c>
      <c r="I325" s="423" t="s">
        <v>2889</v>
      </c>
      <c r="J325" s="423" t="s">
        <v>2715</v>
      </c>
      <c r="K325" s="423" t="s">
        <v>2621</v>
      </c>
      <c r="L325" s="423" t="s">
        <v>2557</v>
      </c>
      <c r="M325" s="422">
        <v>439</v>
      </c>
      <c r="N325" s="422"/>
      <c r="O325" s="422"/>
      <c r="P325" s="422">
        <v>439</v>
      </c>
    </row>
    <row r="326" spans="1:16" ht="12.75" x14ac:dyDescent="0.2">
      <c r="A326" s="469" t="s">
        <v>2888</v>
      </c>
      <c r="B326" s="469"/>
      <c r="C326" s="469"/>
      <c r="D326" s="469"/>
      <c r="E326" s="469"/>
      <c r="F326" s="469"/>
      <c r="G326" s="469"/>
      <c r="H326" s="469"/>
      <c r="I326" s="469"/>
      <c r="J326" s="469"/>
      <c r="K326" s="469"/>
      <c r="L326" s="469"/>
      <c r="M326" s="421">
        <f>SUM(M325)</f>
        <v>439</v>
      </c>
      <c r="N326" s="421"/>
      <c r="O326" s="421"/>
      <c r="P326" s="421">
        <f>SUM(P325)</f>
        <v>439</v>
      </c>
    </row>
    <row r="329" spans="1:16" x14ac:dyDescent="0.5">
      <c r="A329" s="425"/>
      <c r="B329" s="425"/>
      <c r="C329" s="425"/>
      <c r="D329" s="425"/>
      <c r="E329" s="425"/>
      <c r="F329" s="425"/>
      <c r="G329" s="425"/>
      <c r="H329" s="425"/>
      <c r="I329" s="425"/>
      <c r="J329" s="425"/>
      <c r="K329" s="425"/>
      <c r="L329" s="425"/>
      <c r="M329" s="424" t="s">
        <v>2640</v>
      </c>
      <c r="N329" s="424"/>
      <c r="O329" s="424"/>
      <c r="P329" s="424" t="s">
        <v>2619</v>
      </c>
    </row>
    <row r="330" spans="1:16" x14ac:dyDescent="0.5">
      <c r="A330" s="423"/>
      <c r="B330" s="423"/>
      <c r="C330" s="423"/>
      <c r="D330" s="423"/>
      <c r="E330" s="423" t="s">
        <v>2672</v>
      </c>
      <c r="F330" s="423" t="s">
        <v>2554</v>
      </c>
      <c r="G330" s="423" t="s">
        <v>2768</v>
      </c>
      <c r="H330" s="423" t="s">
        <v>2876</v>
      </c>
      <c r="I330" s="423" t="s">
        <v>2555</v>
      </c>
      <c r="J330" s="423" t="s">
        <v>2555</v>
      </c>
      <c r="K330" s="423" t="s">
        <v>2556</v>
      </c>
      <c r="L330" s="423" t="s">
        <v>2114</v>
      </c>
      <c r="M330" s="422">
        <v>12354.334999999999</v>
      </c>
      <c r="N330" s="422"/>
      <c r="O330" s="422"/>
      <c r="P330" s="422">
        <v>11594.874</v>
      </c>
    </row>
    <row r="331" spans="1:16" x14ac:dyDescent="0.5">
      <c r="A331" s="423"/>
      <c r="B331" s="423"/>
      <c r="C331" s="423"/>
      <c r="D331" s="423"/>
      <c r="E331" s="423" t="s">
        <v>2553</v>
      </c>
      <c r="F331" s="423" t="s">
        <v>2554</v>
      </c>
      <c r="G331" s="423" t="s">
        <v>2887</v>
      </c>
      <c r="H331" s="423" t="s">
        <v>2886</v>
      </c>
      <c r="I331" s="423" t="s">
        <v>2567</v>
      </c>
      <c r="J331" s="423" t="s">
        <v>2567</v>
      </c>
      <c r="K331" s="423" t="s">
        <v>2556</v>
      </c>
      <c r="L331" s="423" t="s">
        <v>2114</v>
      </c>
      <c r="M331" s="422"/>
      <c r="N331" s="422"/>
      <c r="O331" s="422"/>
      <c r="P331" s="422">
        <v>14820.508</v>
      </c>
    </row>
    <row r="332" spans="1:16" x14ac:dyDescent="0.5">
      <c r="A332" s="423"/>
      <c r="B332" s="423"/>
      <c r="C332" s="423"/>
      <c r="D332" s="423"/>
      <c r="E332" s="423" t="s">
        <v>2566</v>
      </c>
      <c r="F332" s="423" t="s">
        <v>2559</v>
      </c>
      <c r="G332" s="423" t="s">
        <v>2885</v>
      </c>
      <c r="H332" s="423" t="s">
        <v>2884</v>
      </c>
      <c r="I332" s="423" t="s">
        <v>2883</v>
      </c>
      <c r="J332" s="423" t="s">
        <v>2883</v>
      </c>
      <c r="K332" s="423" t="s">
        <v>2556</v>
      </c>
      <c r="L332" s="423" t="s">
        <v>2114</v>
      </c>
      <c r="M332" s="422"/>
      <c r="N332" s="422"/>
      <c r="O332" s="422"/>
      <c r="P332" s="422">
        <v>6301.8050000000003</v>
      </c>
    </row>
    <row r="333" spans="1:16" x14ac:dyDescent="0.5">
      <c r="A333" s="423"/>
      <c r="B333" s="423"/>
      <c r="C333" s="423"/>
      <c r="D333" s="423"/>
      <c r="E333" s="423" t="s">
        <v>2560</v>
      </c>
      <c r="F333" s="423" t="s">
        <v>2554</v>
      </c>
      <c r="G333" s="423" t="s">
        <v>2561</v>
      </c>
      <c r="H333" s="423" t="s">
        <v>2849</v>
      </c>
      <c r="I333" s="423" t="s">
        <v>2562</v>
      </c>
      <c r="J333" s="423" t="s">
        <v>2563</v>
      </c>
      <c r="K333" s="423" t="s">
        <v>2556</v>
      </c>
      <c r="L333" s="423" t="s">
        <v>2114</v>
      </c>
      <c r="M333" s="422"/>
      <c r="N333" s="422"/>
      <c r="O333" s="422"/>
      <c r="P333" s="422">
        <v>3903.0210000000002</v>
      </c>
    </row>
    <row r="334" spans="1:16" x14ac:dyDescent="0.5">
      <c r="A334" s="423"/>
      <c r="B334" s="423"/>
      <c r="C334" s="423"/>
      <c r="D334" s="423"/>
      <c r="E334" s="423" t="s">
        <v>2553</v>
      </c>
      <c r="F334" s="423" t="s">
        <v>2559</v>
      </c>
      <c r="G334" s="423" t="s">
        <v>2748</v>
      </c>
      <c r="H334" s="423" t="s">
        <v>2674</v>
      </c>
      <c r="I334" s="423" t="s">
        <v>2558</v>
      </c>
      <c r="J334" s="423" t="s">
        <v>2558</v>
      </c>
      <c r="K334" s="423" t="s">
        <v>2556</v>
      </c>
      <c r="L334" s="423" t="s">
        <v>2114</v>
      </c>
      <c r="M334" s="422"/>
      <c r="N334" s="422"/>
      <c r="O334" s="422"/>
      <c r="P334" s="422">
        <v>15238.273999999999</v>
      </c>
    </row>
    <row r="335" spans="1:16" x14ac:dyDescent="0.5">
      <c r="A335" s="423"/>
      <c r="B335" s="423"/>
      <c r="C335" s="423"/>
      <c r="D335" s="423"/>
      <c r="E335" s="423" t="s">
        <v>2568</v>
      </c>
      <c r="F335" s="423" t="s">
        <v>2559</v>
      </c>
      <c r="G335" s="423" t="s">
        <v>2838</v>
      </c>
      <c r="H335" s="423" t="s">
        <v>2569</v>
      </c>
      <c r="I335" s="423" t="s">
        <v>2577</v>
      </c>
      <c r="J335" s="423" t="s">
        <v>2570</v>
      </c>
      <c r="K335" s="423" t="s">
        <v>2556</v>
      </c>
      <c r="L335" s="423" t="s">
        <v>2115</v>
      </c>
      <c r="M335" s="422">
        <v>9318.1149999999998</v>
      </c>
      <c r="N335" s="422"/>
      <c r="O335" s="422"/>
      <c r="P335" s="422">
        <v>9321.11</v>
      </c>
    </row>
    <row r="336" spans="1:16" x14ac:dyDescent="0.5">
      <c r="A336" s="423"/>
      <c r="B336" s="423"/>
      <c r="C336" s="423"/>
      <c r="D336" s="423"/>
      <c r="E336" s="423" t="s">
        <v>2560</v>
      </c>
      <c r="F336" s="423" t="s">
        <v>2554</v>
      </c>
      <c r="G336" s="423" t="s">
        <v>2561</v>
      </c>
      <c r="H336" s="423" t="s">
        <v>2849</v>
      </c>
      <c r="I336" s="423" t="s">
        <v>2577</v>
      </c>
      <c r="J336" s="423" t="s">
        <v>2563</v>
      </c>
      <c r="K336" s="423" t="s">
        <v>2556</v>
      </c>
      <c r="L336" s="423" t="s">
        <v>2115</v>
      </c>
      <c r="M336" s="422"/>
      <c r="N336" s="422"/>
      <c r="O336" s="422"/>
      <c r="P336" s="422">
        <v>3842.221</v>
      </c>
    </row>
    <row r="337" spans="1:16" x14ac:dyDescent="0.5">
      <c r="A337" s="423"/>
      <c r="B337" s="423"/>
      <c r="C337" s="423"/>
      <c r="D337" s="423"/>
      <c r="E337" s="423" t="s">
        <v>2553</v>
      </c>
      <c r="F337" s="423" t="s">
        <v>2554</v>
      </c>
      <c r="G337" s="423" t="s">
        <v>2766</v>
      </c>
      <c r="H337" s="423" t="s">
        <v>2575</v>
      </c>
      <c r="I337" s="423" t="s">
        <v>2555</v>
      </c>
      <c r="J337" s="423" t="s">
        <v>2555</v>
      </c>
      <c r="K337" s="423" t="s">
        <v>2556</v>
      </c>
      <c r="L337" s="423" t="s">
        <v>2116</v>
      </c>
      <c r="M337" s="422">
        <v>12494.932999999999</v>
      </c>
      <c r="N337" s="422"/>
      <c r="O337" s="422"/>
      <c r="P337" s="422">
        <v>11269.43</v>
      </c>
    </row>
    <row r="338" spans="1:16" x14ac:dyDescent="0.5">
      <c r="A338" s="423"/>
      <c r="B338" s="423"/>
      <c r="C338" s="423"/>
      <c r="D338" s="423"/>
      <c r="E338" s="423" t="s">
        <v>2760</v>
      </c>
      <c r="F338" s="423" t="s">
        <v>2600</v>
      </c>
      <c r="G338" s="423" t="s">
        <v>2825</v>
      </c>
      <c r="H338" s="423" t="s">
        <v>2882</v>
      </c>
      <c r="I338" s="423" t="s">
        <v>2823</v>
      </c>
      <c r="J338" s="423" t="s">
        <v>2823</v>
      </c>
      <c r="K338" s="423" t="s">
        <v>2556</v>
      </c>
      <c r="L338" s="423" t="s">
        <v>2116</v>
      </c>
      <c r="M338" s="422"/>
      <c r="N338" s="422"/>
      <c r="O338" s="422"/>
      <c r="P338" s="422">
        <v>63447.269</v>
      </c>
    </row>
    <row r="339" spans="1:16" x14ac:dyDescent="0.5">
      <c r="A339" s="423"/>
      <c r="B339" s="423"/>
      <c r="C339" s="423"/>
      <c r="D339" s="423"/>
      <c r="E339" s="423" t="s">
        <v>2760</v>
      </c>
      <c r="F339" s="423" t="s">
        <v>2600</v>
      </c>
      <c r="G339" s="423" t="s">
        <v>2759</v>
      </c>
      <c r="H339" s="423" t="s">
        <v>2758</v>
      </c>
      <c r="I339" s="423" t="s">
        <v>2757</v>
      </c>
      <c r="J339" s="423" t="s">
        <v>2757</v>
      </c>
      <c r="K339" s="423" t="s">
        <v>2556</v>
      </c>
      <c r="L339" s="423" t="s">
        <v>2116</v>
      </c>
      <c r="M339" s="422"/>
      <c r="N339" s="422"/>
      <c r="O339" s="422"/>
      <c r="P339" s="422">
        <v>72120.751000000004</v>
      </c>
    </row>
    <row r="340" spans="1:16" x14ac:dyDescent="0.5">
      <c r="A340" s="423"/>
      <c r="B340" s="423"/>
      <c r="C340" s="423"/>
      <c r="D340" s="423"/>
      <c r="E340" s="423" t="s">
        <v>2566</v>
      </c>
      <c r="F340" s="423" t="s">
        <v>2559</v>
      </c>
      <c r="G340" s="423" t="s">
        <v>2881</v>
      </c>
      <c r="H340" s="423" t="s">
        <v>2863</v>
      </c>
      <c r="I340" s="423" t="s">
        <v>2880</v>
      </c>
      <c r="J340" s="423" t="s">
        <v>2842</v>
      </c>
      <c r="K340" s="423" t="s">
        <v>2556</v>
      </c>
      <c r="L340" s="423" t="s">
        <v>2116</v>
      </c>
      <c r="M340" s="422"/>
      <c r="N340" s="422"/>
      <c r="O340" s="422"/>
      <c r="P340" s="422">
        <v>37994.591</v>
      </c>
    </row>
    <row r="341" spans="1:16" x14ac:dyDescent="0.5">
      <c r="A341" s="423"/>
      <c r="B341" s="423"/>
      <c r="C341" s="423"/>
      <c r="D341" s="423"/>
      <c r="E341" s="423" t="s">
        <v>2560</v>
      </c>
      <c r="F341" s="423" t="s">
        <v>2554</v>
      </c>
      <c r="G341" s="423" t="s">
        <v>2561</v>
      </c>
      <c r="H341" s="423" t="s">
        <v>2849</v>
      </c>
      <c r="I341" s="423" t="s">
        <v>2562</v>
      </c>
      <c r="J341" s="423" t="s">
        <v>2563</v>
      </c>
      <c r="K341" s="423" t="s">
        <v>2556</v>
      </c>
      <c r="L341" s="423" t="s">
        <v>2116</v>
      </c>
      <c r="M341" s="422"/>
      <c r="N341" s="422"/>
      <c r="O341" s="422"/>
      <c r="P341" s="422">
        <v>12055.111000000001</v>
      </c>
    </row>
    <row r="342" spans="1:16" x14ac:dyDescent="0.5">
      <c r="A342" s="423"/>
      <c r="B342" s="423"/>
      <c r="C342" s="423"/>
      <c r="D342" s="423"/>
      <c r="E342" s="423" t="s">
        <v>2553</v>
      </c>
      <c r="F342" s="423" t="s">
        <v>2559</v>
      </c>
      <c r="G342" s="423" t="s">
        <v>2748</v>
      </c>
      <c r="H342" s="423" t="s">
        <v>2686</v>
      </c>
      <c r="I342" s="423" t="s">
        <v>2558</v>
      </c>
      <c r="J342" s="423" t="s">
        <v>2558</v>
      </c>
      <c r="K342" s="423" t="s">
        <v>2556</v>
      </c>
      <c r="L342" s="423" t="s">
        <v>2116</v>
      </c>
      <c r="M342" s="422"/>
      <c r="N342" s="422"/>
      <c r="O342" s="422"/>
      <c r="P342" s="422">
        <v>14762.013000000001</v>
      </c>
    </row>
    <row r="343" spans="1:16" x14ac:dyDescent="0.5">
      <c r="A343" s="423"/>
      <c r="B343" s="423"/>
      <c r="C343" s="423"/>
      <c r="D343" s="423"/>
      <c r="E343" s="423" t="s">
        <v>2672</v>
      </c>
      <c r="F343" s="423" t="s">
        <v>2554</v>
      </c>
      <c r="G343" s="423" t="s">
        <v>2768</v>
      </c>
      <c r="H343" s="423" t="s">
        <v>2879</v>
      </c>
      <c r="I343" s="423" t="s">
        <v>2555</v>
      </c>
      <c r="J343" s="423" t="s">
        <v>2555</v>
      </c>
      <c r="K343" s="423" t="s">
        <v>2556</v>
      </c>
      <c r="L343" s="423" t="s">
        <v>2117</v>
      </c>
      <c r="M343" s="422">
        <v>10038.133999999998</v>
      </c>
      <c r="N343" s="422"/>
      <c r="O343" s="422"/>
      <c r="P343" s="422">
        <v>12632.46</v>
      </c>
    </row>
    <row r="344" spans="1:16" x14ac:dyDescent="0.5">
      <c r="A344" s="423"/>
      <c r="B344" s="423"/>
      <c r="C344" s="423"/>
      <c r="D344" s="423"/>
      <c r="E344" s="423" t="s">
        <v>2760</v>
      </c>
      <c r="F344" s="423" t="s">
        <v>2600</v>
      </c>
      <c r="G344" s="423" t="s">
        <v>2866</v>
      </c>
      <c r="H344" s="423" t="s">
        <v>2801</v>
      </c>
      <c r="I344" s="423" t="s">
        <v>2794</v>
      </c>
      <c r="J344" s="423" t="s">
        <v>2794</v>
      </c>
      <c r="K344" s="423" t="s">
        <v>2556</v>
      </c>
      <c r="L344" s="423" t="s">
        <v>2117</v>
      </c>
      <c r="M344" s="422"/>
      <c r="N344" s="422"/>
      <c r="O344" s="422"/>
      <c r="P344" s="422">
        <v>76461.218999999997</v>
      </c>
    </row>
    <row r="345" spans="1:16" x14ac:dyDescent="0.5">
      <c r="A345" s="423"/>
      <c r="B345" s="423"/>
      <c r="C345" s="423"/>
      <c r="D345" s="423"/>
      <c r="E345" s="423" t="s">
        <v>2568</v>
      </c>
      <c r="F345" s="423" t="s">
        <v>2559</v>
      </c>
      <c r="G345" s="423" t="s">
        <v>2769</v>
      </c>
      <c r="H345" s="423" t="s">
        <v>2569</v>
      </c>
      <c r="I345" s="423" t="s">
        <v>2570</v>
      </c>
      <c r="J345" s="423" t="s">
        <v>2570</v>
      </c>
      <c r="K345" s="423" t="s">
        <v>2556</v>
      </c>
      <c r="L345" s="423" t="s">
        <v>2117</v>
      </c>
      <c r="M345" s="422"/>
      <c r="N345" s="422"/>
      <c r="O345" s="422"/>
      <c r="P345" s="422">
        <v>10402.724</v>
      </c>
    </row>
    <row r="346" spans="1:16" x14ac:dyDescent="0.5">
      <c r="A346" s="423"/>
      <c r="B346" s="423"/>
      <c r="C346" s="423"/>
      <c r="D346" s="423"/>
      <c r="E346" s="423" t="s">
        <v>2560</v>
      </c>
      <c r="F346" s="423" t="s">
        <v>2554</v>
      </c>
      <c r="G346" s="423" t="s">
        <v>2561</v>
      </c>
      <c r="H346" s="423" t="s">
        <v>2849</v>
      </c>
      <c r="I346" s="423" t="s">
        <v>2577</v>
      </c>
      <c r="J346" s="423" t="s">
        <v>2563</v>
      </c>
      <c r="K346" s="423" t="s">
        <v>2556</v>
      </c>
      <c r="L346" s="423" t="s">
        <v>2117</v>
      </c>
      <c r="M346" s="422"/>
      <c r="N346" s="422"/>
      <c r="O346" s="422"/>
      <c r="P346" s="422">
        <v>12364.728999999999</v>
      </c>
    </row>
    <row r="347" spans="1:16" x14ac:dyDescent="0.5">
      <c r="A347" s="423"/>
      <c r="B347" s="423"/>
      <c r="C347" s="423"/>
      <c r="D347" s="423"/>
      <c r="E347" s="423" t="s">
        <v>2566</v>
      </c>
      <c r="F347" s="423" t="s">
        <v>2559</v>
      </c>
      <c r="G347" s="423" t="s">
        <v>2844</v>
      </c>
      <c r="H347" s="423" t="s">
        <v>2863</v>
      </c>
      <c r="I347" s="423" t="s">
        <v>2842</v>
      </c>
      <c r="J347" s="423" t="s">
        <v>2841</v>
      </c>
      <c r="K347" s="423" t="s">
        <v>2556</v>
      </c>
      <c r="L347" s="423" t="s">
        <v>2117</v>
      </c>
      <c r="M347" s="422"/>
      <c r="N347" s="422"/>
      <c r="O347" s="422"/>
      <c r="P347" s="422">
        <v>31134.208999999999</v>
      </c>
    </row>
    <row r="348" spans="1:16" x14ac:dyDescent="0.5">
      <c r="A348" s="423"/>
      <c r="B348" s="423"/>
      <c r="C348" s="423"/>
      <c r="D348" s="423"/>
      <c r="E348" s="423" t="s">
        <v>2553</v>
      </c>
      <c r="F348" s="423" t="s">
        <v>2559</v>
      </c>
      <c r="G348" s="423" t="s">
        <v>2773</v>
      </c>
      <c r="H348" s="423" t="s">
        <v>2671</v>
      </c>
      <c r="I348" s="423" t="s">
        <v>2573</v>
      </c>
      <c r="J348" s="423" t="s">
        <v>2573</v>
      </c>
      <c r="K348" s="423" t="s">
        <v>2556</v>
      </c>
      <c r="L348" s="423" t="s">
        <v>2118</v>
      </c>
      <c r="M348" s="422">
        <v>13697.056</v>
      </c>
      <c r="N348" s="422"/>
      <c r="O348" s="422"/>
      <c r="P348" s="422">
        <v>14689.552</v>
      </c>
    </row>
    <row r="349" spans="1:16" x14ac:dyDescent="0.5">
      <c r="A349" s="423"/>
      <c r="B349" s="423"/>
      <c r="C349" s="423"/>
      <c r="D349" s="423"/>
      <c r="E349" s="423" t="s">
        <v>2553</v>
      </c>
      <c r="F349" s="423" t="s">
        <v>2554</v>
      </c>
      <c r="G349" s="423" t="s">
        <v>2766</v>
      </c>
      <c r="H349" s="423" t="s">
        <v>2579</v>
      </c>
      <c r="I349" s="423" t="s">
        <v>2555</v>
      </c>
      <c r="J349" s="423" t="s">
        <v>2555</v>
      </c>
      <c r="K349" s="423" t="s">
        <v>2556</v>
      </c>
      <c r="L349" s="423" t="s">
        <v>2118</v>
      </c>
      <c r="M349" s="422"/>
      <c r="N349" s="422"/>
      <c r="O349" s="422"/>
      <c r="P349" s="422">
        <v>11307.267</v>
      </c>
    </row>
    <row r="350" spans="1:16" x14ac:dyDescent="0.5">
      <c r="A350" s="423"/>
      <c r="B350" s="423"/>
      <c r="C350" s="423"/>
      <c r="D350" s="423"/>
      <c r="E350" s="423" t="s">
        <v>2560</v>
      </c>
      <c r="F350" s="423" t="s">
        <v>2554</v>
      </c>
      <c r="G350" s="423" t="s">
        <v>2598</v>
      </c>
      <c r="H350" s="423" t="s">
        <v>2849</v>
      </c>
      <c r="I350" s="423" t="s">
        <v>2576</v>
      </c>
      <c r="J350" s="423" t="s">
        <v>2562</v>
      </c>
      <c r="K350" s="423" t="s">
        <v>2556</v>
      </c>
      <c r="L350" s="423" t="s">
        <v>2118</v>
      </c>
      <c r="M350" s="422"/>
      <c r="N350" s="422"/>
      <c r="O350" s="422"/>
      <c r="P350" s="422">
        <v>2509.7280000000001</v>
      </c>
    </row>
    <row r="351" spans="1:16" x14ac:dyDescent="0.5">
      <c r="A351" s="423"/>
      <c r="B351" s="423"/>
      <c r="C351" s="423"/>
      <c r="D351" s="423"/>
      <c r="E351" s="423" t="s">
        <v>2591</v>
      </c>
      <c r="F351" s="423" t="s">
        <v>2554</v>
      </c>
      <c r="G351" s="423" t="s">
        <v>2678</v>
      </c>
      <c r="H351" s="423" t="s">
        <v>2878</v>
      </c>
      <c r="I351" s="423" t="s">
        <v>2592</v>
      </c>
      <c r="J351" s="423" t="s">
        <v>2592</v>
      </c>
      <c r="K351" s="423" t="s">
        <v>2556</v>
      </c>
      <c r="L351" s="423" t="s">
        <v>2118</v>
      </c>
      <c r="M351" s="422"/>
      <c r="N351" s="422"/>
      <c r="O351" s="422"/>
      <c r="P351" s="422">
        <v>629.68100000000004</v>
      </c>
    </row>
    <row r="352" spans="1:16" x14ac:dyDescent="0.5">
      <c r="A352" s="423"/>
      <c r="B352" s="423"/>
      <c r="C352" s="423"/>
      <c r="D352" s="423"/>
      <c r="E352" s="423" t="s">
        <v>2752</v>
      </c>
      <c r="F352" s="423" t="s">
        <v>2554</v>
      </c>
      <c r="G352" s="423" t="s">
        <v>2751</v>
      </c>
      <c r="H352" s="423" t="s">
        <v>2877</v>
      </c>
      <c r="I352" s="423" t="s">
        <v>2592</v>
      </c>
      <c r="J352" s="423" t="s">
        <v>2592</v>
      </c>
      <c r="K352" s="423" t="s">
        <v>2556</v>
      </c>
      <c r="L352" s="423" t="s">
        <v>2118</v>
      </c>
      <c r="M352" s="422"/>
      <c r="N352" s="422"/>
      <c r="O352" s="422"/>
      <c r="P352" s="422">
        <v>3828.0590000000002</v>
      </c>
    </row>
    <row r="353" spans="1:16" x14ac:dyDescent="0.5">
      <c r="A353" s="423"/>
      <c r="B353" s="423"/>
      <c r="C353" s="423"/>
      <c r="D353" s="423"/>
      <c r="E353" s="423" t="s">
        <v>2560</v>
      </c>
      <c r="F353" s="423" t="s">
        <v>2554</v>
      </c>
      <c r="G353" s="423" t="s">
        <v>2561</v>
      </c>
      <c r="H353" s="423" t="s">
        <v>2849</v>
      </c>
      <c r="I353" s="423" t="s">
        <v>2562</v>
      </c>
      <c r="J353" s="423" t="s">
        <v>2563</v>
      </c>
      <c r="K353" s="423" t="s">
        <v>2556</v>
      </c>
      <c r="L353" s="423" t="s">
        <v>2118</v>
      </c>
      <c r="M353" s="422"/>
      <c r="N353" s="422"/>
      <c r="O353" s="422"/>
      <c r="P353" s="422">
        <v>5901.0079999999998</v>
      </c>
    </row>
    <row r="354" spans="1:16" x14ac:dyDescent="0.5">
      <c r="A354" s="423"/>
      <c r="B354" s="423"/>
      <c r="C354" s="423"/>
      <c r="D354" s="423"/>
      <c r="E354" s="423" t="s">
        <v>2672</v>
      </c>
      <c r="F354" s="423" t="s">
        <v>2554</v>
      </c>
      <c r="G354" s="423" t="s">
        <v>2768</v>
      </c>
      <c r="H354" s="423" t="s">
        <v>2876</v>
      </c>
      <c r="I354" s="423" t="s">
        <v>2555</v>
      </c>
      <c r="J354" s="423" t="s">
        <v>2555</v>
      </c>
      <c r="K354" s="423" t="s">
        <v>2556</v>
      </c>
      <c r="L354" s="423" t="s">
        <v>2119</v>
      </c>
      <c r="M354" s="422">
        <v>9987.5779999999995</v>
      </c>
      <c r="N354" s="422"/>
      <c r="O354" s="422"/>
      <c r="P354" s="422">
        <v>11829.981</v>
      </c>
    </row>
    <row r="355" spans="1:16" x14ac:dyDescent="0.5">
      <c r="A355" s="423"/>
      <c r="B355" s="423"/>
      <c r="C355" s="423"/>
      <c r="D355" s="423"/>
      <c r="E355" s="423" t="s">
        <v>2566</v>
      </c>
      <c r="F355" s="423" t="s">
        <v>2559</v>
      </c>
      <c r="G355" s="423" t="s">
        <v>2875</v>
      </c>
      <c r="H355" s="423" t="s">
        <v>2780</v>
      </c>
      <c r="I355" s="423" t="s">
        <v>2778</v>
      </c>
      <c r="J355" s="423" t="s">
        <v>2779</v>
      </c>
      <c r="K355" s="423" t="s">
        <v>2556</v>
      </c>
      <c r="L355" s="423" t="s">
        <v>2119</v>
      </c>
      <c r="M355" s="422"/>
      <c r="N355" s="422"/>
      <c r="O355" s="422"/>
      <c r="P355" s="422">
        <v>31712.116999999998</v>
      </c>
    </row>
    <row r="356" spans="1:16" x14ac:dyDescent="0.5">
      <c r="A356" s="423"/>
      <c r="B356" s="423"/>
      <c r="C356" s="423"/>
      <c r="D356" s="423"/>
      <c r="E356" s="423" t="s">
        <v>2760</v>
      </c>
      <c r="F356" s="423" t="s">
        <v>2600</v>
      </c>
      <c r="G356" s="423" t="s">
        <v>2802</v>
      </c>
      <c r="H356" s="423" t="s">
        <v>2791</v>
      </c>
      <c r="I356" s="423" t="s">
        <v>2761</v>
      </c>
      <c r="J356" s="423" t="s">
        <v>2761</v>
      </c>
      <c r="K356" s="423" t="s">
        <v>2556</v>
      </c>
      <c r="L356" s="423" t="s">
        <v>2119</v>
      </c>
      <c r="M356" s="422"/>
      <c r="N356" s="422"/>
      <c r="O356" s="422"/>
      <c r="P356" s="422">
        <v>72660.588000000003</v>
      </c>
    </row>
    <row r="357" spans="1:16" x14ac:dyDescent="0.5">
      <c r="A357" s="423"/>
      <c r="B357" s="423"/>
      <c r="C357" s="423"/>
      <c r="D357" s="423"/>
      <c r="E357" s="423" t="s">
        <v>2568</v>
      </c>
      <c r="F357" s="423" t="s">
        <v>2559</v>
      </c>
      <c r="G357" s="423" t="s">
        <v>2812</v>
      </c>
      <c r="H357" s="423" t="s">
        <v>2569</v>
      </c>
      <c r="I357" s="423" t="s">
        <v>2577</v>
      </c>
      <c r="J357" s="423" t="s">
        <v>2570</v>
      </c>
      <c r="K357" s="423" t="s">
        <v>2556</v>
      </c>
      <c r="L357" s="423" t="s">
        <v>2119</v>
      </c>
      <c r="M357" s="422"/>
      <c r="N357" s="422"/>
      <c r="O357" s="422"/>
      <c r="P357" s="422">
        <v>10456.696</v>
      </c>
    </row>
    <row r="358" spans="1:16" x14ac:dyDescent="0.5">
      <c r="A358" s="423"/>
      <c r="B358" s="423"/>
      <c r="C358" s="423"/>
      <c r="D358" s="423"/>
      <c r="E358" s="423" t="s">
        <v>2560</v>
      </c>
      <c r="F358" s="423" t="s">
        <v>2554</v>
      </c>
      <c r="G358" s="423" t="s">
        <v>2561</v>
      </c>
      <c r="H358" s="423" t="s">
        <v>2849</v>
      </c>
      <c r="I358" s="423" t="s">
        <v>2577</v>
      </c>
      <c r="J358" s="423" t="s">
        <v>2563</v>
      </c>
      <c r="K358" s="423" t="s">
        <v>2556</v>
      </c>
      <c r="L358" s="423" t="s">
        <v>2119</v>
      </c>
      <c r="M358" s="422"/>
      <c r="N358" s="422"/>
      <c r="O358" s="422"/>
      <c r="P358" s="422">
        <v>6332.7879999999996</v>
      </c>
    </row>
    <row r="359" spans="1:16" x14ac:dyDescent="0.5">
      <c r="A359" s="423"/>
      <c r="B359" s="423"/>
      <c r="C359" s="423"/>
      <c r="D359" s="423"/>
      <c r="E359" s="423" t="s">
        <v>2553</v>
      </c>
      <c r="F359" s="423" t="s">
        <v>2559</v>
      </c>
      <c r="G359" s="423" t="s">
        <v>2748</v>
      </c>
      <c r="H359" s="423" t="s">
        <v>2564</v>
      </c>
      <c r="I359" s="423" t="s">
        <v>2558</v>
      </c>
      <c r="J359" s="423" t="s">
        <v>2558</v>
      </c>
      <c r="K359" s="423" t="s">
        <v>2556</v>
      </c>
      <c r="L359" s="423" t="s">
        <v>2119</v>
      </c>
      <c r="M359" s="422"/>
      <c r="N359" s="422"/>
      <c r="O359" s="422"/>
      <c r="P359" s="422">
        <v>13173.319</v>
      </c>
    </row>
    <row r="360" spans="1:16" x14ac:dyDescent="0.5">
      <c r="A360" s="423"/>
      <c r="B360" s="423"/>
      <c r="C360" s="423"/>
      <c r="D360" s="423"/>
      <c r="E360" s="423" t="s">
        <v>2553</v>
      </c>
      <c r="F360" s="423" t="s">
        <v>2554</v>
      </c>
      <c r="G360" s="423" t="s">
        <v>2766</v>
      </c>
      <c r="H360" s="423" t="s">
        <v>2590</v>
      </c>
      <c r="I360" s="423" t="s">
        <v>2555</v>
      </c>
      <c r="J360" s="423" t="s">
        <v>2555</v>
      </c>
      <c r="K360" s="423" t="s">
        <v>2556</v>
      </c>
      <c r="L360" s="423" t="s">
        <v>2120</v>
      </c>
      <c r="M360" s="422">
        <v>11014.414000000001</v>
      </c>
      <c r="N360" s="422"/>
      <c r="O360" s="422"/>
      <c r="P360" s="422">
        <v>11836.995999999999</v>
      </c>
    </row>
    <row r="361" spans="1:16" x14ac:dyDescent="0.5">
      <c r="A361" s="423"/>
      <c r="B361" s="423"/>
      <c r="C361" s="423"/>
      <c r="D361" s="423"/>
      <c r="E361" s="423" t="s">
        <v>2760</v>
      </c>
      <c r="F361" s="423" t="s">
        <v>2600</v>
      </c>
      <c r="G361" s="423" t="s">
        <v>2792</v>
      </c>
      <c r="H361" s="423" t="s">
        <v>2801</v>
      </c>
      <c r="I361" s="423" t="s">
        <v>2790</v>
      </c>
      <c r="J361" s="423" t="s">
        <v>2790</v>
      </c>
      <c r="K361" s="423" t="s">
        <v>2556</v>
      </c>
      <c r="L361" s="423" t="s">
        <v>2120</v>
      </c>
      <c r="M361" s="422"/>
      <c r="N361" s="422"/>
      <c r="O361" s="422"/>
      <c r="P361" s="422">
        <v>76129.387000000002</v>
      </c>
    </row>
    <row r="362" spans="1:16" x14ac:dyDescent="0.5">
      <c r="A362" s="423"/>
      <c r="B362" s="423"/>
      <c r="C362" s="423"/>
      <c r="D362" s="423"/>
      <c r="E362" s="423" t="s">
        <v>2760</v>
      </c>
      <c r="F362" s="423" t="s">
        <v>2600</v>
      </c>
      <c r="G362" s="423" t="s">
        <v>2789</v>
      </c>
      <c r="H362" s="423" t="s">
        <v>2801</v>
      </c>
      <c r="I362" s="423" t="s">
        <v>2757</v>
      </c>
      <c r="J362" s="423" t="s">
        <v>2757</v>
      </c>
      <c r="K362" s="423" t="s">
        <v>2556</v>
      </c>
      <c r="L362" s="423" t="s">
        <v>2120</v>
      </c>
      <c r="M362" s="422"/>
      <c r="N362" s="422"/>
      <c r="O362" s="422"/>
      <c r="P362" s="422">
        <v>72753.100000000006</v>
      </c>
    </row>
    <row r="363" spans="1:16" x14ac:dyDescent="0.5">
      <c r="A363" s="423"/>
      <c r="B363" s="423"/>
      <c r="C363" s="423"/>
      <c r="D363" s="423"/>
      <c r="E363" s="423" t="s">
        <v>2560</v>
      </c>
      <c r="F363" s="423" t="s">
        <v>2554</v>
      </c>
      <c r="G363" s="423" t="s">
        <v>2561</v>
      </c>
      <c r="H363" s="423" t="s">
        <v>2849</v>
      </c>
      <c r="I363" s="423" t="s">
        <v>2562</v>
      </c>
      <c r="J363" s="423" t="s">
        <v>2563</v>
      </c>
      <c r="K363" s="423" t="s">
        <v>2556</v>
      </c>
      <c r="L363" s="423" t="s">
        <v>2120</v>
      </c>
      <c r="M363" s="422"/>
      <c r="N363" s="422"/>
      <c r="O363" s="422"/>
      <c r="P363" s="422">
        <v>7808.04</v>
      </c>
    </row>
    <row r="364" spans="1:16" x14ac:dyDescent="0.5">
      <c r="A364" s="423"/>
      <c r="B364" s="423"/>
      <c r="C364" s="423"/>
      <c r="D364" s="423"/>
      <c r="E364" s="423" t="s">
        <v>2672</v>
      </c>
      <c r="F364" s="423" t="s">
        <v>2554</v>
      </c>
      <c r="G364" s="423" t="s">
        <v>2768</v>
      </c>
      <c r="H364" s="423" t="s">
        <v>2840</v>
      </c>
      <c r="I364" s="423" t="s">
        <v>2555</v>
      </c>
      <c r="J364" s="423" t="s">
        <v>2555</v>
      </c>
      <c r="K364" s="423" t="s">
        <v>2556</v>
      </c>
      <c r="L364" s="423" t="s">
        <v>2121</v>
      </c>
      <c r="M364" s="422">
        <v>9722.902</v>
      </c>
      <c r="N364" s="422"/>
      <c r="O364" s="422"/>
      <c r="P364" s="422">
        <v>12519.679</v>
      </c>
    </row>
    <row r="365" spans="1:16" x14ac:dyDescent="0.5">
      <c r="A365" s="423"/>
      <c r="B365" s="423"/>
      <c r="C365" s="423"/>
      <c r="D365" s="423"/>
      <c r="E365" s="423" t="s">
        <v>2591</v>
      </c>
      <c r="F365" s="423" t="s">
        <v>2554</v>
      </c>
      <c r="G365" s="423" t="s">
        <v>2834</v>
      </c>
      <c r="H365" s="423" t="s">
        <v>2874</v>
      </c>
      <c r="I365" s="423" t="s">
        <v>2592</v>
      </c>
      <c r="J365" s="423" t="s">
        <v>2592</v>
      </c>
      <c r="K365" s="423" t="s">
        <v>2556</v>
      </c>
      <c r="L365" s="423" t="s">
        <v>2121</v>
      </c>
      <c r="M365" s="422"/>
      <c r="N365" s="422"/>
      <c r="O365" s="422"/>
      <c r="P365" s="422">
        <v>573</v>
      </c>
    </row>
    <row r="366" spans="1:16" x14ac:dyDescent="0.5">
      <c r="A366" s="423"/>
      <c r="B366" s="423"/>
      <c r="C366" s="423"/>
      <c r="D366" s="423"/>
      <c r="E366" s="423" t="s">
        <v>2560</v>
      </c>
      <c r="F366" s="423" t="s">
        <v>2554</v>
      </c>
      <c r="G366" s="423" t="s">
        <v>2561</v>
      </c>
      <c r="H366" s="423" t="s">
        <v>2849</v>
      </c>
      <c r="I366" s="423" t="s">
        <v>2577</v>
      </c>
      <c r="J366" s="423" t="s">
        <v>2563</v>
      </c>
      <c r="K366" s="423" t="s">
        <v>2556</v>
      </c>
      <c r="L366" s="423" t="s">
        <v>2121</v>
      </c>
      <c r="M366" s="422"/>
      <c r="N366" s="422"/>
      <c r="O366" s="422"/>
      <c r="P366" s="422">
        <v>7465</v>
      </c>
    </row>
    <row r="367" spans="1:16" x14ac:dyDescent="0.5">
      <c r="A367" s="423"/>
      <c r="B367" s="423"/>
      <c r="C367" s="423"/>
      <c r="D367" s="423"/>
      <c r="E367" s="423" t="s">
        <v>2553</v>
      </c>
      <c r="F367" s="423" t="s">
        <v>2559</v>
      </c>
      <c r="G367" s="423" t="s">
        <v>2748</v>
      </c>
      <c r="H367" s="423" t="s">
        <v>2587</v>
      </c>
      <c r="I367" s="423" t="s">
        <v>2558</v>
      </c>
      <c r="J367" s="423" t="s">
        <v>2558</v>
      </c>
      <c r="K367" s="423" t="s">
        <v>2556</v>
      </c>
      <c r="L367" s="423" t="s">
        <v>2121</v>
      </c>
      <c r="M367" s="422"/>
      <c r="N367" s="422"/>
      <c r="O367" s="422"/>
      <c r="P367" s="422">
        <v>13505</v>
      </c>
    </row>
    <row r="368" spans="1:16" x14ac:dyDescent="0.5">
      <c r="A368" s="423"/>
      <c r="B368" s="423"/>
      <c r="C368" s="423"/>
      <c r="D368" s="423"/>
      <c r="E368" s="423" t="s">
        <v>2752</v>
      </c>
      <c r="F368" s="423" t="s">
        <v>2554</v>
      </c>
      <c r="G368" s="423" t="s">
        <v>2848</v>
      </c>
      <c r="H368" s="423" t="s">
        <v>2873</v>
      </c>
      <c r="I368" s="423" t="s">
        <v>2592</v>
      </c>
      <c r="J368" s="423" t="s">
        <v>2592</v>
      </c>
      <c r="K368" s="423" t="s">
        <v>2556</v>
      </c>
      <c r="L368" s="423" t="s">
        <v>2122</v>
      </c>
      <c r="M368" s="422">
        <v>12833.587000000001</v>
      </c>
      <c r="N368" s="422"/>
      <c r="O368" s="422"/>
      <c r="P368" s="422">
        <v>3034.8690000000001</v>
      </c>
    </row>
    <row r="369" spans="1:16" x14ac:dyDescent="0.5">
      <c r="A369" s="423"/>
      <c r="B369" s="423"/>
      <c r="C369" s="423"/>
      <c r="D369" s="423"/>
      <c r="E369" s="423" t="s">
        <v>2568</v>
      </c>
      <c r="F369" s="423" t="s">
        <v>2559</v>
      </c>
      <c r="G369" s="423" t="s">
        <v>2769</v>
      </c>
      <c r="H369" s="423" t="s">
        <v>2569</v>
      </c>
      <c r="I369" s="423" t="s">
        <v>2570</v>
      </c>
      <c r="J369" s="423" t="s">
        <v>2570</v>
      </c>
      <c r="K369" s="423" t="s">
        <v>2556</v>
      </c>
      <c r="L369" s="423" t="s">
        <v>2122</v>
      </c>
      <c r="M369" s="422"/>
      <c r="N369" s="422"/>
      <c r="O369" s="422"/>
      <c r="P369" s="422">
        <v>11638.848</v>
      </c>
    </row>
    <row r="370" spans="1:16" x14ac:dyDescent="0.5">
      <c r="A370" s="423"/>
      <c r="B370" s="423"/>
      <c r="C370" s="423"/>
      <c r="D370" s="423"/>
      <c r="E370" s="423" t="s">
        <v>2560</v>
      </c>
      <c r="F370" s="423" t="s">
        <v>2554</v>
      </c>
      <c r="G370" s="423" t="s">
        <v>2561</v>
      </c>
      <c r="H370" s="423" t="s">
        <v>2849</v>
      </c>
      <c r="I370" s="423" t="s">
        <v>2562</v>
      </c>
      <c r="J370" s="423" t="s">
        <v>2563</v>
      </c>
      <c r="K370" s="423" t="s">
        <v>2556</v>
      </c>
      <c r="L370" s="423" t="s">
        <v>2122</v>
      </c>
      <c r="M370" s="422"/>
      <c r="N370" s="422"/>
      <c r="O370" s="422"/>
      <c r="P370" s="422">
        <v>6917.2020000000002</v>
      </c>
    </row>
    <row r="371" spans="1:16" x14ac:dyDescent="0.5">
      <c r="A371" s="423"/>
      <c r="B371" s="423"/>
      <c r="C371" s="423"/>
      <c r="D371" s="423"/>
      <c r="E371" s="423" t="s">
        <v>2553</v>
      </c>
      <c r="F371" s="423" t="s">
        <v>2559</v>
      </c>
      <c r="G371" s="423" t="s">
        <v>2773</v>
      </c>
      <c r="H371" s="423" t="s">
        <v>2707</v>
      </c>
      <c r="I371" s="423" t="s">
        <v>2573</v>
      </c>
      <c r="J371" s="423" t="s">
        <v>2573</v>
      </c>
      <c r="K371" s="423" t="s">
        <v>2556</v>
      </c>
      <c r="L371" s="423" t="s">
        <v>2123</v>
      </c>
      <c r="M371" s="422">
        <v>11109.535</v>
      </c>
      <c r="N371" s="422"/>
      <c r="O371" s="422"/>
      <c r="P371" s="422">
        <v>13063.619000000001</v>
      </c>
    </row>
    <row r="372" spans="1:16" x14ac:dyDescent="0.5">
      <c r="A372" s="423"/>
      <c r="B372" s="423"/>
      <c r="C372" s="423"/>
      <c r="D372" s="423"/>
      <c r="E372" s="423" t="s">
        <v>2566</v>
      </c>
      <c r="F372" s="423" t="s">
        <v>2559</v>
      </c>
      <c r="G372" s="423" t="s">
        <v>2872</v>
      </c>
      <c r="H372" s="423" t="s">
        <v>2871</v>
      </c>
      <c r="I372" s="423" t="s">
        <v>2870</v>
      </c>
      <c r="J372" s="423" t="s">
        <v>2870</v>
      </c>
      <c r="K372" s="423" t="s">
        <v>2556</v>
      </c>
      <c r="L372" s="423" t="s">
        <v>2123</v>
      </c>
      <c r="M372" s="422"/>
      <c r="N372" s="422"/>
      <c r="O372" s="422"/>
      <c r="P372" s="422">
        <v>26610.482</v>
      </c>
    </row>
    <row r="373" spans="1:16" x14ac:dyDescent="0.5">
      <c r="A373" s="423"/>
      <c r="B373" s="423"/>
      <c r="C373" s="423"/>
      <c r="D373" s="423"/>
      <c r="E373" s="423" t="s">
        <v>2553</v>
      </c>
      <c r="F373" s="423" t="s">
        <v>2554</v>
      </c>
      <c r="G373" s="423" t="s">
        <v>2766</v>
      </c>
      <c r="H373" s="423" t="s">
        <v>2869</v>
      </c>
      <c r="I373" s="423" t="s">
        <v>2555</v>
      </c>
      <c r="J373" s="423" t="s">
        <v>2555</v>
      </c>
      <c r="K373" s="423" t="s">
        <v>2556</v>
      </c>
      <c r="L373" s="423" t="s">
        <v>2123</v>
      </c>
      <c r="M373" s="422"/>
      <c r="N373" s="422"/>
      <c r="O373" s="422"/>
      <c r="P373" s="422">
        <v>10945.545</v>
      </c>
    </row>
    <row r="374" spans="1:16" x14ac:dyDescent="0.5">
      <c r="A374" s="423"/>
      <c r="B374" s="423"/>
      <c r="C374" s="423"/>
      <c r="D374" s="423"/>
      <c r="E374" s="423" t="s">
        <v>2566</v>
      </c>
      <c r="F374" s="423" t="s">
        <v>2559</v>
      </c>
      <c r="G374" s="423" t="s">
        <v>2831</v>
      </c>
      <c r="H374" s="423" t="s">
        <v>2830</v>
      </c>
      <c r="I374" s="423" t="s">
        <v>2829</v>
      </c>
      <c r="J374" s="423" t="s">
        <v>2829</v>
      </c>
      <c r="K374" s="423" t="s">
        <v>2556</v>
      </c>
      <c r="L374" s="423" t="s">
        <v>2123</v>
      </c>
      <c r="M374" s="422"/>
      <c r="N374" s="422"/>
      <c r="O374" s="422"/>
      <c r="P374" s="422">
        <v>58409.593000000001</v>
      </c>
    </row>
    <row r="375" spans="1:16" x14ac:dyDescent="0.5">
      <c r="A375" s="423"/>
      <c r="B375" s="423"/>
      <c r="C375" s="423"/>
      <c r="D375" s="423"/>
      <c r="E375" s="423" t="s">
        <v>2756</v>
      </c>
      <c r="F375" s="423" t="s">
        <v>2559</v>
      </c>
      <c r="G375" s="423" t="s">
        <v>2755</v>
      </c>
      <c r="H375" s="423" t="s">
        <v>2868</v>
      </c>
      <c r="I375" s="423" t="s">
        <v>2753</v>
      </c>
      <c r="J375" s="423" t="s">
        <v>2753</v>
      </c>
      <c r="K375" s="423" t="s">
        <v>2556</v>
      </c>
      <c r="L375" s="423" t="s">
        <v>2123</v>
      </c>
      <c r="M375" s="422"/>
      <c r="N375" s="422"/>
      <c r="O375" s="422"/>
      <c r="P375" s="422">
        <v>61030.921000000002</v>
      </c>
    </row>
    <row r="376" spans="1:16" x14ac:dyDescent="0.5">
      <c r="A376" s="423"/>
      <c r="B376" s="423"/>
      <c r="C376" s="423"/>
      <c r="D376" s="423"/>
      <c r="E376" s="423" t="s">
        <v>2760</v>
      </c>
      <c r="F376" s="423" t="s">
        <v>2600</v>
      </c>
      <c r="G376" s="423" t="s">
        <v>2759</v>
      </c>
      <c r="H376" s="423" t="s">
        <v>2801</v>
      </c>
      <c r="I376" s="423" t="s">
        <v>2757</v>
      </c>
      <c r="J376" s="423" t="s">
        <v>2757</v>
      </c>
      <c r="K376" s="423" t="s">
        <v>2556</v>
      </c>
      <c r="L376" s="423" t="s">
        <v>2123</v>
      </c>
      <c r="M376" s="422"/>
      <c r="N376" s="422"/>
      <c r="O376" s="422"/>
      <c r="P376" s="422">
        <v>72738.851999999999</v>
      </c>
    </row>
    <row r="377" spans="1:16" x14ac:dyDescent="0.5">
      <c r="A377" s="423"/>
      <c r="B377" s="423"/>
      <c r="C377" s="423"/>
      <c r="D377" s="423"/>
      <c r="E377" s="423" t="s">
        <v>2560</v>
      </c>
      <c r="F377" s="423" t="s">
        <v>2554</v>
      </c>
      <c r="G377" s="423" t="s">
        <v>2561</v>
      </c>
      <c r="H377" s="423" t="s">
        <v>2849</v>
      </c>
      <c r="I377" s="423" t="s">
        <v>2577</v>
      </c>
      <c r="J377" s="423" t="s">
        <v>2563</v>
      </c>
      <c r="K377" s="423" t="s">
        <v>2556</v>
      </c>
      <c r="L377" s="423" t="s">
        <v>2123</v>
      </c>
      <c r="M377" s="422"/>
      <c r="N377" s="422"/>
      <c r="O377" s="422"/>
      <c r="P377" s="422">
        <v>6564.67</v>
      </c>
    </row>
    <row r="378" spans="1:16" x14ac:dyDescent="0.5">
      <c r="A378" s="423"/>
      <c r="B378" s="423"/>
      <c r="C378" s="423"/>
      <c r="D378" s="423"/>
      <c r="E378" s="423" t="s">
        <v>2566</v>
      </c>
      <c r="F378" s="423" t="s">
        <v>2559</v>
      </c>
      <c r="G378" s="423" t="s">
        <v>2867</v>
      </c>
      <c r="H378" s="423" t="s">
        <v>2819</v>
      </c>
      <c r="I378" s="423" t="s">
        <v>2808</v>
      </c>
      <c r="J378" s="423" t="s">
        <v>2808</v>
      </c>
      <c r="K378" s="423" t="s">
        <v>2556</v>
      </c>
      <c r="L378" s="423" t="s">
        <v>2123</v>
      </c>
      <c r="M378" s="422"/>
      <c r="N378" s="422"/>
      <c r="O378" s="422"/>
      <c r="P378" s="422">
        <v>34232.637000000002</v>
      </c>
    </row>
    <row r="379" spans="1:16" x14ac:dyDescent="0.5">
      <c r="A379" s="423"/>
      <c r="B379" s="423"/>
      <c r="C379" s="423"/>
      <c r="D379" s="423"/>
      <c r="E379" s="423" t="s">
        <v>2553</v>
      </c>
      <c r="F379" s="423" t="s">
        <v>2559</v>
      </c>
      <c r="G379" s="423" t="s">
        <v>2748</v>
      </c>
      <c r="H379" s="423" t="s">
        <v>2679</v>
      </c>
      <c r="I379" s="423" t="s">
        <v>2558</v>
      </c>
      <c r="J379" s="423" t="s">
        <v>2558</v>
      </c>
      <c r="K379" s="423" t="s">
        <v>2556</v>
      </c>
      <c r="L379" s="423" t="s">
        <v>2123</v>
      </c>
      <c r="M379" s="422"/>
      <c r="N379" s="422"/>
      <c r="O379" s="422"/>
      <c r="P379" s="422">
        <v>15539.119000000001</v>
      </c>
    </row>
    <row r="380" spans="1:16" x14ac:dyDescent="0.5">
      <c r="A380" s="423"/>
      <c r="B380" s="423"/>
      <c r="C380" s="423"/>
      <c r="D380" s="423"/>
      <c r="E380" s="423" t="s">
        <v>2672</v>
      </c>
      <c r="F380" s="423" t="s">
        <v>2554</v>
      </c>
      <c r="G380" s="423" t="s">
        <v>2768</v>
      </c>
      <c r="H380" s="423" t="s">
        <v>2610</v>
      </c>
      <c r="I380" s="423" t="s">
        <v>2555</v>
      </c>
      <c r="J380" s="423" t="s">
        <v>2555</v>
      </c>
      <c r="K380" s="423" t="s">
        <v>2556</v>
      </c>
      <c r="L380" s="423" t="s">
        <v>2124</v>
      </c>
      <c r="M380" s="422">
        <v>11426.766</v>
      </c>
      <c r="N380" s="422"/>
      <c r="O380" s="422"/>
      <c r="P380" s="422">
        <v>12292.983</v>
      </c>
    </row>
    <row r="381" spans="1:16" x14ac:dyDescent="0.5">
      <c r="A381" s="423"/>
      <c r="B381" s="423"/>
      <c r="C381" s="423"/>
      <c r="D381" s="423"/>
      <c r="E381" s="423" t="s">
        <v>2764</v>
      </c>
      <c r="F381" s="423" t="s">
        <v>2554</v>
      </c>
      <c r="G381" s="423" t="s">
        <v>2763</v>
      </c>
      <c r="H381" s="423" t="s">
        <v>2818</v>
      </c>
      <c r="I381" s="423" t="s">
        <v>2761</v>
      </c>
      <c r="J381" s="423" t="s">
        <v>2761</v>
      </c>
      <c r="K381" s="423" t="s">
        <v>2556</v>
      </c>
      <c r="L381" s="423" t="s">
        <v>2124</v>
      </c>
      <c r="M381" s="422"/>
      <c r="N381" s="422"/>
      <c r="O381" s="422"/>
      <c r="P381" s="422">
        <v>77831.548999999999</v>
      </c>
    </row>
    <row r="382" spans="1:16" x14ac:dyDescent="0.5">
      <c r="A382" s="423"/>
      <c r="B382" s="423"/>
      <c r="C382" s="423"/>
      <c r="D382" s="423"/>
      <c r="E382" s="423" t="s">
        <v>2760</v>
      </c>
      <c r="F382" s="423" t="s">
        <v>2600</v>
      </c>
      <c r="G382" s="423" t="s">
        <v>2866</v>
      </c>
      <c r="H382" s="423" t="s">
        <v>2758</v>
      </c>
      <c r="I382" s="423" t="s">
        <v>2794</v>
      </c>
      <c r="J382" s="423" t="s">
        <v>2794</v>
      </c>
      <c r="K382" s="423" t="s">
        <v>2556</v>
      </c>
      <c r="L382" s="423" t="s">
        <v>2124</v>
      </c>
      <c r="M382" s="422"/>
      <c r="N382" s="422"/>
      <c r="O382" s="422"/>
      <c r="P382" s="422">
        <v>75210.486999999994</v>
      </c>
    </row>
    <row r="383" spans="1:16" x14ac:dyDescent="0.5">
      <c r="A383" s="423"/>
      <c r="B383" s="423"/>
      <c r="C383" s="423"/>
      <c r="D383" s="423"/>
      <c r="E383" s="423" t="s">
        <v>2568</v>
      </c>
      <c r="F383" s="423" t="s">
        <v>2559</v>
      </c>
      <c r="G383" s="423" t="s">
        <v>2769</v>
      </c>
      <c r="H383" s="423" t="s">
        <v>2569</v>
      </c>
      <c r="I383" s="423" t="s">
        <v>2570</v>
      </c>
      <c r="J383" s="423" t="s">
        <v>2570</v>
      </c>
      <c r="K383" s="423" t="s">
        <v>2556</v>
      </c>
      <c r="L383" s="423" t="s">
        <v>2124</v>
      </c>
      <c r="M383" s="422"/>
      <c r="N383" s="422"/>
      <c r="O383" s="422"/>
      <c r="P383" s="422">
        <v>10538.518</v>
      </c>
    </row>
    <row r="384" spans="1:16" x14ac:dyDescent="0.5">
      <c r="A384" s="423"/>
      <c r="B384" s="423"/>
      <c r="C384" s="423"/>
      <c r="D384" s="423"/>
      <c r="E384" s="423" t="s">
        <v>2752</v>
      </c>
      <c r="F384" s="423" t="s">
        <v>2554</v>
      </c>
      <c r="G384" s="423" t="s">
        <v>2751</v>
      </c>
      <c r="H384" s="423" t="s">
        <v>2865</v>
      </c>
      <c r="I384" s="423" t="s">
        <v>2592</v>
      </c>
      <c r="J384" s="423" t="s">
        <v>2592</v>
      </c>
      <c r="K384" s="423" t="s">
        <v>2556</v>
      </c>
      <c r="L384" s="423" t="s">
        <v>2124</v>
      </c>
      <c r="M384" s="422"/>
      <c r="N384" s="422"/>
      <c r="O384" s="422"/>
      <c r="P384" s="422">
        <v>4272.9660000000003</v>
      </c>
    </row>
    <row r="385" spans="1:16" x14ac:dyDescent="0.5">
      <c r="A385" s="423"/>
      <c r="B385" s="423"/>
      <c r="C385" s="423"/>
      <c r="D385" s="423"/>
      <c r="E385" s="423" t="s">
        <v>2566</v>
      </c>
      <c r="F385" s="423" t="s">
        <v>2559</v>
      </c>
      <c r="G385" s="423" t="s">
        <v>2864</v>
      </c>
      <c r="H385" s="423" t="s">
        <v>2863</v>
      </c>
      <c r="I385" s="423" t="s">
        <v>2862</v>
      </c>
      <c r="J385" s="423" t="s">
        <v>2809</v>
      </c>
      <c r="K385" s="423" t="s">
        <v>2556</v>
      </c>
      <c r="L385" s="423" t="s">
        <v>2124</v>
      </c>
      <c r="M385" s="422"/>
      <c r="N385" s="422"/>
      <c r="O385" s="422"/>
      <c r="P385" s="422">
        <v>34475.521999999997</v>
      </c>
    </row>
    <row r="386" spans="1:16" x14ac:dyDescent="0.5">
      <c r="A386" s="423"/>
      <c r="B386" s="423"/>
      <c r="C386" s="423"/>
      <c r="D386" s="423"/>
      <c r="E386" s="423" t="s">
        <v>2560</v>
      </c>
      <c r="F386" s="423" t="s">
        <v>2554</v>
      </c>
      <c r="G386" s="423" t="s">
        <v>2561</v>
      </c>
      <c r="H386" s="423" t="s">
        <v>2849</v>
      </c>
      <c r="I386" s="423" t="s">
        <v>2562</v>
      </c>
      <c r="J386" s="423" t="s">
        <v>2563</v>
      </c>
      <c r="K386" s="423" t="s">
        <v>2556</v>
      </c>
      <c r="L386" s="423" t="s">
        <v>2124</v>
      </c>
      <c r="M386" s="422"/>
      <c r="N386" s="422"/>
      <c r="O386" s="422"/>
      <c r="P386" s="422">
        <v>13660.300999999999</v>
      </c>
    </row>
    <row r="387" spans="1:16" x14ac:dyDescent="0.5">
      <c r="A387" s="423"/>
      <c r="B387" s="423"/>
      <c r="C387" s="423"/>
      <c r="D387" s="423"/>
      <c r="E387" s="423" t="s">
        <v>2553</v>
      </c>
      <c r="F387" s="423" t="s">
        <v>2554</v>
      </c>
      <c r="G387" s="423" t="s">
        <v>2766</v>
      </c>
      <c r="H387" s="423" t="s">
        <v>2572</v>
      </c>
      <c r="I387" s="423" t="s">
        <v>2555</v>
      </c>
      <c r="J387" s="423" t="s">
        <v>2555</v>
      </c>
      <c r="K387" s="423" t="s">
        <v>2556</v>
      </c>
      <c r="L387" s="423" t="s">
        <v>2125</v>
      </c>
      <c r="M387" s="422">
        <v>14632.864</v>
      </c>
      <c r="N387" s="422"/>
      <c r="O387" s="422"/>
      <c r="P387" s="422">
        <v>11078.134</v>
      </c>
    </row>
    <row r="388" spans="1:16" x14ac:dyDescent="0.5">
      <c r="A388" s="423"/>
      <c r="B388" s="423"/>
      <c r="C388" s="423"/>
      <c r="D388" s="423"/>
      <c r="E388" s="423" t="s">
        <v>2560</v>
      </c>
      <c r="F388" s="423" t="s">
        <v>2554</v>
      </c>
      <c r="G388" s="423" t="s">
        <v>2561</v>
      </c>
      <c r="H388" s="423" t="s">
        <v>2849</v>
      </c>
      <c r="I388" s="423" t="s">
        <v>2562</v>
      </c>
      <c r="J388" s="423" t="s">
        <v>2563</v>
      </c>
      <c r="K388" s="423" t="s">
        <v>2556</v>
      </c>
      <c r="L388" s="423" t="s">
        <v>2125</v>
      </c>
      <c r="M388" s="422"/>
      <c r="N388" s="422"/>
      <c r="O388" s="422"/>
      <c r="P388" s="422">
        <v>6741.2139999999999</v>
      </c>
    </row>
    <row r="389" spans="1:16" x14ac:dyDescent="0.5">
      <c r="A389" s="423"/>
      <c r="B389" s="423"/>
      <c r="C389" s="423"/>
      <c r="D389" s="423"/>
      <c r="E389" s="423" t="s">
        <v>2672</v>
      </c>
      <c r="F389" s="423" t="s">
        <v>2554</v>
      </c>
      <c r="G389" s="423" t="s">
        <v>2768</v>
      </c>
      <c r="H389" s="423" t="s">
        <v>2861</v>
      </c>
      <c r="I389" s="423" t="s">
        <v>2555</v>
      </c>
      <c r="J389" s="423" t="s">
        <v>2555</v>
      </c>
      <c r="K389" s="423" t="s">
        <v>2556</v>
      </c>
      <c r="L389" s="423" t="s">
        <v>2126</v>
      </c>
      <c r="M389" s="422">
        <v>14899.692999999999</v>
      </c>
      <c r="N389" s="422"/>
      <c r="O389" s="422"/>
      <c r="P389" s="422">
        <v>11888.971</v>
      </c>
    </row>
    <row r="390" spans="1:16" x14ac:dyDescent="0.5">
      <c r="A390" s="423"/>
      <c r="B390" s="423"/>
      <c r="C390" s="423"/>
      <c r="D390" s="423"/>
      <c r="E390" s="423" t="s">
        <v>2752</v>
      </c>
      <c r="F390" s="423" t="s">
        <v>2554</v>
      </c>
      <c r="G390" s="423" t="s">
        <v>2751</v>
      </c>
      <c r="H390" s="423" t="s">
        <v>2860</v>
      </c>
      <c r="I390" s="423" t="s">
        <v>2592</v>
      </c>
      <c r="J390" s="423" t="s">
        <v>2592</v>
      </c>
      <c r="K390" s="423" t="s">
        <v>2556</v>
      </c>
      <c r="L390" s="423" t="s">
        <v>2126</v>
      </c>
      <c r="M390" s="422"/>
      <c r="N390" s="422"/>
      <c r="O390" s="422"/>
      <c r="P390" s="422">
        <v>2752.6039999999998</v>
      </c>
    </row>
    <row r="391" spans="1:16" x14ac:dyDescent="0.5">
      <c r="A391" s="423"/>
      <c r="B391" s="423"/>
      <c r="C391" s="423"/>
      <c r="D391" s="423"/>
      <c r="E391" s="423" t="s">
        <v>2760</v>
      </c>
      <c r="F391" s="423" t="s">
        <v>2600</v>
      </c>
      <c r="G391" s="423" t="s">
        <v>2802</v>
      </c>
      <c r="H391" s="423" t="s">
        <v>2791</v>
      </c>
      <c r="I391" s="423" t="s">
        <v>2761</v>
      </c>
      <c r="J391" s="423" t="s">
        <v>2761</v>
      </c>
      <c r="K391" s="423" t="s">
        <v>2556</v>
      </c>
      <c r="L391" s="423" t="s">
        <v>2126</v>
      </c>
      <c r="M391" s="422"/>
      <c r="N391" s="422"/>
      <c r="O391" s="422"/>
      <c r="P391" s="422">
        <v>72743.107999999993</v>
      </c>
    </row>
    <row r="392" spans="1:16" x14ac:dyDescent="0.5">
      <c r="A392" s="423"/>
      <c r="B392" s="423"/>
      <c r="C392" s="423"/>
      <c r="D392" s="423"/>
      <c r="E392" s="423" t="s">
        <v>2568</v>
      </c>
      <c r="F392" s="423" t="s">
        <v>2559</v>
      </c>
      <c r="G392" s="423" t="s">
        <v>2769</v>
      </c>
      <c r="H392" s="423" t="s">
        <v>2616</v>
      </c>
      <c r="I392" s="423" t="s">
        <v>2570</v>
      </c>
      <c r="J392" s="423" t="s">
        <v>2570</v>
      </c>
      <c r="K392" s="423" t="s">
        <v>2556</v>
      </c>
      <c r="L392" s="423" t="s">
        <v>2126</v>
      </c>
      <c r="M392" s="422"/>
      <c r="N392" s="422"/>
      <c r="O392" s="422"/>
      <c r="P392" s="422">
        <v>7358.5209999999997</v>
      </c>
    </row>
    <row r="393" spans="1:16" x14ac:dyDescent="0.5">
      <c r="A393" s="423"/>
      <c r="B393" s="423"/>
      <c r="C393" s="423"/>
      <c r="D393" s="423"/>
      <c r="E393" s="423" t="s">
        <v>2560</v>
      </c>
      <c r="F393" s="423" t="s">
        <v>2554</v>
      </c>
      <c r="G393" s="423" t="s">
        <v>2561</v>
      </c>
      <c r="H393" s="423" t="s">
        <v>2849</v>
      </c>
      <c r="I393" s="423" t="s">
        <v>2562</v>
      </c>
      <c r="J393" s="423" t="s">
        <v>2563</v>
      </c>
      <c r="K393" s="423" t="s">
        <v>2556</v>
      </c>
      <c r="L393" s="423" t="s">
        <v>2126</v>
      </c>
      <c r="M393" s="422"/>
      <c r="N393" s="422"/>
      <c r="O393" s="422"/>
      <c r="P393" s="422">
        <v>7888.1989999999996</v>
      </c>
    </row>
    <row r="394" spans="1:16" x14ac:dyDescent="0.5">
      <c r="A394" s="423"/>
      <c r="B394" s="423"/>
      <c r="C394" s="423"/>
      <c r="D394" s="423"/>
      <c r="E394" s="423" t="s">
        <v>2553</v>
      </c>
      <c r="F394" s="423" t="s">
        <v>2559</v>
      </c>
      <c r="G394" s="423" t="s">
        <v>2748</v>
      </c>
      <c r="H394" s="423" t="s">
        <v>2593</v>
      </c>
      <c r="I394" s="423" t="s">
        <v>2558</v>
      </c>
      <c r="J394" s="423" t="s">
        <v>2558</v>
      </c>
      <c r="K394" s="423" t="s">
        <v>2556</v>
      </c>
      <c r="L394" s="423" t="s">
        <v>2126</v>
      </c>
      <c r="M394" s="422"/>
      <c r="N394" s="422"/>
      <c r="O394" s="422"/>
      <c r="P394" s="422">
        <v>15530.547</v>
      </c>
    </row>
    <row r="395" spans="1:16" x14ac:dyDescent="0.5">
      <c r="A395" s="423"/>
      <c r="B395" s="423"/>
      <c r="C395" s="423"/>
      <c r="D395" s="423"/>
      <c r="E395" s="423" t="s">
        <v>2553</v>
      </c>
      <c r="F395" s="423" t="s">
        <v>2554</v>
      </c>
      <c r="G395" s="423" t="s">
        <v>2766</v>
      </c>
      <c r="H395" s="423" t="s">
        <v>2572</v>
      </c>
      <c r="I395" s="423" t="s">
        <v>2555</v>
      </c>
      <c r="J395" s="423" t="s">
        <v>2555</v>
      </c>
      <c r="K395" s="423" t="s">
        <v>2556</v>
      </c>
      <c r="L395" s="423" t="s">
        <v>2127</v>
      </c>
      <c r="M395" s="422">
        <v>11795.684999999999</v>
      </c>
      <c r="N395" s="422"/>
      <c r="O395" s="422"/>
      <c r="P395" s="422">
        <v>11488.241</v>
      </c>
    </row>
    <row r="396" spans="1:16" x14ac:dyDescent="0.5">
      <c r="A396" s="423"/>
      <c r="B396" s="423"/>
      <c r="C396" s="423"/>
      <c r="D396" s="423"/>
      <c r="E396" s="423" t="s">
        <v>2760</v>
      </c>
      <c r="F396" s="423" t="s">
        <v>2600</v>
      </c>
      <c r="G396" s="423" t="s">
        <v>2825</v>
      </c>
      <c r="H396" s="423" t="s">
        <v>2859</v>
      </c>
      <c r="I396" s="423" t="s">
        <v>2823</v>
      </c>
      <c r="J396" s="423" t="s">
        <v>2823</v>
      </c>
      <c r="K396" s="423" t="s">
        <v>2556</v>
      </c>
      <c r="L396" s="423" t="s">
        <v>2127</v>
      </c>
      <c r="M396" s="422"/>
      <c r="N396" s="422"/>
      <c r="O396" s="422"/>
      <c r="P396" s="422">
        <v>67632.774999999994</v>
      </c>
    </row>
    <row r="397" spans="1:16" x14ac:dyDescent="0.5">
      <c r="A397" s="423"/>
      <c r="B397" s="423"/>
      <c r="C397" s="423"/>
      <c r="D397" s="423"/>
      <c r="E397" s="423" t="s">
        <v>2760</v>
      </c>
      <c r="F397" s="423" t="s">
        <v>2600</v>
      </c>
      <c r="G397" s="423" t="s">
        <v>2792</v>
      </c>
      <c r="H397" s="423" t="s">
        <v>2758</v>
      </c>
      <c r="I397" s="423" t="s">
        <v>2790</v>
      </c>
      <c r="J397" s="423" t="s">
        <v>2790</v>
      </c>
      <c r="K397" s="423" t="s">
        <v>2556</v>
      </c>
      <c r="L397" s="423" t="s">
        <v>2127</v>
      </c>
      <c r="M397" s="422"/>
      <c r="N397" s="422"/>
      <c r="O397" s="422"/>
      <c r="P397" s="422">
        <v>74872.365000000005</v>
      </c>
    </row>
    <row r="398" spans="1:16" x14ac:dyDescent="0.5">
      <c r="A398" s="423"/>
      <c r="B398" s="423"/>
      <c r="C398" s="423"/>
      <c r="D398" s="423"/>
      <c r="E398" s="423" t="s">
        <v>2760</v>
      </c>
      <c r="F398" s="423" t="s">
        <v>2600</v>
      </c>
      <c r="G398" s="423" t="s">
        <v>2789</v>
      </c>
      <c r="H398" s="423" t="s">
        <v>2801</v>
      </c>
      <c r="I398" s="423" t="s">
        <v>2757</v>
      </c>
      <c r="J398" s="423" t="s">
        <v>2757</v>
      </c>
      <c r="K398" s="423" t="s">
        <v>2556</v>
      </c>
      <c r="L398" s="423" t="s">
        <v>2127</v>
      </c>
      <c r="M398" s="422"/>
      <c r="N398" s="422"/>
      <c r="O398" s="422"/>
      <c r="P398" s="422">
        <v>74164.09</v>
      </c>
    </row>
    <row r="399" spans="1:16" x14ac:dyDescent="0.5">
      <c r="A399" s="423"/>
      <c r="B399" s="423"/>
      <c r="C399" s="423"/>
      <c r="D399" s="423"/>
      <c r="E399" s="423" t="s">
        <v>2560</v>
      </c>
      <c r="F399" s="423" t="s">
        <v>2554</v>
      </c>
      <c r="G399" s="423" t="s">
        <v>2561</v>
      </c>
      <c r="H399" s="423" t="s">
        <v>2849</v>
      </c>
      <c r="I399" s="423" t="s">
        <v>2562</v>
      </c>
      <c r="J399" s="423" t="s">
        <v>2563</v>
      </c>
      <c r="K399" s="423" t="s">
        <v>2556</v>
      </c>
      <c r="L399" s="423" t="s">
        <v>2127</v>
      </c>
      <c r="M399" s="422"/>
      <c r="N399" s="422"/>
      <c r="O399" s="422"/>
      <c r="P399" s="422">
        <v>7072.7610000000004</v>
      </c>
    </row>
    <row r="400" spans="1:16" x14ac:dyDescent="0.5">
      <c r="A400" s="423"/>
      <c r="B400" s="423"/>
      <c r="C400" s="423"/>
      <c r="D400" s="423"/>
      <c r="E400" s="423" t="s">
        <v>2553</v>
      </c>
      <c r="F400" s="423" t="s">
        <v>2559</v>
      </c>
      <c r="G400" s="423" t="s">
        <v>2773</v>
      </c>
      <c r="H400" s="423" t="s">
        <v>2858</v>
      </c>
      <c r="I400" s="423" t="s">
        <v>2573</v>
      </c>
      <c r="J400" s="423" t="s">
        <v>2573</v>
      </c>
      <c r="K400" s="423" t="s">
        <v>2556</v>
      </c>
      <c r="L400" s="423" t="s">
        <v>2128</v>
      </c>
      <c r="M400" s="422">
        <v>11035.154999999999</v>
      </c>
      <c r="N400" s="422"/>
      <c r="O400" s="422"/>
      <c r="P400" s="422">
        <v>14790.955</v>
      </c>
    </row>
    <row r="401" spans="1:16" x14ac:dyDescent="0.5">
      <c r="A401" s="423"/>
      <c r="B401" s="423"/>
      <c r="C401" s="423"/>
      <c r="D401" s="423"/>
      <c r="E401" s="423" t="s">
        <v>2672</v>
      </c>
      <c r="F401" s="423" t="s">
        <v>2554</v>
      </c>
      <c r="G401" s="423" t="s">
        <v>2768</v>
      </c>
      <c r="H401" s="423" t="s">
        <v>2857</v>
      </c>
      <c r="I401" s="423" t="s">
        <v>2555</v>
      </c>
      <c r="J401" s="423" t="s">
        <v>2555</v>
      </c>
      <c r="K401" s="423" t="s">
        <v>2556</v>
      </c>
      <c r="L401" s="423" t="s">
        <v>2128</v>
      </c>
      <c r="M401" s="422"/>
      <c r="N401" s="422"/>
      <c r="O401" s="422"/>
      <c r="P401" s="422">
        <v>11436.522999999999</v>
      </c>
    </row>
    <row r="402" spans="1:16" x14ac:dyDescent="0.5">
      <c r="A402" s="423"/>
      <c r="B402" s="423"/>
      <c r="C402" s="423"/>
      <c r="D402" s="423"/>
      <c r="E402" s="423" t="s">
        <v>2566</v>
      </c>
      <c r="F402" s="423" t="s">
        <v>2559</v>
      </c>
      <c r="G402" s="423" t="s">
        <v>2856</v>
      </c>
      <c r="H402" s="423" t="s">
        <v>2855</v>
      </c>
      <c r="I402" s="423" t="s">
        <v>2797</v>
      </c>
      <c r="J402" s="423" t="s">
        <v>2829</v>
      </c>
      <c r="K402" s="423" t="s">
        <v>2556</v>
      </c>
      <c r="L402" s="423" t="s">
        <v>2128</v>
      </c>
      <c r="M402" s="422"/>
      <c r="N402" s="422"/>
      <c r="O402" s="422"/>
      <c r="P402" s="422">
        <v>33814.766000000003</v>
      </c>
    </row>
    <row r="403" spans="1:16" x14ac:dyDescent="0.5">
      <c r="A403" s="423"/>
      <c r="B403" s="423"/>
      <c r="C403" s="423"/>
      <c r="D403" s="423"/>
      <c r="E403" s="423" t="s">
        <v>2566</v>
      </c>
      <c r="F403" s="423" t="s">
        <v>2559</v>
      </c>
      <c r="G403" s="423" t="s">
        <v>2854</v>
      </c>
      <c r="H403" s="423" t="s">
        <v>2850</v>
      </c>
      <c r="I403" s="423" t="s">
        <v>2853</v>
      </c>
      <c r="J403" s="423" t="s">
        <v>2798</v>
      </c>
      <c r="K403" s="423" t="s">
        <v>2556</v>
      </c>
      <c r="L403" s="423" t="s">
        <v>2128</v>
      </c>
      <c r="M403" s="422"/>
      <c r="N403" s="422"/>
      <c r="O403" s="422"/>
      <c r="P403" s="422">
        <v>71926.491999999998</v>
      </c>
    </row>
    <row r="404" spans="1:16" x14ac:dyDescent="0.5">
      <c r="A404" s="423"/>
      <c r="B404" s="423"/>
      <c r="C404" s="423"/>
      <c r="D404" s="423"/>
      <c r="E404" s="423" t="s">
        <v>2752</v>
      </c>
      <c r="F404" s="423" t="s">
        <v>2554</v>
      </c>
      <c r="G404" s="423" t="s">
        <v>2751</v>
      </c>
      <c r="H404" s="423" t="s">
        <v>2750</v>
      </c>
      <c r="I404" s="423" t="s">
        <v>2592</v>
      </c>
      <c r="J404" s="423" t="s">
        <v>2592</v>
      </c>
      <c r="K404" s="423" t="s">
        <v>2556</v>
      </c>
      <c r="L404" s="423" t="s">
        <v>2128</v>
      </c>
      <c r="M404" s="422"/>
      <c r="N404" s="422"/>
      <c r="O404" s="422"/>
      <c r="P404" s="422">
        <v>3533.2080000000001</v>
      </c>
    </row>
    <row r="405" spans="1:16" x14ac:dyDescent="0.5">
      <c r="A405" s="423"/>
      <c r="B405" s="423"/>
      <c r="C405" s="423"/>
      <c r="D405" s="423"/>
      <c r="E405" s="423" t="s">
        <v>2560</v>
      </c>
      <c r="F405" s="423" t="s">
        <v>2554</v>
      </c>
      <c r="G405" s="423" t="s">
        <v>2561</v>
      </c>
      <c r="H405" s="423" t="s">
        <v>2849</v>
      </c>
      <c r="I405" s="423" t="s">
        <v>2577</v>
      </c>
      <c r="J405" s="423" t="s">
        <v>2563</v>
      </c>
      <c r="K405" s="423" t="s">
        <v>2556</v>
      </c>
      <c r="L405" s="423" t="s">
        <v>2128</v>
      </c>
      <c r="M405" s="422"/>
      <c r="N405" s="422"/>
      <c r="O405" s="422"/>
      <c r="P405" s="422">
        <v>6929.4849999999997</v>
      </c>
    </row>
    <row r="406" spans="1:16" x14ac:dyDescent="0.5">
      <c r="A406" s="423"/>
      <c r="B406" s="423"/>
      <c r="C406" s="423"/>
      <c r="D406" s="423"/>
      <c r="E406" s="423" t="s">
        <v>2553</v>
      </c>
      <c r="F406" s="423" t="s">
        <v>2559</v>
      </c>
      <c r="G406" s="423" t="s">
        <v>2748</v>
      </c>
      <c r="H406" s="423" t="s">
        <v>2603</v>
      </c>
      <c r="I406" s="423" t="s">
        <v>2558</v>
      </c>
      <c r="J406" s="423" t="s">
        <v>2558</v>
      </c>
      <c r="K406" s="423" t="s">
        <v>2556</v>
      </c>
      <c r="L406" s="423" t="s">
        <v>2128</v>
      </c>
      <c r="M406" s="422"/>
      <c r="N406" s="422"/>
      <c r="O406" s="422"/>
      <c r="P406" s="422">
        <v>16738.509999999998</v>
      </c>
    </row>
    <row r="407" spans="1:16" x14ac:dyDescent="0.5">
      <c r="A407" s="423"/>
      <c r="B407" s="423"/>
      <c r="C407" s="423"/>
      <c r="D407" s="423"/>
      <c r="E407" s="423" t="s">
        <v>2566</v>
      </c>
      <c r="F407" s="423" t="s">
        <v>2559</v>
      </c>
      <c r="G407" s="423" t="s">
        <v>2852</v>
      </c>
      <c r="H407" s="423" t="s">
        <v>2810</v>
      </c>
      <c r="I407" s="423" t="s">
        <v>2808</v>
      </c>
      <c r="J407" s="423" t="s">
        <v>2808</v>
      </c>
      <c r="K407" s="423" t="s">
        <v>2556</v>
      </c>
      <c r="L407" s="423" t="s">
        <v>2129</v>
      </c>
      <c r="M407" s="422">
        <v>11715.352000000001</v>
      </c>
      <c r="N407" s="422"/>
      <c r="O407" s="422"/>
      <c r="P407" s="422">
        <v>32382.447</v>
      </c>
    </row>
    <row r="408" spans="1:16" x14ac:dyDescent="0.5">
      <c r="A408" s="423"/>
      <c r="B408" s="423"/>
      <c r="C408" s="423"/>
      <c r="D408" s="423"/>
      <c r="E408" s="423" t="s">
        <v>2566</v>
      </c>
      <c r="F408" s="423" t="s">
        <v>2559</v>
      </c>
      <c r="G408" s="423" t="s">
        <v>2851</v>
      </c>
      <c r="H408" s="423" t="s">
        <v>2850</v>
      </c>
      <c r="I408" s="423" t="s">
        <v>2808</v>
      </c>
      <c r="J408" s="423" t="s">
        <v>2808</v>
      </c>
      <c r="K408" s="423" t="s">
        <v>2556</v>
      </c>
      <c r="L408" s="423" t="s">
        <v>2129</v>
      </c>
      <c r="M408" s="422"/>
      <c r="N408" s="422"/>
      <c r="O408" s="422"/>
      <c r="P408" s="422">
        <v>25942.016</v>
      </c>
    </row>
    <row r="409" spans="1:16" x14ac:dyDescent="0.5">
      <c r="A409" s="423"/>
      <c r="B409" s="423"/>
      <c r="C409" s="423"/>
      <c r="D409" s="423"/>
      <c r="E409" s="423" t="s">
        <v>2568</v>
      </c>
      <c r="F409" s="423" t="s">
        <v>2559</v>
      </c>
      <c r="G409" s="423" t="s">
        <v>2812</v>
      </c>
      <c r="H409" s="423" t="s">
        <v>2616</v>
      </c>
      <c r="I409" s="423" t="s">
        <v>2577</v>
      </c>
      <c r="J409" s="423" t="s">
        <v>2570</v>
      </c>
      <c r="K409" s="423" t="s">
        <v>2556</v>
      </c>
      <c r="L409" s="423" t="s">
        <v>2129</v>
      </c>
      <c r="M409" s="422"/>
      <c r="N409" s="422"/>
      <c r="O409" s="422"/>
      <c r="P409" s="422">
        <v>9385.4750000000004</v>
      </c>
    </row>
    <row r="410" spans="1:16" x14ac:dyDescent="0.5">
      <c r="A410" s="423"/>
      <c r="B410" s="423"/>
      <c r="C410" s="423"/>
      <c r="D410" s="423"/>
      <c r="E410" s="423" t="s">
        <v>2560</v>
      </c>
      <c r="F410" s="423" t="s">
        <v>2554</v>
      </c>
      <c r="G410" s="423" t="s">
        <v>2561</v>
      </c>
      <c r="H410" s="423" t="s">
        <v>2849</v>
      </c>
      <c r="I410" s="423" t="s">
        <v>2577</v>
      </c>
      <c r="J410" s="423" t="s">
        <v>2563</v>
      </c>
      <c r="K410" s="423" t="s">
        <v>2556</v>
      </c>
      <c r="L410" s="423" t="s">
        <v>2129</v>
      </c>
      <c r="M410" s="422"/>
      <c r="N410" s="422"/>
      <c r="O410" s="422"/>
      <c r="P410" s="422">
        <v>6646.2550000000001</v>
      </c>
    </row>
    <row r="411" spans="1:16" x14ac:dyDescent="0.5">
      <c r="A411" s="423"/>
      <c r="B411" s="423"/>
      <c r="C411" s="423"/>
      <c r="D411" s="423"/>
      <c r="E411" s="423" t="s">
        <v>2553</v>
      </c>
      <c r="F411" s="423" t="s">
        <v>2554</v>
      </c>
      <c r="G411" s="423" t="s">
        <v>2766</v>
      </c>
      <c r="H411" s="423" t="s">
        <v>2579</v>
      </c>
      <c r="I411" s="423" t="s">
        <v>2555</v>
      </c>
      <c r="J411" s="423" t="s">
        <v>2555</v>
      </c>
      <c r="K411" s="423" t="s">
        <v>2556</v>
      </c>
      <c r="L411" s="423" t="s">
        <v>2130</v>
      </c>
      <c r="M411" s="422">
        <v>12713.732</v>
      </c>
      <c r="N411" s="422"/>
      <c r="O411" s="422"/>
      <c r="P411" s="422">
        <v>10527.334000000001</v>
      </c>
    </row>
    <row r="412" spans="1:16" x14ac:dyDescent="0.5">
      <c r="A412" s="423"/>
      <c r="B412" s="423"/>
      <c r="C412" s="423"/>
      <c r="D412" s="423"/>
      <c r="E412" s="423" t="s">
        <v>2764</v>
      </c>
      <c r="F412" s="423" t="s">
        <v>2554</v>
      </c>
      <c r="G412" s="423" t="s">
        <v>2763</v>
      </c>
      <c r="H412" s="423" t="s">
        <v>2818</v>
      </c>
      <c r="I412" s="423" t="s">
        <v>2761</v>
      </c>
      <c r="J412" s="423" t="s">
        <v>2761</v>
      </c>
      <c r="K412" s="423" t="s">
        <v>2556</v>
      </c>
      <c r="L412" s="423" t="s">
        <v>2130</v>
      </c>
      <c r="M412" s="422"/>
      <c r="N412" s="422"/>
      <c r="O412" s="422"/>
      <c r="P412" s="422">
        <v>80093.582999999999</v>
      </c>
    </row>
    <row r="413" spans="1:16" x14ac:dyDescent="0.5">
      <c r="A413" s="423"/>
      <c r="B413" s="423"/>
      <c r="C413" s="423"/>
      <c r="D413" s="423"/>
      <c r="E413" s="423" t="s">
        <v>2752</v>
      </c>
      <c r="F413" s="423" t="s">
        <v>2554</v>
      </c>
      <c r="G413" s="423" t="s">
        <v>2848</v>
      </c>
      <c r="H413" s="423" t="s">
        <v>2847</v>
      </c>
      <c r="I413" s="423" t="s">
        <v>2592</v>
      </c>
      <c r="J413" s="423" t="s">
        <v>2592</v>
      </c>
      <c r="K413" s="423" t="s">
        <v>2556</v>
      </c>
      <c r="L413" s="423" t="s">
        <v>2130</v>
      </c>
      <c r="M413" s="422"/>
      <c r="N413" s="422"/>
      <c r="O413" s="422"/>
      <c r="P413" s="422">
        <v>3864.9580000000001</v>
      </c>
    </row>
    <row r="414" spans="1:16" x14ac:dyDescent="0.5">
      <c r="A414" s="423"/>
      <c r="B414" s="423"/>
      <c r="C414" s="423"/>
      <c r="D414" s="423"/>
      <c r="E414" s="423" t="s">
        <v>2599</v>
      </c>
      <c r="F414" s="423" t="s">
        <v>2600</v>
      </c>
      <c r="G414" s="423" t="s">
        <v>2601</v>
      </c>
      <c r="H414" s="423" t="s">
        <v>2846</v>
      </c>
      <c r="I414" s="423" t="s">
        <v>2562</v>
      </c>
      <c r="J414" s="423" t="s">
        <v>2562</v>
      </c>
      <c r="K414" s="423" t="s">
        <v>2556</v>
      </c>
      <c r="L414" s="423" t="s">
        <v>2130</v>
      </c>
      <c r="M414" s="422"/>
      <c r="N414" s="422"/>
      <c r="O414" s="422"/>
      <c r="P414" s="422">
        <v>1123.2280000000001</v>
      </c>
    </row>
    <row r="415" spans="1:16" x14ac:dyDescent="0.5">
      <c r="A415" s="423"/>
      <c r="B415" s="423"/>
      <c r="C415" s="423"/>
      <c r="D415" s="423"/>
      <c r="E415" s="423" t="s">
        <v>2591</v>
      </c>
      <c r="F415" s="423" t="s">
        <v>2554</v>
      </c>
      <c r="G415" s="423" t="s">
        <v>2834</v>
      </c>
      <c r="H415" s="423" t="s">
        <v>2845</v>
      </c>
      <c r="I415" s="423" t="s">
        <v>2592</v>
      </c>
      <c r="J415" s="423" t="s">
        <v>2592</v>
      </c>
      <c r="K415" s="423" t="s">
        <v>2556</v>
      </c>
      <c r="L415" s="423" t="s">
        <v>2130</v>
      </c>
      <c r="M415" s="422"/>
      <c r="N415" s="422"/>
      <c r="O415" s="422"/>
      <c r="P415" s="422">
        <v>774.15700000000004</v>
      </c>
    </row>
    <row r="416" spans="1:16" x14ac:dyDescent="0.5">
      <c r="A416" s="423"/>
      <c r="B416" s="423"/>
      <c r="C416" s="423"/>
      <c r="D416" s="423"/>
      <c r="E416" s="423" t="s">
        <v>2560</v>
      </c>
      <c r="F416" s="423" t="s">
        <v>2554</v>
      </c>
      <c r="G416" s="423" t="s">
        <v>2561</v>
      </c>
      <c r="H416" s="423" t="s">
        <v>2749</v>
      </c>
      <c r="I416" s="423" t="s">
        <v>2562</v>
      </c>
      <c r="J416" s="423" t="s">
        <v>2563</v>
      </c>
      <c r="K416" s="423" t="s">
        <v>2556</v>
      </c>
      <c r="L416" s="423" t="s">
        <v>2130</v>
      </c>
      <c r="M416" s="422"/>
      <c r="N416" s="422"/>
      <c r="O416" s="422"/>
      <c r="P416" s="422">
        <v>4597.9319999999998</v>
      </c>
    </row>
    <row r="417" spans="1:16" x14ac:dyDescent="0.5">
      <c r="A417" s="423"/>
      <c r="B417" s="423"/>
      <c r="C417" s="423"/>
      <c r="D417" s="423"/>
      <c r="E417" s="423" t="s">
        <v>2566</v>
      </c>
      <c r="F417" s="423" t="s">
        <v>2559</v>
      </c>
      <c r="G417" s="423" t="s">
        <v>2844</v>
      </c>
      <c r="H417" s="423" t="s">
        <v>2843</v>
      </c>
      <c r="I417" s="423" t="s">
        <v>2842</v>
      </c>
      <c r="J417" s="423" t="s">
        <v>2841</v>
      </c>
      <c r="K417" s="423" t="s">
        <v>2556</v>
      </c>
      <c r="L417" s="423" t="s">
        <v>2130</v>
      </c>
      <c r="M417" s="422"/>
      <c r="N417" s="422"/>
      <c r="O417" s="422"/>
      <c r="P417" s="422">
        <v>31576.401999999998</v>
      </c>
    </row>
    <row r="418" spans="1:16" x14ac:dyDescent="0.5">
      <c r="A418" s="423"/>
      <c r="B418" s="423"/>
      <c r="C418" s="423"/>
      <c r="D418" s="423"/>
      <c r="E418" s="423" t="s">
        <v>2553</v>
      </c>
      <c r="F418" s="423" t="s">
        <v>2559</v>
      </c>
      <c r="G418" s="423" t="s">
        <v>2748</v>
      </c>
      <c r="H418" s="423" t="s">
        <v>2679</v>
      </c>
      <c r="I418" s="423" t="s">
        <v>2558</v>
      </c>
      <c r="J418" s="423" t="s">
        <v>2558</v>
      </c>
      <c r="K418" s="423" t="s">
        <v>2556</v>
      </c>
      <c r="L418" s="423" t="s">
        <v>2130</v>
      </c>
      <c r="M418" s="422"/>
      <c r="N418" s="422"/>
      <c r="O418" s="422"/>
      <c r="P418" s="422">
        <v>15953.234</v>
      </c>
    </row>
    <row r="419" spans="1:16" x14ac:dyDescent="0.5">
      <c r="A419" s="423"/>
      <c r="B419" s="423"/>
      <c r="C419" s="423"/>
      <c r="D419" s="423"/>
      <c r="E419" s="423" t="s">
        <v>2672</v>
      </c>
      <c r="F419" s="423" t="s">
        <v>2554</v>
      </c>
      <c r="G419" s="423" t="s">
        <v>2768</v>
      </c>
      <c r="H419" s="423" t="s">
        <v>2822</v>
      </c>
      <c r="I419" s="423" t="s">
        <v>2555</v>
      </c>
      <c r="J419" s="423" t="s">
        <v>2555</v>
      </c>
      <c r="K419" s="423" t="s">
        <v>2556</v>
      </c>
      <c r="L419" s="423" t="s">
        <v>2131</v>
      </c>
      <c r="M419" s="422">
        <v>10903.878000000001</v>
      </c>
      <c r="N419" s="422"/>
      <c r="O419" s="422"/>
      <c r="P419" s="422">
        <v>12469.316999999999</v>
      </c>
    </row>
    <row r="420" spans="1:16" x14ac:dyDescent="0.5">
      <c r="A420" s="423"/>
      <c r="B420" s="423"/>
      <c r="C420" s="423"/>
      <c r="D420" s="423"/>
      <c r="E420" s="423" t="s">
        <v>2760</v>
      </c>
      <c r="F420" s="423" t="s">
        <v>2600</v>
      </c>
      <c r="G420" s="423" t="s">
        <v>2759</v>
      </c>
      <c r="H420" s="423" t="s">
        <v>2791</v>
      </c>
      <c r="I420" s="423" t="s">
        <v>2757</v>
      </c>
      <c r="J420" s="423" t="s">
        <v>2757</v>
      </c>
      <c r="K420" s="423" t="s">
        <v>2556</v>
      </c>
      <c r="L420" s="423" t="s">
        <v>2131</v>
      </c>
      <c r="M420" s="422"/>
      <c r="N420" s="422"/>
      <c r="O420" s="422"/>
      <c r="P420" s="422">
        <v>76800.91</v>
      </c>
    </row>
    <row r="421" spans="1:16" x14ac:dyDescent="0.5">
      <c r="A421" s="423"/>
      <c r="B421" s="423"/>
      <c r="C421" s="423"/>
      <c r="D421" s="423"/>
      <c r="E421" s="423" t="s">
        <v>2764</v>
      </c>
      <c r="F421" s="423" t="s">
        <v>2554</v>
      </c>
      <c r="G421" s="423" t="s">
        <v>2763</v>
      </c>
      <c r="H421" s="423" t="s">
        <v>2818</v>
      </c>
      <c r="I421" s="423" t="s">
        <v>2761</v>
      </c>
      <c r="J421" s="423" t="s">
        <v>2761</v>
      </c>
      <c r="K421" s="423" t="s">
        <v>2556</v>
      </c>
      <c r="L421" s="423" t="s">
        <v>2131</v>
      </c>
      <c r="M421" s="422"/>
      <c r="N421" s="422"/>
      <c r="O421" s="422"/>
      <c r="P421" s="422">
        <v>82061.574999999997</v>
      </c>
    </row>
    <row r="422" spans="1:16" x14ac:dyDescent="0.5">
      <c r="A422" s="423"/>
      <c r="B422" s="423"/>
      <c r="C422" s="423"/>
      <c r="D422" s="423"/>
      <c r="E422" s="423" t="s">
        <v>2760</v>
      </c>
      <c r="F422" s="423" t="s">
        <v>2600</v>
      </c>
      <c r="G422" s="423" t="s">
        <v>2817</v>
      </c>
      <c r="H422" s="423" t="s">
        <v>2758</v>
      </c>
      <c r="I422" s="423" t="s">
        <v>2790</v>
      </c>
      <c r="J422" s="423" t="s">
        <v>2794</v>
      </c>
      <c r="K422" s="423" t="s">
        <v>2556</v>
      </c>
      <c r="L422" s="423" t="s">
        <v>2131</v>
      </c>
      <c r="M422" s="422"/>
      <c r="N422" s="422"/>
      <c r="O422" s="422"/>
      <c r="P422" s="422">
        <v>79302.778000000006</v>
      </c>
    </row>
    <row r="423" spans="1:16" x14ac:dyDescent="0.5">
      <c r="A423" s="423"/>
      <c r="B423" s="423"/>
      <c r="C423" s="423"/>
      <c r="D423" s="423"/>
      <c r="E423" s="423" t="s">
        <v>2568</v>
      </c>
      <c r="F423" s="423" t="s">
        <v>2559</v>
      </c>
      <c r="G423" s="423" t="s">
        <v>2838</v>
      </c>
      <c r="H423" s="423" t="s">
        <v>2616</v>
      </c>
      <c r="I423" s="423" t="s">
        <v>2577</v>
      </c>
      <c r="J423" s="423" t="s">
        <v>2570</v>
      </c>
      <c r="K423" s="423" t="s">
        <v>2556</v>
      </c>
      <c r="L423" s="423" t="s">
        <v>2131</v>
      </c>
      <c r="M423" s="422"/>
      <c r="N423" s="422"/>
      <c r="O423" s="422"/>
      <c r="P423" s="422">
        <v>9537.1630000000005</v>
      </c>
    </row>
    <row r="424" spans="1:16" x14ac:dyDescent="0.5">
      <c r="A424" s="423"/>
      <c r="B424" s="423"/>
      <c r="C424" s="423"/>
      <c r="D424" s="423"/>
      <c r="E424" s="423" t="s">
        <v>2560</v>
      </c>
      <c r="F424" s="423" t="s">
        <v>2554</v>
      </c>
      <c r="G424" s="423" t="s">
        <v>2561</v>
      </c>
      <c r="H424" s="423" t="s">
        <v>2749</v>
      </c>
      <c r="I424" s="423" t="s">
        <v>2577</v>
      </c>
      <c r="J424" s="423" t="s">
        <v>2563</v>
      </c>
      <c r="K424" s="423" t="s">
        <v>2556</v>
      </c>
      <c r="L424" s="423" t="s">
        <v>2131</v>
      </c>
      <c r="M424" s="422"/>
      <c r="N424" s="422"/>
      <c r="O424" s="422"/>
      <c r="P424" s="422">
        <v>6521.692</v>
      </c>
    </row>
    <row r="425" spans="1:16" x14ac:dyDescent="0.5">
      <c r="A425" s="423"/>
      <c r="B425" s="423"/>
      <c r="C425" s="423"/>
      <c r="D425" s="423"/>
      <c r="E425" s="423" t="s">
        <v>2566</v>
      </c>
      <c r="F425" s="423" t="s">
        <v>2559</v>
      </c>
      <c r="G425" s="423" t="s">
        <v>2820</v>
      </c>
      <c r="H425" s="423" t="s">
        <v>2819</v>
      </c>
      <c r="I425" s="423" t="s">
        <v>2779</v>
      </c>
      <c r="J425" s="423" t="s">
        <v>2778</v>
      </c>
      <c r="K425" s="423" t="s">
        <v>2556</v>
      </c>
      <c r="L425" s="423" t="s">
        <v>2131</v>
      </c>
      <c r="M425" s="422"/>
      <c r="N425" s="422"/>
      <c r="O425" s="422"/>
      <c r="P425" s="422">
        <v>37091.186999999998</v>
      </c>
    </row>
    <row r="426" spans="1:16" x14ac:dyDescent="0.5">
      <c r="A426" s="423"/>
      <c r="B426" s="423"/>
      <c r="C426" s="423"/>
      <c r="D426" s="423"/>
      <c r="E426" s="423" t="s">
        <v>2553</v>
      </c>
      <c r="F426" s="423" t="s">
        <v>2554</v>
      </c>
      <c r="G426" s="423" t="s">
        <v>2766</v>
      </c>
      <c r="H426" s="423" t="s">
        <v>2572</v>
      </c>
      <c r="I426" s="423" t="s">
        <v>2555</v>
      </c>
      <c r="J426" s="423" t="s">
        <v>2555</v>
      </c>
      <c r="K426" s="423" t="s">
        <v>2556</v>
      </c>
      <c r="L426" s="423" t="s">
        <v>2132</v>
      </c>
      <c r="M426" s="422">
        <v>14983.071</v>
      </c>
      <c r="N426" s="422"/>
      <c r="O426" s="422"/>
      <c r="P426" s="422">
        <v>11645.9</v>
      </c>
    </row>
    <row r="427" spans="1:16" x14ac:dyDescent="0.5">
      <c r="A427" s="423"/>
      <c r="B427" s="423"/>
      <c r="C427" s="423"/>
      <c r="D427" s="423"/>
      <c r="E427" s="423" t="s">
        <v>2560</v>
      </c>
      <c r="F427" s="423" t="s">
        <v>2554</v>
      </c>
      <c r="G427" s="423" t="s">
        <v>2561</v>
      </c>
      <c r="H427" s="423" t="s">
        <v>2749</v>
      </c>
      <c r="I427" s="423" t="s">
        <v>2562</v>
      </c>
      <c r="J427" s="423" t="s">
        <v>2563</v>
      </c>
      <c r="K427" s="423" t="s">
        <v>2556</v>
      </c>
      <c r="L427" s="423" t="s">
        <v>2132</v>
      </c>
      <c r="M427" s="422"/>
      <c r="N427" s="422"/>
      <c r="O427" s="422"/>
      <c r="P427" s="422">
        <v>6608.66</v>
      </c>
    </row>
    <row r="428" spans="1:16" x14ac:dyDescent="0.5">
      <c r="A428" s="423"/>
      <c r="B428" s="423"/>
      <c r="C428" s="423"/>
      <c r="D428" s="423"/>
      <c r="E428" s="423" t="s">
        <v>2672</v>
      </c>
      <c r="F428" s="423" t="s">
        <v>2554</v>
      </c>
      <c r="G428" s="423" t="s">
        <v>2768</v>
      </c>
      <c r="H428" s="423" t="s">
        <v>2840</v>
      </c>
      <c r="I428" s="423" t="s">
        <v>2555</v>
      </c>
      <c r="J428" s="423" t="s">
        <v>2555</v>
      </c>
      <c r="K428" s="423" t="s">
        <v>2556</v>
      </c>
      <c r="L428" s="423" t="s">
        <v>2133</v>
      </c>
      <c r="M428" s="422">
        <v>14036.771000000001</v>
      </c>
      <c r="N428" s="422"/>
      <c r="O428" s="422"/>
      <c r="P428" s="422">
        <v>12217.353999999999</v>
      </c>
    </row>
    <row r="429" spans="1:16" x14ac:dyDescent="0.5">
      <c r="A429" s="423"/>
      <c r="B429" s="423"/>
      <c r="C429" s="423"/>
      <c r="D429" s="423"/>
      <c r="E429" s="423" t="s">
        <v>2553</v>
      </c>
      <c r="F429" s="423" t="s">
        <v>2554</v>
      </c>
      <c r="G429" s="423" t="s">
        <v>2772</v>
      </c>
      <c r="H429" s="423" t="s">
        <v>2821</v>
      </c>
      <c r="I429" s="423" t="s">
        <v>2770</v>
      </c>
      <c r="J429" s="423" t="s">
        <v>2770</v>
      </c>
      <c r="K429" s="423" t="s">
        <v>2556</v>
      </c>
      <c r="L429" s="423" t="s">
        <v>2133</v>
      </c>
      <c r="M429" s="422"/>
      <c r="N429" s="422"/>
      <c r="O429" s="422"/>
      <c r="P429" s="422">
        <v>14107.513999999999</v>
      </c>
    </row>
    <row r="430" spans="1:16" x14ac:dyDescent="0.5">
      <c r="A430" s="423"/>
      <c r="B430" s="423"/>
      <c r="C430" s="423"/>
      <c r="D430" s="423"/>
      <c r="E430" s="423" t="s">
        <v>2553</v>
      </c>
      <c r="F430" s="423" t="s">
        <v>2559</v>
      </c>
      <c r="G430" s="423" t="s">
        <v>2773</v>
      </c>
      <c r="H430" s="423" t="s">
        <v>2583</v>
      </c>
      <c r="I430" s="423" t="s">
        <v>2573</v>
      </c>
      <c r="J430" s="423" t="s">
        <v>2573</v>
      </c>
      <c r="K430" s="423" t="s">
        <v>2556</v>
      </c>
      <c r="L430" s="423" t="s">
        <v>2133</v>
      </c>
      <c r="M430" s="422"/>
      <c r="N430" s="422"/>
      <c r="O430" s="422"/>
      <c r="P430" s="422">
        <v>14022.281000000001</v>
      </c>
    </row>
    <row r="431" spans="1:16" x14ac:dyDescent="0.5">
      <c r="A431" s="423"/>
      <c r="B431" s="423"/>
      <c r="C431" s="423"/>
      <c r="D431" s="423"/>
      <c r="E431" s="423" t="s">
        <v>2756</v>
      </c>
      <c r="F431" s="423" t="s">
        <v>2559</v>
      </c>
      <c r="G431" s="423" t="s">
        <v>2755</v>
      </c>
      <c r="H431" s="423" t="s">
        <v>2839</v>
      </c>
      <c r="I431" s="423" t="s">
        <v>2753</v>
      </c>
      <c r="J431" s="423" t="s">
        <v>2753</v>
      </c>
      <c r="K431" s="423" t="s">
        <v>2556</v>
      </c>
      <c r="L431" s="423" t="s">
        <v>2133</v>
      </c>
      <c r="M431" s="422"/>
      <c r="N431" s="422"/>
      <c r="O431" s="422"/>
      <c r="P431" s="422">
        <v>59783.21</v>
      </c>
    </row>
    <row r="432" spans="1:16" x14ac:dyDescent="0.5">
      <c r="A432" s="423"/>
      <c r="B432" s="423"/>
      <c r="C432" s="423"/>
      <c r="D432" s="423"/>
      <c r="E432" s="423" t="s">
        <v>2760</v>
      </c>
      <c r="F432" s="423" t="s">
        <v>2600</v>
      </c>
      <c r="G432" s="423" t="s">
        <v>2802</v>
      </c>
      <c r="H432" s="423" t="s">
        <v>2801</v>
      </c>
      <c r="I432" s="423" t="s">
        <v>2761</v>
      </c>
      <c r="J432" s="423" t="s">
        <v>2761</v>
      </c>
      <c r="K432" s="423" t="s">
        <v>2556</v>
      </c>
      <c r="L432" s="423" t="s">
        <v>2133</v>
      </c>
      <c r="M432" s="422"/>
      <c r="N432" s="422"/>
      <c r="O432" s="422"/>
      <c r="P432" s="422">
        <v>68366.642999999996</v>
      </c>
    </row>
    <row r="433" spans="1:16" x14ac:dyDescent="0.5">
      <c r="A433" s="423"/>
      <c r="B433" s="423"/>
      <c r="C433" s="423"/>
      <c r="D433" s="423"/>
      <c r="E433" s="423" t="s">
        <v>2568</v>
      </c>
      <c r="F433" s="423" t="s">
        <v>2559</v>
      </c>
      <c r="G433" s="423" t="s">
        <v>2838</v>
      </c>
      <c r="H433" s="423" t="s">
        <v>2616</v>
      </c>
      <c r="I433" s="423" t="s">
        <v>2577</v>
      </c>
      <c r="J433" s="423" t="s">
        <v>2570</v>
      </c>
      <c r="K433" s="423" t="s">
        <v>2556</v>
      </c>
      <c r="L433" s="423" t="s">
        <v>2133</v>
      </c>
      <c r="M433" s="422"/>
      <c r="N433" s="422"/>
      <c r="O433" s="422"/>
      <c r="P433" s="422">
        <v>10016.919</v>
      </c>
    </row>
    <row r="434" spans="1:16" x14ac:dyDescent="0.5">
      <c r="A434" s="423"/>
      <c r="B434" s="423"/>
      <c r="C434" s="423"/>
      <c r="D434" s="423"/>
      <c r="E434" s="423" t="s">
        <v>2599</v>
      </c>
      <c r="F434" s="423" t="s">
        <v>2600</v>
      </c>
      <c r="G434" s="423" t="s">
        <v>2601</v>
      </c>
      <c r="H434" s="423" t="s">
        <v>2837</v>
      </c>
      <c r="I434" s="423" t="s">
        <v>2562</v>
      </c>
      <c r="J434" s="423" t="s">
        <v>2562</v>
      </c>
      <c r="K434" s="423" t="s">
        <v>2556</v>
      </c>
      <c r="L434" s="423" t="s">
        <v>2133</v>
      </c>
      <c r="M434" s="422"/>
      <c r="N434" s="422"/>
      <c r="O434" s="422"/>
      <c r="P434" s="422">
        <v>1379.3</v>
      </c>
    </row>
    <row r="435" spans="1:16" x14ac:dyDescent="0.5">
      <c r="A435" s="423"/>
      <c r="B435" s="423"/>
      <c r="C435" s="423"/>
      <c r="D435" s="423"/>
      <c r="E435" s="423" t="s">
        <v>2560</v>
      </c>
      <c r="F435" s="423" t="s">
        <v>2554</v>
      </c>
      <c r="G435" s="423" t="s">
        <v>2561</v>
      </c>
      <c r="H435" s="423" t="s">
        <v>2749</v>
      </c>
      <c r="I435" s="423" t="s">
        <v>2577</v>
      </c>
      <c r="J435" s="423" t="s">
        <v>2563</v>
      </c>
      <c r="K435" s="423" t="s">
        <v>2556</v>
      </c>
      <c r="L435" s="423" t="s">
        <v>2133</v>
      </c>
      <c r="M435" s="422"/>
      <c r="N435" s="422"/>
      <c r="O435" s="422"/>
      <c r="P435" s="422">
        <v>6413.7470000000003</v>
      </c>
    </row>
    <row r="436" spans="1:16" x14ac:dyDescent="0.5">
      <c r="A436" s="423"/>
      <c r="B436" s="423"/>
      <c r="C436" s="423"/>
      <c r="D436" s="423"/>
      <c r="E436" s="423" t="s">
        <v>2553</v>
      </c>
      <c r="F436" s="423" t="s">
        <v>2559</v>
      </c>
      <c r="G436" s="423" t="s">
        <v>2748</v>
      </c>
      <c r="H436" s="423" t="s">
        <v>2836</v>
      </c>
      <c r="I436" s="423" t="s">
        <v>2558</v>
      </c>
      <c r="J436" s="423" t="s">
        <v>2558</v>
      </c>
      <c r="K436" s="423" t="s">
        <v>2556</v>
      </c>
      <c r="L436" s="423" t="s">
        <v>2133</v>
      </c>
      <c r="M436" s="422"/>
      <c r="N436" s="422"/>
      <c r="O436" s="422"/>
      <c r="P436" s="422">
        <v>15889.941000000001</v>
      </c>
    </row>
    <row r="437" spans="1:16" x14ac:dyDescent="0.5">
      <c r="A437" s="423"/>
      <c r="B437" s="423"/>
      <c r="C437" s="423"/>
      <c r="D437" s="423"/>
      <c r="E437" s="423" t="s">
        <v>2553</v>
      </c>
      <c r="F437" s="423" t="s">
        <v>2554</v>
      </c>
      <c r="G437" s="423" t="s">
        <v>2766</v>
      </c>
      <c r="H437" s="423" t="s">
        <v>2579</v>
      </c>
      <c r="I437" s="423" t="s">
        <v>2555</v>
      </c>
      <c r="J437" s="423" t="s">
        <v>2555</v>
      </c>
      <c r="K437" s="423" t="s">
        <v>2556</v>
      </c>
      <c r="L437" s="423" t="s">
        <v>2134</v>
      </c>
      <c r="M437" s="422">
        <v>19654.964</v>
      </c>
      <c r="N437" s="422"/>
      <c r="O437" s="422"/>
      <c r="P437" s="422">
        <v>10798.905000000001</v>
      </c>
    </row>
    <row r="438" spans="1:16" x14ac:dyDescent="0.5">
      <c r="A438" s="423"/>
      <c r="B438" s="423"/>
      <c r="C438" s="423"/>
      <c r="D438" s="423"/>
      <c r="E438" s="423" t="s">
        <v>2760</v>
      </c>
      <c r="F438" s="423" t="s">
        <v>2600</v>
      </c>
      <c r="G438" s="423" t="s">
        <v>2796</v>
      </c>
      <c r="H438" s="423" t="s">
        <v>2835</v>
      </c>
      <c r="I438" s="423" t="s">
        <v>2794</v>
      </c>
      <c r="J438" s="423" t="s">
        <v>2794</v>
      </c>
      <c r="K438" s="423" t="s">
        <v>2556</v>
      </c>
      <c r="L438" s="423" t="s">
        <v>2134</v>
      </c>
      <c r="M438" s="422"/>
      <c r="N438" s="422"/>
      <c r="O438" s="422"/>
      <c r="P438" s="422">
        <v>62713.642</v>
      </c>
    </row>
    <row r="439" spans="1:16" x14ac:dyDescent="0.5">
      <c r="A439" s="423"/>
      <c r="B439" s="423"/>
      <c r="C439" s="423"/>
      <c r="D439" s="423"/>
      <c r="E439" s="423" t="s">
        <v>2760</v>
      </c>
      <c r="F439" s="423" t="s">
        <v>2600</v>
      </c>
      <c r="G439" s="423" t="s">
        <v>2792</v>
      </c>
      <c r="H439" s="423" t="s">
        <v>2758</v>
      </c>
      <c r="I439" s="423" t="s">
        <v>2790</v>
      </c>
      <c r="J439" s="423" t="s">
        <v>2790</v>
      </c>
      <c r="K439" s="423" t="s">
        <v>2556</v>
      </c>
      <c r="L439" s="423" t="s">
        <v>2134</v>
      </c>
      <c r="M439" s="422"/>
      <c r="N439" s="422"/>
      <c r="O439" s="422"/>
      <c r="P439" s="422">
        <v>77210.172999999995</v>
      </c>
    </row>
    <row r="440" spans="1:16" x14ac:dyDescent="0.5">
      <c r="A440" s="423"/>
      <c r="B440" s="423"/>
      <c r="C440" s="423"/>
      <c r="D440" s="423"/>
      <c r="E440" s="423" t="s">
        <v>2760</v>
      </c>
      <c r="F440" s="423" t="s">
        <v>2600</v>
      </c>
      <c r="G440" s="423" t="s">
        <v>2789</v>
      </c>
      <c r="H440" s="423" t="s">
        <v>2791</v>
      </c>
      <c r="I440" s="423" t="s">
        <v>2757</v>
      </c>
      <c r="J440" s="423" t="s">
        <v>2757</v>
      </c>
      <c r="K440" s="423" t="s">
        <v>2556</v>
      </c>
      <c r="L440" s="423" t="s">
        <v>2134</v>
      </c>
      <c r="M440" s="422"/>
      <c r="N440" s="422"/>
      <c r="O440" s="422"/>
      <c r="P440" s="422">
        <v>76322.263000000006</v>
      </c>
    </row>
    <row r="441" spans="1:16" x14ac:dyDescent="0.5">
      <c r="A441" s="423"/>
      <c r="B441" s="423"/>
      <c r="C441" s="423"/>
      <c r="D441" s="423"/>
      <c r="E441" s="423" t="s">
        <v>2591</v>
      </c>
      <c r="F441" s="423" t="s">
        <v>2554</v>
      </c>
      <c r="G441" s="423" t="s">
        <v>2834</v>
      </c>
      <c r="H441" s="423" t="s">
        <v>2833</v>
      </c>
      <c r="I441" s="423" t="s">
        <v>2592</v>
      </c>
      <c r="J441" s="423" t="s">
        <v>2592</v>
      </c>
      <c r="K441" s="423" t="s">
        <v>2556</v>
      </c>
      <c r="L441" s="423" t="s">
        <v>2134</v>
      </c>
      <c r="M441" s="422"/>
      <c r="N441" s="422"/>
      <c r="O441" s="422"/>
      <c r="P441" s="422">
        <v>610</v>
      </c>
    </row>
    <row r="442" spans="1:16" x14ac:dyDescent="0.5">
      <c r="A442" s="423"/>
      <c r="B442" s="423"/>
      <c r="C442" s="423"/>
      <c r="D442" s="423"/>
      <c r="E442" s="423" t="s">
        <v>2560</v>
      </c>
      <c r="F442" s="423" t="s">
        <v>2554</v>
      </c>
      <c r="G442" s="423" t="s">
        <v>2561</v>
      </c>
      <c r="H442" s="423" t="s">
        <v>2749</v>
      </c>
      <c r="I442" s="423" t="s">
        <v>2562</v>
      </c>
      <c r="J442" s="423" t="s">
        <v>2563</v>
      </c>
      <c r="K442" s="423" t="s">
        <v>2556</v>
      </c>
      <c r="L442" s="423" t="s">
        <v>2134</v>
      </c>
      <c r="M442" s="422"/>
      <c r="N442" s="422"/>
      <c r="O442" s="422"/>
      <c r="P442" s="422">
        <v>6507</v>
      </c>
    </row>
    <row r="443" spans="1:16" x14ac:dyDescent="0.5">
      <c r="A443" s="423"/>
      <c r="B443" s="423"/>
      <c r="C443" s="423"/>
      <c r="D443" s="423"/>
      <c r="E443" s="423" t="s">
        <v>2672</v>
      </c>
      <c r="F443" s="423" t="s">
        <v>2554</v>
      </c>
      <c r="G443" s="423" t="s">
        <v>2768</v>
      </c>
      <c r="H443" s="423" t="s">
        <v>2832</v>
      </c>
      <c r="I443" s="423" t="s">
        <v>2555</v>
      </c>
      <c r="J443" s="423" t="s">
        <v>2555</v>
      </c>
      <c r="K443" s="423" t="s">
        <v>2556</v>
      </c>
      <c r="L443" s="423" t="s">
        <v>2135</v>
      </c>
      <c r="M443" s="422">
        <v>14184.843000000001</v>
      </c>
      <c r="N443" s="422"/>
      <c r="O443" s="422"/>
      <c r="P443" s="422">
        <v>11705.486000000001</v>
      </c>
    </row>
    <row r="444" spans="1:16" x14ac:dyDescent="0.5">
      <c r="A444" s="423"/>
      <c r="B444" s="423"/>
      <c r="C444" s="423"/>
      <c r="D444" s="423"/>
      <c r="E444" s="423" t="s">
        <v>2560</v>
      </c>
      <c r="F444" s="423" t="s">
        <v>2554</v>
      </c>
      <c r="G444" s="423" t="s">
        <v>2561</v>
      </c>
      <c r="H444" s="423" t="s">
        <v>2749</v>
      </c>
      <c r="I444" s="423" t="s">
        <v>2562</v>
      </c>
      <c r="J444" s="423" t="s">
        <v>2563</v>
      </c>
      <c r="K444" s="423" t="s">
        <v>2556</v>
      </c>
      <c r="L444" s="423" t="s">
        <v>2135</v>
      </c>
      <c r="M444" s="422"/>
      <c r="N444" s="422"/>
      <c r="O444" s="422"/>
      <c r="P444" s="422">
        <v>5565.1279999999997</v>
      </c>
    </row>
    <row r="445" spans="1:16" x14ac:dyDescent="0.5">
      <c r="A445" s="423"/>
      <c r="B445" s="423"/>
      <c r="C445" s="423"/>
      <c r="D445" s="423"/>
      <c r="E445" s="423" t="s">
        <v>2553</v>
      </c>
      <c r="F445" s="423" t="s">
        <v>2559</v>
      </c>
      <c r="G445" s="423" t="s">
        <v>2748</v>
      </c>
      <c r="H445" s="423" t="s">
        <v>2686</v>
      </c>
      <c r="I445" s="423" t="s">
        <v>2558</v>
      </c>
      <c r="J445" s="423" t="s">
        <v>2558</v>
      </c>
      <c r="K445" s="423" t="s">
        <v>2556</v>
      </c>
      <c r="L445" s="423" t="s">
        <v>2135</v>
      </c>
      <c r="M445" s="422"/>
      <c r="N445" s="422"/>
      <c r="O445" s="422"/>
      <c r="P445" s="422">
        <v>15387.119000000001</v>
      </c>
    </row>
    <row r="446" spans="1:16" x14ac:dyDescent="0.5">
      <c r="A446" s="423"/>
      <c r="B446" s="423"/>
      <c r="C446" s="423"/>
      <c r="D446" s="423"/>
      <c r="E446" s="423" t="s">
        <v>2566</v>
      </c>
      <c r="F446" s="423" t="s">
        <v>2559</v>
      </c>
      <c r="G446" s="423" t="s">
        <v>2831</v>
      </c>
      <c r="H446" s="423" t="s">
        <v>2830</v>
      </c>
      <c r="I446" s="423" t="s">
        <v>2829</v>
      </c>
      <c r="J446" s="423" t="s">
        <v>2829</v>
      </c>
      <c r="K446" s="423" t="s">
        <v>2556</v>
      </c>
      <c r="L446" s="423" t="s">
        <v>2136</v>
      </c>
      <c r="M446" s="422">
        <v>10068.232</v>
      </c>
      <c r="N446" s="422"/>
      <c r="O446" s="422"/>
      <c r="P446" s="422">
        <v>64030</v>
      </c>
    </row>
    <row r="447" spans="1:16" x14ac:dyDescent="0.5">
      <c r="A447" s="423"/>
      <c r="B447" s="423"/>
      <c r="C447" s="423"/>
      <c r="D447" s="423"/>
      <c r="E447" s="423" t="s">
        <v>2591</v>
      </c>
      <c r="F447" s="423" t="s">
        <v>2554</v>
      </c>
      <c r="G447" s="423" t="s">
        <v>2678</v>
      </c>
      <c r="H447" s="423" t="s">
        <v>2828</v>
      </c>
      <c r="I447" s="423" t="s">
        <v>2592</v>
      </c>
      <c r="J447" s="423" t="s">
        <v>2592</v>
      </c>
      <c r="K447" s="423" t="s">
        <v>2556</v>
      </c>
      <c r="L447" s="423" t="s">
        <v>2136</v>
      </c>
      <c r="M447" s="422"/>
      <c r="N447" s="422"/>
      <c r="O447" s="422"/>
      <c r="P447" s="422">
        <v>776</v>
      </c>
    </row>
    <row r="448" spans="1:16" x14ac:dyDescent="0.5">
      <c r="A448" s="423"/>
      <c r="B448" s="423"/>
      <c r="C448" s="423"/>
      <c r="D448" s="423"/>
      <c r="E448" s="423" t="s">
        <v>2568</v>
      </c>
      <c r="F448" s="423" t="s">
        <v>2559</v>
      </c>
      <c r="G448" s="423" t="s">
        <v>2812</v>
      </c>
      <c r="H448" s="423" t="s">
        <v>2616</v>
      </c>
      <c r="I448" s="423" t="s">
        <v>2691</v>
      </c>
      <c r="J448" s="423" t="s">
        <v>2570</v>
      </c>
      <c r="K448" s="423" t="s">
        <v>2556</v>
      </c>
      <c r="L448" s="423" t="s">
        <v>2136</v>
      </c>
      <c r="M448" s="422"/>
      <c r="N448" s="422"/>
      <c r="O448" s="422"/>
      <c r="P448" s="422">
        <v>9389</v>
      </c>
    </row>
    <row r="449" spans="1:16" x14ac:dyDescent="0.5">
      <c r="A449" s="423"/>
      <c r="B449" s="423"/>
      <c r="C449" s="423"/>
      <c r="D449" s="423"/>
      <c r="E449" s="423" t="s">
        <v>2566</v>
      </c>
      <c r="F449" s="423" t="s">
        <v>2559</v>
      </c>
      <c r="G449" s="423" t="s">
        <v>2827</v>
      </c>
      <c r="H449" s="423" t="s">
        <v>2826</v>
      </c>
      <c r="I449" s="423" t="s">
        <v>2809</v>
      </c>
      <c r="J449" s="423" t="s">
        <v>2809</v>
      </c>
      <c r="K449" s="423" t="s">
        <v>2556</v>
      </c>
      <c r="L449" s="423" t="s">
        <v>2136</v>
      </c>
      <c r="M449" s="422"/>
      <c r="N449" s="422"/>
      <c r="O449" s="422"/>
      <c r="P449" s="422">
        <v>41540</v>
      </c>
    </row>
    <row r="450" spans="1:16" x14ac:dyDescent="0.5">
      <c r="A450" s="423"/>
      <c r="B450" s="423"/>
      <c r="C450" s="423"/>
      <c r="D450" s="423"/>
      <c r="E450" s="423" t="s">
        <v>2560</v>
      </c>
      <c r="F450" s="423" t="s">
        <v>2554</v>
      </c>
      <c r="G450" s="423" t="s">
        <v>2561</v>
      </c>
      <c r="H450" s="423" t="s">
        <v>2749</v>
      </c>
      <c r="I450" s="423" t="s">
        <v>2577</v>
      </c>
      <c r="J450" s="423" t="s">
        <v>2563</v>
      </c>
      <c r="K450" s="423" t="s">
        <v>2556</v>
      </c>
      <c r="L450" s="423" t="s">
        <v>2136</v>
      </c>
      <c r="M450" s="422"/>
      <c r="N450" s="422"/>
      <c r="O450" s="422"/>
      <c r="P450" s="422">
        <v>6119</v>
      </c>
    </row>
    <row r="451" spans="1:16" x14ac:dyDescent="0.5">
      <c r="A451" s="423"/>
      <c r="B451" s="423"/>
      <c r="C451" s="423"/>
      <c r="D451" s="423"/>
      <c r="E451" s="423" t="s">
        <v>2553</v>
      </c>
      <c r="F451" s="423" t="s">
        <v>2554</v>
      </c>
      <c r="G451" s="423" t="s">
        <v>2766</v>
      </c>
      <c r="H451" s="423" t="s">
        <v>2572</v>
      </c>
      <c r="I451" s="423" t="s">
        <v>2555</v>
      </c>
      <c r="J451" s="423" t="s">
        <v>2555</v>
      </c>
      <c r="K451" s="423" t="s">
        <v>2556</v>
      </c>
      <c r="L451" s="423" t="s">
        <v>2137</v>
      </c>
      <c r="M451" s="422">
        <v>15282.963</v>
      </c>
      <c r="N451" s="422"/>
      <c r="O451" s="422"/>
      <c r="P451" s="422">
        <v>10925.321</v>
      </c>
    </row>
    <row r="452" spans="1:16" x14ac:dyDescent="0.5">
      <c r="A452" s="423"/>
      <c r="B452" s="423"/>
      <c r="C452" s="423"/>
      <c r="D452" s="423"/>
      <c r="E452" s="423" t="s">
        <v>2760</v>
      </c>
      <c r="F452" s="423" t="s">
        <v>2600</v>
      </c>
      <c r="G452" s="423" t="s">
        <v>2825</v>
      </c>
      <c r="H452" s="423" t="s">
        <v>2824</v>
      </c>
      <c r="I452" s="423" t="s">
        <v>2823</v>
      </c>
      <c r="J452" s="423" t="s">
        <v>2823</v>
      </c>
      <c r="K452" s="423" t="s">
        <v>2556</v>
      </c>
      <c r="L452" s="423" t="s">
        <v>2137</v>
      </c>
      <c r="M452" s="422"/>
      <c r="N452" s="422"/>
      <c r="O452" s="422"/>
      <c r="P452" s="422">
        <v>67823.616999999998</v>
      </c>
    </row>
    <row r="453" spans="1:16" x14ac:dyDescent="0.5">
      <c r="A453" s="423"/>
      <c r="B453" s="423"/>
      <c r="C453" s="423"/>
      <c r="D453" s="423"/>
      <c r="E453" s="423" t="s">
        <v>2764</v>
      </c>
      <c r="F453" s="423" t="s">
        <v>2554</v>
      </c>
      <c r="G453" s="423" t="s">
        <v>2763</v>
      </c>
      <c r="H453" s="423" t="s">
        <v>2818</v>
      </c>
      <c r="I453" s="423" t="s">
        <v>2761</v>
      </c>
      <c r="J453" s="423" t="s">
        <v>2761</v>
      </c>
      <c r="K453" s="423" t="s">
        <v>2556</v>
      </c>
      <c r="L453" s="423" t="s">
        <v>2137</v>
      </c>
      <c r="M453" s="422"/>
      <c r="N453" s="422"/>
      <c r="O453" s="422"/>
      <c r="P453" s="422">
        <v>83345.335999999996</v>
      </c>
    </row>
    <row r="454" spans="1:16" x14ac:dyDescent="0.5">
      <c r="A454" s="423"/>
      <c r="B454" s="423"/>
      <c r="C454" s="423"/>
      <c r="D454" s="423"/>
      <c r="E454" s="423" t="s">
        <v>2760</v>
      </c>
      <c r="F454" s="423" t="s">
        <v>2600</v>
      </c>
      <c r="G454" s="423" t="s">
        <v>2759</v>
      </c>
      <c r="H454" s="423" t="s">
        <v>2791</v>
      </c>
      <c r="I454" s="423" t="s">
        <v>2757</v>
      </c>
      <c r="J454" s="423" t="s">
        <v>2757</v>
      </c>
      <c r="K454" s="423" t="s">
        <v>2556</v>
      </c>
      <c r="L454" s="423" t="s">
        <v>2137</v>
      </c>
      <c r="M454" s="422"/>
      <c r="N454" s="422"/>
      <c r="O454" s="422"/>
      <c r="P454" s="422">
        <v>79562.186000000002</v>
      </c>
    </row>
    <row r="455" spans="1:16" x14ac:dyDescent="0.5">
      <c r="A455" s="423"/>
      <c r="B455" s="423"/>
      <c r="C455" s="423"/>
      <c r="D455" s="423"/>
      <c r="E455" s="423" t="s">
        <v>2560</v>
      </c>
      <c r="F455" s="423" t="s">
        <v>2554</v>
      </c>
      <c r="G455" s="423" t="s">
        <v>2561</v>
      </c>
      <c r="H455" s="423" t="s">
        <v>2749</v>
      </c>
      <c r="I455" s="423" t="s">
        <v>2576</v>
      </c>
      <c r="J455" s="423" t="s">
        <v>2563</v>
      </c>
      <c r="K455" s="423" t="s">
        <v>2556</v>
      </c>
      <c r="L455" s="423" t="s">
        <v>2137</v>
      </c>
      <c r="M455" s="422"/>
      <c r="N455" s="422"/>
      <c r="O455" s="422"/>
      <c r="P455" s="422">
        <v>4323.6850000000004</v>
      </c>
    </row>
    <row r="456" spans="1:16" x14ac:dyDescent="0.5">
      <c r="A456" s="423"/>
      <c r="B456" s="423"/>
      <c r="C456" s="423"/>
      <c r="D456" s="423"/>
      <c r="E456" s="423" t="s">
        <v>2553</v>
      </c>
      <c r="F456" s="423" t="s">
        <v>2559</v>
      </c>
      <c r="G456" s="423" t="s">
        <v>2748</v>
      </c>
      <c r="H456" s="423" t="s">
        <v>2701</v>
      </c>
      <c r="I456" s="423" t="s">
        <v>2558</v>
      </c>
      <c r="J456" s="423" t="s">
        <v>2558</v>
      </c>
      <c r="K456" s="423" t="s">
        <v>2556</v>
      </c>
      <c r="L456" s="423" t="s">
        <v>2137</v>
      </c>
      <c r="M456" s="422"/>
      <c r="N456" s="422"/>
      <c r="O456" s="422"/>
      <c r="P456" s="422">
        <v>13766.812</v>
      </c>
    </row>
    <row r="457" spans="1:16" x14ac:dyDescent="0.5">
      <c r="A457" s="423"/>
      <c r="B457" s="423"/>
      <c r="C457" s="423"/>
      <c r="D457" s="423"/>
      <c r="E457" s="423" t="s">
        <v>2553</v>
      </c>
      <c r="F457" s="423" t="s">
        <v>2559</v>
      </c>
      <c r="G457" s="423" t="s">
        <v>2773</v>
      </c>
      <c r="H457" s="423" t="s">
        <v>2671</v>
      </c>
      <c r="I457" s="423" t="s">
        <v>2573</v>
      </c>
      <c r="J457" s="423" t="s">
        <v>2573</v>
      </c>
      <c r="K457" s="423" t="s">
        <v>2556</v>
      </c>
      <c r="L457" s="423" t="s">
        <v>2138</v>
      </c>
      <c r="M457" s="422">
        <v>14632.989000000001</v>
      </c>
      <c r="N457" s="422"/>
      <c r="O457" s="422"/>
      <c r="P457" s="422">
        <v>14482.371999999999</v>
      </c>
    </row>
    <row r="458" spans="1:16" x14ac:dyDescent="0.5">
      <c r="A458" s="423"/>
      <c r="B458" s="423"/>
      <c r="C458" s="423"/>
      <c r="D458" s="423"/>
      <c r="E458" s="423" t="s">
        <v>2672</v>
      </c>
      <c r="F458" s="423" t="s">
        <v>2554</v>
      </c>
      <c r="G458" s="423" t="s">
        <v>2768</v>
      </c>
      <c r="H458" s="423" t="s">
        <v>2822</v>
      </c>
      <c r="I458" s="423" t="s">
        <v>2555</v>
      </c>
      <c r="J458" s="423" t="s">
        <v>2555</v>
      </c>
      <c r="K458" s="423" t="s">
        <v>2556</v>
      </c>
      <c r="L458" s="423" t="s">
        <v>2138</v>
      </c>
      <c r="M458" s="422"/>
      <c r="N458" s="422"/>
      <c r="O458" s="422"/>
      <c r="P458" s="422">
        <v>10521.964</v>
      </c>
    </row>
    <row r="459" spans="1:16" x14ac:dyDescent="0.5">
      <c r="A459" s="423"/>
      <c r="B459" s="423"/>
      <c r="C459" s="423"/>
      <c r="D459" s="423"/>
      <c r="E459" s="423" t="s">
        <v>2553</v>
      </c>
      <c r="F459" s="423" t="s">
        <v>2554</v>
      </c>
      <c r="G459" s="423" t="s">
        <v>2772</v>
      </c>
      <c r="H459" s="423" t="s">
        <v>2821</v>
      </c>
      <c r="I459" s="423" t="s">
        <v>2770</v>
      </c>
      <c r="J459" s="423" t="s">
        <v>2770</v>
      </c>
      <c r="K459" s="423" t="s">
        <v>2556</v>
      </c>
      <c r="L459" s="423" t="s">
        <v>2138</v>
      </c>
      <c r="M459" s="422"/>
      <c r="N459" s="422"/>
      <c r="O459" s="422"/>
      <c r="P459" s="422">
        <v>14868.582</v>
      </c>
    </row>
    <row r="460" spans="1:16" x14ac:dyDescent="0.5">
      <c r="A460" s="423"/>
      <c r="B460" s="423"/>
      <c r="C460" s="423"/>
      <c r="D460" s="423"/>
      <c r="E460" s="423" t="s">
        <v>2566</v>
      </c>
      <c r="F460" s="423" t="s">
        <v>2559</v>
      </c>
      <c r="G460" s="423" t="s">
        <v>2820</v>
      </c>
      <c r="H460" s="423" t="s">
        <v>2819</v>
      </c>
      <c r="I460" s="423" t="s">
        <v>2778</v>
      </c>
      <c r="J460" s="423" t="s">
        <v>2778</v>
      </c>
      <c r="K460" s="423" t="s">
        <v>2556</v>
      </c>
      <c r="L460" s="423" t="s">
        <v>2138</v>
      </c>
      <c r="M460" s="422"/>
      <c r="N460" s="422"/>
      <c r="O460" s="422"/>
      <c r="P460" s="422">
        <v>34498.078999999998</v>
      </c>
    </row>
    <row r="461" spans="1:16" x14ac:dyDescent="0.5">
      <c r="A461" s="423"/>
      <c r="B461" s="423"/>
      <c r="C461" s="423"/>
      <c r="D461" s="423"/>
      <c r="E461" s="423" t="s">
        <v>2764</v>
      </c>
      <c r="F461" s="423" t="s">
        <v>2554</v>
      </c>
      <c r="G461" s="423" t="s">
        <v>2763</v>
      </c>
      <c r="H461" s="423" t="s">
        <v>2818</v>
      </c>
      <c r="I461" s="423" t="s">
        <v>2761</v>
      </c>
      <c r="J461" s="423" t="s">
        <v>2761</v>
      </c>
      <c r="K461" s="423" t="s">
        <v>2556</v>
      </c>
      <c r="L461" s="423" t="s">
        <v>2138</v>
      </c>
      <c r="M461" s="422"/>
      <c r="N461" s="422"/>
      <c r="O461" s="422"/>
      <c r="P461" s="422">
        <v>92108.566999999995</v>
      </c>
    </row>
    <row r="462" spans="1:16" x14ac:dyDescent="0.5">
      <c r="A462" s="423"/>
      <c r="B462" s="423"/>
      <c r="C462" s="423"/>
      <c r="D462" s="423"/>
      <c r="E462" s="423" t="s">
        <v>2760</v>
      </c>
      <c r="F462" s="423" t="s">
        <v>2600</v>
      </c>
      <c r="G462" s="423" t="s">
        <v>2817</v>
      </c>
      <c r="H462" s="423" t="s">
        <v>2758</v>
      </c>
      <c r="I462" s="423" t="s">
        <v>2790</v>
      </c>
      <c r="J462" s="423" t="s">
        <v>2794</v>
      </c>
      <c r="K462" s="423" t="s">
        <v>2556</v>
      </c>
      <c r="L462" s="423" t="s">
        <v>2138</v>
      </c>
      <c r="M462" s="422"/>
      <c r="N462" s="422"/>
      <c r="O462" s="422"/>
      <c r="P462" s="422">
        <v>78225.070999999996</v>
      </c>
    </row>
    <row r="463" spans="1:16" x14ac:dyDescent="0.5">
      <c r="A463" s="423"/>
      <c r="B463" s="423"/>
      <c r="C463" s="423"/>
      <c r="D463" s="423"/>
      <c r="E463" s="423" t="s">
        <v>2816</v>
      </c>
      <c r="F463" s="423" t="s">
        <v>2559</v>
      </c>
      <c r="G463" s="423" t="s">
        <v>2815</v>
      </c>
      <c r="H463" s="423" t="s">
        <v>2814</v>
      </c>
      <c r="I463" s="423" t="s">
        <v>2813</v>
      </c>
      <c r="J463" s="423" t="s">
        <v>2813</v>
      </c>
      <c r="K463" s="423" t="s">
        <v>2556</v>
      </c>
      <c r="L463" s="423" t="s">
        <v>2138</v>
      </c>
      <c r="M463" s="422"/>
      <c r="N463" s="422"/>
      <c r="O463" s="422"/>
      <c r="P463" s="422">
        <v>1681.8520000000001</v>
      </c>
    </row>
    <row r="464" spans="1:16" x14ac:dyDescent="0.5">
      <c r="A464" s="423"/>
      <c r="B464" s="423"/>
      <c r="C464" s="423"/>
      <c r="D464" s="423"/>
      <c r="E464" s="423" t="s">
        <v>2568</v>
      </c>
      <c r="F464" s="423" t="s">
        <v>2559</v>
      </c>
      <c r="G464" s="423" t="s">
        <v>2812</v>
      </c>
      <c r="H464" s="423" t="s">
        <v>2616</v>
      </c>
      <c r="I464" s="423" t="s">
        <v>2570</v>
      </c>
      <c r="J464" s="423" t="s">
        <v>2570</v>
      </c>
      <c r="K464" s="423" t="s">
        <v>2556</v>
      </c>
      <c r="L464" s="423" t="s">
        <v>2138</v>
      </c>
      <c r="M464" s="422"/>
      <c r="N464" s="422"/>
      <c r="O464" s="422"/>
      <c r="P464" s="422">
        <v>10072.102999999999</v>
      </c>
    </row>
    <row r="465" spans="1:16" x14ac:dyDescent="0.5">
      <c r="A465" s="423"/>
      <c r="B465" s="423"/>
      <c r="C465" s="423"/>
      <c r="D465" s="423"/>
      <c r="E465" s="423" t="s">
        <v>2560</v>
      </c>
      <c r="F465" s="423" t="s">
        <v>2554</v>
      </c>
      <c r="G465" s="423" t="s">
        <v>2561</v>
      </c>
      <c r="H465" s="423" t="s">
        <v>2749</v>
      </c>
      <c r="I465" s="423" t="s">
        <v>2577</v>
      </c>
      <c r="J465" s="423" t="s">
        <v>2563</v>
      </c>
      <c r="K465" s="423" t="s">
        <v>2556</v>
      </c>
      <c r="L465" s="423" t="s">
        <v>2138</v>
      </c>
      <c r="M465" s="422"/>
      <c r="N465" s="422"/>
      <c r="O465" s="422"/>
      <c r="P465" s="422">
        <v>5318.6949999999997</v>
      </c>
    </row>
    <row r="466" spans="1:16" x14ac:dyDescent="0.5">
      <c r="A466" s="423"/>
      <c r="B466" s="423"/>
      <c r="C466" s="423"/>
      <c r="D466" s="423"/>
      <c r="E466" s="423" t="s">
        <v>2566</v>
      </c>
      <c r="F466" s="423" t="s">
        <v>2559</v>
      </c>
      <c r="G466" s="423" t="s">
        <v>2811</v>
      </c>
      <c r="H466" s="423" t="s">
        <v>2810</v>
      </c>
      <c r="I466" s="423" t="s">
        <v>2809</v>
      </c>
      <c r="J466" s="423" t="s">
        <v>2808</v>
      </c>
      <c r="K466" s="423" t="s">
        <v>2556</v>
      </c>
      <c r="L466" s="423" t="s">
        <v>2138</v>
      </c>
      <c r="M466" s="422"/>
      <c r="N466" s="422"/>
      <c r="O466" s="422"/>
      <c r="P466" s="422">
        <v>32266.347000000002</v>
      </c>
    </row>
    <row r="467" spans="1:16" x14ac:dyDescent="0.5">
      <c r="A467" s="423"/>
      <c r="B467" s="423"/>
      <c r="C467" s="423"/>
      <c r="D467" s="423"/>
      <c r="E467" s="423" t="s">
        <v>2553</v>
      </c>
      <c r="F467" s="423" t="s">
        <v>2554</v>
      </c>
      <c r="G467" s="423" t="s">
        <v>2766</v>
      </c>
      <c r="H467" s="423" t="s">
        <v>2590</v>
      </c>
      <c r="I467" s="423" t="s">
        <v>2555</v>
      </c>
      <c r="J467" s="423" t="s">
        <v>2555</v>
      </c>
      <c r="K467" s="423" t="s">
        <v>2556</v>
      </c>
      <c r="L467" s="423" t="s">
        <v>2139</v>
      </c>
      <c r="M467" s="422">
        <v>13382.718000000001</v>
      </c>
      <c r="N467" s="422"/>
      <c r="O467" s="422"/>
      <c r="P467" s="422">
        <v>11748.762000000001</v>
      </c>
    </row>
    <row r="468" spans="1:16" x14ac:dyDescent="0.5">
      <c r="A468" s="423"/>
      <c r="B468" s="423"/>
      <c r="C468" s="423"/>
      <c r="D468" s="423"/>
      <c r="E468" s="423" t="s">
        <v>2599</v>
      </c>
      <c r="F468" s="423" t="s">
        <v>2600</v>
      </c>
      <c r="G468" s="423" t="s">
        <v>2601</v>
      </c>
      <c r="H468" s="423" t="s">
        <v>2807</v>
      </c>
      <c r="I468" s="423" t="s">
        <v>2562</v>
      </c>
      <c r="J468" s="423" t="s">
        <v>2562</v>
      </c>
      <c r="K468" s="423" t="s">
        <v>2556</v>
      </c>
      <c r="L468" s="423" t="s">
        <v>2139</v>
      </c>
      <c r="M468" s="422"/>
      <c r="N468" s="422"/>
      <c r="O468" s="422"/>
      <c r="P468" s="422">
        <v>1556.473</v>
      </c>
    </row>
    <row r="469" spans="1:16" x14ac:dyDescent="0.5">
      <c r="A469" s="423"/>
      <c r="B469" s="423"/>
      <c r="C469" s="423"/>
      <c r="D469" s="423"/>
      <c r="E469" s="423" t="s">
        <v>2560</v>
      </c>
      <c r="F469" s="423" t="s">
        <v>2554</v>
      </c>
      <c r="G469" s="423" t="s">
        <v>2561</v>
      </c>
      <c r="H469" s="423" t="s">
        <v>2749</v>
      </c>
      <c r="I469" s="423" t="s">
        <v>2562</v>
      </c>
      <c r="J469" s="423" t="s">
        <v>2563</v>
      </c>
      <c r="K469" s="423" t="s">
        <v>2556</v>
      </c>
      <c r="L469" s="423" t="s">
        <v>2139</v>
      </c>
      <c r="M469" s="422"/>
      <c r="N469" s="422"/>
      <c r="O469" s="422"/>
      <c r="P469" s="422">
        <v>5939.8059999999996</v>
      </c>
    </row>
    <row r="470" spans="1:16" x14ac:dyDescent="0.5">
      <c r="A470" s="423"/>
      <c r="B470" s="423"/>
      <c r="C470" s="423"/>
      <c r="D470" s="423"/>
      <c r="E470" s="423" t="s">
        <v>2672</v>
      </c>
      <c r="F470" s="423" t="s">
        <v>2554</v>
      </c>
      <c r="G470" s="423" t="s">
        <v>2768</v>
      </c>
      <c r="H470" s="423" t="s">
        <v>2806</v>
      </c>
      <c r="I470" s="423" t="s">
        <v>2555</v>
      </c>
      <c r="J470" s="423" t="s">
        <v>2555</v>
      </c>
      <c r="K470" s="423" t="s">
        <v>2556</v>
      </c>
      <c r="L470" s="423" t="s">
        <v>2140</v>
      </c>
      <c r="M470" s="422">
        <v>25962.918999999998</v>
      </c>
      <c r="N470" s="422"/>
      <c r="O470" s="422"/>
      <c r="P470" s="422">
        <v>12267.587</v>
      </c>
    </row>
    <row r="471" spans="1:16" x14ac:dyDescent="0.5">
      <c r="A471" s="423"/>
      <c r="B471" s="423"/>
      <c r="C471" s="423"/>
      <c r="D471" s="423"/>
      <c r="E471" s="423" t="s">
        <v>2560</v>
      </c>
      <c r="F471" s="423" t="s">
        <v>2554</v>
      </c>
      <c r="G471" s="423" t="s">
        <v>2598</v>
      </c>
      <c r="H471" s="423" t="s">
        <v>2749</v>
      </c>
      <c r="I471" s="423" t="s">
        <v>2576</v>
      </c>
      <c r="J471" s="423" t="s">
        <v>2562</v>
      </c>
      <c r="K471" s="423" t="s">
        <v>2556</v>
      </c>
      <c r="L471" s="423" t="s">
        <v>2140</v>
      </c>
      <c r="M471" s="422"/>
      <c r="N471" s="422"/>
      <c r="O471" s="422"/>
      <c r="P471" s="422">
        <v>754.45100000000002</v>
      </c>
    </row>
    <row r="472" spans="1:16" x14ac:dyDescent="0.5">
      <c r="A472" s="423"/>
      <c r="B472" s="423"/>
      <c r="C472" s="423"/>
      <c r="D472" s="423"/>
      <c r="E472" s="423" t="s">
        <v>2805</v>
      </c>
      <c r="F472" s="423" t="s">
        <v>2554</v>
      </c>
      <c r="G472" s="423" t="s">
        <v>2612</v>
      </c>
      <c r="H472" s="423" t="s">
        <v>2804</v>
      </c>
      <c r="I472" s="423" t="s">
        <v>2576</v>
      </c>
      <c r="J472" s="423" t="s">
        <v>2803</v>
      </c>
      <c r="K472" s="423" t="s">
        <v>2556</v>
      </c>
      <c r="L472" s="423" t="s">
        <v>2140</v>
      </c>
      <c r="M472" s="422"/>
      <c r="N472" s="422"/>
      <c r="O472" s="422"/>
      <c r="P472" s="422">
        <v>2894.5650000000001</v>
      </c>
    </row>
    <row r="473" spans="1:16" x14ac:dyDescent="0.5">
      <c r="A473" s="423"/>
      <c r="B473" s="423"/>
      <c r="C473" s="423"/>
      <c r="D473" s="423"/>
      <c r="E473" s="423" t="s">
        <v>2760</v>
      </c>
      <c r="F473" s="423" t="s">
        <v>2600</v>
      </c>
      <c r="G473" s="423" t="s">
        <v>2802</v>
      </c>
      <c r="H473" s="423" t="s">
        <v>2801</v>
      </c>
      <c r="I473" s="423" t="s">
        <v>2761</v>
      </c>
      <c r="J473" s="423" t="s">
        <v>2761</v>
      </c>
      <c r="K473" s="423" t="s">
        <v>2556</v>
      </c>
      <c r="L473" s="423" t="s">
        <v>2140</v>
      </c>
      <c r="M473" s="422"/>
      <c r="N473" s="422"/>
      <c r="O473" s="422"/>
      <c r="P473" s="422">
        <v>71922.284</v>
      </c>
    </row>
    <row r="474" spans="1:16" x14ac:dyDescent="0.5">
      <c r="A474" s="423"/>
      <c r="B474" s="423"/>
      <c r="C474" s="423"/>
      <c r="D474" s="423"/>
      <c r="E474" s="423" t="s">
        <v>2568</v>
      </c>
      <c r="F474" s="423" t="s">
        <v>2559</v>
      </c>
      <c r="G474" s="423" t="s">
        <v>2769</v>
      </c>
      <c r="H474" s="423" t="s">
        <v>2616</v>
      </c>
      <c r="I474" s="423" t="s">
        <v>2691</v>
      </c>
      <c r="J474" s="423" t="s">
        <v>2570</v>
      </c>
      <c r="K474" s="423" t="s">
        <v>2556</v>
      </c>
      <c r="L474" s="423" t="s">
        <v>2140</v>
      </c>
      <c r="M474" s="422"/>
      <c r="N474" s="422"/>
      <c r="O474" s="422"/>
      <c r="P474" s="422">
        <v>9401.0750000000007</v>
      </c>
    </row>
    <row r="475" spans="1:16" x14ac:dyDescent="0.5">
      <c r="A475" s="423"/>
      <c r="B475" s="423"/>
      <c r="C475" s="423"/>
      <c r="D475" s="423"/>
      <c r="E475" s="423" t="s">
        <v>2560</v>
      </c>
      <c r="F475" s="423" t="s">
        <v>2554</v>
      </c>
      <c r="G475" s="423" t="s">
        <v>2561</v>
      </c>
      <c r="H475" s="423" t="s">
        <v>2749</v>
      </c>
      <c r="I475" s="423" t="s">
        <v>2562</v>
      </c>
      <c r="J475" s="423" t="s">
        <v>2563</v>
      </c>
      <c r="K475" s="423" t="s">
        <v>2556</v>
      </c>
      <c r="L475" s="423" t="s">
        <v>2140</v>
      </c>
      <c r="M475" s="422"/>
      <c r="N475" s="422"/>
      <c r="O475" s="422"/>
      <c r="P475" s="422">
        <v>6631.7510000000002</v>
      </c>
    </row>
    <row r="476" spans="1:16" x14ac:dyDescent="0.5">
      <c r="A476" s="423"/>
      <c r="B476" s="423"/>
      <c r="C476" s="423"/>
      <c r="D476" s="423"/>
      <c r="E476" s="423" t="s">
        <v>2553</v>
      </c>
      <c r="F476" s="423" t="s">
        <v>2559</v>
      </c>
      <c r="G476" s="423" t="s">
        <v>2748</v>
      </c>
      <c r="H476" s="423" t="s">
        <v>2603</v>
      </c>
      <c r="I476" s="423" t="s">
        <v>2558</v>
      </c>
      <c r="J476" s="423" t="s">
        <v>2558</v>
      </c>
      <c r="K476" s="423" t="s">
        <v>2556</v>
      </c>
      <c r="L476" s="423" t="s">
        <v>2140</v>
      </c>
      <c r="M476" s="422"/>
      <c r="N476" s="422"/>
      <c r="O476" s="422"/>
      <c r="P476" s="422">
        <v>14590.052</v>
      </c>
    </row>
    <row r="477" spans="1:16" x14ac:dyDescent="0.5">
      <c r="A477" s="423"/>
      <c r="B477" s="423"/>
      <c r="C477" s="423"/>
      <c r="D477" s="423"/>
      <c r="E477" s="423" t="s">
        <v>2553</v>
      </c>
      <c r="F477" s="423" t="s">
        <v>2554</v>
      </c>
      <c r="G477" s="423" t="s">
        <v>2766</v>
      </c>
      <c r="H477" s="423" t="s">
        <v>2572</v>
      </c>
      <c r="I477" s="423" t="s">
        <v>2555</v>
      </c>
      <c r="J477" s="423" t="s">
        <v>2555</v>
      </c>
      <c r="K477" s="423" t="s">
        <v>2556</v>
      </c>
      <c r="L477" s="423" t="s">
        <v>2141</v>
      </c>
      <c r="M477" s="422">
        <v>20011.881999999998</v>
      </c>
      <c r="N477" s="422"/>
      <c r="O477" s="422"/>
      <c r="P477" s="422">
        <v>12029.197</v>
      </c>
    </row>
    <row r="478" spans="1:16" x14ac:dyDescent="0.5">
      <c r="A478" s="423"/>
      <c r="B478" s="423"/>
      <c r="C478" s="423"/>
      <c r="D478" s="423"/>
      <c r="E478" s="423" t="s">
        <v>2566</v>
      </c>
      <c r="F478" s="423" t="s">
        <v>2559</v>
      </c>
      <c r="G478" s="423" t="s">
        <v>2800</v>
      </c>
      <c r="H478" s="423" t="s">
        <v>2799</v>
      </c>
      <c r="I478" s="423" t="s">
        <v>2798</v>
      </c>
      <c r="J478" s="423" t="s">
        <v>2797</v>
      </c>
      <c r="K478" s="423" t="s">
        <v>2556</v>
      </c>
      <c r="L478" s="423" t="s">
        <v>2141</v>
      </c>
      <c r="M478" s="422"/>
      <c r="N478" s="422"/>
      <c r="O478" s="422"/>
      <c r="P478" s="422">
        <v>8841.4599999999991</v>
      </c>
    </row>
    <row r="479" spans="1:16" x14ac:dyDescent="0.5">
      <c r="A479" s="423"/>
      <c r="B479" s="423"/>
      <c r="C479" s="423"/>
      <c r="D479" s="423"/>
      <c r="E479" s="423" t="s">
        <v>2760</v>
      </c>
      <c r="F479" s="423" t="s">
        <v>2600</v>
      </c>
      <c r="G479" s="423" t="s">
        <v>2796</v>
      </c>
      <c r="H479" s="423" t="s">
        <v>2795</v>
      </c>
      <c r="I479" s="423" t="s">
        <v>2794</v>
      </c>
      <c r="J479" s="423" t="s">
        <v>2794</v>
      </c>
      <c r="K479" s="423" t="s">
        <v>2556</v>
      </c>
      <c r="L479" s="423" t="s">
        <v>2141</v>
      </c>
      <c r="M479" s="422"/>
      <c r="N479" s="422"/>
      <c r="O479" s="422"/>
      <c r="P479" s="422">
        <v>63093.139000000003</v>
      </c>
    </row>
    <row r="480" spans="1:16" x14ac:dyDescent="0.5">
      <c r="A480" s="423"/>
      <c r="B480" s="423"/>
      <c r="C480" s="423"/>
      <c r="D480" s="423"/>
      <c r="E480" s="423" t="s">
        <v>2566</v>
      </c>
      <c r="F480" s="423" t="s">
        <v>2559</v>
      </c>
      <c r="G480" s="423" t="s">
        <v>2793</v>
      </c>
      <c r="H480" s="423" t="s">
        <v>2780</v>
      </c>
      <c r="I480" s="423" t="s">
        <v>2778</v>
      </c>
      <c r="J480" s="423" t="s">
        <v>2779</v>
      </c>
      <c r="K480" s="423" t="s">
        <v>2556</v>
      </c>
      <c r="L480" s="423" t="s">
        <v>2141</v>
      </c>
      <c r="M480" s="422"/>
      <c r="N480" s="422"/>
      <c r="O480" s="422"/>
      <c r="P480" s="422">
        <v>32248.273000000001</v>
      </c>
    </row>
    <row r="481" spans="1:16" x14ac:dyDescent="0.5">
      <c r="A481" s="423"/>
      <c r="B481" s="423"/>
      <c r="C481" s="423"/>
      <c r="D481" s="423"/>
      <c r="E481" s="423" t="s">
        <v>2760</v>
      </c>
      <c r="F481" s="423" t="s">
        <v>2600</v>
      </c>
      <c r="G481" s="423" t="s">
        <v>2792</v>
      </c>
      <c r="H481" s="423" t="s">
        <v>2791</v>
      </c>
      <c r="I481" s="423" t="s">
        <v>2790</v>
      </c>
      <c r="J481" s="423" t="s">
        <v>2790</v>
      </c>
      <c r="K481" s="423" t="s">
        <v>2556</v>
      </c>
      <c r="L481" s="423" t="s">
        <v>2141</v>
      </c>
      <c r="M481" s="422"/>
      <c r="N481" s="422"/>
      <c r="O481" s="422"/>
      <c r="P481" s="422">
        <v>74843.659</v>
      </c>
    </row>
    <row r="482" spans="1:16" x14ac:dyDescent="0.5">
      <c r="A482" s="423"/>
      <c r="B482" s="423"/>
      <c r="C482" s="423"/>
      <c r="D482" s="423"/>
      <c r="E482" s="423" t="s">
        <v>2760</v>
      </c>
      <c r="F482" s="423" t="s">
        <v>2600</v>
      </c>
      <c r="G482" s="423" t="s">
        <v>2789</v>
      </c>
      <c r="H482" s="423" t="s">
        <v>2758</v>
      </c>
      <c r="I482" s="423" t="s">
        <v>2757</v>
      </c>
      <c r="J482" s="423" t="s">
        <v>2757</v>
      </c>
      <c r="K482" s="423" t="s">
        <v>2556</v>
      </c>
      <c r="L482" s="423" t="s">
        <v>2141</v>
      </c>
      <c r="M482" s="422"/>
      <c r="N482" s="422"/>
      <c r="O482" s="422"/>
      <c r="P482" s="422">
        <v>69989.877999999997</v>
      </c>
    </row>
    <row r="483" spans="1:16" x14ac:dyDescent="0.5">
      <c r="A483" s="423"/>
      <c r="B483" s="423"/>
      <c r="C483" s="423"/>
      <c r="D483" s="423"/>
      <c r="E483" s="423" t="s">
        <v>2566</v>
      </c>
      <c r="F483" s="423" t="s">
        <v>2559</v>
      </c>
      <c r="G483" s="423" t="s">
        <v>2788</v>
      </c>
      <c r="H483" s="423" t="s">
        <v>2787</v>
      </c>
      <c r="I483" s="423" t="s">
        <v>2786</v>
      </c>
      <c r="J483" s="423" t="s">
        <v>2785</v>
      </c>
      <c r="K483" s="423" t="s">
        <v>2556</v>
      </c>
      <c r="L483" s="423" t="s">
        <v>2141</v>
      </c>
      <c r="M483" s="422"/>
      <c r="N483" s="422"/>
      <c r="O483" s="422"/>
      <c r="P483" s="422">
        <v>6096.875</v>
      </c>
    </row>
    <row r="484" spans="1:16" x14ac:dyDescent="0.5">
      <c r="A484" s="423"/>
      <c r="B484" s="423"/>
      <c r="C484" s="423"/>
      <c r="D484" s="423"/>
      <c r="E484" s="423" t="s">
        <v>2560</v>
      </c>
      <c r="F484" s="423" t="s">
        <v>2554</v>
      </c>
      <c r="G484" s="423" t="s">
        <v>2561</v>
      </c>
      <c r="H484" s="423" t="s">
        <v>2749</v>
      </c>
      <c r="I484" s="423" t="s">
        <v>2577</v>
      </c>
      <c r="J484" s="423" t="s">
        <v>2563</v>
      </c>
      <c r="K484" s="423" t="s">
        <v>2556</v>
      </c>
      <c r="L484" s="423" t="s">
        <v>2141</v>
      </c>
      <c r="M484" s="422"/>
      <c r="N484" s="422"/>
      <c r="O484" s="422"/>
      <c r="P484" s="422">
        <v>2672.328</v>
      </c>
    </row>
    <row r="485" spans="1:16" x14ac:dyDescent="0.5">
      <c r="A485" s="423"/>
      <c r="B485" s="423"/>
      <c r="C485" s="423"/>
      <c r="D485" s="423"/>
      <c r="E485" s="423" t="s">
        <v>2566</v>
      </c>
      <c r="F485" s="423" t="s">
        <v>2559</v>
      </c>
      <c r="G485" s="423" t="s">
        <v>2784</v>
      </c>
      <c r="H485" s="423" t="s">
        <v>2776</v>
      </c>
      <c r="I485" s="423" t="s">
        <v>2783</v>
      </c>
      <c r="J485" s="423" t="s">
        <v>2775</v>
      </c>
      <c r="K485" s="423" t="s">
        <v>2556</v>
      </c>
      <c r="L485" s="423" t="s">
        <v>2141</v>
      </c>
      <c r="M485" s="422"/>
      <c r="N485" s="422"/>
      <c r="O485" s="422"/>
      <c r="P485" s="422">
        <v>56040.764000000003</v>
      </c>
    </row>
    <row r="486" spans="1:16" x14ac:dyDescent="0.5">
      <c r="A486" s="423"/>
      <c r="B486" s="423"/>
      <c r="C486" s="423"/>
      <c r="D486" s="423"/>
      <c r="E486" s="423" t="s">
        <v>2672</v>
      </c>
      <c r="F486" s="423" t="s">
        <v>2554</v>
      </c>
      <c r="G486" s="423" t="s">
        <v>2768</v>
      </c>
      <c r="H486" s="423" t="s">
        <v>2782</v>
      </c>
      <c r="I486" s="423" t="s">
        <v>2555</v>
      </c>
      <c r="J486" s="423" t="s">
        <v>2555</v>
      </c>
      <c r="K486" s="423" t="s">
        <v>2556</v>
      </c>
      <c r="L486" s="423" t="s">
        <v>2142</v>
      </c>
      <c r="M486" s="422">
        <v>14885.524000000001</v>
      </c>
      <c r="N486" s="422"/>
      <c r="O486" s="422"/>
      <c r="P486" s="422">
        <v>11312.885</v>
      </c>
    </row>
    <row r="487" spans="1:16" x14ac:dyDescent="0.5">
      <c r="A487" s="423"/>
      <c r="B487" s="423"/>
      <c r="C487" s="423"/>
      <c r="D487" s="423"/>
      <c r="E487" s="423" t="s">
        <v>2566</v>
      </c>
      <c r="F487" s="423" t="s">
        <v>2559</v>
      </c>
      <c r="G487" s="423" t="s">
        <v>2781</v>
      </c>
      <c r="H487" s="423" t="s">
        <v>2780</v>
      </c>
      <c r="I487" s="423" t="s">
        <v>2779</v>
      </c>
      <c r="J487" s="423" t="s">
        <v>2778</v>
      </c>
      <c r="K487" s="423" t="s">
        <v>2556</v>
      </c>
      <c r="L487" s="423" t="s">
        <v>2142</v>
      </c>
      <c r="M487" s="422"/>
      <c r="N487" s="422"/>
      <c r="O487" s="422"/>
      <c r="P487" s="422">
        <v>32052.901999999998</v>
      </c>
    </row>
    <row r="488" spans="1:16" x14ac:dyDescent="0.5">
      <c r="A488" s="423"/>
      <c r="B488" s="423"/>
      <c r="C488" s="423"/>
      <c r="D488" s="423"/>
      <c r="E488" s="423" t="s">
        <v>2566</v>
      </c>
      <c r="F488" s="423" t="s">
        <v>2559</v>
      </c>
      <c r="G488" s="423" t="s">
        <v>2777</v>
      </c>
      <c r="H488" s="423" t="s">
        <v>2776</v>
      </c>
      <c r="I488" s="423" t="s">
        <v>2775</v>
      </c>
      <c r="J488" s="423" t="s">
        <v>2774</v>
      </c>
      <c r="K488" s="423" t="s">
        <v>2556</v>
      </c>
      <c r="L488" s="423" t="s">
        <v>2142</v>
      </c>
      <c r="M488" s="422"/>
      <c r="N488" s="422"/>
      <c r="O488" s="422"/>
      <c r="P488" s="422">
        <v>61770.021999999997</v>
      </c>
    </row>
    <row r="489" spans="1:16" x14ac:dyDescent="0.5">
      <c r="A489" s="423"/>
      <c r="B489" s="423"/>
      <c r="C489" s="423"/>
      <c r="D489" s="423"/>
      <c r="E489" s="423" t="s">
        <v>2553</v>
      </c>
      <c r="F489" s="423" t="s">
        <v>2559</v>
      </c>
      <c r="G489" s="423" t="s">
        <v>2748</v>
      </c>
      <c r="H489" s="423" t="s">
        <v>2688</v>
      </c>
      <c r="I489" s="423" t="s">
        <v>2558</v>
      </c>
      <c r="J489" s="423" t="s">
        <v>2558</v>
      </c>
      <c r="K489" s="423" t="s">
        <v>2556</v>
      </c>
      <c r="L489" s="423" t="s">
        <v>2142</v>
      </c>
      <c r="M489" s="422"/>
      <c r="N489" s="422"/>
      <c r="O489" s="422"/>
      <c r="P489" s="422">
        <v>13981.64</v>
      </c>
    </row>
    <row r="490" spans="1:16" x14ac:dyDescent="0.5">
      <c r="A490" s="423"/>
      <c r="B490" s="423"/>
      <c r="C490" s="423"/>
      <c r="D490" s="423"/>
      <c r="E490" s="423" t="s">
        <v>2560</v>
      </c>
      <c r="F490" s="423" t="s">
        <v>2554</v>
      </c>
      <c r="G490" s="423" t="s">
        <v>2561</v>
      </c>
      <c r="H490" s="423" t="s">
        <v>2749</v>
      </c>
      <c r="I490" s="423" t="s">
        <v>2562</v>
      </c>
      <c r="J490" s="423" t="s">
        <v>2563</v>
      </c>
      <c r="K490" s="423" t="s">
        <v>2556</v>
      </c>
      <c r="L490" s="423" t="s">
        <v>2142</v>
      </c>
      <c r="M490" s="422"/>
      <c r="N490" s="422"/>
      <c r="O490" s="422"/>
      <c r="P490" s="422">
        <v>651.05399999999997</v>
      </c>
    </row>
    <row r="491" spans="1:16" x14ac:dyDescent="0.5">
      <c r="A491" s="423"/>
      <c r="B491" s="423"/>
      <c r="C491" s="423"/>
      <c r="D491" s="423"/>
      <c r="E491" s="423" t="s">
        <v>2553</v>
      </c>
      <c r="F491" s="423" t="s">
        <v>2559</v>
      </c>
      <c r="G491" s="423" t="s">
        <v>2773</v>
      </c>
      <c r="H491" s="423" t="s">
        <v>2674</v>
      </c>
      <c r="I491" s="423" t="s">
        <v>2573</v>
      </c>
      <c r="J491" s="423" t="s">
        <v>2573</v>
      </c>
      <c r="K491" s="423" t="s">
        <v>2556</v>
      </c>
      <c r="L491" s="423" t="s">
        <v>2143</v>
      </c>
      <c r="M491" s="422">
        <v>19616.438999999998</v>
      </c>
      <c r="N491" s="422"/>
      <c r="O491" s="422"/>
      <c r="P491" s="422">
        <v>14953.359</v>
      </c>
    </row>
    <row r="492" spans="1:16" x14ac:dyDescent="0.5">
      <c r="A492" s="423"/>
      <c r="B492" s="423"/>
      <c r="C492" s="423"/>
      <c r="D492" s="423"/>
      <c r="E492" s="423" t="s">
        <v>2553</v>
      </c>
      <c r="F492" s="423" t="s">
        <v>2554</v>
      </c>
      <c r="G492" s="423" t="s">
        <v>2772</v>
      </c>
      <c r="H492" s="423" t="s">
        <v>2771</v>
      </c>
      <c r="I492" s="423" t="s">
        <v>2770</v>
      </c>
      <c r="J492" s="423" t="s">
        <v>2770</v>
      </c>
      <c r="K492" s="423" t="s">
        <v>2556</v>
      </c>
      <c r="L492" s="423" t="s">
        <v>2143</v>
      </c>
      <c r="M492" s="422"/>
      <c r="N492" s="422"/>
      <c r="O492" s="422"/>
      <c r="P492" s="422">
        <v>13399.333000000001</v>
      </c>
    </row>
    <row r="493" spans="1:16" x14ac:dyDescent="0.5">
      <c r="A493" s="423"/>
      <c r="B493" s="423"/>
      <c r="C493" s="423"/>
      <c r="D493" s="423"/>
      <c r="E493" s="423" t="s">
        <v>2568</v>
      </c>
      <c r="F493" s="423" t="s">
        <v>2559</v>
      </c>
      <c r="G493" s="423" t="s">
        <v>2769</v>
      </c>
      <c r="H493" s="423" t="s">
        <v>2616</v>
      </c>
      <c r="I493" s="423" t="s">
        <v>2570</v>
      </c>
      <c r="J493" s="423" t="s">
        <v>2570</v>
      </c>
      <c r="K493" s="423" t="s">
        <v>2556</v>
      </c>
      <c r="L493" s="423" t="s">
        <v>2143</v>
      </c>
      <c r="M493" s="422"/>
      <c r="N493" s="422"/>
      <c r="O493" s="422"/>
      <c r="P493" s="422">
        <v>10226.071</v>
      </c>
    </row>
    <row r="494" spans="1:16" x14ac:dyDescent="0.5">
      <c r="A494" s="423"/>
      <c r="B494" s="423"/>
      <c r="C494" s="423"/>
      <c r="D494" s="423"/>
      <c r="E494" s="423" t="s">
        <v>2560</v>
      </c>
      <c r="F494" s="423" t="s">
        <v>2554</v>
      </c>
      <c r="G494" s="423" t="s">
        <v>2561</v>
      </c>
      <c r="H494" s="423" t="s">
        <v>2749</v>
      </c>
      <c r="I494" s="423" t="s">
        <v>2562</v>
      </c>
      <c r="J494" s="423" t="s">
        <v>2563</v>
      </c>
      <c r="K494" s="423" t="s">
        <v>2556</v>
      </c>
      <c r="L494" s="423" t="s">
        <v>2143</v>
      </c>
      <c r="M494" s="422"/>
      <c r="N494" s="422"/>
      <c r="O494" s="422"/>
      <c r="P494" s="422">
        <v>2510.1179999999999</v>
      </c>
    </row>
    <row r="495" spans="1:16" x14ac:dyDescent="0.5">
      <c r="A495" s="423"/>
      <c r="B495" s="423"/>
      <c r="C495" s="423"/>
      <c r="D495" s="423"/>
      <c r="E495" s="423" t="s">
        <v>2672</v>
      </c>
      <c r="F495" s="423" t="s">
        <v>2554</v>
      </c>
      <c r="G495" s="423" t="s">
        <v>2768</v>
      </c>
      <c r="H495" s="423" t="s">
        <v>2767</v>
      </c>
      <c r="I495" s="423" t="s">
        <v>2555</v>
      </c>
      <c r="J495" s="423" t="s">
        <v>2555</v>
      </c>
      <c r="K495" s="423" t="s">
        <v>2556</v>
      </c>
      <c r="L495" s="423" t="s">
        <v>2144</v>
      </c>
      <c r="M495" s="422">
        <v>12494.835999999999</v>
      </c>
      <c r="N495" s="422"/>
      <c r="O495" s="422"/>
      <c r="P495" s="422">
        <v>11980.495999999999</v>
      </c>
    </row>
    <row r="496" spans="1:16" x14ac:dyDescent="0.5">
      <c r="A496" s="423"/>
      <c r="B496" s="423"/>
      <c r="C496" s="423"/>
      <c r="D496" s="423"/>
      <c r="E496" s="423" t="s">
        <v>2553</v>
      </c>
      <c r="F496" s="423" t="s">
        <v>2554</v>
      </c>
      <c r="G496" s="423" t="s">
        <v>2766</v>
      </c>
      <c r="H496" s="423" t="s">
        <v>2765</v>
      </c>
      <c r="I496" s="423" t="s">
        <v>2555</v>
      </c>
      <c r="J496" s="423" t="s">
        <v>2555</v>
      </c>
      <c r="K496" s="423" t="s">
        <v>2556</v>
      </c>
      <c r="L496" s="423" t="s">
        <v>2144</v>
      </c>
      <c r="M496" s="422"/>
      <c r="N496" s="422"/>
      <c r="O496" s="422"/>
      <c r="P496" s="422">
        <v>12913.95</v>
      </c>
    </row>
    <row r="497" spans="1:16" x14ac:dyDescent="0.5">
      <c r="A497" s="423"/>
      <c r="B497" s="423"/>
      <c r="C497" s="423"/>
      <c r="D497" s="423"/>
      <c r="E497" s="423" t="s">
        <v>2764</v>
      </c>
      <c r="F497" s="423" t="s">
        <v>2554</v>
      </c>
      <c r="G497" s="423" t="s">
        <v>2763</v>
      </c>
      <c r="H497" s="423" t="s">
        <v>2762</v>
      </c>
      <c r="I497" s="423" t="s">
        <v>2761</v>
      </c>
      <c r="J497" s="423" t="s">
        <v>2761</v>
      </c>
      <c r="K497" s="423" t="s">
        <v>2556</v>
      </c>
      <c r="L497" s="423" t="s">
        <v>2144</v>
      </c>
      <c r="M497" s="422"/>
      <c r="N497" s="422"/>
      <c r="O497" s="422"/>
      <c r="P497" s="422">
        <v>87859.976999999999</v>
      </c>
    </row>
    <row r="498" spans="1:16" x14ac:dyDescent="0.5">
      <c r="A498" s="423"/>
      <c r="B498" s="423"/>
      <c r="C498" s="423"/>
      <c r="D498" s="423"/>
      <c r="E498" s="423" t="s">
        <v>2760</v>
      </c>
      <c r="F498" s="423" t="s">
        <v>2600</v>
      </c>
      <c r="G498" s="423" t="s">
        <v>2759</v>
      </c>
      <c r="H498" s="423" t="s">
        <v>2758</v>
      </c>
      <c r="I498" s="423" t="s">
        <v>2757</v>
      </c>
      <c r="J498" s="423" t="s">
        <v>2757</v>
      </c>
      <c r="K498" s="423" t="s">
        <v>2556</v>
      </c>
      <c r="L498" s="423" t="s">
        <v>2144</v>
      </c>
      <c r="M498" s="422"/>
      <c r="N498" s="422"/>
      <c r="O498" s="422"/>
      <c r="P498" s="422">
        <v>77531.824999999997</v>
      </c>
    </row>
    <row r="499" spans="1:16" x14ac:dyDescent="0.5">
      <c r="A499" s="423"/>
      <c r="B499" s="423"/>
      <c r="C499" s="423"/>
      <c r="D499" s="423"/>
      <c r="E499" s="423" t="s">
        <v>2756</v>
      </c>
      <c r="F499" s="423" t="s">
        <v>2559</v>
      </c>
      <c r="G499" s="423" t="s">
        <v>2755</v>
      </c>
      <c r="H499" s="423" t="s">
        <v>2754</v>
      </c>
      <c r="I499" s="423" t="s">
        <v>2753</v>
      </c>
      <c r="J499" s="423" t="s">
        <v>2753</v>
      </c>
      <c r="K499" s="423" t="s">
        <v>2556</v>
      </c>
      <c r="L499" s="423" t="s">
        <v>2144</v>
      </c>
      <c r="M499" s="422"/>
      <c r="N499" s="422"/>
      <c r="O499" s="422"/>
      <c r="P499" s="422">
        <v>45870.59</v>
      </c>
    </row>
    <row r="500" spans="1:16" x14ac:dyDescent="0.5">
      <c r="A500" s="423"/>
      <c r="B500" s="423"/>
      <c r="C500" s="423"/>
      <c r="D500" s="423"/>
      <c r="E500" s="423" t="s">
        <v>2752</v>
      </c>
      <c r="F500" s="423" t="s">
        <v>2554</v>
      </c>
      <c r="G500" s="423" t="s">
        <v>2751</v>
      </c>
      <c r="H500" s="423" t="s">
        <v>2750</v>
      </c>
      <c r="I500" s="423" t="s">
        <v>2592</v>
      </c>
      <c r="J500" s="423" t="s">
        <v>2592</v>
      </c>
      <c r="K500" s="423" t="s">
        <v>2556</v>
      </c>
      <c r="L500" s="423" t="s">
        <v>2144</v>
      </c>
      <c r="M500" s="422"/>
      <c r="N500" s="422"/>
      <c r="O500" s="422"/>
      <c r="P500" s="422">
        <v>441.67099999999999</v>
      </c>
    </row>
    <row r="501" spans="1:16" x14ac:dyDescent="0.5">
      <c r="A501" s="423"/>
      <c r="B501" s="423"/>
      <c r="C501" s="423"/>
      <c r="D501" s="423"/>
      <c r="E501" s="423" t="s">
        <v>2560</v>
      </c>
      <c r="F501" s="423" t="s">
        <v>2554</v>
      </c>
      <c r="G501" s="423" t="s">
        <v>2561</v>
      </c>
      <c r="H501" s="423" t="s">
        <v>2749</v>
      </c>
      <c r="I501" s="423" t="s">
        <v>2562</v>
      </c>
      <c r="J501" s="423" t="s">
        <v>2563</v>
      </c>
      <c r="K501" s="423" t="s">
        <v>2556</v>
      </c>
      <c r="L501" s="423" t="s">
        <v>2144</v>
      </c>
      <c r="M501" s="422"/>
      <c r="N501" s="422"/>
      <c r="O501" s="422"/>
      <c r="P501" s="422">
        <v>488.74200000000002</v>
      </c>
    </row>
    <row r="502" spans="1:16" x14ac:dyDescent="0.5">
      <c r="A502" s="423"/>
      <c r="B502" s="423"/>
      <c r="C502" s="423"/>
      <c r="D502" s="423"/>
      <c r="E502" s="423" t="s">
        <v>2553</v>
      </c>
      <c r="F502" s="423" t="s">
        <v>2559</v>
      </c>
      <c r="G502" s="423" t="s">
        <v>2748</v>
      </c>
      <c r="H502" s="423" t="s">
        <v>2603</v>
      </c>
      <c r="I502" s="423" t="s">
        <v>2558</v>
      </c>
      <c r="J502" s="423" t="s">
        <v>2558</v>
      </c>
      <c r="K502" s="423" t="s">
        <v>2556</v>
      </c>
      <c r="L502" s="423" t="s">
        <v>2144</v>
      </c>
      <c r="M502" s="422"/>
      <c r="N502" s="422"/>
      <c r="O502" s="422"/>
      <c r="P502" s="422">
        <v>16174.554</v>
      </c>
    </row>
    <row r="503" spans="1:16" ht="12.75" x14ac:dyDescent="0.2">
      <c r="A503" s="469"/>
      <c r="B503" s="469"/>
      <c r="C503" s="469"/>
      <c r="D503" s="469"/>
      <c r="E503" s="469"/>
      <c r="F503" s="469"/>
      <c r="G503" s="469"/>
      <c r="H503" s="469"/>
      <c r="I503" s="469"/>
      <c r="J503" s="469"/>
      <c r="K503" s="469"/>
      <c r="L503" s="469"/>
      <c r="M503" s="421">
        <f>SUM(M330:M502)</f>
        <v>420891.86499999999</v>
      </c>
      <c r="N503" s="421"/>
      <c r="O503" s="421"/>
      <c r="P503" s="421">
        <f>SUM(P330:P502)</f>
        <v>4453926.4419999998</v>
      </c>
    </row>
  </sheetData>
  <mergeCells count="5">
    <mergeCell ref="A177:L177"/>
    <mergeCell ref="A321:L321"/>
    <mergeCell ref="A322:L322"/>
    <mergeCell ref="A326:L326"/>
    <mergeCell ref="A503:L503"/>
  </mergeCells>
  <printOptions horizontalCentered="1"/>
  <pageMargins left="0.31496062992125984" right="0.31496062992125984" top="0.35433070866141736" bottom="0.15748031496062992" header="0.11811023622047245" footer="0.31496062992125984"/>
  <pageSetup paperSize="9" orientation="portrait" r:id="rId1"/>
  <headerFooter>
    <oddHeader>&amp;R&amp;P/&amp;N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P266"/>
  <sheetViews>
    <sheetView topLeftCell="C1" zoomScale="115" zoomScaleNormal="115" workbookViewId="0">
      <pane ySplit="6" topLeftCell="A190" activePane="bottomLeft" state="frozen"/>
      <selection pane="bottomLeft" activeCell="C204" sqref="A204:XFD204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2113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2090</v>
      </c>
      <c r="B7" s="146"/>
      <c r="C7" s="152">
        <v>1287.7133620106251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1287.7133620106251</v>
      </c>
      <c r="O7" s="147">
        <f>+C216</f>
        <v>528638.41236201057</v>
      </c>
    </row>
    <row r="8" spans="1:15" x14ac:dyDescent="0.15">
      <c r="A8" s="154" t="s">
        <v>2091</v>
      </c>
      <c r="B8" s="151"/>
      <c r="C8" s="152">
        <v>131858.92499999999</v>
      </c>
      <c r="D8" s="323"/>
      <c r="E8" s="154"/>
      <c r="F8" s="154"/>
      <c r="G8" s="152"/>
      <c r="H8" s="323"/>
      <c r="I8" s="152"/>
      <c r="J8" s="157"/>
      <c r="K8" s="156"/>
      <c r="L8" s="227"/>
      <c r="M8" s="157"/>
      <c r="N8" s="227">
        <f>+N7-I8-L8</f>
        <v>1287.7133620106251</v>
      </c>
      <c r="O8" s="152">
        <f t="shared" ref="O8:O68" si="0">O7+G8-I8-L8</f>
        <v>528638.41236201057</v>
      </c>
    </row>
    <row r="9" spans="1:15" x14ac:dyDescent="0.15">
      <c r="A9" s="157" t="s">
        <v>2092</v>
      </c>
      <c r="B9" s="151"/>
      <c r="C9" s="152">
        <v>351589.51500000001</v>
      </c>
      <c r="D9" s="323"/>
      <c r="E9" s="154"/>
      <c r="F9" s="157"/>
      <c r="G9" s="152"/>
      <c r="H9" s="323"/>
      <c r="I9" s="152"/>
      <c r="J9" s="157"/>
      <c r="K9" s="154"/>
      <c r="L9" s="227"/>
      <c r="M9" s="154"/>
      <c r="N9" s="227">
        <f t="shared" ref="N9:N68" si="1">+N8-I9-L9</f>
        <v>1287.7133620106251</v>
      </c>
      <c r="O9" s="152">
        <f t="shared" si="0"/>
        <v>528638.41236201057</v>
      </c>
    </row>
    <row r="10" spans="1:15" x14ac:dyDescent="0.15">
      <c r="A10" s="154" t="s">
        <v>2163</v>
      </c>
      <c r="B10" s="151"/>
      <c r="C10" s="152">
        <v>43902.258999999998</v>
      </c>
      <c r="D10" s="323"/>
      <c r="E10" s="154"/>
      <c r="F10" s="157"/>
      <c r="G10" s="152"/>
      <c r="H10" s="323"/>
      <c r="I10" s="152"/>
      <c r="J10" s="157"/>
      <c r="K10" s="154"/>
      <c r="L10" s="227"/>
      <c r="M10" s="154"/>
      <c r="N10" s="227">
        <f t="shared" si="1"/>
        <v>1287.7133620106251</v>
      </c>
      <c r="O10" s="152">
        <f t="shared" si="0"/>
        <v>528638.41236201057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 t="s">
        <v>2114</v>
      </c>
      <c r="I11" s="152">
        <v>1287.7133620106251</v>
      </c>
      <c r="J11" s="157" t="s">
        <v>2090</v>
      </c>
      <c r="K11" s="154"/>
      <c r="L11" s="227"/>
      <c r="M11" s="154"/>
      <c r="N11" s="227">
        <f t="shared" si="1"/>
        <v>0</v>
      </c>
      <c r="O11" s="152">
        <f t="shared" si="0"/>
        <v>527350.69899999991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2114</v>
      </c>
      <c r="I12" s="152">
        <v>11066.621637989399</v>
      </c>
      <c r="J12" s="157" t="s">
        <v>2091</v>
      </c>
      <c r="K12" s="154">
        <v>5700363936</v>
      </c>
      <c r="L12" s="227">
        <v>11594.874</v>
      </c>
      <c r="M12" s="154" t="s">
        <v>2091</v>
      </c>
      <c r="N12" s="227">
        <f>C8+N11-I12-L12</f>
        <v>109197.42936201059</v>
      </c>
      <c r="O12" s="152">
        <f t="shared" si="0"/>
        <v>504689.20336201048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2114</v>
      </c>
      <c r="I13" s="152"/>
      <c r="J13" s="157"/>
      <c r="K13" s="154">
        <v>5700363936</v>
      </c>
      <c r="L13" s="227">
        <v>14820.508</v>
      </c>
      <c r="M13" s="154" t="s">
        <v>2091</v>
      </c>
      <c r="N13" s="227">
        <f t="shared" si="1"/>
        <v>94376.921362010587</v>
      </c>
      <c r="O13" s="152">
        <f t="shared" si="0"/>
        <v>489868.69536201051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2114</v>
      </c>
      <c r="I14" s="152"/>
      <c r="J14" s="157"/>
      <c r="K14" s="154">
        <v>5700363936</v>
      </c>
      <c r="L14" s="227">
        <v>6301.8050000000003</v>
      </c>
      <c r="M14" s="154" t="s">
        <v>2091</v>
      </c>
      <c r="N14" s="227">
        <f t="shared" si="1"/>
        <v>88075.116362010594</v>
      </c>
      <c r="O14" s="152">
        <f t="shared" si="0"/>
        <v>483566.89036201051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2114</v>
      </c>
      <c r="I15" s="152"/>
      <c r="J15" s="157"/>
      <c r="K15" s="154">
        <v>5700363936</v>
      </c>
      <c r="L15" s="227">
        <v>3903.0210000000002</v>
      </c>
      <c r="M15" s="154" t="s">
        <v>2091</v>
      </c>
      <c r="N15" s="227">
        <f t="shared" si="1"/>
        <v>84172.095362010601</v>
      </c>
      <c r="O15" s="152">
        <f t="shared" si="0"/>
        <v>479663.8693620105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2114</v>
      </c>
      <c r="I16" s="152"/>
      <c r="J16" s="157"/>
      <c r="K16" s="154">
        <v>5700363936</v>
      </c>
      <c r="L16" s="227">
        <v>15238.273999999999</v>
      </c>
      <c r="M16" s="154" t="s">
        <v>2091</v>
      </c>
      <c r="N16" s="227">
        <f t="shared" si="1"/>
        <v>68933.821362010596</v>
      </c>
      <c r="O16" s="152">
        <f t="shared" si="0"/>
        <v>464425.59536201053</v>
      </c>
    </row>
    <row r="17" spans="1:15" x14ac:dyDescent="0.15">
      <c r="A17" s="154"/>
      <c r="B17" s="151"/>
      <c r="C17" s="152"/>
      <c r="D17" s="323" t="s">
        <v>2115</v>
      </c>
      <c r="E17" s="154" t="s">
        <v>72</v>
      </c>
      <c r="F17" s="157" t="s">
        <v>2145</v>
      </c>
      <c r="G17" s="152">
        <v>87925.157000000007</v>
      </c>
      <c r="H17" s="323" t="s">
        <v>2115</v>
      </c>
      <c r="I17" s="152">
        <v>9318.1149999999998</v>
      </c>
      <c r="J17" s="154" t="s">
        <v>2091</v>
      </c>
      <c r="K17" s="154">
        <v>5700363936</v>
      </c>
      <c r="L17" s="227">
        <v>9321.11</v>
      </c>
      <c r="M17" s="154" t="s">
        <v>2091</v>
      </c>
      <c r="N17" s="227">
        <f t="shared" si="1"/>
        <v>50294.596362010598</v>
      </c>
      <c r="O17" s="152">
        <f t="shared" si="0"/>
        <v>533711.52736201056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2115</v>
      </c>
      <c r="I18" s="152"/>
      <c r="J18" s="157"/>
      <c r="K18" s="154">
        <v>5700363936</v>
      </c>
      <c r="L18" s="227">
        <v>3842.221</v>
      </c>
      <c r="M18" s="154" t="s">
        <v>2091</v>
      </c>
      <c r="N18" s="227">
        <f t="shared" si="1"/>
        <v>46452.3753620106</v>
      </c>
      <c r="O18" s="152">
        <f t="shared" si="0"/>
        <v>529869.30636201054</v>
      </c>
    </row>
    <row r="19" spans="1:15" x14ac:dyDescent="0.15">
      <c r="A19" s="154"/>
      <c r="B19" s="151"/>
      <c r="C19" s="152"/>
      <c r="D19" s="323" t="s">
        <v>2116</v>
      </c>
      <c r="E19" s="154" t="s">
        <v>72</v>
      </c>
      <c r="F19" s="157" t="s">
        <v>2145</v>
      </c>
      <c r="G19" s="152">
        <v>175504.45499999999</v>
      </c>
      <c r="H19" s="323" t="s">
        <v>2116</v>
      </c>
      <c r="I19" s="152">
        <v>12494.932999999999</v>
      </c>
      <c r="J19" s="154" t="s">
        <v>2091</v>
      </c>
      <c r="K19" s="154">
        <v>5700363936</v>
      </c>
      <c r="L19" s="227">
        <v>11269.43</v>
      </c>
      <c r="M19" s="154" t="s">
        <v>2091</v>
      </c>
      <c r="N19" s="227">
        <f t="shared" si="1"/>
        <v>22688.012362010602</v>
      </c>
      <c r="O19" s="152">
        <f t="shared" si="0"/>
        <v>681609.39836201048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2116</v>
      </c>
      <c r="I20" s="152"/>
      <c r="J20" s="157"/>
      <c r="K20" s="154">
        <v>5700363936</v>
      </c>
      <c r="L20" s="227">
        <v>22688.012362010602</v>
      </c>
      <c r="M20" s="154" t="s">
        <v>2091</v>
      </c>
      <c r="N20" s="227">
        <f t="shared" si="1"/>
        <v>0</v>
      </c>
      <c r="O20" s="152">
        <f t="shared" si="0"/>
        <v>658921.38599999994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2116</v>
      </c>
      <c r="I21" s="152"/>
      <c r="J21" s="157"/>
      <c r="K21" s="154">
        <v>5700363936</v>
      </c>
      <c r="L21" s="227">
        <v>40759.256637989398</v>
      </c>
      <c r="M21" s="157" t="s">
        <v>2092</v>
      </c>
      <c r="N21" s="227">
        <f>C9+N20-I21-L21</f>
        <v>310830.25836201059</v>
      </c>
      <c r="O21" s="152">
        <f t="shared" si="0"/>
        <v>618162.12936201051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2116</v>
      </c>
      <c r="I22" s="152"/>
      <c r="J22" s="154"/>
      <c r="K22" s="154">
        <v>5700363936</v>
      </c>
      <c r="L22" s="227">
        <v>72120.751000000004</v>
      </c>
      <c r="M22" s="157" t="s">
        <v>2092</v>
      </c>
      <c r="N22" s="227">
        <f t="shared" si="1"/>
        <v>238709.5073620106</v>
      </c>
      <c r="O22" s="152">
        <f t="shared" si="0"/>
        <v>546041.37836201047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2116</v>
      </c>
      <c r="I23" s="152"/>
      <c r="J23" s="154"/>
      <c r="K23" s="154">
        <v>5700363936</v>
      </c>
      <c r="L23" s="227">
        <v>37994.591</v>
      </c>
      <c r="M23" s="157" t="s">
        <v>2092</v>
      </c>
      <c r="N23" s="227">
        <f t="shared" si="1"/>
        <v>200714.91636201058</v>
      </c>
      <c r="O23" s="152">
        <f t="shared" si="0"/>
        <v>508046.78736201045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2116</v>
      </c>
      <c r="I24" s="152"/>
      <c r="J24" s="157"/>
      <c r="K24" s="154">
        <v>5700363936</v>
      </c>
      <c r="L24" s="227">
        <v>12055.111000000001</v>
      </c>
      <c r="M24" s="157" t="s">
        <v>2092</v>
      </c>
      <c r="N24" s="227">
        <f t="shared" si="1"/>
        <v>188659.80536201058</v>
      </c>
      <c r="O24" s="152">
        <f t="shared" si="0"/>
        <v>495991.67636201048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2116</v>
      </c>
      <c r="I25" s="152"/>
      <c r="J25" s="154"/>
      <c r="K25" s="154">
        <v>5700363936</v>
      </c>
      <c r="L25" s="227">
        <v>14762.013000000001</v>
      </c>
      <c r="M25" s="157" t="s">
        <v>2092</v>
      </c>
      <c r="N25" s="227">
        <f t="shared" si="1"/>
        <v>173897.79236201057</v>
      </c>
      <c r="O25" s="152">
        <f t="shared" si="0"/>
        <v>481229.6633620105</v>
      </c>
    </row>
    <row r="26" spans="1:15" x14ac:dyDescent="0.15">
      <c r="A26" s="154"/>
      <c r="B26" s="151"/>
      <c r="C26" s="152"/>
      <c r="D26" s="323" t="s">
        <v>2117</v>
      </c>
      <c r="E26" s="154" t="s">
        <v>72</v>
      </c>
      <c r="F26" s="157" t="s">
        <v>2146</v>
      </c>
      <c r="G26" s="152">
        <v>175647.144</v>
      </c>
      <c r="H26" s="323" t="s">
        <v>2117</v>
      </c>
      <c r="I26" s="152">
        <v>10038.133999999998</v>
      </c>
      <c r="J26" s="157" t="s">
        <v>2092</v>
      </c>
      <c r="K26" s="154">
        <v>5700363936</v>
      </c>
      <c r="L26" s="227">
        <v>12632.46</v>
      </c>
      <c r="M26" s="157" t="s">
        <v>2092</v>
      </c>
      <c r="N26" s="227">
        <f t="shared" si="1"/>
        <v>151227.19836201059</v>
      </c>
      <c r="O26" s="152">
        <f t="shared" si="0"/>
        <v>634206.21336201055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2117</v>
      </c>
      <c r="I27" s="152"/>
      <c r="J27" s="154"/>
      <c r="K27" s="154">
        <v>5700363936</v>
      </c>
      <c r="L27" s="227">
        <v>76461.218999999997</v>
      </c>
      <c r="M27" s="157" t="s">
        <v>2092</v>
      </c>
      <c r="N27" s="227">
        <f t="shared" si="1"/>
        <v>74765.979362010592</v>
      </c>
      <c r="O27" s="152">
        <f t="shared" si="0"/>
        <v>557744.9943620105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2117</v>
      </c>
      <c r="I28" s="152"/>
      <c r="J28" s="157"/>
      <c r="K28" s="154">
        <v>5700363936</v>
      </c>
      <c r="L28" s="227">
        <v>10402.724</v>
      </c>
      <c r="M28" s="157" t="s">
        <v>2092</v>
      </c>
      <c r="N28" s="227">
        <f t="shared" si="1"/>
        <v>64363.25536201059</v>
      </c>
      <c r="O28" s="152">
        <f t="shared" si="0"/>
        <v>547342.27036201046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2117</v>
      </c>
      <c r="I29" s="152"/>
      <c r="J29" s="157"/>
      <c r="K29" s="154">
        <v>5700363936</v>
      </c>
      <c r="L29" s="227">
        <v>12364.728999999999</v>
      </c>
      <c r="M29" s="157" t="s">
        <v>2092</v>
      </c>
      <c r="N29" s="227">
        <f t="shared" si="1"/>
        <v>51998.526362010591</v>
      </c>
      <c r="O29" s="152">
        <f t="shared" si="0"/>
        <v>534977.54136201041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2117</v>
      </c>
      <c r="I30" s="152"/>
      <c r="J30" s="154"/>
      <c r="K30" s="154">
        <v>5700363936</v>
      </c>
      <c r="L30" s="227">
        <v>31134.208999999999</v>
      </c>
      <c r="M30" s="157" t="s">
        <v>2092</v>
      </c>
      <c r="N30" s="227">
        <f t="shared" si="1"/>
        <v>20864.317362010592</v>
      </c>
      <c r="O30" s="152">
        <f t="shared" si="0"/>
        <v>503843.33236201043</v>
      </c>
    </row>
    <row r="31" spans="1:15" x14ac:dyDescent="0.15">
      <c r="A31" s="154"/>
      <c r="B31" s="151"/>
      <c r="C31" s="152"/>
      <c r="D31" s="323" t="s">
        <v>2118</v>
      </c>
      <c r="E31" s="154" t="s">
        <v>72</v>
      </c>
      <c r="F31" s="157" t="s">
        <v>2146</v>
      </c>
      <c r="G31" s="152">
        <v>131859.68900000001</v>
      </c>
      <c r="H31" s="323" t="s">
        <v>2118</v>
      </c>
      <c r="I31" s="152">
        <v>13697.056</v>
      </c>
      <c r="J31" s="157" t="s">
        <v>2092</v>
      </c>
      <c r="K31" s="154">
        <v>5700363936</v>
      </c>
      <c r="L31" s="227">
        <v>7167.2613620105913</v>
      </c>
      <c r="M31" s="157" t="s">
        <v>2092</v>
      </c>
      <c r="N31" s="227">
        <f t="shared" si="1"/>
        <v>0</v>
      </c>
      <c r="O31" s="152">
        <f t="shared" si="0"/>
        <v>614838.70399999979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2118</v>
      </c>
      <c r="I32" s="152"/>
      <c r="J32" s="157"/>
      <c r="K32" s="154">
        <v>5700363936</v>
      </c>
      <c r="L32" s="227">
        <v>7522.2906379894102</v>
      </c>
      <c r="M32" s="154" t="s">
        <v>2163</v>
      </c>
      <c r="N32" s="227">
        <f>C10+N31-I32-L32</f>
        <v>36379.968362010586</v>
      </c>
      <c r="O32" s="152">
        <f t="shared" si="0"/>
        <v>607316.41336201038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2118</v>
      </c>
      <c r="I33" s="152"/>
      <c r="J33" s="157"/>
      <c r="K33" s="154">
        <v>5700363936</v>
      </c>
      <c r="L33" s="227">
        <v>11307.267</v>
      </c>
      <c r="M33" s="154" t="s">
        <v>2163</v>
      </c>
      <c r="N33" s="227">
        <f t="shared" si="1"/>
        <v>25072.701362010586</v>
      </c>
      <c r="O33" s="152">
        <f t="shared" si="0"/>
        <v>596009.14636201039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2118</v>
      </c>
      <c r="I34" s="152"/>
      <c r="J34" s="157"/>
      <c r="K34" s="154">
        <v>5700363936</v>
      </c>
      <c r="L34" s="227">
        <v>2509.7280000000001</v>
      </c>
      <c r="M34" s="154" t="s">
        <v>2163</v>
      </c>
      <c r="N34" s="227">
        <f t="shared" si="1"/>
        <v>22562.973362010587</v>
      </c>
      <c r="O34" s="152">
        <f t="shared" si="0"/>
        <v>593499.41836201039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2118</v>
      </c>
      <c r="I35" s="152"/>
      <c r="J35" s="157"/>
      <c r="K35" s="154">
        <v>5700363936</v>
      </c>
      <c r="L35" s="227">
        <v>629.68100000000004</v>
      </c>
      <c r="M35" s="154" t="s">
        <v>2163</v>
      </c>
      <c r="N35" s="227">
        <f t="shared" si="1"/>
        <v>21933.292362010587</v>
      </c>
      <c r="O35" s="152">
        <f t="shared" si="0"/>
        <v>592869.7373620104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2118</v>
      </c>
      <c r="I36" s="152"/>
      <c r="J36" s="157"/>
      <c r="K36" s="154">
        <v>5700363936</v>
      </c>
      <c r="L36" s="227">
        <v>3828.0590000000002</v>
      </c>
      <c r="M36" s="154" t="s">
        <v>2163</v>
      </c>
      <c r="N36" s="227">
        <f t="shared" si="1"/>
        <v>18105.233362010586</v>
      </c>
      <c r="O36" s="152">
        <f t="shared" si="0"/>
        <v>589041.6783620104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2118</v>
      </c>
      <c r="I37" s="152"/>
      <c r="J37" s="157"/>
      <c r="K37" s="154">
        <v>5700363936</v>
      </c>
      <c r="L37" s="227">
        <v>5901.0079999999998</v>
      </c>
      <c r="M37" s="154" t="s">
        <v>2163</v>
      </c>
      <c r="N37" s="227">
        <f t="shared" si="1"/>
        <v>12204.225362010586</v>
      </c>
      <c r="O37" s="152">
        <f t="shared" si="0"/>
        <v>583140.67036201037</v>
      </c>
    </row>
    <row r="38" spans="1:15" x14ac:dyDescent="0.15">
      <c r="A38" s="154"/>
      <c r="B38" s="151"/>
      <c r="C38" s="152"/>
      <c r="D38" s="323" t="s">
        <v>2119</v>
      </c>
      <c r="E38" s="154" t="s">
        <v>72</v>
      </c>
      <c r="F38" s="157" t="s">
        <v>2147</v>
      </c>
      <c r="G38" s="152">
        <v>87898.1</v>
      </c>
      <c r="H38" s="323" t="s">
        <v>2119</v>
      </c>
      <c r="I38" s="152">
        <v>9987.5779999999995</v>
      </c>
      <c r="J38" s="154" t="s">
        <v>2163</v>
      </c>
      <c r="K38" s="154">
        <v>5700363936</v>
      </c>
      <c r="L38" s="227">
        <v>2216.6473620105644</v>
      </c>
      <c r="M38" s="154" t="s">
        <v>2163</v>
      </c>
      <c r="N38" s="227">
        <f t="shared" si="1"/>
        <v>2.1827872842550278E-11</v>
      </c>
      <c r="O38" s="152">
        <f t="shared" si="0"/>
        <v>658834.54499999981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2119</v>
      </c>
      <c r="I39" s="152"/>
      <c r="J39" s="157"/>
      <c r="K39" s="154">
        <v>5700363955</v>
      </c>
      <c r="L39" s="227">
        <v>9613.3336379894408</v>
      </c>
      <c r="M39" s="157" t="s">
        <v>2145</v>
      </c>
      <c r="N39" s="227">
        <f>G17+G19+N38-I39-L39</f>
        <v>253816.27836201052</v>
      </c>
      <c r="O39" s="152">
        <f t="shared" si="0"/>
        <v>649221.21136201033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2119</v>
      </c>
      <c r="I40" s="152"/>
      <c r="J40" s="157"/>
      <c r="K40" s="154">
        <v>5700363955</v>
      </c>
      <c r="L40" s="227">
        <v>31712.116999999998</v>
      </c>
      <c r="M40" s="157" t="s">
        <v>2145</v>
      </c>
      <c r="N40" s="227">
        <f t="shared" si="1"/>
        <v>222104.16136201052</v>
      </c>
      <c r="O40" s="152">
        <f t="shared" si="0"/>
        <v>617509.09436201036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2119</v>
      </c>
      <c r="I41" s="152"/>
      <c r="J41" s="157"/>
      <c r="K41" s="154">
        <v>5700363955</v>
      </c>
      <c r="L41" s="227">
        <v>72660.588000000003</v>
      </c>
      <c r="M41" s="157" t="s">
        <v>2145</v>
      </c>
      <c r="N41" s="227">
        <f t="shared" si="1"/>
        <v>149443.57336201053</v>
      </c>
      <c r="O41" s="152">
        <f t="shared" si="0"/>
        <v>544848.50636201038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2119</v>
      </c>
      <c r="I42" s="152"/>
      <c r="J42" s="157"/>
      <c r="K42" s="154">
        <v>5700363955</v>
      </c>
      <c r="L42" s="227">
        <v>10456.696</v>
      </c>
      <c r="M42" s="157" t="s">
        <v>2145</v>
      </c>
      <c r="N42" s="227">
        <f t="shared" si="1"/>
        <v>138986.87736201053</v>
      </c>
      <c r="O42" s="152">
        <f t="shared" si="0"/>
        <v>534391.81036201038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2119</v>
      </c>
      <c r="I43" s="152"/>
      <c r="J43" s="157"/>
      <c r="K43" s="154">
        <v>5700363955</v>
      </c>
      <c r="L43" s="227">
        <v>6332.7879999999996</v>
      </c>
      <c r="M43" s="157" t="s">
        <v>2145</v>
      </c>
      <c r="N43" s="227">
        <f t="shared" si="1"/>
        <v>132654.08936201053</v>
      </c>
      <c r="O43" s="152">
        <f t="shared" si="0"/>
        <v>528059.02236201044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2119</v>
      </c>
      <c r="I44" s="152"/>
      <c r="J44" s="157"/>
      <c r="K44" s="154">
        <v>5700363955</v>
      </c>
      <c r="L44" s="227">
        <v>13173.319</v>
      </c>
      <c r="M44" s="157" t="s">
        <v>2145</v>
      </c>
      <c r="N44" s="227">
        <f t="shared" si="1"/>
        <v>119480.77036201053</v>
      </c>
      <c r="O44" s="152">
        <f t="shared" si="0"/>
        <v>514885.70336201042</v>
      </c>
    </row>
    <row r="45" spans="1:15" x14ac:dyDescent="0.15">
      <c r="A45" s="154"/>
      <c r="B45" s="151"/>
      <c r="C45" s="152"/>
      <c r="D45" s="323" t="s">
        <v>2120</v>
      </c>
      <c r="E45" s="154" t="s">
        <v>72</v>
      </c>
      <c r="F45" s="157" t="s">
        <v>2147</v>
      </c>
      <c r="G45" s="152">
        <v>175743.163</v>
      </c>
      <c r="H45" s="323" t="s">
        <v>2120</v>
      </c>
      <c r="I45" s="152">
        <v>11014.414000000001</v>
      </c>
      <c r="J45" s="157" t="s">
        <v>2145</v>
      </c>
      <c r="K45" s="154">
        <v>5700363955</v>
      </c>
      <c r="L45" s="227">
        <v>11836.995999999999</v>
      </c>
      <c r="M45" s="157" t="s">
        <v>2145</v>
      </c>
      <c r="N45" s="227">
        <f t="shared" si="1"/>
        <v>96629.360362010528</v>
      </c>
      <c r="O45" s="152">
        <f t="shared" si="0"/>
        <v>667777.45636201033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2120</v>
      </c>
      <c r="I46" s="152"/>
      <c r="J46" s="157"/>
      <c r="K46" s="154">
        <v>5700363955</v>
      </c>
      <c r="L46" s="227">
        <v>76129.387000000002</v>
      </c>
      <c r="M46" s="157" t="s">
        <v>2145</v>
      </c>
      <c r="N46" s="227">
        <f t="shared" si="1"/>
        <v>20499.973362010525</v>
      </c>
      <c r="O46" s="152">
        <f t="shared" si="0"/>
        <v>591648.06936201034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2120</v>
      </c>
      <c r="I47" s="152"/>
      <c r="J47" s="157"/>
      <c r="K47" s="154">
        <v>5700363955</v>
      </c>
      <c r="L47" s="227">
        <v>20499.973362010525</v>
      </c>
      <c r="M47" s="157" t="s">
        <v>2145</v>
      </c>
      <c r="N47" s="227">
        <f t="shared" si="1"/>
        <v>0</v>
      </c>
      <c r="O47" s="152">
        <f t="shared" si="0"/>
        <v>571148.09599999979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2120</v>
      </c>
      <c r="I48" s="152"/>
      <c r="J48" s="157"/>
      <c r="K48" s="154">
        <v>5700363936</v>
      </c>
      <c r="L48" s="227">
        <v>52253.126637989502</v>
      </c>
      <c r="M48" s="157" t="s">
        <v>2146</v>
      </c>
      <c r="N48" s="227">
        <f>G26+G31+N47-I48-L48</f>
        <v>255253.70636201047</v>
      </c>
      <c r="O48" s="152">
        <f t="shared" si="0"/>
        <v>518894.96936201031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2120</v>
      </c>
      <c r="I49" s="152"/>
      <c r="J49" s="157"/>
      <c r="K49" s="154">
        <v>5700363936</v>
      </c>
      <c r="L49" s="227">
        <v>7808.04</v>
      </c>
      <c r="M49" s="157" t="s">
        <v>2146</v>
      </c>
      <c r="N49" s="227">
        <f t="shared" ref="N49:N52" si="2">+N48-I49-L49</f>
        <v>247445.66636201047</v>
      </c>
      <c r="O49" s="152">
        <f t="shared" si="0"/>
        <v>511086.92936201033</v>
      </c>
    </row>
    <row r="50" spans="1:15" x14ac:dyDescent="0.15">
      <c r="A50" s="154"/>
      <c r="B50" s="151"/>
      <c r="C50" s="152"/>
      <c r="D50" s="323" t="s">
        <v>2121</v>
      </c>
      <c r="E50" s="154" t="s">
        <v>72</v>
      </c>
      <c r="F50" s="157" t="s">
        <v>2148</v>
      </c>
      <c r="G50" s="152">
        <v>87897.668000000005</v>
      </c>
      <c r="H50" s="323" t="s">
        <v>2121</v>
      </c>
      <c r="I50" s="152">
        <v>9722.902</v>
      </c>
      <c r="J50" s="157" t="s">
        <v>2146</v>
      </c>
      <c r="K50" s="154">
        <v>5700363936</v>
      </c>
      <c r="L50" s="227">
        <v>12519.679</v>
      </c>
      <c r="M50" s="157" t="s">
        <v>2146</v>
      </c>
      <c r="N50" s="227">
        <f t="shared" si="2"/>
        <v>225203.08536201046</v>
      </c>
      <c r="O50" s="152">
        <f t="shared" si="0"/>
        <v>576742.01636201027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2121</v>
      </c>
      <c r="I51" s="152"/>
      <c r="J51" s="157"/>
      <c r="K51" s="154">
        <v>5700363936</v>
      </c>
      <c r="L51" s="227">
        <v>573</v>
      </c>
      <c r="M51" s="157" t="s">
        <v>2146</v>
      </c>
      <c r="N51" s="227">
        <f t="shared" si="2"/>
        <v>224630.08536201046</v>
      </c>
      <c r="O51" s="152">
        <f t="shared" si="0"/>
        <v>576169.01636201027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2121</v>
      </c>
      <c r="I52" s="152"/>
      <c r="J52" s="157"/>
      <c r="K52" s="154">
        <v>5700363936</v>
      </c>
      <c r="L52" s="227">
        <v>7465</v>
      </c>
      <c r="M52" s="157" t="s">
        <v>2146</v>
      </c>
      <c r="N52" s="227">
        <f t="shared" si="2"/>
        <v>217165.08536201046</v>
      </c>
      <c r="O52" s="152">
        <f t="shared" si="0"/>
        <v>568704.01636201027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2121</v>
      </c>
      <c r="I53" s="152"/>
      <c r="J53" s="157"/>
      <c r="K53" s="154">
        <v>5700363936</v>
      </c>
      <c r="L53" s="227">
        <v>13505</v>
      </c>
      <c r="M53" s="157" t="s">
        <v>2146</v>
      </c>
      <c r="N53" s="227">
        <f t="shared" si="1"/>
        <v>203660.08536201046</v>
      </c>
      <c r="O53" s="152">
        <f t="shared" si="0"/>
        <v>555199.01636201027</v>
      </c>
    </row>
    <row r="54" spans="1:15" x14ac:dyDescent="0.15">
      <c r="A54" s="154"/>
      <c r="B54" s="151"/>
      <c r="C54" s="152"/>
      <c r="D54" s="323" t="s">
        <v>2122</v>
      </c>
      <c r="E54" s="154" t="s">
        <v>72</v>
      </c>
      <c r="F54" s="157" t="s">
        <v>2149</v>
      </c>
      <c r="G54" s="152">
        <v>43960.864000000001</v>
      </c>
      <c r="H54" s="323" t="s">
        <v>2122</v>
      </c>
      <c r="I54" s="152">
        <v>12833.587000000001</v>
      </c>
      <c r="J54" s="157" t="s">
        <v>2146</v>
      </c>
      <c r="K54" s="154">
        <v>5700363936</v>
      </c>
      <c r="L54" s="227">
        <v>3034.8690000000001</v>
      </c>
      <c r="M54" s="157" t="s">
        <v>2146</v>
      </c>
      <c r="N54" s="227">
        <f t="shared" si="1"/>
        <v>187791.62936201046</v>
      </c>
      <c r="O54" s="152">
        <f t="shared" si="0"/>
        <v>583291.42436201032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2122</v>
      </c>
      <c r="I55" s="152"/>
      <c r="J55" s="157"/>
      <c r="K55" s="154">
        <v>5700363936</v>
      </c>
      <c r="L55" s="227">
        <v>11638.848</v>
      </c>
      <c r="M55" s="157" t="s">
        <v>2146</v>
      </c>
      <c r="N55" s="227">
        <f t="shared" si="1"/>
        <v>176152.78136201046</v>
      </c>
      <c r="O55" s="152">
        <f t="shared" si="0"/>
        <v>571652.57636201032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2122</v>
      </c>
      <c r="I56" s="152"/>
      <c r="J56" s="157"/>
      <c r="K56" s="154">
        <v>5700363936</v>
      </c>
      <c r="L56" s="227">
        <v>6917.2020000000002</v>
      </c>
      <c r="M56" s="157" t="s">
        <v>2146</v>
      </c>
      <c r="N56" s="227">
        <f t="shared" si="1"/>
        <v>169235.57936201047</v>
      </c>
      <c r="O56" s="152">
        <f t="shared" si="0"/>
        <v>564735.37436201028</v>
      </c>
    </row>
    <row r="57" spans="1:15" x14ac:dyDescent="0.15">
      <c r="A57" s="154"/>
      <c r="B57" s="151"/>
      <c r="C57" s="152"/>
      <c r="D57" s="323" t="s">
        <v>2123</v>
      </c>
      <c r="E57" s="154" t="s">
        <v>72</v>
      </c>
      <c r="F57" s="157" t="s">
        <v>2149</v>
      </c>
      <c r="G57" s="152">
        <v>131827.348</v>
      </c>
      <c r="H57" s="323" t="s">
        <v>2123</v>
      </c>
      <c r="I57" s="152">
        <v>11109.535</v>
      </c>
      <c r="J57" s="157" t="s">
        <v>2146</v>
      </c>
      <c r="K57" s="154">
        <v>5700363936</v>
      </c>
      <c r="L57" s="227">
        <v>13063.619000000001</v>
      </c>
      <c r="M57" s="157" t="s">
        <v>2146</v>
      </c>
      <c r="N57" s="227">
        <f t="shared" si="1"/>
        <v>145062.42536201046</v>
      </c>
      <c r="O57" s="152">
        <f t="shared" si="0"/>
        <v>672389.56836201029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2123</v>
      </c>
      <c r="I58" s="152"/>
      <c r="J58" s="157"/>
      <c r="K58" s="154">
        <v>5700363936</v>
      </c>
      <c r="L58" s="227">
        <v>26610.482</v>
      </c>
      <c r="M58" s="157" t="s">
        <v>2146</v>
      </c>
      <c r="N58" s="227">
        <f t="shared" si="1"/>
        <v>118451.94336201045</v>
      </c>
      <c r="O58" s="152">
        <f t="shared" si="0"/>
        <v>645779.08636201033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2123</v>
      </c>
      <c r="I59" s="152"/>
      <c r="J59" s="157"/>
      <c r="K59" s="154">
        <v>5700363936</v>
      </c>
      <c r="L59" s="227">
        <v>10945.545</v>
      </c>
      <c r="M59" s="157" t="s">
        <v>2146</v>
      </c>
      <c r="N59" s="227">
        <f t="shared" si="1"/>
        <v>107506.39836201046</v>
      </c>
      <c r="O59" s="152">
        <f t="shared" si="0"/>
        <v>634833.54136201029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2123</v>
      </c>
      <c r="I60" s="152"/>
      <c r="J60" s="157"/>
      <c r="K60" s="154">
        <v>5700363936</v>
      </c>
      <c r="L60" s="227">
        <v>58409.593000000001</v>
      </c>
      <c r="M60" s="157" t="s">
        <v>2146</v>
      </c>
      <c r="N60" s="227">
        <f t="shared" si="1"/>
        <v>49096.805362010455</v>
      </c>
      <c r="O60" s="152">
        <f t="shared" si="0"/>
        <v>576423.9483620103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2123</v>
      </c>
      <c r="I61" s="152"/>
      <c r="J61" s="157"/>
      <c r="K61" s="154">
        <v>5700363936</v>
      </c>
      <c r="L61" s="227">
        <v>49096.805362010455</v>
      </c>
      <c r="M61" s="157" t="s">
        <v>2146</v>
      </c>
      <c r="N61" s="227">
        <f t="shared" si="1"/>
        <v>0</v>
      </c>
      <c r="O61" s="152">
        <f t="shared" si="0"/>
        <v>527327.14299999981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2123</v>
      </c>
      <c r="I62" s="152"/>
      <c r="J62" s="157"/>
      <c r="K62" s="154">
        <v>5700363936</v>
      </c>
      <c r="L62" s="227">
        <v>11934.1156379895</v>
      </c>
      <c r="M62" s="157" t="s">
        <v>2147</v>
      </c>
      <c r="N62" s="316">
        <f>G38+G45+N61-I62-L62</f>
        <v>251707.14736201052</v>
      </c>
      <c r="O62" s="152">
        <f t="shared" si="0"/>
        <v>515393.02736201033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2123</v>
      </c>
      <c r="I63" s="152"/>
      <c r="J63" s="157"/>
      <c r="K63" s="154">
        <v>5700363936</v>
      </c>
      <c r="L63" s="227">
        <v>72738.851999999999</v>
      </c>
      <c r="M63" s="157" t="s">
        <v>2147</v>
      </c>
      <c r="N63" s="227">
        <f t="shared" ref="N63:N67" si="3">+N62-I63-L63</f>
        <v>178968.29536201054</v>
      </c>
      <c r="O63" s="152">
        <f t="shared" si="0"/>
        <v>442654.17536201031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2123</v>
      </c>
      <c r="I64" s="152"/>
      <c r="J64" s="154"/>
      <c r="K64" s="154">
        <v>5700363936</v>
      </c>
      <c r="L64" s="227">
        <v>6564.67</v>
      </c>
      <c r="M64" s="157" t="s">
        <v>2147</v>
      </c>
      <c r="N64" s="227">
        <f t="shared" si="3"/>
        <v>172403.62536201053</v>
      </c>
      <c r="O64" s="152">
        <f t="shared" si="0"/>
        <v>436089.50536201033</v>
      </c>
    </row>
    <row r="65" spans="1:16" x14ac:dyDescent="0.15">
      <c r="A65" s="154"/>
      <c r="B65" s="151"/>
      <c r="C65" s="152"/>
      <c r="D65" s="323"/>
      <c r="E65" s="154"/>
      <c r="F65" s="157"/>
      <c r="G65" s="152"/>
      <c r="H65" s="323" t="s">
        <v>2123</v>
      </c>
      <c r="I65" s="152"/>
      <c r="J65" s="154"/>
      <c r="K65" s="154">
        <v>5700363936</v>
      </c>
      <c r="L65" s="227">
        <v>34232.637000000002</v>
      </c>
      <c r="M65" s="157" t="s">
        <v>2147</v>
      </c>
      <c r="N65" s="227">
        <f t="shared" si="3"/>
        <v>138170.98836201051</v>
      </c>
      <c r="O65" s="152">
        <f t="shared" si="0"/>
        <v>401856.86836201034</v>
      </c>
    </row>
    <row r="66" spans="1:16" x14ac:dyDescent="0.15">
      <c r="A66" s="154"/>
      <c r="B66" s="151"/>
      <c r="C66" s="152"/>
      <c r="D66" s="323"/>
      <c r="E66" s="154"/>
      <c r="F66" s="157"/>
      <c r="G66" s="152"/>
      <c r="H66" s="323" t="s">
        <v>2123</v>
      </c>
      <c r="I66" s="152"/>
      <c r="J66" s="157"/>
      <c r="K66" s="154">
        <v>5700363936</v>
      </c>
      <c r="L66" s="227">
        <v>15539.119000000001</v>
      </c>
      <c r="M66" s="157" t="s">
        <v>2147</v>
      </c>
      <c r="N66" s="227">
        <f t="shared" si="3"/>
        <v>122631.8693620105</v>
      </c>
      <c r="O66" s="152">
        <f t="shared" si="0"/>
        <v>386317.74936201033</v>
      </c>
    </row>
    <row r="67" spans="1:16" x14ac:dyDescent="0.15">
      <c r="A67" s="154"/>
      <c r="B67" s="151"/>
      <c r="C67" s="152"/>
      <c r="D67" s="323" t="s">
        <v>2124</v>
      </c>
      <c r="E67" s="154" t="s">
        <v>72</v>
      </c>
      <c r="F67" s="157" t="s">
        <v>2150</v>
      </c>
      <c r="G67" s="152">
        <v>175806.52</v>
      </c>
      <c r="H67" s="323" t="s">
        <v>2124</v>
      </c>
      <c r="I67" s="152">
        <v>11426.766</v>
      </c>
      <c r="J67" s="157" t="s">
        <v>2147</v>
      </c>
      <c r="K67" s="154"/>
      <c r="L67" s="227">
        <v>12292.983</v>
      </c>
      <c r="M67" s="157" t="s">
        <v>2147</v>
      </c>
      <c r="N67" s="227">
        <f t="shared" si="3"/>
        <v>98912.120362010493</v>
      </c>
      <c r="O67" s="152">
        <f t="shared" si="0"/>
        <v>538404.52036201034</v>
      </c>
    </row>
    <row r="68" spans="1:16" x14ac:dyDescent="0.15">
      <c r="A68" s="154"/>
      <c r="B68" s="151"/>
      <c r="C68" s="152"/>
      <c r="D68" s="323"/>
      <c r="E68" s="154"/>
      <c r="F68" s="157"/>
      <c r="G68" s="152"/>
      <c r="H68" s="323" t="s">
        <v>2124</v>
      </c>
      <c r="I68" s="152"/>
      <c r="J68" s="157"/>
      <c r="K68" s="154"/>
      <c r="L68" s="227">
        <v>77831.548999999999</v>
      </c>
      <c r="M68" s="157" t="s">
        <v>2147</v>
      </c>
      <c r="N68" s="227">
        <f t="shared" si="1"/>
        <v>21080.571362010494</v>
      </c>
      <c r="O68" s="152">
        <f t="shared" si="0"/>
        <v>460572.97136201034</v>
      </c>
    </row>
    <row r="69" spans="1:16" x14ac:dyDescent="0.15">
      <c r="A69" s="154"/>
      <c r="B69" s="151"/>
      <c r="C69" s="152"/>
      <c r="D69" s="323"/>
      <c r="E69" s="154"/>
      <c r="F69" s="157"/>
      <c r="G69" s="152"/>
      <c r="H69" s="323" t="s">
        <v>2124</v>
      </c>
      <c r="I69" s="152"/>
      <c r="J69" s="157"/>
      <c r="K69" s="154"/>
      <c r="L69" s="227">
        <v>21080.571362010494</v>
      </c>
      <c r="M69" s="157" t="s">
        <v>2147</v>
      </c>
      <c r="N69" s="227">
        <f t="shared" ref="N69:N73" si="4">+N68-I69-L69</f>
        <v>0</v>
      </c>
      <c r="O69" s="152">
        <f t="shared" ref="O69:O73" si="5">O68+G69-I69-L69</f>
        <v>439492.39999999985</v>
      </c>
    </row>
    <row r="70" spans="1:16" x14ac:dyDescent="0.15">
      <c r="A70" s="154"/>
      <c r="B70" s="151"/>
      <c r="C70" s="152"/>
      <c r="D70" s="323"/>
      <c r="E70" s="154"/>
      <c r="F70" s="157"/>
      <c r="G70" s="152"/>
      <c r="H70" s="323" t="s">
        <v>2124</v>
      </c>
      <c r="I70" s="152"/>
      <c r="J70" s="157"/>
      <c r="K70" s="154"/>
      <c r="L70" s="227">
        <v>54129.915637989499</v>
      </c>
      <c r="M70" s="157" t="s">
        <v>2148</v>
      </c>
      <c r="N70" s="316">
        <f>G50+N69-I70-L70</f>
        <v>33767.752362010506</v>
      </c>
      <c r="O70" s="152">
        <f t="shared" si="5"/>
        <v>385362.48436201038</v>
      </c>
      <c r="P70" s="134" t="s">
        <v>2747</v>
      </c>
    </row>
    <row r="71" spans="1:16" x14ac:dyDescent="0.15">
      <c r="A71" s="154"/>
      <c r="B71" s="151"/>
      <c r="C71" s="152"/>
      <c r="D71" s="323"/>
      <c r="E71" s="154"/>
      <c r="F71" s="157"/>
      <c r="G71" s="152"/>
      <c r="H71" s="323" t="s">
        <v>2124</v>
      </c>
      <c r="I71" s="152"/>
      <c r="J71" s="157"/>
      <c r="K71" s="154"/>
      <c r="L71" s="227">
        <v>10538.518</v>
      </c>
      <c r="M71" s="157" t="s">
        <v>2148</v>
      </c>
      <c r="N71" s="227">
        <f t="shared" si="4"/>
        <v>23229.234362010506</v>
      </c>
      <c r="O71" s="152">
        <f t="shared" si="5"/>
        <v>374823.9663620104</v>
      </c>
    </row>
    <row r="72" spans="1:16" x14ac:dyDescent="0.15">
      <c r="A72" s="154"/>
      <c r="B72" s="151"/>
      <c r="C72" s="152"/>
      <c r="D72" s="323"/>
      <c r="E72" s="154"/>
      <c r="F72" s="157"/>
      <c r="G72" s="152"/>
      <c r="H72" s="323" t="s">
        <v>2124</v>
      </c>
      <c r="I72" s="152"/>
      <c r="J72" s="154"/>
      <c r="K72" s="154"/>
      <c r="L72" s="227">
        <v>4272.9660000000003</v>
      </c>
      <c r="M72" s="157" t="s">
        <v>2148</v>
      </c>
      <c r="N72" s="227">
        <f t="shared" si="4"/>
        <v>18956.268362010505</v>
      </c>
      <c r="O72" s="152">
        <f t="shared" si="5"/>
        <v>370551.00036201038</v>
      </c>
    </row>
    <row r="73" spans="1:16" x14ac:dyDescent="0.15">
      <c r="A73" s="154"/>
      <c r="B73" s="151"/>
      <c r="C73" s="152"/>
      <c r="D73" s="323"/>
      <c r="E73" s="154"/>
      <c r="F73" s="157"/>
      <c r="G73" s="152"/>
      <c r="H73" s="323" t="s">
        <v>2124</v>
      </c>
      <c r="I73" s="152"/>
      <c r="J73" s="157"/>
      <c r="K73" s="154"/>
      <c r="L73" s="227">
        <v>18956.268362010505</v>
      </c>
      <c r="M73" s="157" t="s">
        <v>2148</v>
      </c>
      <c r="N73" s="227">
        <f t="shared" si="4"/>
        <v>0</v>
      </c>
      <c r="O73" s="152">
        <f t="shared" si="5"/>
        <v>351594.7319999999</v>
      </c>
    </row>
    <row r="74" spans="1:16" x14ac:dyDescent="0.15">
      <c r="A74" s="154"/>
      <c r="B74" s="151"/>
      <c r="C74" s="152"/>
      <c r="D74" s="323"/>
      <c r="E74" s="154"/>
      <c r="F74" s="157"/>
      <c r="G74" s="152"/>
      <c r="H74" s="323" t="s">
        <v>2124</v>
      </c>
      <c r="I74" s="152"/>
      <c r="J74" s="157"/>
      <c r="K74" s="154"/>
      <c r="L74" s="227">
        <v>15519.253637989499</v>
      </c>
      <c r="M74" s="157" t="s">
        <v>2149</v>
      </c>
      <c r="N74" s="316">
        <f>G54+G57+N73-I74-L74</f>
        <v>160268.95836201051</v>
      </c>
      <c r="O74" s="152">
        <f t="shared" ref="O74:O76" si="6">O73+G74-I74-L74</f>
        <v>336075.47836201038</v>
      </c>
    </row>
    <row r="75" spans="1:16" x14ac:dyDescent="0.15">
      <c r="A75" s="154"/>
      <c r="B75" s="151"/>
      <c r="C75" s="152"/>
      <c r="D75" s="323"/>
      <c r="E75" s="154"/>
      <c r="F75" s="157"/>
      <c r="G75" s="152"/>
      <c r="H75" s="323" t="s">
        <v>2124</v>
      </c>
      <c r="I75" s="152"/>
      <c r="J75" s="157"/>
      <c r="K75" s="154"/>
      <c r="L75" s="227">
        <v>13660.300999999999</v>
      </c>
      <c r="M75" s="157" t="s">
        <v>2149</v>
      </c>
      <c r="N75" s="227">
        <f t="shared" ref="N75:N76" si="7">+N74-I75-L75</f>
        <v>146608.6573620105</v>
      </c>
      <c r="O75" s="152">
        <f t="shared" si="6"/>
        <v>322415.17736201041</v>
      </c>
    </row>
    <row r="76" spans="1:16" x14ac:dyDescent="0.15">
      <c r="A76" s="154"/>
      <c r="B76" s="151"/>
      <c r="C76" s="152"/>
      <c r="D76" s="323" t="s">
        <v>2125</v>
      </c>
      <c r="E76" s="154" t="s">
        <v>72</v>
      </c>
      <c r="F76" s="157" t="s">
        <v>2150</v>
      </c>
      <c r="G76" s="152">
        <v>154213.03599999999</v>
      </c>
      <c r="H76" s="323" t="s">
        <v>2125</v>
      </c>
      <c r="I76" s="152">
        <v>14632.864</v>
      </c>
      <c r="J76" s="157" t="s">
        <v>2149</v>
      </c>
      <c r="K76" s="154"/>
      <c r="L76" s="227">
        <v>11078.134</v>
      </c>
      <c r="M76" s="157" t="s">
        <v>2149</v>
      </c>
      <c r="N76" s="227">
        <f t="shared" si="7"/>
        <v>120897.6593620105</v>
      </c>
      <c r="O76" s="152">
        <f t="shared" si="6"/>
        <v>450917.21536201041</v>
      </c>
    </row>
    <row r="77" spans="1:16" x14ac:dyDescent="0.15">
      <c r="A77" s="154"/>
      <c r="B77" s="151"/>
      <c r="C77" s="152"/>
      <c r="D77" s="323" t="s">
        <v>2125</v>
      </c>
      <c r="E77" s="154" t="s">
        <v>72</v>
      </c>
      <c r="F77" s="157" t="s">
        <v>2151</v>
      </c>
      <c r="G77" s="152">
        <v>65496.902999999998</v>
      </c>
      <c r="H77" s="323" t="s">
        <v>2125</v>
      </c>
      <c r="I77" s="152"/>
      <c r="J77" s="157"/>
      <c r="K77" s="154"/>
      <c r="L77" s="227">
        <v>6741.2139999999999</v>
      </c>
      <c r="M77" s="157" t="s">
        <v>2149</v>
      </c>
      <c r="N77" s="227">
        <f t="shared" ref="N77:N139" si="8">+N76-I77-L77</f>
        <v>114156.44536201051</v>
      </c>
      <c r="O77" s="152">
        <f t="shared" ref="O77:O140" si="9">O76+G77-I77-L77</f>
        <v>509672.90436201042</v>
      </c>
    </row>
    <row r="78" spans="1:16" x14ac:dyDescent="0.15">
      <c r="A78" s="154"/>
      <c r="B78" s="151"/>
      <c r="C78" s="152"/>
      <c r="D78" s="323" t="s">
        <v>2126</v>
      </c>
      <c r="E78" s="154" t="s">
        <v>72</v>
      </c>
      <c r="F78" s="157" t="s">
        <v>2151</v>
      </c>
      <c r="G78" s="152">
        <v>131828.878</v>
      </c>
      <c r="H78" s="323" t="s">
        <v>2126</v>
      </c>
      <c r="I78" s="152">
        <v>14899.692999999999</v>
      </c>
      <c r="J78" s="157" t="s">
        <v>2149</v>
      </c>
      <c r="K78" s="154"/>
      <c r="L78" s="227">
        <v>11888.971</v>
      </c>
      <c r="M78" s="157" t="s">
        <v>2149</v>
      </c>
      <c r="N78" s="227">
        <f t="shared" si="8"/>
        <v>87367.781362010501</v>
      </c>
      <c r="O78" s="152">
        <f t="shared" si="9"/>
        <v>614713.11836201046</v>
      </c>
    </row>
    <row r="79" spans="1:16" x14ac:dyDescent="0.15">
      <c r="A79" s="154"/>
      <c r="B79" s="151"/>
      <c r="C79" s="152"/>
      <c r="D79" s="323"/>
      <c r="E79" s="154"/>
      <c r="F79" s="157"/>
      <c r="G79" s="152"/>
      <c r="H79" s="323" t="s">
        <v>2126</v>
      </c>
      <c r="I79" s="152"/>
      <c r="J79" s="157"/>
      <c r="K79" s="154"/>
      <c r="L79" s="227">
        <v>2752.6039999999998</v>
      </c>
      <c r="M79" s="157" t="s">
        <v>2149</v>
      </c>
      <c r="N79" s="227">
        <f t="shared" si="8"/>
        <v>84615.177362010494</v>
      </c>
      <c r="O79" s="152">
        <f t="shared" si="9"/>
        <v>611960.51436201041</v>
      </c>
    </row>
    <row r="80" spans="1:16" x14ac:dyDescent="0.15">
      <c r="A80" s="154"/>
      <c r="B80" s="151"/>
      <c r="C80" s="152"/>
      <c r="D80" s="323"/>
      <c r="E80" s="154"/>
      <c r="F80" s="157"/>
      <c r="G80" s="152"/>
      <c r="H80" s="323" t="s">
        <v>2126</v>
      </c>
      <c r="I80" s="152"/>
      <c r="J80" s="157"/>
      <c r="K80" s="154"/>
      <c r="L80" s="227">
        <v>72743.107999999993</v>
      </c>
      <c r="M80" s="157" t="s">
        <v>2149</v>
      </c>
      <c r="N80" s="227">
        <f t="shared" si="8"/>
        <v>11872.069362010501</v>
      </c>
      <c r="O80" s="152">
        <f t="shared" si="9"/>
        <v>539217.4063620104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2126</v>
      </c>
      <c r="I81" s="152"/>
      <c r="J81" s="157"/>
      <c r="K81" s="154"/>
      <c r="L81" s="227">
        <v>7358.5209999999997</v>
      </c>
      <c r="M81" s="157" t="s">
        <v>2149</v>
      </c>
      <c r="N81" s="227">
        <f t="shared" si="8"/>
        <v>4513.5483620105015</v>
      </c>
      <c r="O81" s="152">
        <f t="shared" si="9"/>
        <v>531858.88536201045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2126</v>
      </c>
      <c r="I82" s="152"/>
      <c r="J82" s="157"/>
      <c r="K82" s="154"/>
      <c r="L82" s="227">
        <v>4513.5483620105015</v>
      </c>
      <c r="M82" s="157" t="s">
        <v>2149</v>
      </c>
      <c r="N82" s="227">
        <f t="shared" si="8"/>
        <v>0</v>
      </c>
      <c r="O82" s="152">
        <f t="shared" si="9"/>
        <v>527345.33699999994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2126</v>
      </c>
      <c r="I83" s="152"/>
      <c r="J83" s="157"/>
      <c r="K83" s="154"/>
      <c r="L83" s="227">
        <v>3374.6506379895</v>
      </c>
      <c r="M83" s="157" t="s">
        <v>2150</v>
      </c>
      <c r="N83" s="316">
        <f>G67+G76+N82-I83-L83</f>
        <v>326644.90536201047</v>
      </c>
      <c r="O83" s="152">
        <f t="shared" si="9"/>
        <v>523970.68636201043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2126</v>
      </c>
      <c r="I84" s="152"/>
      <c r="J84" s="157"/>
      <c r="K84" s="154"/>
      <c r="L84" s="227">
        <v>15530.547</v>
      </c>
      <c r="M84" s="157" t="s">
        <v>2150</v>
      </c>
      <c r="N84" s="227">
        <f t="shared" si="8"/>
        <v>311114.35836201045</v>
      </c>
      <c r="O84" s="152">
        <f t="shared" si="9"/>
        <v>508440.13936201041</v>
      </c>
    </row>
    <row r="85" spans="1:15" x14ac:dyDescent="0.15">
      <c r="A85" s="154"/>
      <c r="B85" s="151"/>
      <c r="C85" s="152"/>
      <c r="D85" s="323" t="s">
        <v>2127</v>
      </c>
      <c r="E85" s="154" t="s">
        <v>72</v>
      </c>
      <c r="F85" s="157" t="s">
        <v>2152</v>
      </c>
      <c r="G85" s="152">
        <v>219968.005</v>
      </c>
      <c r="H85" s="323" t="s">
        <v>2127</v>
      </c>
      <c r="I85" s="152">
        <v>11795.684999999999</v>
      </c>
      <c r="J85" s="157" t="s">
        <v>2150</v>
      </c>
      <c r="K85" s="154"/>
      <c r="L85" s="227">
        <v>11488.241</v>
      </c>
      <c r="M85" s="157" t="s">
        <v>2150</v>
      </c>
      <c r="N85" s="227">
        <f t="shared" si="8"/>
        <v>287830.43236201047</v>
      </c>
      <c r="O85" s="152">
        <f t="shared" si="9"/>
        <v>705124.21836201032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2127</v>
      </c>
      <c r="I86" s="152"/>
      <c r="J86" s="157"/>
      <c r="K86" s="154"/>
      <c r="L86" s="227">
        <v>67632.774999999994</v>
      </c>
      <c r="M86" s="157" t="s">
        <v>2150</v>
      </c>
      <c r="N86" s="227">
        <f t="shared" si="8"/>
        <v>220197.65736201048</v>
      </c>
      <c r="O86" s="152">
        <f t="shared" si="9"/>
        <v>637491.44336201029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2127</v>
      </c>
      <c r="I87" s="152"/>
      <c r="J87" s="157"/>
      <c r="K87" s="154"/>
      <c r="L87" s="227">
        <v>74872.365000000005</v>
      </c>
      <c r="M87" s="157" t="s">
        <v>2150</v>
      </c>
      <c r="N87" s="227">
        <f t="shared" si="8"/>
        <v>145325.29236201046</v>
      </c>
      <c r="O87" s="152">
        <f t="shared" si="9"/>
        <v>562619.0783620103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2127</v>
      </c>
      <c r="I88" s="152"/>
      <c r="J88" s="157"/>
      <c r="K88" s="154"/>
      <c r="L88" s="227">
        <v>74164.09</v>
      </c>
      <c r="M88" s="157" t="s">
        <v>2150</v>
      </c>
      <c r="N88" s="227">
        <f t="shared" si="8"/>
        <v>71161.202362010459</v>
      </c>
      <c r="O88" s="152">
        <f t="shared" si="9"/>
        <v>488454.98836201034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2127</v>
      </c>
      <c r="I89" s="152"/>
      <c r="J89" s="157"/>
      <c r="K89" s="154"/>
      <c r="L89" s="227">
        <v>7072.7610000000004</v>
      </c>
      <c r="M89" s="157" t="s">
        <v>2150</v>
      </c>
      <c r="N89" s="227">
        <f t="shared" si="8"/>
        <v>64088.441362010461</v>
      </c>
      <c r="O89" s="152">
        <f t="shared" si="9"/>
        <v>481382.22736201034</v>
      </c>
    </row>
    <row r="90" spans="1:15" x14ac:dyDescent="0.15">
      <c r="A90" s="154"/>
      <c r="B90" s="151"/>
      <c r="C90" s="152"/>
      <c r="D90" s="323" t="s">
        <v>2128</v>
      </c>
      <c r="E90" s="154" t="s">
        <v>72</v>
      </c>
      <c r="F90" s="157" t="s">
        <v>2152</v>
      </c>
      <c r="G90" s="152">
        <v>176089.41099999999</v>
      </c>
      <c r="H90" s="323" t="s">
        <v>2128</v>
      </c>
      <c r="I90" s="152">
        <v>11035.154999999999</v>
      </c>
      <c r="J90" s="157" t="s">
        <v>2150</v>
      </c>
      <c r="K90" s="154"/>
      <c r="L90" s="227">
        <v>14790.955</v>
      </c>
      <c r="M90" s="157" t="s">
        <v>2150</v>
      </c>
      <c r="N90" s="227">
        <f t="shared" si="8"/>
        <v>38262.33136201046</v>
      </c>
      <c r="O90" s="152">
        <f t="shared" si="9"/>
        <v>631645.52836201037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2128</v>
      </c>
      <c r="I91" s="152"/>
      <c r="J91" s="157"/>
      <c r="K91" s="154"/>
      <c r="L91" s="227">
        <v>11436.522999999999</v>
      </c>
      <c r="M91" s="157" t="s">
        <v>2150</v>
      </c>
      <c r="N91" s="227">
        <f t="shared" si="8"/>
        <v>26825.808362010459</v>
      </c>
      <c r="O91" s="152">
        <f t="shared" si="9"/>
        <v>620209.00536201033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2128</v>
      </c>
      <c r="I92" s="152"/>
      <c r="J92" s="157"/>
      <c r="K92" s="154"/>
      <c r="L92" s="227">
        <v>26825.808362010459</v>
      </c>
      <c r="M92" s="157" t="s">
        <v>2150</v>
      </c>
      <c r="N92" s="227">
        <f t="shared" si="8"/>
        <v>0</v>
      </c>
      <c r="O92" s="152">
        <f t="shared" si="9"/>
        <v>593383.19699999993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2128</v>
      </c>
      <c r="I93" s="152"/>
      <c r="J93" s="157"/>
      <c r="K93" s="154"/>
      <c r="L93" s="227">
        <v>6988.9576379895398</v>
      </c>
      <c r="M93" s="157" t="s">
        <v>2151</v>
      </c>
      <c r="N93" s="316">
        <f>G77+G78+N92-I93-L93</f>
        <v>190336.82336201044</v>
      </c>
      <c r="O93" s="152">
        <f t="shared" si="9"/>
        <v>586394.23936201038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2128</v>
      </c>
      <c r="I94" s="152"/>
      <c r="J94" s="157"/>
      <c r="K94" s="154"/>
      <c r="L94" s="227">
        <v>71926.491999999998</v>
      </c>
      <c r="M94" s="157" t="s">
        <v>2151</v>
      </c>
      <c r="N94" s="227">
        <f t="shared" si="8"/>
        <v>118410.33136201045</v>
      </c>
      <c r="O94" s="152">
        <f t="shared" si="9"/>
        <v>514467.74736201041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2128</v>
      </c>
      <c r="I95" s="152"/>
      <c r="J95" s="157"/>
      <c r="K95" s="154"/>
      <c r="L95" s="227">
        <v>3533.2080000000001</v>
      </c>
      <c r="M95" s="157" t="s">
        <v>2151</v>
      </c>
      <c r="N95" s="227">
        <f t="shared" si="8"/>
        <v>114877.12336201045</v>
      </c>
      <c r="O95" s="152">
        <f t="shared" si="9"/>
        <v>510934.53936201043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2128</v>
      </c>
      <c r="I96" s="152"/>
      <c r="J96" s="157"/>
      <c r="K96" s="154"/>
      <c r="L96" s="227">
        <v>6929.4849999999997</v>
      </c>
      <c r="M96" s="157" t="s">
        <v>2151</v>
      </c>
      <c r="N96" s="227">
        <f t="shared" si="8"/>
        <v>107947.63836201045</v>
      </c>
      <c r="O96" s="152">
        <f t="shared" si="9"/>
        <v>504005.05436201044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2128</v>
      </c>
      <c r="I97" s="152"/>
      <c r="J97" s="157"/>
      <c r="K97" s="154"/>
      <c r="L97" s="227">
        <v>16738.509999999998</v>
      </c>
      <c r="M97" s="157" t="s">
        <v>2151</v>
      </c>
      <c r="N97" s="227">
        <f t="shared" si="8"/>
        <v>91209.128362010451</v>
      </c>
      <c r="O97" s="152">
        <f t="shared" si="9"/>
        <v>487266.54436201043</v>
      </c>
    </row>
    <row r="98" spans="1:15" x14ac:dyDescent="0.15">
      <c r="A98" s="154"/>
      <c r="B98" s="151"/>
      <c r="C98" s="152"/>
      <c r="D98" s="323" t="s">
        <v>2129</v>
      </c>
      <c r="E98" s="154" t="s">
        <v>72</v>
      </c>
      <c r="F98" s="157" t="s">
        <v>2152</v>
      </c>
      <c r="G98" s="152">
        <v>176054.66099999999</v>
      </c>
      <c r="H98" s="323" t="s">
        <v>2129</v>
      </c>
      <c r="I98" s="152">
        <v>11715.352000000001</v>
      </c>
      <c r="J98" s="157" t="s">
        <v>2151</v>
      </c>
      <c r="K98" s="154"/>
      <c r="L98" s="227">
        <v>32382.447</v>
      </c>
      <c r="M98" s="157" t="s">
        <v>2151</v>
      </c>
      <c r="N98" s="227">
        <f t="shared" si="8"/>
        <v>47111.329362010452</v>
      </c>
      <c r="O98" s="152">
        <f t="shared" si="9"/>
        <v>619223.4063620104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2129</v>
      </c>
      <c r="I99" s="152"/>
      <c r="J99" s="157"/>
      <c r="K99" s="154"/>
      <c r="L99" s="227">
        <v>25942.016</v>
      </c>
      <c r="M99" s="157" t="s">
        <v>2151</v>
      </c>
      <c r="N99" s="227">
        <f t="shared" si="8"/>
        <v>21169.313362010453</v>
      </c>
      <c r="O99" s="152">
        <f t="shared" si="9"/>
        <v>593281.39036201045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2129</v>
      </c>
      <c r="I100" s="152"/>
      <c r="J100" s="157"/>
      <c r="K100" s="154"/>
      <c r="L100" s="227">
        <v>9385.4750000000004</v>
      </c>
      <c r="M100" s="157" t="s">
        <v>2151</v>
      </c>
      <c r="N100" s="227">
        <f t="shared" si="8"/>
        <v>11783.838362010452</v>
      </c>
      <c r="O100" s="152">
        <f t="shared" si="9"/>
        <v>583895.91536201048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2129</v>
      </c>
      <c r="I101" s="152"/>
      <c r="J101" s="157"/>
      <c r="K101" s="154"/>
      <c r="L101" s="227">
        <v>6646.2550000000001</v>
      </c>
      <c r="M101" s="157" t="s">
        <v>2151</v>
      </c>
      <c r="N101" s="227">
        <f t="shared" si="8"/>
        <v>5137.5833620104522</v>
      </c>
      <c r="O101" s="152">
        <f t="shared" si="9"/>
        <v>577249.66036201047</v>
      </c>
    </row>
    <row r="102" spans="1:15" x14ac:dyDescent="0.15">
      <c r="A102" s="154"/>
      <c r="B102" s="151"/>
      <c r="C102" s="152"/>
      <c r="D102" s="323" t="s">
        <v>2130</v>
      </c>
      <c r="E102" s="154" t="s">
        <v>72</v>
      </c>
      <c r="F102" s="157" t="s">
        <v>2152</v>
      </c>
      <c r="G102" s="152">
        <v>132008.459</v>
      </c>
      <c r="H102" s="323" t="s">
        <v>2130</v>
      </c>
      <c r="I102" s="152">
        <v>5137.5833620104522</v>
      </c>
      <c r="J102" s="157" t="s">
        <v>2151</v>
      </c>
      <c r="K102" s="154"/>
      <c r="L102" s="227"/>
      <c r="M102" s="157"/>
      <c r="N102" s="227">
        <f t="shared" si="8"/>
        <v>0</v>
      </c>
      <c r="O102" s="152">
        <f t="shared" si="9"/>
        <v>704120.53600000008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2130</v>
      </c>
      <c r="I103" s="152">
        <v>7576.1486379895496</v>
      </c>
      <c r="J103" s="157" t="s">
        <v>2152</v>
      </c>
      <c r="K103" s="154"/>
      <c r="L103" s="227">
        <v>10527.334000000001</v>
      </c>
      <c r="M103" s="157" t="s">
        <v>2152</v>
      </c>
      <c r="N103" s="316">
        <f>G85+G90+G98+G102+N102-I103-L103</f>
        <v>686017.0533620104</v>
      </c>
      <c r="O103" s="152">
        <f t="shared" si="9"/>
        <v>686017.05336201051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2130</v>
      </c>
      <c r="I104" s="152"/>
      <c r="J104" s="157"/>
      <c r="K104" s="154"/>
      <c r="L104" s="227">
        <v>80093.582999999999</v>
      </c>
      <c r="M104" s="157" t="s">
        <v>2152</v>
      </c>
      <c r="N104" s="227">
        <f t="shared" si="8"/>
        <v>605923.47036201041</v>
      </c>
      <c r="O104" s="152">
        <f t="shared" si="9"/>
        <v>605923.47036201053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2130</v>
      </c>
      <c r="I105" s="152"/>
      <c r="J105" s="157"/>
      <c r="K105" s="154"/>
      <c r="L105" s="227">
        <v>3864.9580000000001</v>
      </c>
      <c r="M105" s="157" t="s">
        <v>2152</v>
      </c>
      <c r="N105" s="227">
        <f t="shared" si="8"/>
        <v>602058.51236201043</v>
      </c>
      <c r="O105" s="152">
        <f t="shared" si="9"/>
        <v>602058.51236201054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2130</v>
      </c>
      <c r="I106" s="152"/>
      <c r="J106" s="157"/>
      <c r="K106" s="154"/>
      <c r="L106" s="227">
        <v>1123.2280000000001</v>
      </c>
      <c r="M106" s="157" t="s">
        <v>2152</v>
      </c>
      <c r="N106" s="227">
        <f t="shared" si="8"/>
        <v>600935.28436201042</v>
      </c>
      <c r="O106" s="152">
        <f t="shared" si="9"/>
        <v>600935.28436201054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2130</v>
      </c>
      <c r="I107" s="152"/>
      <c r="J107" s="157"/>
      <c r="K107" s="154"/>
      <c r="L107" s="227">
        <v>774.15700000000004</v>
      </c>
      <c r="M107" s="157" t="s">
        <v>2152</v>
      </c>
      <c r="N107" s="227">
        <f t="shared" si="8"/>
        <v>600161.12736201042</v>
      </c>
      <c r="O107" s="152">
        <f t="shared" si="9"/>
        <v>600161.12736201053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2130</v>
      </c>
      <c r="I108" s="152"/>
      <c r="J108" s="157"/>
      <c r="K108" s="154"/>
      <c r="L108" s="227">
        <v>4597.9319999999998</v>
      </c>
      <c r="M108" s="157" t="s">
        <v>2152</v>
      </c>
      <c r="N108" s="227">
        <f t="shared" si="8"/>
        <v>595563.19536201039</v>
      </c>
      <c r="O108" s="152">
        <f t="shared" si="9"/>
        <v>595563.19536201051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2130</v>
      </c>
      <c r="I109" s="152"/>
      <c r="J109" s="157"/>
      <c r="K109" s="154"/>
      <c r="L109" s="227">
        <v>31576.401999999998</v>
      </c>
      <c r="M109" s="157" t="s">
        <v>2152</v>
      </c>
      <c r="N109" s="227">
        <f t="shared" si="8"/>
        <v>563986.79336201039</v>
      </c>
      <c r="O109" s="152">
        <f t="shared" si="9"/>
        <v>563986.7933620105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2130</v>
      </c>
      <c r="I110" s="152"/>
      <c r="J110" s="157"/>
      <c r="K110" s="154"/>
      <c r="L110" s="227">
        <v>15953.234</v>
      </c>
      <c r="M110" s="157" t="s">
        <v>2152</v>
      </c>
      <c r="N110" s="227">
        <f t="shared" si="8"/>
        <v>548033.55936201033</v>
      </c>
      <c r="O110" s="152">
        <f t="shared" si="9"/>
        <v>548033.55936201045</v>
      </c>
    </row>
    <row r="111" spans="1:15" x14ac:dyDescent="0.15">
      <c r="A111" s="154"/>
      <c r="B111" s="151"/>
      <c r="C111" s="152"/>
      <c r="D111" s="323" t="s">
        <v>2131</v>
      </c>
      <c r="E111" s="154" t="s">
        <v>72</v>
      </c>
      <c r="F111" s="157" t="s">
        <v>2153</v>
      </c>
      <c r="G111" s="152">
        <v>132156.93</v>
      </c>
      <c r="H111" s="323" t="s">
        <v>2131</v>
      </c>
      <c r="I111" s="152">
        <v>10903.878000000001</v>
      </c>
      <c r="J111" s="157" t="s">
        <v>2152</v>
      </c>
      <c r="K111" s="154"/>
      <c r="L111" s="227">
        <v>12469.316999999999</v>
      </c>
      <c r="M111" s="157" t="s">
        <v>2152</v>
      </c>
      <c r="N111" s="227">
        <f t="shared" si="8"/>
        <v>524660.36436201027</v>
      </c>
      <c r="O111" s="152">
        <f t="shared" si="9"/>
        <v>656817.29436201043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2131</v>
      </c>
      <c r="I112" s="152"/>
      <c r="J112" s="157"/>
      <c r="K112" s="154"/>
      <c r="L112" s="227">
        <v>76800.91</v>
      </c>
      <c r="M112" s="157" t="s">
        <v>2152</v>
      </c>
      <c r="N112" s="227">
        <f t="shared" si="8"/>
        <v>447859.45436201023</v>
      </c>
      <c r="O112" s="152">
        <f t="shared" si="9"/>
        <v>580016.3843620104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2131</v>
      </c>
      <c r="I113" s="152"/>
      <c r="J113" s="157"/>
      <c r="K113" s="154"/>
      <c r="L113" s="227">
        <v>82061.574999999997</v>
      </c>
      <c r="M113" s="157" t="s">
        <v>2152</v>
      </c>
      <c r="N113" s="227">
        <f t="shared" si="8"/>
        <v>365797.87936201022</v>
      </c>
      <c r="O113" s="152">
        <f t="shared" si="9"/>
        <v>497954.80936201039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2131</v>
      </c>
      <c r="I114" s="152"/>
      <c r="J114" s="157"/>
      <c r="K114" s="154"/>
      <c r="L114" s="227">
        <v>79302.778000000006</v>
      </c>
      <c r="M114" s="157" t="s">
        <v>2152</v>
      </c>
      <c r="N114" s="227">
        <f t="shared" si="8"/>
        <v>286495.10136201023</v>
      </c>
      <c r="O114" s="152">
        <f t="shared" si="9"/>
        <v>418652.0313620104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2131</v>
      </c>
      <c r="I115" s="152"/>
      <c r="J115" s="157"/>
      <c r="K115" s="154"/>
      <c r="L115" s="227">
        <v>9537.1630000000005</v>
      </c>
      <c r="M115" s="157" t="s">
        <v>2152</v>
      </c>
      <c r="N115" s="227">
        <f t="shared" si="8"/>
        <v>276957.93836201023</v>
      </c>
      <c r="O115" s="152">
        <f t="shared" si="9"/>
        <v>409114.8683620104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2131</v>
      </c>
      <c r="I116" s="152"/>
      <c r="J116" s="157"/>
      <c r="K116" s="154"/>
      <c r="L116" s="227">
        <v>6521.692</v>
      </c>
      <c r="M116" s="157" t="s">
        <v>2152</v>
      </c>
      <c r="N116" s="227">
        <f t="shared" si="8"/>
        <v>270436.24636201025</v>
      </c>
      <c r="O116" s="152">
        <f t="shared" si="9"/>
        <v>402593.17636201042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2131</v>
      </c>
      <c r="I117" s="152"/>
      <c r="J117" s="157"/>
      <c r="K117" s="154"/>
      <c r="L117" s="227">
        <v>37091.186999999998</v>
      </c>
      <c r="M117" s="157" t="s">
        <v>2152</v>
      </c>
      <c r="N117" s="227">
        <f t="shared" si="8"/>
        <v>233345.05936201024</v>
      </c>
      <c r="O117" s="152">
        <f t="shared" si="9"/>
        <v>365501.98936201044</v>
      </c>
    </row>
    <row r="118" spans="1:15" x14ac:dyDescent="0.15">
      <c r="A118" s="154"/>
      <c r="B118" s="151"/>
      <c r="C118" s="152"/>
      <c r="D118" s="323" t="s">
        <v>2132</v>
      </c>
      <c r="E118" s="154" t="s">
        <v>72</v>
      </c>
      <c r="F118" s="157" t="s">
        <v>2153</v>
      </c>
      <c r="G118" s="152">
        <v>155956.255</v>
      </c>
      <c r="H118" s="323" t="s">
        <v>2132</v>
      </c>
      <c r="I118" s="152">
        <v>14983.071</v>
      </c>
      <c r="J118" s="157" t="s">
        <v>2152</v>
      </c>
      <c r="K118" s="154"/>
      <c r="L118" s="227">
        <v>11645.9</v>
      </c>
      <c r="M118" s="157" t="s">
        <v>2152</v>
      </c>
      <c r="N118" s="227">
        <f t="shared" si="8"/>
        <v>206716.08836201025</v>
      </c>
      <c r="O118" s="152">
        <f t="shared" si="9"/>
        <v>494829.27336201043</v>
      </c>
    </row>
    <row r="119" spans="1:15" x14ac:dyDescent="0.15">
      <c r="A119" s="154"/>
      <c r="B119" s="151"/>
      <c r="C119" s="152"/>
      <c r="D119" s="323" t="s">
        <v>2132</v>
      </c>
      <c r="E119" s="154" t="s">
        <v>72</v>
      </c>
      <c r="F119" s="157" t="s">
        <v>2148</v>
      </c>
      <c r="G119" s="152">
        <v>20258.187000000002</v>
      </c>
      <c r="H119" s="323" t="s">
        <v>2132</v>
      </c>
      <c r="I119" s="152"/>
      <c r="J119" s="157"/>
      <c r="K119" s="154"/>
      <c r="L119" s="227">
        <v>6608.66</v>
      </c>
      <c r="M119" s="157" t="s">
        <v>2152</v>
      </c>
      <c r="N119" s="227">
        <f t="shared" si="8"/>
        <v>200107.42836201025</v>
      </c>
      <c r="O119" s="152">
        <f t="shared" si="9"/>
        <v>508478.80036201043</v>
      </c>
    </row>
    <row r="120" spans="1:15" x14ac:dyDescent="0.15">
      <c r="A120" s="154"/>
      <c r="B120" s="151"/>
      <c r="C120" s="152"/>
      <c r="D120" s="323" t="s">
        <v>2133</v>
      </c>
      <c r="E120" s="154" t="s">
        <v>72</v>
      </c>
      <c r="F120" s="157" t="s">
        <v>2154</v>
      </c>
      <c r="G120" s="152">
        <v>176196.77600000001</v>
      </c>
      <c r="H120" s="323" t="s">
        <v>2133</v>
      </c>
      <c r="I120" s="152">
        <v>14036.771000000001</v>
      </c>
      <c r="J120" s="157" t="s">
        <v>2152</v>
      </c>
      <c r="K120" s="154"/>
      <c r="L120" s="227">
        <v>12217.353999999999</v>
      </c>
      <c r="M120" s="157" t="s">
        <v>2152</v>
      </c>
      <c r="N120" s="227">
        <f t="shared" si="8"/>
        <v>173853.30336201025</v>
      </c>
      <c r="O120" s="152">
        <f t="shared" si="9"/>
        <v>658421.45136201044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2133</v>
      </c>
      <c r="I121" s="152"/>
      <c r="J121" s="157"/>
      <c r="K121" s="154"/>
      <c r="L121" s="227">
        <v>14107.513999999999</v>
      </c>
      <c r="M121" s="157" t="s">
        <v>2152</v>
      </c>
      <c r="N121" s="227">
        <f t="shared" si="8"/>
        <v>159745.78936201025</v>
      </c>
      <c r="O121" s="152">
        <f t="shared" si="9"/>
        <v>644313.93736201047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2133</v>
      </c>
      <c r="I122" s="152"/>
      <c r="J122" s="157"/>
      <c r="K122" s="154"/>
      <c r="L122" s="227">
        <v>14022.281000000001</v>
      </c>
      <c r="M122" s="157" t="s">
        <v>2152</v>
      </c>
      <c r="N122" s="227">
        <f t="shared" si="8"/>
        <v>145723.50836201027</v>
      </c>
      <c r="O122" s="152">
        <f t="shared" si="9"/>
        <v>630291.65636201052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2133</v>
      </c>
      <c r="I123" s="152"/>
      <c r="J123" s="157"/>
      <c r="K123" s="154"/>
      <c r="L123" s="227">
        <v>59783.21</v>
      </c>
      <c r="M123" s="157" t="s">
        <v>2152</v>
      </c>
      <c r="N123" s="227">
        <f t="shared" si="8"/>
        <v>85940.298362010275</v>
      </c>
      <c r="O123" s="152">
        <f t="shared" si="9"/>
        <v>570508.44636201055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2133</v>
      </c>
      <c r="I124" s="152"/>
      <c r="J124" s="157"/>
      <c r="K124" s="154"/>
      <c r="L124" s="227">
        <v>68366.642999999996</v>
      </c>
      <c r="M124" s="157" t="s">
        <v>2152</v>
      </c>
      <c r="N124" s="227">
        <f t="shared" si="8"/>
        <v>17573.655362010279</v>
      </c>
      <c r="O124" s="152">
        <f t="shared" si="9"/>
        <v>502141.80336201057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2133</v>
      </c>
      <c r="I125" s="152"/>
      <c r="J125" s="157"/>
      <c r="K125" s="154"/>
      <c r="L125" s="227">
        <v>10016.919</v>
      </c>
      <c r="M125" s="157" t="s">
        <v>2152</v>
      </c>
      <c r="N125" s="227">
        <f t="shared" si="8"/>
        <v>7556.7363620102788</v>
      </c>
      <c r="O125" s="152">
        <f t="shared" si="9"/>
        <v>492124.88436201058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2133</v>
      </c>
      <c r="I126" s="152"/>
      <c r="J126" s="157"/>
      <c r="K126" s="154"/>
      <c r="L126" s="227">
        <v>1379.3</v>
      </c>
      <c r="M126" s="157" t="s">
        <v>2152</v>
      </c>
      <c r="N126" s="227">
        <f t="shared" si="8"/>
        <v>6177.4363620102786</v>
      </c>
      <c r="O126" s="152">
        <f t="shared" si="9"/>
        <v>490745.58436201059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2133</v>
      </c>
      <c r="I127" s="152"/>
      <c r="J127" s="157"/>
      <c r="K127" s="154"/>
      <c r="L127" s="227">
        <v>6177.4363620102786</v>
      </c>
      <c r="M127" s="157" t="s">
        <v>2152</v>
      </c>
      <c r="N127" s="227">
        <f t="shared" si="8"/>
        <v>0</v>
      </c>
      <c r="O127" s="152">
        <f t="shared" si="9"/>
        <v>484568.14800000034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2133</v>
      </c>
      <c r="I128" s="152"/>
      <c r="J128" s="157"/>
      <c r="K128" s="154"/>
      <c r="L128" s="227">
        <v>236.31063798972201</v>
      </c>
      <c r="M128" s="157" t="s">
        <v>2153</v>
      </c>
      <c r="N128" s="316">
        <f>G111+G118+N127-I128-L128</f>
        <v>287876.87436201028</v>
      </c>
      <c r="O128" s="152">
        <f t="shared" si="9"/>
        <v>484331.83736201061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2133</v>
      </c>
      <c r="I129" s="152"/>
      <c r="J129" s="157"/>
      <c r="K129" s="154"/>
      <c r="L129" s="227">
        <v>15889.941000000001</v>
      </c>
      <c r="M129" s="157" t="s">
        <v>2153</v>
      </c>
      <c r="N129" s="227">
        <f t="shared" si="8"/>
        <v>271986.93336201028</v>
      </c>
      <c r="O129" s="152">
        <f t="shared" si="9"/>
        <v>468441.89636201062</v>
      </c>
    </row>
    <row r="130" spans="1:15" x14ac:dyDescent="0.15">
      <c r="A130" s="154"/>
      <c r="B130" s="151"/>
      <c r="C130" s="152"/>
      <c r="D130" s="323" t="s">
        <v>2134</v>
      </c>
      <c r="E130" s="154" t="s">
        <v>72</v>
      </c>
      <c r="F130" s="157" t="s">
        <v>2155</v>
      </c>
      <c r="G130" s="152">
        <v>176231.83100000001</v>
      </c>
      <c r="H130" s="323" t="s">
        <v>2134</v>
      </c>
      <c r="I130" s="152">
        <v>19654.964</v>
      </c>
      <c r="J130" s="157" t="s">
        <v>2153</v>
      </c>
      <c r="K130" s="154"/>
      <c r="L130" s="227">
        <v>10798.905000000001</v>
      </c>
      <c r="M130" s="157" t="s">
        <v>2153</v>
      </c>
      <c r="N130" s="227">
        <f t="shared" si="8"/>
        <v>241533.06436201028</v>
      </c>
      <c r="O130" s="152">
        <f t="shared" si="9"/>
        <v>614219.85836201056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2134</v>
      </c>
      <c r="I131" s="152"/>
      <c r="J131" s="157"/>
      <c r="K131" s="154"/>
      <c r="L131" s="227">
        <v>62713.642</v>
      </c>
      <c r="M131" s="157" t="s">
        <v>2153</v>
      </c>
      <c r="N131" s="227">
        <f t="shared" si="8"/>
        <v>178819.42236201029</v>
      </c>
      <c r="O131" s="152">
        <f t="shared" si="9"/>
        <v>551506.21636201057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2134</v>
      </c>
      <c r="I132" s="152"/>
      <c r="J132" s="157"/>
      <c r="K132" s="154"/>
      <c r="L132" s="227">
        <v>77210.172999999995</v>
      </c>
      <c r="M132" s="157" t="s">
        <v>2153</v>
      </c>
      <c r="N132" s="227">
        <f t="shared" si="8"/>
        <v>101609.24936201029</v>
      </c>
      <c r="O132" s="152">
        <f t="shared" si="9"/>
        <v>474296.04336201056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2134</v>
      </c>
      <c r="I133" s="152"/>
      <c r="J133" s="157"/>
      <c r="K133" s="154"/>
      <c r="L133" s="227">
        <v>76322.263000000006</v>
      </c>
      <c r="M133" s="157" t="s">
        <v>2153</v>
      </c>
      <c r="N133" s="227">
        <f t="shared" si="8"/>
        <v>25286.986362010284</v>
      </c>
      <c r="O133" s="152">
        <f t="shared" si="9"/>
        <v>397973.78036201058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2134</v>
      </c>
      <c r="I134" s="152"/>
      <c r="J134" s="157"/>
      <c r="K134" s="154"/>
      <c r="L134" s="227">
        <v>610</v>
      </c>
      <c r="M134" s="157" t="s">
        <v>2153</v>
      </c>
      <c r="N134" s="227">
        <f t="shared" si="8"/>
        <v>24676.986362010284</v>
      </c>
      <c r="O134" s="152">
        <f t="shared" si="9"/>
        <v>397363.78036201058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2134</v>
      </c>
      <c r="I135" s="152"/>
      <c r="J135" s="157"/>
      <c r="K135" s="154"/>
      <c r="L135" s="227">
        <v>6507</v>
      </c>
      <c r="M135" s="157" t="s">
        <v>2153</v>
      </c>
      <c r="N135" s="227">
        <f t="shared" si="8"/>
        <v>18169.986362010284</v>
      </c>
      <c r="O135" s="152">
        <f t="shared" si="9"/>
        <v>390856.78036201058</v>
      </c>
    </row>
    <row r="136" spans="1:15" x14ac:dyDescent="0.15">
      <c r="A136" s="154"/>
      <c r="B136" s="151"/>
      <c r="C136" s="152"/>
      <c r="D136" s="323" t="s">
        <v>2135</v>
      </c>
      <c r="E136" s="154" t="s">
        <v>72</v>
      </c>
      <c r="F136" s="157" t="s">
        <v>2155</v>
      </c>
      <c r="G136" s="152">
        <v>176268.166</v>
      </c>
      <c r="H136" s="323" t="s">
        <v>2135</v>
      </c>
      <c r="I136" s="152">
        <v>14184.843000000001</v>
      </c>
      <c r="J136" s="157" t="s">
        <v>2153</v>
      </c>
      <c r="K136" s="154"/>
      <c r="L136" s="227">
        <v>3985.1433620102835</v>
      </c>
      <c r="M136" s="157" t="s">
        <v>2153</v>
      </c>
      <c r="N136" s="227">
        <f t="shared" si="8"/>
        <v>0</v>
      </c>
      <c r="O136" s="152">
        <f t="shared" si="9"/>
        <v>548954.96000000031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2135</v>
      </c>
      <c r="I137" s="152"/>
      <c r="J137" s="157"/>
      <c r="K137" s="154"/>
      <c r="L137" s="227">
        <v>7720.3426379897201</v>
      </c>
      <c r="M137" s="157" t="s">
        <v>2148</v>
      </c>
      <c r="N137" s="316">
        <f>G119+N136-I137-L137</f>
        <v>12537.844362010281</v>
      </c>
      <c r="O137" s="152">
        <f t="shared" si="9"/>
        <v>541234.61736201064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2135</v>
      </c>
      <c r="I138" s="152"/>
      <c r="J138" s="157"/>
      <c r="K138" s="154"/>
      <c r="L138" s="227">
        <v>5565.1279999999997</v>
      </c>
      <c r="M138" s="157" t="s">
        <v>2148</v>
      </c>
      <c r="N138" s="227">
        <f t="shared" si="8"/>
        <v>6972.716362010281</v>
      </c>
      <c r="O138" s="152">
        <f t="shared" si="9"/>
        <v>535669.48936201062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2135</v>
      </c>
      <c r="I139" s="152"/>
      <c r="J139" s="157"/>
      <c r="K139" s="154"/>
      <c r="L139" s="227">
        <v>6972.716362010281</v>
      </c>
      <c r="M139" s="157" t="s">
        <v>2148</v>
      </c>
      <c r="N139" s="227">
        <f t="shared" si="8"/>
        <v>0</v>
      </c>
      <c r="O139" s="152">
        <f t="shared" si="9"/>
        <v>528696.77300000028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2135</v>
      </c>
      <c r="I140" s="152"/>
      <c r="J140" s="157"/>
      <c r="K140" s="154"/>
      <c r="L140" s="227">
        <v>8414.4026379897205</v>
      </c>
      <c r="M140" s="157" t="s">
        <v>2154</v>
      </c>
      <c r="N140" s="316">
        <f>G120+N139-I140-L140</f>
        <v>167782.37336201029</v>
      </c>
      <c r="O140" s="152">
        <f t="shared" si="9"/>
        <v>520282.37036201055</v>
      </c>
    </row>
    <row r="141" spans="1:15" x14ac:dyDescent="0.15">
      <c r="A141" s="154"/>
      <c r="B141" s="151"/>
      <c r="C141" s="152"/>
      <c r="D141" s="323" t="s">
        <v>2136</v>
      </c>
      <c r="E141" s="154" t="s">
        <v>72</v>
      </c>
      <c r="F141" s="157" t="s">
        <v>2156</v>
      </c>
      <c r="G141" s="152">
        <v>132213.97399999999</v>
      </c>
      <c r="H141" s="323" t="s">
        <v>2136</v>
      </c>
      <c r="I141" s="152">
        <v>10068.232</v>
      </c>
      <c r="J141" s="157" t="s">
        <v>2154</v>
      </c>
      <c r="K141" s="154"/>
      <c r="L141" s="227">
        <v>64030</v>
      </c>
      <c r="M141" s="157" t="s">
        <v>2154</v>
      </c>
      <c r="N141" s="227">
        <f t="shared" ref="N141:N204" si="10">+N140-I141-L141</f>
        <v>93684.141362010298</v>
      </c>
      <c r="O141" s="152">
        <f t="shared" ref="O141:O204" si="11">O140+G141-I141-L141</f>
        <v>578398.11236201052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2136</v>
      </c>
      <c r="I142" s="152"/>
      <c r="J142" s="157"/>
      <c r="K142" s="154"/>
      <c r="L142" s="227">
        <v>776</v>
      </c>
      <c r="M142" s="157" t="s">
        <v>2154</v>
      </c>
      <c r="N142" s="227">
        <f t="shared" si="10"/>
        <v>92908.141362010298</v>
      </c>
      <c r="O142" s="152">
        <f t="shared" si="11"/>
        <v>577622.11236201052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2136</v>
      </c>
      <c r="I143" s="152"/>
      <c r="J143" s="157"/>
      <c r="K143" s="154"/>
      <c r="L143" s="227">
        <v>9389</v>
      </c>
      <c r="M143" s="157" t="s">
        <v>2154</v>
      </c>
      <c r="N143" s="227">
        <f t="shared" si="10"/>
        <v>83519.141362010298</v>
      </c>
      <c r="O143" s="152">
        <f t="shared" si="11"/>
        <v>568233.11236201052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2136</v>
      </c>
      <c r="I144" s="152"/>
      <c r="J144" s="157"/>
      <c r="K144" s="154"/>
      <c r="L144" s="227">
        <v>41540</v>
      </c>
      <c r="M144" s="157" t="s">
        <v>2154</v>
      </c>
      <c r="N144" s="227">
        <f t="shared" si="10"/>
        <v>41979.141362010298</v>
      </c>
      <c r="O144" s="152">
        <f t="shared" si="11"/>
        <v>526693.11236201052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2136</v>
      </c>
      <c r="I145" s="152"/>
      <c r="J145" s="157"/>
      <c r="K145" s="154"/>
      <c r="L145" s="227">
        <v>6119</v>
      </c>
      <c r="M145" s="157" t="s">
        <v>2154</v>
      </c>
      <c r="N145" s="227">
        <f t="shared" si="10"/>
        <v>35860.141362010298</v>
      </c>
      <c r="O145" s="152">
        <f t="shared" si="11"/>
        <v>520574.11236201052</v>
      </c>
    </row>
    <row r="146" spans="1:15" x14ac:dyDescent="0.15">
      <c r="A146" s="154"/>
      <c r="B146" s="151"/>
      <c r="C146" s="152"/>
      <c r="D146" s="323" t="s">
        <v>2137</v>
      </c>
      <c r="E146" s="154" t="s">
        <v>72</v>
      </c>
      <c r="F146" s="157" t="s">
        <v>2156</v>
      </c>
      <c r="G146" s="152">
        <v>119719.92700000003</v>
      </c>
      <c r="H146" s="323" t="s">
        <v>2137</v>
      </c>
      <c r="I146" s="152">
        <v>15282.963</v>
      </c>
      <c r="J146" s="157" t="s">
        <v>2154</v>
      </c>
      <c r="K146" s="154"/>
      <c r="L146" s="227">
        <v>10925.321</v>
      </c>
      <c r="M146" s="157" t="s">
        <v>2154</v>
      </c>
      <c r="N146" s="227">
        <f t="shared" si="10"/>
        <v>9651.8573620102979</v>
      </c>
      <c r="O146" s="152">
        <f t="shared" si="11"/>
        <v>614085.75536201056</v>
      </c>
    </row>
    <row r="147" spans="1:15" x14ac:dyDescent="0.15">
      <c r="A147" s="154"/>
      <c r="B147" s="151"/>
      <c r="C147" s="152"/>
      <c r="D147" s="323" t="s">
        <v>2137</v>
      </c>
      <c r="E147" s="154" t="s">
        <v>72</v>
      </c>
      <c r="F147" s="157" t="s">
        <v>2157</v>
      </c>
      <c r="G147" s="152">
        <v>56517.62</v>
      </c>
      <c r="H147" s="323" t="s">
        <v>2137</v>
      </c>
      <c r="I147" s="152"/>
      <c r="J147" s="157"/>
      <c r="K147" s="154"/>
      <c r="L147" s="227">
        <v>9651.8573620102979</v>
      </c>
      <c r="M147" s="157" t="s">
        <v>2154</v>
      </c>
      <c r="N147" s="227">
        <f t="shared" si="10"/>
        <v>0</v>
      </c>
      <c r="O147" s="152">
        <f t="shared" si="11"/>
        <v>660951.51800000027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2137</v>
      </c>
      <c r="I148" s="152"/>
      <c r="J148" s="157"/>
      <c r="K148" s="154"/>
      <c r="L148" s="227">
        <v>58171.7596379897</v>
      </c>
      <c r="M148" s="157" t="s">
        <v>2155</v>
      </c>
      <c r="N148" s="316">
        <f>G130+G136+N147-I148-L148</f>
        <v>294328.23736201029</v>
      </c>
      <c r="O148" s="152">
        <f t="shared" si="11"/>
        <v>602779.75836201059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2137</v>
      </c>
      <c r="I149" s="152"/>
      <c r="J149" s="157"/>
      <c r="K149" s="154"/>
      <c r="L149" s="227">
        <v>83345.335999999996</v>
      </c>
      <c r="M149" s="157" t="s">
        <v>2155</v>
      </c>
      <c r="N149" s="227">
        <f t="shared" si="10"/>
        <v>210982.90136201028</v>
      </c>
      <c r="O149" s="152">
        <f t="shared" si="11"/>
        <v>519434.42236201058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2137</v>
      </c>
      <c r="I150" s="152"/>
      <c r="J150" s="157"/>
      <c r="K150" s="154"/>
      <c r="L150" s="227">
        <v>79562.186000000002</v>
      </c>
      <c r="M150" s="157" t="s">
        <v>2155</v>
      </c>
      <c r="N150" s="227">
        <f t="shared" si="10"/>
        <v>131420.71536201029</v>
      </c>
      <c r="O150" s="152">
        <f t="shared" si="11"/>
        <v>439872.23636201059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2137</v>
      </c>
      <c r="I151" s="152"/>
      <c r="J151" s="157"/>
      <c r="K151" s="154"/>
      <c r="L151" s="227">
        <v>4323.6850000000004</v>
      </c>
      <c r="M151" s="157" t="s">
        <v>2155</v>
      </c>
      <c r="N151" s="227">
        <f t="shared" si="10"/>
        <v>127097.03036201029</v>
      </c>
      <c r="O151" s="152">
        <f t="shared" si="11"/>
        <v>435548.55136201059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2137</v>
      </c>
      <c r="I152" s="152"/>
      <c r="J152" s="157"/>
      <c r="K152" s="154"/>
      <c r="L152" s="227">
        <v>13766.812</v>
      </c>
      <c r="M152" s="157" t="s">
        <v>2155</v>
      </c>
      <c r="N152" s="227">
        <f t="shared" si="10"/>
        <v>113330.21836201029</v>
      </c>
      <c r="O152" s="152">
        <f t="shared" si="11"/>
        <v>421781.73936201062</v>
      </c>
    </row>
    <row r="153" spans="1:15" x14ac:dyDescent="0.15">
      <c r="A153" s="154"/>
      <c r="B153" s="151"/>
      <c r="C153" s="152"/>
      <c r="D153" s="323" t="s">
        <v>2138</v>
      </c>
      <c r="E153" s="154" t="s">
        <v>72</v>
      </c>
      <c r="F153" s="157" t="s">
        <v>2157</v>
      </c>
      <c r="G153" s="152">
        <v>176329.897</v>
      </c>
      <c r="H153" s="323" t="s">
        <v>2138</v>
      </c>
      <c r="I153" s="152">
        <v>14632.989000000001</v>
      </c>
      <c r="J153" s="157" t="s">
        <v>2155</v>
      </c>
      <c r="K153" s="154"/>
      <c r="L153" s="227">
        <v>14482.371999999999</v>
      </c>
      <c r="M153" s="157" t="s">
        <v>2155</v>
      </c>
      <c r="N153" s="227">
        <f t="shared" si="10"/>
        <v>84214.857362010283</v>
      </c>
      <c r="O153" s="152">
        <f t="shared" si="11"/>
        <v>568996.27536201058</v>
      </c>
    </row>
    <row r="154" spans="1:15" x14ac:dyDescent="0.15">
      <c r="A154" s="154"/>
      <c r="B154" s="151"/>
      <c r="C154" s="152"/>
      <c r="D154" s="323" t="s">
        <v>2138</v>
      </c>
      <c r="E154" s="154" t="s">
        <v>72</v>
      </c>
      <c r="F154" s="157" t="s">
        <v>2158</v>
      </c>
      <c r="G154" s="152">
        <v>88171.293999999994</v>
      </c>
      <c r="H154" s="323" t="s">
        <v>2138</v>
      </c>
      <c r="I154" s="152"/>
      <c r="J154" s="157"/>
      <c r="K154" s="154"/>
      <c r="L154" s="227">
        <v>10521.964</v>
      </c>
      <c r="M154" s="157" t="s">
        <v>2155</v>
      </c>
      <c r="N154" s="227">
        <f t="shared" si="10"/>
        <v>73692.893362010276</v>
      </c>
      <c r="O154" s="152">
        <f t="shared" si="11"/>
        <v>646645.60536201054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2138</v>
      </c>
      <c r="I155" s="152"/>
      <c r="J155" s="157"/>
      <c r="K155" s="154"/>
      <c r="L155" s="227">
        <v>14868.582</v>
      </c>
      <c r="M155" s="157" t="s">
        <v>2155</v>
      </c>
      <c r="N155" s="227">
        <f t="shared" si="10"/>
        <v>58824.311362010274</v>
      </c>
      <c r="O155" s="152">
        <f t="shared" si="11"/>
        <v>631777.02336201048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2138</v>
      </c>
      <c r="I156" s="152"/>
      <c r="J156" s="157"/>
      <c r="K156" s="154"/>
      <c r="L156" s="227">
        <v>34498.078999999998</v>
      </c>
      <c r="M156" s="157" t="s">
        <v>2155</v>
      </c>
      <c r="N156" s="227">
        <f t="shared" si="10"/>
        <v>24326.232362010276</v>
      </c>
      <c r="O156" s="152">
        <f t="shared" si="11"/>
        <v>597278.94436201046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2138</v>
      </c>
      <c r="I157" s="152"/>
      <c r="J157" s="157"/>
      <c r="K157" s="154"/>
      <c r="L157" s="227">
        <v>24326.232362010276</v>
      </c>
      <c r="M157" s="157" t="s">
        <v>2155</v>
      </c>
      <c r="N157" s="227">
        <f t="shared" si="10"/>
        <v>0</v>
      </c>
      <c r="O157" s="152">
        <f t="shared" si="11"/>
        <v>572952.71200000017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2138</v>
      </c>
      <c r="I158" s="152"/>
      <c r="J158" s="157"/>
      <c r="K158" s="154"/>
      <c r="L158" s="227">
        <v>67782.334637989698</v>
      </c>
      <c r="M158" s="157" t="s">
        <v>2156</v>
      </c>
      <c r="N158" s="316">
        <f>G141+G146+N157-I158-L158</f>
        <v>184151.56636201032</v>
      </c>
      <c r="O158" s="152">
        <f t="shared" si="11"/>
        <v>505170.37736201048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2138</v>
      </c>
      <c r="I159" s="152"/>
      <c r="J159" s="157"/>
      <c r="K159" s="154"/>
      <c r="L159" s="227">
        <v>78225.070999999996</v>
      </c>
      <c r="M159" s="157" t="s">
        <v>2156</v>
      </c>
      <c r="N159" s="227">
        <f t="shared" si="10"/>
        <v>105926.49536201032</v>
      </c>
      <c r="O159" s="152">
        <f t="shared" si="11"/>
        <v>426945.30636201048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2138</v>
      </c>
      <c r="I160" s="152"/>
      <c r="J160" s="157"/>
      <c r="K160" s="154"/>
      <c r="L160" s="227">
        <v>1681.8520000000001</v>
      </c>
      <c r="M160" s="157" t="s">
        <v>2156</v>
      </c>
      <c r="N160" s="227">
        <f t="shared" si="10"/>
        <v>104244.64336201032</v>
      </c>
      <c r="O160" s="152">
        <f t="shared" si="11"/>
        <v>425263.45436201047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2138</v>
      </c>
      <c r="I161" s="152"/>
      <c r="J161" s="157"/>
      <c r="K161" s="154"/>
      <c r="L161" s="227">
        <v>10072.102999999999</v>
      </c>
      <c r="M161" s="157" t="s">
        <v>2156</v>
      </c>
      <c r="N161" s="227">
        <f t="shared" si="10"/>
        <v>94172.540362010317</v>
      </c>
      <c r="O161" s="152">
        <f t="shared" si="11"/>
        <v>415191.35136201046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2138</v>
      </c>
      <c r="I162" s="152"/>
      <c r="J162" s="157"/>
      <c r="K162" s="154"/>
      <c r="L162" s="227">
        <v>5318.6949999999997</v>
      </c>
      <c r="M162" s="157" t="s">
        <v>2156</v>
      </c>
      <c r="N162" s="227">
        <f t="shared" si="10"/>
        <v>88853.845362010325</v>
      </c>
      <c r="O162" s="152">
        <f t="shared" si="11"/>
        <v>409872.65636201046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2138</v>
      </c>
      <c r="I163" s="152"/>
      <c r="J163" s="157"/>
      <c r="K163" s="154"/>
      <c r="L163" s="227">
        <v>32266.347000000002</v>
      </c>
      <c r="M163" s="157" t="s">
        <v>2156</v>
      </c>
      <c r="N163" s="227">
        <f t="shared" si="10"/>
        <v>56587.498362010323</v>
      </c>
      <c r="O163" s="152">
        <f t="shared" si="11"/>
        <v>377606.30936201045</v>
      </c>
    </row>
    <row r="164" spans="1:15" x14ac:dyDescent="0.15">
      <c r="A164" s="154"/>
      <c r="B164" s="151"/>
      <c r="C164" s="152"/>
      <c r="D164" s="323" t="s">
        <v>2139</v>
      </c>
      <c r="E164" s="154" t="s">
        <v>72</v>
      </c>
      <c r="F164" s="157" t="s">
        <v>2158</v>
      </c>
      <c r="G164" s="152">
        <v>176453.22</v>
      </c>
      <c r="H164" s="323" t="s">
        <v>2139</v>
      </c>
      <c r="I164" s="152">
        <v>13382.718000000001</v>
      </c>
      <c r="J164" s="157" t="s">
        <v>2156</v>
      </c>
      <c r="K164" s="154"/>
      <c r="L164" s="227">
        <v>11748.762000000001</v>
      </c>
      <c r="M164" s="157" t="s">
        <v>2156</v>
      </c>
      <c r="N164" s="227">
        <f t="shared" si="10"/>
        <v>31456.01836201032</v>
      </c>
      <c r="O164" s="152">
        <f t="shared" si="11"/>
        <v>528928.04936201044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2139</v>
      </c>
      <c r="I165" s="152"/>
      <c r="J165" s="157"/>
      <c r="K165" s="154"/>
      <c r="L165" s="227">
        <v>1556.473</v>
      </c>
      <c r="M165" s="157" t="s">
        <v>2156</v>
      </c>
      <c r="N165" s="227">
        <f t="shared" si="10"/>
        <v>29899.545362010322</v>
      </c>
      <c r="O165" s="152">
        <f t="shared" si="11"/>
        <v>527371.57636201044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2139</v>
      </c>
      <c r="I166" s="152"/>
      <c r="J166" s="157"/>
      <c r="K166" s="154"/>
      <c r="L166" s="227">
        <v>5939.8059999999996</v>
      </c>
      <c r="M166" s="157" t="s">
        <v>2156</v>
      </c>
      <c r="N166" s="227">
        <f t="shared" si="10"/>
        <v>23959.739362010321</v>
      </c>
      <c r="O166" s="152">
        <f t="shared" si="11"/>
        <v>521431.77036201046</v>
      </c>
    </row>
    <row r="167" spans="1:15" x14ac:dyDescent="0.15">
      <c r="A167" s="154"/>
      <c r="B167" s="151"/>
      <c r="C167" s="152"/>
      <c r="D167" s="323" t="s">
        <v>2140</v>
      </c>
      <c r="E167" s="154" t="s">
        <v>72</v>
      </c>
      <c r="F167" s="157" t="s">
        <v>2158</v>
      </c>
      <c r="G167" s="152">
        <v>132303.66699999999</v>
      </c>
      <c r="H167" s="323" t="s">
        <v>2140</v>
      </c>
      <c r="I167" s="152">
        <v>23959.739362010321</v>
      </c>
      <c r="J167" s="157" t="s">
        <v>2156</v>
      </c>
      <c r="K167" s="154"/>
      <c r="L167" s="227"/>
      <c r="M167" s="157"/>
      <c r="N167" s="227">
        <f t="shared" si="10"/>
        <v>0</v>
      </c>
      <c r="O167" s="152">
        <f t="shared" si="11"/>
        <v>629775.69800000021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2140</v>
      </c>
      <c r="I168" s="152">
        <v>2003.17963798968</v>
      </c>
      <c r="J168" s="157" t="s">
        <v>2157</v>
      </c>
      <c r="K168" s="154"/>
      <c r="L168" s="227">
        <v>12267.587</v>
      </c>
      <c r="M168" s="157" t="s">
        <v>2157</v>
      </c>
      <c r="N168" s="316">
        <f>G147+G153+N167-I168-L168</f>
        <v>218576.75036201032</v>
      </c>
      <c r="O168" s="152">
        <f t="shared" si="11"/>
        <v>615504.93136201054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2140</v>
      </c>
      <c r="I169" s="152"/>
      <c r="J169" s="157"/>
      <c r="K169" s="154"/>
      <c r="L169" s="227">
        <v>754.45100000000002</v>
      </c>
      <c r="M169" s="157" t="s">
        <v>2157</v>
      </c>
      <c r="N169" s="227">
        <f t="shared" si="10"/>
        <v>217822.29936201032</v>
      </c>
      <c r="O169" s="152">
        <f t="shared" si="11"/>
        <v>614750.48036201054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2140</v>
      </c>
      <c r="I170" s="152"/>
      <c r="J170" s="157"/>
      <c r="K170" s="154"/>
      <c r="L170" s="227">
        <v>2894.5650000000001</v>
      </c>
      <c r="M170" s="157" t="s">
        <v>2157</v>
      </c>
      <c r="N170" s="227">
        <f t="shared" si="10"/>
        <v>214927.73436201032</v>
      </c>
      <c r="O170" s="152">
        <f t="shared" si="11"/>
        <v>611855.91536201059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2140</v>
      </c>
      <c r="I171" s="152"/>
      <c r="J171" s="157"/>
      <c r="K171" s="154"/>
      <c r="L171" s="227">
        <v>71922.284</v>
      </c>
      <c r="M171" s="157" t="s">
        <v>2157</v>
      </c>
      <c r="N171" s="227">
        <f t="shared" si="10"/>
        <v>143005.45036201034</v>
      </c>
      <c r="O171" s="152">
        <f t="shared" si="11"/>
        <v>539933.63136201061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2140</v>
      </c>
      <c r="I172" s="152"/>
      <c r="J172" s="157"/>
      <c r="K172" s="154"/>
      <c r="L172" s="227">
        <v>9401.0750000000007</v>
      </c>
      <c r="M172" s="157" t="s">
        <v>2157</v>
      </c>
      <c r="N172" s="227">
        <f t="shared" si="10"/>
        <v>133604.37536201032</v>
      </c>
      <c r="O172" s="152">
        <f t="shared" si="11"/>
        <v>530532.55636201065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2140</v>
      </c>
      <c r="I173" s="152"/>
      <c r="J173" s="157"/>
      <c r="K173" s="154"/>
      <c r="L173" s="227">
        <v>6631.7510000000002</v>
      </c>
      <c r="M173" s="157" t="s">
        <v>2157</v>
      </c>
      <c r="N173" s="227">
        <f t="shared" si="10"/>
        <v>126972.62436201032</v>
      </c>
      <c r="O173" s="152">
        <f t="shared" si="11"/>
        <v>523900.80536201067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2140</v>
      </c>
      <c r="I174" s="152"/>
      <c r="J174" s="157"/>
      <c r="K174" s="154"/>
      <c r="L174" s="227">
        <v>14590.052</v>
      </c>
      <c r="M174" s="157" t="s">
        <v>2157</v>
      </c>
      <c r="N174" s="227">
        <f t="shared" si="10"/>
        <v>112382.57236201032</v>
      </c>
      <c r="O174" s="152">
        <f t="shared" si="11"/>
        <v>509310.75336201064</v>
      </c>
    </row>
    <row r="175" spans="1:15" x14ac:dyDescent="0.15">
      <c r="A175" s="154"/>
      <c r="B175" s="151"/>
      <c r="C175" s="152"/>
      <c r="D175" s="323" t="s">
        <v>2141</v>
      </c>
      <c r="E175" s="154" t="s">
        <v>72</v>
      </c>
      <c r="F175" s="157" t="s">
        <v>2159</v>
      </c>
      <c r="G175" s="152">
        <v>176243.99299999999</v>
      </c>
      <c r="H175" s="323" t="s">
        <v>2141</v>
      </c>
      <c r="I175" s="152">
        <v>20011.881999999998</v>
      </c>
      <c r="J175" s="157" t="s">
        <v>2157</v>
      </c>
      <c r="K175" s="154"/>
      <c r="L175" s="227">
        <v>12029.197</v>
      </c>
      <c r="M175" s="157" t="s">
        <v>2157</v>
      </c>
      <c r="N175" s="227">
        <f t="shared" si="10"/>
        <v>80341.493362010326</v>
      </c>
      <c r="O175" s="152">
        <f t="shared" si="11"/>
        <v>653513.66736201057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2141</v>
      </c>
      <c r="I176" s="152"/>
      <c r="J176" s="157"/>
      <c r="K176" s="154"/>
      <c r="L176" s="227">
        <v>8841.4599999999991</v>
      </c>
      <c r="M176" s="157" t="s">
        <v>2157</v>
      </c>
      <c r="N176" s="227">
        <f t="shared" si="10"/>
        <v>71500.033362010319</v>
      </c>
      <c r="O176" s="152">
        <f t="shared" si="11"/>
        <v>644672.20736201061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2141</v>
      </c>
      <c r="I177" s="152"/>
      <c r="J177" s="157"/>
      <c r="K177" s="154"/>
      <c r="L177" s="227">
        <v>63093.139000000003</v>
      </c>
      <c r="M177" s="157" t="s">
        <v>2157</v>
      </c>
      <c r="N177" s="227">
        <f t="shared" si="10"/>
        <v>8406.8943620103164</v>
      </c>
      <c r="O177" s="152">
        <f t="shared" si="11"/>
        <v>581579.06836201064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2141</v>
      </c>
      <c r="I178" s="152"/>
      <c r="J178" s="157"/>
      <c r="K178" s="154"/>
      <c r="L178" s="227">
        <v>8406.8943620103164</v>
      </c>
      <c r="M178" s="157" t="s">
        <v>2157</v>
      </c>
      <c r="N178" s="227">
        <f t="shared" si="10"/>
        <v>0</v>
      </c>
      <c r="O178" s="152">
        <f t="shared" si="11"/>
        <v>573172.17400000035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2141</v>
      </c>
      <c r="I179" s="152"/>
      <c r="J179" s="157"/>
      <c r="K179" s="154"/>
      <c r="L179" s="227">
        <v>23841.378637989699</v>
      </c>
      <c r="M179" s="157" t="s">
        <v>2158</v>
      </c>
      <c r="N179" s="316">
        <f>G154+G164+G167+N178-I179-L179</f>
        <v>373086.80236201029</v>
      </c>
      <c r="O179" s="152">
        <f t="shared" si="11"/>
        <v>549330.7953620106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2141</v>
      </c>
      <c r="I180" s="152"/>
      <c r="J180" s="157"/>
      <c r="K180" s="154"/>
      <c r="L180" s="227">
        <v>74843.659</v>
      </c>
      <c r="M180" s="157" t="s">
        <v>2158</v>
      </c>
      <c r="N180" s="227">
        <f t="shared" si="10"/>
        <v>298243.14336201031</v>
      </c>
      <c r="O180" s="152">
        <f t="shared" si="11"/>
        <v>474487.13636201061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2141</v>
      </c>
      <c r="I181" s="152"/>
      <c r="J181" s="157"/>
      <c r="K181" s="154"/>
      <c r="L181" s="227">
        <v>69989.877999999997</v>
      </c>
      <c r="M181" s="157" t="s">
        <v>2158</v>
      </c>
      <c r="N181" s="227">
        <f t="shared" si="10"/>
        <v>228253.26536201031</v>
      </c>
      <c r="O181" s="152">
        <f t="shared" si="11"/>
        <v>404497.25836201059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2141</v>
      </c>
      <c r="I182" s="152"/>
      <c r="J182" s="157"/>
      <c r="K182" s="154"/>
      <c r="L182" s="227">
        <v>6096.875</v>
      </c>
      <c r="M182" s="157" t="s">
        <v>2158</v>
      </c>
      <c r="N182" s="227">
        <f t="shared" si="10"/>
        <v>222156.39036201031</v>
      </c>
      <c r="O182" s="152">
        <f t="shared" si="11"/>
        <v>398400.38336201059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2141</v>
      </c>
      <c r="I183" s="152"/>
      <c r="J183" s="157"/>
      <c r="K183" s="154"/>
      <c r="L183" s="227">
        <v>2672.328</v>
      </c>
      <c r="M183" s="157" t="s">
        <v>2158</v>
      </c>
      <c r="N183" s="227">
        <f t="shared" si="10"/>
        <v>219484.0623620103</v>
      </c>
      <c r="O183" s="152">
        <f t="shared" si="11"/>
        <v>395728.05536201061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2141</v>
      </c>
      <c r="I184" s="152"/>
      <c r="J184" s="157"/>
      <c r="K184" s="154"/>
      <c r="L184" s="227">
        <v>56040.764000000003</v>
      </c>
      <c r="M184" s="157" t="s">
        <v>2158</v>
      </c>
      <c r="N184" s="227">
        <f t="shared" si="10"/>
        <v>163443.2983620103</v>
      </c>
      <c r="O184" s="152">
        <f t="shared" ref="O184:O197" si="12">O183+G184-I184-L184</f>
        <v>339687.29136201058</v>
      </c>
    </row>
    <row r="185" spans="1:15" x14ac:dyDescent="0.15">
      <c r="A185" s="154"/>
      <c r="B185" s="151"/>
      <c r="C185" s="152"/>
      <c r="D185" s="323" t="s">
        <v>2142</v>
      </c>
      <c r="E185" s="154" t="s">
        <v>72</v>
      </c>
      <c r="F185" s="157" t="s">
        <v>2160</v>
      </c>
      <c r="G185" s="152">
        <v>176324.38699999999</v>
      </c>
      <c r="H185" s="323" t="s">
        <v>2142</v>
      </c>
      <c r="I185" s="152">
        <v>14885.524000000001</v>
      </c>
      <c r="J185" s="157" t="s">
        <v>2158</v>
      </c>
      <c r="K185" s="154"/>
      <c r="L185" s="227">
        <v>11312.885</v>
      </c>
      <c r="M185" s="157" t="s">
        <v>2158</v>
      </c>
      <c r="N185" s="227">
        <f t="shared" si="10"/>
        <v>137244.88936201029</v>
      </c>
      <c r="O185" s="152">
        <f t="shared" si="12"/>
        <v>489813.26936201059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2142</v>
      </c>
      <c r="I186" s="152"/>
      <c r="J186" s="157"/>
      <c r="K186" s="154"/>
      <c r="L186" s="227">
        <v>32052.901999999998</v>
      </c>
      <c r="M186" s="157" t="s">
        <v>2158</v>
      </c>
      <c r="N186" s="227">
        <f t="shared" si="10"/>
        <v>105191.98736201029</v>
      </c>
      <c r="O186" s="152">
        <f t="shared" si="12"/>
        <v>457760.36736201058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2142</v>
      </c>
      <c r="I187" s="152"/>
      <c r="J187" s="157"/>
      <c r="K187" s="154"/>
      <c r="L187" s="227">
        <v>61770.021999999997</v>
      </c>
      <c r="M187" s="157" t="s">
        <v>2158</v>
      </c>
      <c r="N187" s="227">
        <f t="shared" si="10"/>
        <v>43421.965362010291</v>
      </c>
      <c r="O187" s="152">
        <f t="shared" si="12"/>
        <v>395990.34536201059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2142</v>
      </c>
      <c r="I188" s="152"/>
      <c r="J188" s="157"/>
      <c r="K188" s="154"/>
      <c r="L188" s="227">
        <v>13981.64</v>
      </c>
      <c r="M188" s="157" t="s">
        <v>2158</v>
      </c>
      <c r="N188" s="227">
        <f t="shared" si="10"/>
        <v>29440.325362010291</v>
      </c>
      <c r="O188" s="152">
        <f t="shared" si="12"/>
        <v>382008.70536201057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2142</v>
      </c>
      <c r="I189" s="152"/>
      <c r="J189" s="157"/>
      <c r="K189" s="154"/>
      <c r="L189" s="227">
        <v>651.05399999999997</v>
      </c>
      <c r="M189" s="157" t="s">
        <v>2158</v>
      </c>
      <c r="N189" s="227">
        <f t="shared" si="10"/>
        <v>28789.271362010291</v>
      </c>
      <c r="O189" s="152">
        <f t="shared" si="12"/>
        <v>381357.65136201057</v>
      </c>
    </row>
    <row r="190" spans="1:15" x14ac:dyDescent="0.15">
      <c r="A190" s="154"/>
      <c r="B190" s="151"/>
      <c r="C190" s="152"/>
      <c r="D190" s="323" t="s">
        <v>2143</v>
      </c>
      <c r="E190" s="154" t="s">
        <v>72</v>
      </c>
      <c r="F190" s="157" t="s">
        <v>2161</v>
      </c>
      <c r="G190" s="152">
        <v>132182.12400000001</v>
      </c>
      <c r="H190" s="323" t="s">
        <v>2143</v>
      </c>
      <c r="I190" s="152">
        <v>19616.438999999998</v>
      </c>
      <c r="J190" s="157" t="s">
        <v>2158</v>
      </c>
      <c r="K190" s="154"/>
      <c r="L190" s="227">
        <v>9172.8323620102929</v>
      </c>
      <c r="M190" s="157" t="s">
        <v>2158</v>
      </c>
      <c r="N190" s="227">
        <f t="shared" si="10"/>
        <v>0</v>
      </c>
      <c r="O190" s="152">
        <f t="shared" si="12"/>
        <v>484750.50400000025</v>
      </c>
    </row>
    <row r="191" spans="1:15" x14ac:dyDescent="0.15">
      <c r="A191" s="154"/>
      <c r="B191" s="151"/>
      <c r="C191" s="152"/>
      <c r="D191" s="323" t="s">
        <v>2143</v>
      </c>
      <c r="E191" s="154" t="s">
        <v>72</v>
      </c>
      <c r="F191" s="157" t="s">
        <v>2162</v>
      </c>
      <c r="G191" s="152">
        <v>44042.894</v>
      </c>
      <c r="H191" s="323" t="s">
        <v>2143</v>
      </c>
      <c r="I191" s="152"/>
      <c r="J191" s="157"/>
      <c r="K191" s="154"/>
      <c r="L191" s="227">
        <v>5780.5266379897103</v>
      </c>
      <c r="M191" s="157" t="s">
        <v>2159</v>
      </c>
      <c r="N191" s="316">
        <f>G175+N190-I191-L191</f>
        <v>170463.46636201028</v>
      </c>
      <c r="O191" s="152">
        <f t="shared" si="12"/>
        <v>523012.87136201054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2143</v>
      </c>
      <c r="I192" s="152"/>
      <c r="J192" s="157"/>
      <c r="K192" s="154"/>
      <c r="L192" s="227">
        <v>13399.333000000001</v>
      </c>
      <c r="M192" s="157" t="s">
        <v>2159</v>
      </c>
      <c r="N192" s="227">
        <f t="shared" ref="N192:N197" si="13">+N191-I192-L192</f>
        <v>157064.13336201027</v>
      </c>
      <c r="O192" s="152">
        <f t="shared" si="12"/>
        <v>509613.53836201056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2143</v>
      </c>
      <c r="I193" s="152"/>
      <c r="J193" s="157"/>
      <c r="K193" s="154"/>
      <c r="L193" s="227">
        <v>10226.071</v>
      </c>
      <c r="M193" s="157" t="s">
        <v>2159</v>
      </c>
      <c r="N193" s="227">
        <f t="shared" si="13"/>
        <v>146838.06236201027</v>
      </c>
      <c r="O193" s="152">
        <f t="shared" si="12"/>
        <v>499387.46736201056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2143</v>
      </c>
      <c r="I194" s="152"/>
      <c r="J194" s="157"/>
      <c r="K194" s="154"/>
      <c r="L194" s="227">
        <v>2510.1179999999999</v>
      </c>
      <c r="M194" s="157" t="s">
        <v>2159</v>
      </c>
      <c r="N194" s="227">
        <f t="shared" si="13"/>
        <v>144327.94436201028</v>
      </c>
      <c r="O194" s="152">
        <f t="shared" si="12"/>
        <v>496877.34936201054</v>
      </c>
    </row>
    <row r="195" spans="1:15" x14ac:dyDescent="0.15">
      <c r="A195" s="154"/>
      <c r="B195" s="151"/>
      <c r="C195" s="152"/>
      <c r="D195" s="323" t="s">
        <v>2144</v>
      </c>
      <c r="E195" s="154" t="s">
        <v>72</v>
      </c>
      <c r="F195" s="157" t="s">
        <v>2162</v>
      </c>
      <c r="G195" s="152">
        <v>176226.87</v>
      </c>
      <c r="H195" s="323" t="s">
        <v>2144</v>
      </c>
      <c r="I195" s="152">
        <v>12494.835999999999</v>
      </c>
      <c r="J195" s="157" t="s">
        <v>2159</v>
      </c>
      <c r="K195" s="154"/>
      <c r="L195" s="227">
        <v>11980.495999999999</v>
      </c>
      <c r="M195" s="157" t="s">
        <v>2159</v>
      </c>
      <c r="N195" s="227">
        <f t="shared" si="13"/>
        <v>119852.61236201027</v>
      </c>
      <c r="O195" s="152">
        <f t="shared" si="12"/>
        <v>648628.88736201043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2144</v>
      </c>
      <c r="I196" s="152"/>
      <c r="J196" s="157"/>
      <c r="K196" s="154"/>
      <c r="L196" s="227">
        <v>12913.95</v>
      </c>
      <c r="M196" s="157" t="s">
        <v>2159</v>
      </c>
      <c r="N196" s="227">
        <f t="shared" si="13"/>
        <v>106938.66236201028</v>
      </c>
      <c r="O196" s="152">
        <f t="shared" si="12"/>
        <v>635714.93736201047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2144</v>
      </c>
      <c r="I197" s="152"/>
      <c r="J197" s="157"/>
      <c r="K197" s="154"/>
      <c r="L197" s="227">
        <v>87859.976999999999</v>
      </c>
      <c r="M197" s="157" t="s">
        <v>2159</v>
      </c>
      <c r="N197" s="227">
        <f t="shared" si="13"/>
        <v>19078.685362010277</v>
      </c>
      <c r="O197" s="152">
        <f t="shared" si="12"/>
        <v>547854.96036201052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2144</v>
      </c>
      <c r="I198" s="152"/>
      <c r="J198" s="157"/>
      <c r="K198" s="154"/>
      <c r="L198" s="227">
        <v>19078.685362010277</v>
      </c>
      <c r="M198" s="157" t="s">
        <v>2159</v>
      </c>
      <c r="N198" s="227">
        <f t="shared" si="10"/>
        <v>0</v>
      </c>
      <c r="O198" s="152">
        <f t="shared" si="11"/>
        <v>528776.27500000026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2144</v>
      </c>
      <c r="I199" s="152"/>
      <c r="J199" s="157"/>
      <c r="K199" s="154"/>
      <c r="L199" s="227">
        <v>58453.139637989698</v>
      </c>
      <c r="M199" s="157" t="s">
        <v>2160</v>
      </c>
      <c r="N199" s="316">
        <f>G185+N198-I199-L199</f>
        <v>117871.2473620103</v>
      </c>
      <c r="O199" s="152">
        <f t="shared" si="11"/>
        <v>470323.13536201057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2144</v>
      </c>
      <c r="I200" s="152"/>
      <c r="J200" s="157"/>
      <c r="K200" s="154"/>
      <c r="L200" s="227">
        <v>45870.59</v>
      </c>
      <c r="M200" s="157" t="s">
        <v>2160</v>
      </c>
      <c r="N200" s="227">
        <f t="shared" si="10"/>
        <v>72000.657362010301</v>
      </c>
      <c r="O200" s="152">
        <f t="shared" si="11"/>
        <v>424452.5453620106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2144</v>
      </c>
      <c r="I201" s="152"/>
      <c r="J201" s="157"/>
      <c r="K201" s="154"/>
      <c r="L201" s="227">
        <v>441.67099999999999</v>
      </c>
      <c r="M201" s="157" t="s">
        <v>2160</v>
      </c>
      <c r="N201" s="227">
        <f t="shared" si="10"/>
        <v>71558.986362010299</v>
      </c>
      <c r="O201" s="152">
        <f t="shared" si="11"/>
        <v>424010.87436201063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2144</v>
      </c>
      <c r="I202" s="152"/>
      <c r="J202" s="157"/>
      <c r="K202" s="154"/>
      <c r="L202" s="227">
        <v>488.74200000000002</v>
      </c>
      <c r="M202" s="157" t="s">
        <v>2160</v>
      </c>
      <c r="N202" s="227">
        <f t="shared" si="10"/>
        <v>71070.2443620103</v>
      </c>
      <c r="O202" s="152">
        <f t="shared" si="11"/>
        <v>423522.1323620106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2144</v>
      </c>
      <c r="I203" s="152"/>
      <c r="J203" s="157"/>
      <c r="K203" s="154"/>
      <c r="L203" s="227">
        <v>16174.554</v>
      </c>
      <c r="M203" s="157" t="s">
        <v>2160</v>
      </c>
      <c r="N203" s="227">
        <f t="shared" si="10"/>
        <v>54895.690362010297</v>
      </c>
      <c r="O203" s="152">
        <f t="shared" si="11"/>
        <v>407347.57836201059</v>
      </c>
    </row>
    <row r="204" spans="1:15" hidden="1" x14ac:dyDescent="0.15">
      <c r="A204" s="154"/>
      <c r="B204" s="151"/>
      <c r="C204" s="152"/>
      <c r="D204" s="323"/>
      <c r="E204" s="154"/>
      <c r="F204" s="157"/>
      <c r="G204" s="152"/>
      <c r="H204" s="323"/>
      <c r="I204" s="152"/>
      <c r="J204" s="157"/>
      <c r="K204" s="154"/>
      <c r="L204" s="227"/>
      <c r="M204" s="157"/>
      <c r="N204" s="227">
        <f t="shared" si="10"/>
        <v>54895.690362010297</v>
      </c>
      <c r="O204" s="152">
        <f t="shared" si="11"/>
        <v>407347.57836201059</v>
      </c>
    </row>
    <row r="205" spans="1:15" hidden="1" x14ac:dyDescent="0.15">
      <c r="A205" s="154"/>
      <c r="B205" s="151"/>
      <c r="C205" s="152"/>
      <c r="D205" s="323"/>
      <c r="E205" s="154"/>
      <c r="F205" s="157"/>
      <c r="G205" s="152"/>
      <c r="H205" s="323"/>
      <c r="I205" s="152"/>
      <c r="J205" s="157"/>
      <c r="K205" s="154"/>
      <c r="L205" s="227"/>
      <c r="M205" s="157"/>
      <c r="N205" s="227">
        <f t="shared" ref="N205:N215" si="14">+N204-I205-L205</f>
        <v>54895.690362010297</v>
      </c>
      <c r="O205" s="152">
        <f t="shared" ref="O205:O215" si="15">O204+G205-I205-L205</f>
        <v>407347.57836201059</v>
      </c>
    </row>
    <row r="206" spans="1:15" hidden="1" x14ac:dyDescent="0.15">
      <c r="A206" s="154"/>
      <c r="B206" s="151"/>
      <c r="C206" s="152"/>
      <c r="D206" s="323"/>
      <c r="E206" s="154"/>
      <c r="F206" s="157"/>
      <c r="G206" s="152"/>
      <c r="H206" s="323"/>
      <c r="I206" s="152"/>
      <c r="J206" s="157"/>
      <c r="K206" s="154"/>
      <c r="L206" s="227"/>
      <c r="M206" s="157"/>
      <c r="N206" s="227">
        <f t="shared" si="14"/>
        <v>54895.690362010297</v>
      </c>
      <c r="O206" s="152">
        <f t="shared" si="15"/>
        <v>407347.57836201059</v>
      </c>
    </row>
    <row r="207" spans="1:15" hidden="1" x14ac:dyDescent="0.15">
      <c r="A207" s="154"/>
      <c r="B207" s="151"/>
      <c r="C207" s="152"/>
      <c r="D207" s="323"/>
      <c r="E207" s="154"/>
      <c r="F207" s="157"/>
      <c r="G207" s="152"/>
      <c r="H207" s="323"/>
      <c r="I207" s="152"/>
      <c r="J207" s="157"/>
      <c r="K207" s="154"/>
      <c r="L207" s="227"/>
      <c r="M207" s="157"/>
      <c r="N207" s="227">
        <f t="shared" si="14"/>
        <v>54895.690362010297</v>
      </c>
      <c r="O207" s="152">
        <f t="shared" si="15"/>
        <v>407347.57836201059</v>
      </c>
    </row>
    <row r="208" spans="1:15" hidden="1" x14ac:dyDescent="0.15">
      <c r="A208" s="154"/>
      <c r="B208" s="151"/>
      <c r="C208" s="152"/>
      <c r="D208" s="323"/>
      <c r="E208" s="155"/>
      <c r="F208" s="157"/>
      <c r="G208" s="152"/>
      <c r="H208" s="323"/>
      <c r="I208" s="152"/>
      <c r="J208" s="157"/>
      <c r="K208" s="154"/>
      <c r="L208" s="227"/>
      <c r="M208" s="157"/>
      <c r="N208" s="227">
        <f t="shared" si="14"/>
        <v>54895.690362010297</v>
      </c>
      <c r="O208" s="152">
        <f t="shared" si="15"/>
        <v>407347.57836201059</v>
      </c>
    </row>
    <row r="209" spans="1:15" hidden="1" x14ac:dyDescent="0.15">
      <c r="A209" s="154"/>
      <c r="B209" s="151"/>
      <c r="C209" s="152"/>
      <c r="D209" s="323"/>
      <c r="E209" s="154"/>
      <c r="F209" s="157"/>
      <c r="G209" s="152"/>
      <c r="H209" s="323"/>
      <c r="I209" s="152"/>
      <c r="J209" s="157"/>
      <c r="K209" s="154"/>
      <c r="L209" s="227"/>
      <c r="M209" s="157"/>
      <c r="N209" s="227">
        <f t="shared" si="14"/>
        <v>54895.690362010297</v>
      </c>
      <c r="O209" s="152">
        <f t="shared" si="15"/>
        <v>407347.57836201059</v>
      </c>
    </row>
    <row r="210" spans="1:15" hidden="1" x14ac:dyDescent="0.15">
      <c r="A210" s="154"/>
      <c r="B210" s="151"/>
      <c r="C210" s="152"/>
      <c r="D210" s="323"/>
      <c r="E210" s="154"/>
      <c r="F210" s="157"/>
      <c r="G210" s="152"/>
      <c r="H210" s="323"/>
      <c r="I210" s="152"/>
      <c r="J210" s="154"/>
      <c r="K210" s="154"/>
      <c r="L210" s="227"/>
      <c r="M210" s="157"/>
      <c r="N210" s="227">
        <f t="shared" si="14"/>
        <v>54895.690362010297</v>
      </c>
      <c r="O210" s="152">
        <f t="shared" si="15"/>
        <v>407347.57836201059</v>
      </c>
    </row>
    <row r="211" spans="1:15" hidden="1" x14ac:dyDescent="0.15">
      <c r="A211" s="154"/>
      <c r="B211" s="151"/>
      <c r="C211" s="151"/>
      <c r="D211" s="323"/>
      <c r="E211" s="154"/>
      <c r="F211" s="157"/>
      <c r="G211" s="152"/>
      <c r="H211" s="323"/>
      <c r="I211" s="152"/>
      <c r="J211" s="154"/>
      <c r="K211" s="154"/>
      <c r="L211" s="227"/>
      <c r="M211" s="157"/>
      <c r="N211" s="227">
        <f t="shared" si="14"/>
        <v>54895.690362010297</v>
      </c>
      <c r="O211" s="152">
        <f t="shared" si="15"/>
        <v>407347.57836201059</v>
      </c>
    </row>
    <row r="212" spans="1:15" hidden="1" x14ac:dyDescent="0.15">
      <c r="A212" s="154"/>
      <c r="B212" s="151"/>
      <c r="C212" s="151"/>
      <c r="D212" s="323"/>
      <c r="E212" s="155"/>
      <c r="F212" s="157"/>
      <c r="G212" s="152"/>
      <c r="H212" s="323"/>
      <c r="I212" s="152"/>
      <c r="J212" s="154"/>
      <c r="K212" s="154"/>
      <c r="L212" s="227"/>
      <c r="M212" s="157"/>
      <c r="N212" s="227">
        <f t="shared" si="14"/>
        <v>54895.690362010297</v>
      </c>
      <c r="O212" s="152">
        <f t="shared" si="15"/>
        <v>407347.57836201059</v>
      </c>
    </row>
    <row r="213" spans="1:15" hidden="1" x14ac:dyDescent="0.15">
      <c r="A213" s="154"/>
      <c r="B213" s="151"/>
      <c r="C213" s="151"/>
      <c r="D213" s="323"/>
      <c r="E213" s="154"/>
      <c r="F213" s="160"/>
      <c r="G213" s="152"/>
      <c r="H213" s="323"/>
      <c r="I213" s="152"/>
      <c r="J213" s="157"/>
      <c r="K213" s="154"/>
      <c r="L213" s="227"/>
      <c r="M213" s="157"/>
      <c r="N213" s="227">
        <f t="shared" si="14"/>
        <v>54895.690362010297</v>
      </c>
      <c r="O213" s="152">
        <f t="shared" si="15"/>
        <v>407347.57836201059</v>
      </c>
    </row>
    <row r="214" spans="1:15" hidden="1" x14ac:dyDescent="0.15">
      <c r="A214" s="154"/>
      <c r="B214" s="151"/>
      <c r="C214" s="151"/>
      <c r="D214" s="323"/>
      <c r="E214" s="154"/>
      <c r="F214" s="160"/>
      <c r="G214" s="152"/>
      <c r="H214" s="323"/>
      <c r="I214" s="152"/>
      <c r="J214" s="150"/>
      <c r="K214" s="154"/>
      <c r="L214" s="227"/>
      <c r="M214" s="157"/>
      <c r="N214" s="227">
        <f t="shared" si="14"/>
        <v>54895.690362010297</v>
      </c>
      <c r="O214" s="152">
        <f t="shared" si="15"/>
        <v>407347.57836201059</v>
      </c>
    </row>
    <row r="215" spans="1:15" x14ac:dyDescent="0.15">
      <c r="A215" s="173"/>
      <c r="B215" s="173"/>
      <c r="C215" s="174"/>
      <c r="D215" s="323"/>
      <c r="E215" s="173"/>
      <c r="F215" s="173"/>
      <c r="G215" s="174"/>
      <c r="H215" s="323"/>
      <c r="I215" s="174"/>
      <c r="J215" s="173"/>
      <c r="K215" s="154"/>
      <c r="L215" s="228"/>
      <c r="M215" s="173"/>
      <c r="N215" s="227">
        <f t="shared" si="14"/>
        <v>54895.690362010297</v>
      </c>
      <c r="O215" s="152">
        <f t="shared" si="15"/>
        <v>407347.57836201059</v>
      </c>
    </row>
    <row r="216" spans="1:15" x14ac:dyDescent="0.15">
      <c r="A216" s="177"/>
      <c r="B216" s="177"/>
      <c r="C216" s="178">
        <f>SUM(C7:C214)</f>
        <v>528638.41236201057</v>
      </c>
      <c r="D216" s="177"/>
      <c r="E216" s="177"/>
      <c r="F216" s="177"/>
      <c r="G216" s="178">
        <f>SUM(G7:G215)</f>
        <v>4753527.4730000012</v>
      </c>
      <c r="H216" s="179"/>
      <c r="I216" s="178">
        <f>SUM(I7:I215)</f>
        <v>420891.86499999999</v>
      </c>
      <c r="J216" s="177"/>
      <c r="K216" s="177"/>
      <c r="L216" s="178">
        <f>SUM(L7:L215)</f>
        <v>4453926.4419999998</v>
      </c>
      <c r="M216" s="177"/>
      <c r="N216" s="180"/>
      <c r="O216" s="181">
        <f>C216+G216-I216-L216</f>
        <v>407347.57836201135</v>
      </c>
    </row>
    <row r="217" spans="1:15" x14ac:dyDescent="0.15">
      <c r="A217" s="182"/>
      <c r="B217" s="465"/>
      <c r="C217" s="465"/>
      <c r="D217" s="465"/>
      <c r="E217" s="183"/>
      <c r="F217" s="284"/>
      <c r="G217" s="185">
        <f>+G216-'[1]รับ 1214 new'!$D$172</f>
        <v>0</v>
      </c>
      <c r="H217" s="186"/>
      <c r="I217" s="187"/>
      <c r="J217" s="188"/>
      <c r="K217" s="189" t="s">
        <v>139</v>
      </c>
      <c r="L217" s="190">
        <f>+L216+I216</f>
        <v>4874818.307</v>
      </c>
      <c r="M217" s="197">
        <f>+L217-'กระบี่ 1214'!P322</f>
        <v>0</v>
      </c>
      <c r="N217" s="230">
        <f>+N215</f>
        <v>54895.690362010297</v>
      </c>
      <c r="O217" s="195" t="s">
        <v>2160</v>
      </c>
    </row>
    <row r="218" spans="1:15" x14ac:dyDescent="0.15">
      <c r="A218" s="133"/>
      <c r="B218" s="414"/>
      <c r="C218" s="414"/>
      <c r="D218" s="414"/>
      <c r="E218" s="183"/>
      <c r="F218" s="415"/>
      <c r="G218" s="219"/>
      <c r="H218" s="186"/>
      <c r="I218" s="187"/>
      <c r="J218" s="210"/>
      <c r="N218" s="230">
        <v>132182.12400000001</v>
      </c>
      <c r="O218" s="334" t="s">
        <v>2161</v>
      </c>
    </row>
    <row r="219" spans="1:15" x14ac:dyDescent="0.15">
      <c r="A219" s="188" t="s">
        <v>2145</v>
      </c>
      <c r="B219" s="131" t="s">
        <v>2164</v>
      </c>
      <c r="E219" s="183" t="s">
        <v>55</v>
      </c>
      <c r="F219" s="416">
        <v>4945975.04</v>
      </c>
      <c r="G219" s="219" t="s">
        <v>56</v>
      </c>
      <c r="H219" s="186">
        <v>41982</v>
      </c>
      <c r="I219" s="187" t="s">
        <v>71</v>
      </c>
      <c r="J219" s="210">
        <v>252415.19799999995</v>
      </c>
      <c r="N219" s="230">
        <v>220269.764</v>
      </c>
      <c r="O219" s="334" t="s">
        <v>2162</v>
      </c>
    </row>
    <row r="220" spans="1:15" x14ac:dyDescent="0.15">
      <c r="A220" s="188" t="s">
        <v>2149</v>
      </c>
      <c r="B220" s="131" t="s">
        <v>2165</v>
      </c>
      <c r="E220" s="183" t="s">
        <v>55</v>
      </c>
      <c r="F220" s="416">
        <v>24122720.52</v>
      </c>
      <c r="G220" s="219" t="s">
        <v>56</v>
      </c>
      <c r="H220" s="186">
        <v>41989</v>
      </c>
      <c r="I220" s="187" t="s">
        <v>71</v>
      </c>
      <c r="J220" s="210">
        <v>144902.66563798947</v>
      </c>
      <c r="K220" s="297"/>
      <c r="N220" s="230"/>
      <c r="O220" s="195"/>
    </row>
    <row r="221" spans="1:15" x14ac:dyDescent="0.15">
      <c r="A221" s="381" t="s">
        <v>2151</v>
      </c>
      <c r="B221" s="131" t="s">
        <v>2166</v>
      </c>
      <c r="E221" s="183" t="s">
        <v>55</v>
      </c>
      <c r="F221" s="416">
        <v>10298222.300000001</v>
      </c>
      <c r="G221" s="219" t="s">
        <v>56</v>
      </c>
      <c r="H221" s="186">
        <v>41990</v>
      </c>
      <c r="I221" s="187" t="s">
        <v>71</v>
      </c>
      <c r="J221" s="210">
        <v>172896.69699999996</v>
      </c>
      <c r="K221" s="333"/>
      <c r="N221" s="230"/>
      <c r="O221" s="195"/>
    </row>
    <row r="222" spans="1:15" x14ac:dyDescent="0.15">
      <c r="A222" s="193" t="s">
        <v>2152</v>
      </c>
      <c r="B222" s="131" t="s">
        <v>2167</v>
      </c>
      <c r="E222" s="183" t="s">
        <v>55</v>
      </c>
      <c r="F222" s="416">
        <v>7447683.4500000002</v>
      </c>
      <c r="G222" s="219" t="s">
        <v>56</v>
      </c>
      <c r="H222" s="186">
        <v>41995</v>
      </c>
      <c r="I222" s="187" t="s">
        <v>71</v>
      </c>
      <c r="J222" s="210">
        <v>660064.8806379895</v>
      </c>
      <c r="N222" s="230"/>
      <c r="O222" s="195"/>
    </row>
    <row r="223" spans="1:15" x14ac:dyDescent="0.15">
      <c r="A223" s="193" t="s">
        <v>2153</v>
      </c>
      <c r="B223" s="131" t="s">
        <v>2168</v>
      </c>
      <c r="E223" s="183" t="s">
        <v>55</v>
      </c>
      <c r="F223" s="416">
        <v>10465547.619999999</v>
      </c>
      <c r="G223" s="219" t="s">
        <v>56</v>
      </c>
      <c r="H223" s="186">
        <v>41997</v>
      </c>
      <c r="I223" s="187" t="s">
        <v>71</v>
      </c>
      <c r="J223" s="210">
        <v>258405.31336201052</v>
      </c>
      <c r="K223" s="333"/>
      <c r="N223" s="230"/>
      <c r="O223" s="195"/>
    </row>
    <row r="224" spans="1:15" x14ac:dyDescent="0.15">
      <c r="A224" s="193" t="s">
        <v>2155</v>
      </c>
      <c r="B224" s="131" t="s">
        <v>2169</v>
      </c>
      <c r="E224" s="183" t="s">
        <v>55</v>
      </c>
      <c r="F224" s="416">
        <v>8325103.2400000002</v>
      </c>
      <c r="G224" s="219" t="s">
        <v>56</v>
      </c>
      <c r="H224" s="186">
        <v>41999</v>
      </c>
      <c r="I224" s="187" t="s">
        <v>71</v>
      </c>
      <c r="J224" s="210">
        <v>337867.00799999997</v>
      </c>
      <c r="N224" s="206" t="s">
        <v>33</v>
      </c>
      <c r="O224" s="207">
        <f>SUM(N217:N223)</f>
        <v>407347.5783620103</v>
      </c>
    </row>
    <row r="225" spans="1:15" x14ac:dyDescent="0.15">
      <c r="A225" s="193" t="s">
        <v>2157</v>
      </c>
      <c r="B225" s="131" t="s">
        <v>2170</v>
      </c>
      <c r="E225" s="183" t="s">
        <v>55</v>
      </c>
      <c r="F225" s="416">
        <v>44483717.009999998</v>
      </c>
      <c r="G225" s="219" t="s">
        <v>56</v>
      </c>
      <c r="H225" s="186">
        <v>42003</v>
      </c>
      <c r="I225" s="187" t="s">
        <v>71</v>
      </c>
      <c r="J225" s="210">
        <v>210832.45536201043</v>
      </c>
      <c r="K225" s="193"/>
      <c r="O225" s="190">
        <f>+O216-O224</f>
        <v>1.0477378964424133E-9</v>
      </c>
    </row>
    <row r="226" spans="1:15" s="132" customFormat="1" x14ac:dyDescent="0.15">
      <c r="A226" s="188" t="s">
        <v>2158</v>
      </c>
      <c r="B226" s="131" t="s">
        <v>2171</v>
      </c>
      <c r="D226" s="133"/>
      <c r="E226" s="183" t="s">
        <v>55</v>
      </c>
      <c r="F226" s="416">
        <v>38553706.149999999</v>
      </c>
      <c r="G226" s="219" t="s">
        <v>56</v>
      </c>
      <c r="H226" s="186">
        <v>42010</v>
      </c>
      <c r="I226" s="187" t="s">
        <v>71</v>
      </c>
      <c r="J226" s="210">
        <v>362426.21800000005</v>
      </c>
      <c r="K226" s="193"/>
      <c r="M226" s="134"/>
    </row>
    <row r="227" spans="1:15" s="132" customFormat="1" ht="12" thickBot="1" x14ac:dyDescent="0.2">
      <c r="A227" s="133"/>
      <c r="B227" s="414"/>
      <c r="C227" s="414"/>
      <c r="D227" s="414"/>
      <c r="E227" s="183"/>
      <c r="F227" s="415"/>
      <c r="G227" s="219"/>
      <c r="H227" s="186"/>
      <c r="I227" s="217" t="s">
        <v>856</v>
      </c>
      <c r="J227" s="211">
        <f>SUM(J219:J226)</f>
        <v>2399810.4359999998</v>
      </c>
      <c r="K227" s="193"/>
      <c r="M227" s="134"/>
    </row>
    <row r="228" spans="1:15" s="132" customFormat="1" ht="12" thickTop="1" x14ac:dyDescent="0.15">
      <c r="A228" s="193" t="s">
        <v>2148</v>
      </c>
      <c r="B228" s="131" t="s">
        <v>2172</v>
      </c>
      <c r="D228" s="133"/>
      <c r="E228" s="183" t="s">
        <v>55</v>
      </c>
      <c r="F228" s="416">
        <v>69973064.819999993</v>
      </c>
      <c r="G228" s="219" t="s">
        <v>56</v>
      </c>
      <c r="H228" s="186">
        <v>41691</v>
      </c>
      <c r="I228" s="187" t="s">
        <v>71</v>
      </c>
      <c r="J228" s="210">
        <v>108155.85500000001</v>
      </c>
      <c r="K228" s="333"/>
      <c r="M228" s="134"/>
    </row>
    <row r="229" spans="1:15" s="132" customFormat="1" x14ac:dyDescent="0.15">
      <c r="A229" s="185" t="s">
        <v>2154</v>
      </c>
      <c r="B229" s="131" t="s">
        <v>2173</v>
      </c>
      <c r="D229" s="133"/>
      <c r="E229" s="183" t="s">
        <v>55</v>
      </c>
      <c r="F229" s="416">
        <v>43197737.100000001</v>
      </c>
      <c r="G229" s="219" t="s">
        <v>56</v>
      </c>
      <c r="H229" s="186">
        <v>41939</v>
      </c>
      <c r="I229" s="187" t="s">
        <v>71</v>
      </c>
      <c r="J229" s="210">
        <v>150845.58100000001</v>
      </c>
      <c r="K229" s="133"/>
      <c r="M229" s="134"/>
    </row>
    <row r="230" spans="1:15" s="132" customFormat="1" x14ac:dyDescent="0.15">
      <c r="A230" s="193" t="s">
        <v>2092</v>
      </c>
      <c r="B230" s="131" t="s">
        <v>2174</v>
      </c>
      <c r="D230" s="133"/>
      <c r="E230" s="183" t="s">
        <v>55</v>
      </c>
      <c r="F230" s="416">
        <v>48988159.060000002</v>
      </c>
      <c r="G230" s="219" t="s">
        <v>56</v>
      </c>
      <c r="H230" s="186">
        <v>41977</v>
      </c>
      <c r="I230" s="187" t="s">
        <v>71</v>
      </c>
      <c r="J230" s="210">
        <v>327854.32499999995</v>
      </c>
      <c r="K230" s="193"/>
      <c r="M230" s="134"/>
    </row>
    <row r="231" spans="1:15" s="132" customFormat="1" x14ac:dyDescent="0.15">
      <c r="A231" s="193" t="s">
        <v>2163</v>
      </c>
      <c r="B231" s="131" t="s">
        <v>2175</v>
      </c>
      <c r="D231" s="133"/>
      <c r="E231" s="183" t="s">
        <v>55</v>
      </c>
      <c r="F231" s="416">
        <v>31863738.84</v>
      </c>
      <c r="G231" s="219" t="s">
        <v>56</v>
      </c>
      <c r="H231" s="186">
        <v>41981</v>
      </c>
      <c r="I231" s="187" t="s">
        <v>71</v>
      </c>
      <c r="J231" s="210">
        <v>33914.680999999982</v>
      </c>
      <c r="K231" s="193"/>
      <c r="M231" s="134"/>
    </row>
    <row r="232" spans="1:15" s="132" customFormat="1" x14ac:dyDescent="0.15">
      <c r="A232" s="185" t="s">
        <v>2091</v>
      </c>
      <c r="B232" s="131" t="s">
        <v>2176</v>
      </c>
      <c r="D232" s="133"/>
      <c r="E232" s="183" t="s">
        <v>55</v>
      </c>
      <c r="F232" s="416">
        <v>42726814.25</v>
      </c>
      <c r="G232" s="219" t="s">
        <v>56</v>
      </c>
      <c r="H232" s="186">
        <v>41981</v>
      </c>
      <c r="I232" s="187" t="s">
        <v>71</v>
      </c>
      <c r="J232" s="210">
        <v>98979.25536201059</v>
      </c>
      <c r="K232" s="193"/>
      <c r="M232" s="134"/>
    </row>
    <row r="233" spans="1:15" s="132" customFormat="1" x14ac:dyDescent="0.15">
      <c r="A233" s="133" t="s">
        <v>2146</v>
      </c>
      <c r="B233" s="131" t="s">
        <v>2177</v>
      </c>
      <c r="D233" s="133"/>
      <c r="E233" s="183" t="s">
        <v>55</v>
      </c>
      <c r="F233" s="416">
        <v>67539400.170000002</v>
      </c>
      <c r="G233" s="219" t="s">
        <v>56</v>
      </c>
      <c r="H233" s="186">
        <v>41982</v>
      </c>
      <c r="I233" s="187" t="s">
        <v>71</v>
      </c>
      <c r="J233" s="210">
        <v>273840.80899999995</v>
      </c>
      <c r="K233" s="193"/>
      <c r="M233" s="134"/>
    </row>
    <row r="234" spans="1:15" s="132" customFormat="1" x14ac:dyDescent="0.15">
      <c r="A234" s="193" t="s">
        <v>2147</v>
      </c>
      <c r="B234" s="131" t="s">
        <v>2178</v>
      </c>
      <c r="D234" s="133"/>
      <c r="E234" s="183" t="s">
        <v>55</v>
      </c>
      <c r="F234" s="416">
        <v>90386396.439999998</v>
      </c>
      <c r="G234" s="219" t="s">
        <v>56</v>
      </c>
      <c r="H234" s="186">
        <v>41984</v>
      </c>
      <c r="I234" s="187" t="s">
        <v>71</v>
      </c>
      <c r="J234" s="210">
        <v>252214.497</v>
      </c>
      <c r="K234" s="193"/>
      <c r="M234" s="134"/>
    </row>
    <row r="235" spans="1:15" s="132" customFormat="1" x14ac:dyDescent="0.15">
      <c r="A235" s="193" t="s">
        <v>2150</v>
      </c>
      <c r="B235" s="131" t="s">
        <v>2179</v>
      </c>
      <c r="D235" s="133"/>
      <c r="E235" s="183" t="s">
        <v>55</v>
      </c>
      <c r="F235" s="416">
        <v>44501041.960000001</v>
      </c>
      <c r="G235" s="219" t="s">
        <v>56</v>
      </c>
      <c r="H235" s="186">
        <v>41988</v>
      </c>
      <c r="I235" s="187" t="s">
        <v>71</v>
      </c>
      <c r="J235" s="210">
        <v>308541.70536201046</v>
      </c>
      <c r="K235" s="193"/>
      <c r="M235" s="134"/>
    </row>
    <row r="236" spans="1:15" s="132" customFormat="1" x14ac:dyDescent="0.15">
      <c r="A236" s="193" t="s">
        <v>2156</v>
      </c>
      <c r="B236" s="131" t="s">
        <v>2180</v>
      </c>
      <c r="D236" s="133"/>
      <c r="E236" s="183" t="s">
        <v>55</v>
      </c>
      <c r="F236" s="416">
        <v>65704785.549999997</v>
      </c>
      <c r="G236" s="219" t="s">
        <v>56</v>
      </c>
      <c r="H236" s="186">
        <v>42002</v>
      </c>
      <c r="I236" s="187" t="s">
        <v>71</v>
      </c>
      <c r="J236" s="210">
        <v>214591.44363798961</v>
      </c>
      <c r="K236" s="193"/>
      <c r="M236" s="134"/>
    </row>
    <row r="237" spans="1:15" s="132" customFormat="1" x14ac:dyDescent="0.15">
      <c r="A237" s="193" t="s">
        <v>2159</v>
      </c>
      <c r="B237" s="131" t="s">
        <v>2260</v>
      </c>
      <c r="D237" s="133"/>
      <c r="E237" s="183" t="s">
        <v>55</v>
      </c>
      <c r="F237" s="416">
        <v>60763200.409999996</v>
      </c>
      <c r="G237" s="219" t="s">
        <v>56</v>
      </c>
      <c r="H237" s="186">
        <v>42009</v>
      </c>
      <c r="I237" s="187" t="s">
        <v>71</v>
      </c>
      <c r="J237" s="210">
        <v>163749.15699999995</v>
      </c>
      <c r="K237" s="193"/>
      <c r="M237" s="134"/>
    </row>
    <row r="238" spans="1:15" s="132" customFormat="1" x14ac:dyDescent="0.15">
      <c r="A238" s="193" t="s">
        <v>2160</v>
      </c>
      <c r="B238" s="131" t="s">
        <v>2249</v>
      </c>
      <c r="D238" s="133"/>
      <c r="E238" s="183" t="s">
        <v>55</v>
      </c>
      <c r="F238" s="416">
        <v>72963708.900000006</v>
      </c>
      <c r="G238" s="219" t="s">
        <v>56</v>
      </c>
      <c r="H238" s="186">
        <v>42009</v>
      </c>
      <c r="I238" s="187" t="s">
        <v>71</v>
      </c>
      <c r="J238" s="210">
        <v>121428.6966379896</v>
      </c>
      <c r="K238" s="133"/>
      <c r="M238" s="134"/>
    </row>
    <row r="239" spans="1:15" s="133" customFormat="1" ht="12" thickBot="1" x14ac:dyDescent="0.2">
      <c r="B239" s="414"/>
      <c r="C239" s="414"/>
      <c r="D239" s="414"/>
      <c r="E239" s="183"/>
      <c r="F239" s="415"/>
      <c r="G239" s="219"/>
      <c r="H239" s="186"/>
      <c r="I239" s="217" t="s">
        <v>106</v>
      </c>
      <c r="J239" s="211">
        <f>SUM(J228:J238)</f>
        <v>2054116.0060000001</v>
      </c>
      <c r="L239" s="132"/>
      <c r="M239" s="134"/>
      <c r="N239" s="132"/>
      <c r="O239" s="132"/>
    </row>
    <row r="240" spans="1:15" s="133" customFormat="1" ht="12" thickTop="1" x14ac:dyDescent="0.15">
      <c r="B240" s="414"/>
      <c r="C240" s="414"/>
      <c r="D240" s="414"/>
      <c r="E240" s="183"/>
      <c r="F240" s="415"/>
      <c r="G240" s="219"/>
      <c r="H240" s="186"/>
      <c r="I240" s="187"/>
      <c r="J240" s="210"/>
      <c r="L240" s="132"/>
      <c r="M240" s="134"/>
      <c r="N240" s="132"/>
      <c r="O240" s="132"/>
    </row>
    <row r="241" spans="1:15" s="133" customFormat="1" x14ac:dyDescent="0.15">
      <c r="B241" s="414"/>
      <c r="C241" s="414"/>
      <c r="D241" s="414"/>
      <c r="E241" s="183"/>
      <c r="F241" s="415"/>
      <c r="G241" s="219"/>
      <c r="H241" s="186"/>
      <c r="I241" s="187"/>
      <c r="J241" s="210"/>
      <c r="L241" s="132"/>
      <c r="M241" s="134"/>
      <c r="N241" s="132"/>
      <c r="O241" s="132"/>
    </row>
    <row r="242" spans="1:15" s="133" customFormat="1" x14ac:dyDescent="0.15">
      <c r="B242" s="133" t="s">
        <v>9</v>
      </c>
      <c r="C242" s="220" t="s">
        <v>729</v>
      </c>
      <c r="D242" s="220" t="s">
        <v>850</v>
      </c>
      <c r="E242" s="133" t="s">
        <v>570</v>
      </c>
      <c r="F242" s="133" t="s">
        <v>571</v>
      </c>
      <c r="G242" s="133" t="s">
        <v>16</v>
      </c>
      <c r="H242" s="134"/>
      <c r="I242" s="132"/>
      <c r="J242" s="205"/>
      <c r="L242" s="132"/>
      <c r="M242" s="134"/>
      <c r="N242" s="132"/>
      <c r="O242" s="132"/>
    </row>
    <row r="243" spans="1:15" s="133" customFormat="1" x14ac:dyDescent="0.15">
      <c r="A243" s="188" t="s">
        <v>2145</v>
      </c>
      <c r="B243" s="210">
        <v>252415</v>
      </c>
      <c r="C243" s="221">
        <v>0.2</v>
      </c>
      <c r="D243" s="237"/>
      <c r="E243" s="235">
        <f>+B243*C243</f>
        <v>50483</v>
      </c>
      <c r="F243" s="235">
        <f t="shared" ref="F243:F250" si="16">+E243*0.1</f>
        <v>5048.3</v>
      </c>
      <c r="G243" s="236">
        <f t="shared" ref="G243:G250" si="17">SUM(E243:F243)</f>
        <v>55531.3</v>
      </c>
      <c r="H243" s="134"/>
      <c r="I243" s="132"/>
      <c r="J243" s="205"/>
      <c r="L243" s="132"/>
      <c r="M243" s="134"/>
      <c r="N243" s="132"/>
      <c r="O243" s="132"/>
    </row>
    <row r="244" spans="1:15" s="133" customFormat="1" x14ac:dyDescent="0.15">
      <c r="A244" s="188" t="s">
        <v>2149</v>
      </c>
      <c r="B244" s="210">
        <v>144903</v>
      </c>
      <c r="C244" s="221">
        <v>0.2</v>
      </c>
      <c r="D244" s="237"/>
      <c r="E244" s="235">
        <f t="shared" ref="E244:E250" si="18">+B244*C244</f>
        <v>28980.600000000002</v>
      </c>
      <c r="F244" s="235">
        <f t="shared" si="16"/>
        <v>2898.0600000000004</v>
      </c>
      <c r="G244" s="236">
        <f t="shared" si="17"/>
        <v>31878.660000000003</v>
      </c>
      <c r="I244" s="132"/>
      <c r="J244" s="205"/>
      <c r="L244" s="132"/>
      <c r="M244" s="134"/>
      <c r="N244" s="132"/>
      <c r="O244" s="132"/>
    </row>
    <row r="245" spans="1:15" s="133" customFormat="1" x14ac:dyDescent="0.15">
      <c r="A245" s="381" t="s">
        <v>2151</v>
      </c>
      <c r="B245" s="210">
        <v>172897</v>
      </c>
      <c r="C245" s="221">
        <v>0.2</v>
      </c>
      <c r="D245" s="237"/>
      <c r="E245" s="235">
        <f t="shared" si="18"/>
        <v>34579.4</v>
      </c>
      <c r="F245" s="235">
        <f t="shared" si="16"/>
        <v>3457.9400000000005</v>
      </c>
      <c r="G245" s="236">
        <f t="shared" si="17"/>
        <v>38037.340000000004</v>
      </c>
      <c r="I245" s="132"/>
      <c r="J245" s="205"/>
      <c r="L245" s="132"/>
      <c r="M245" s="134"/>
      <c r="N245" s="132"/>
      <c r="O245" s="132"/>
    </row>
    <row r="246" spans="1:15" s="133" customFormat="1" x14ac:dyDescent="0.15">
      <c r="A246" s="193" t="s">
        <v>2152</v>
      </c>
      <c r="B246" s="210">
        <v>660065</v>
      </c>
      <c r="C246" s="221">
        <v>0.2</v>
      </c>
      <c r="D246" s="237"/>
      <c r="E246" s="235">
        <f t="shared" si="18"/>
        <v>132013</v>
      </c>
      <c r="F246" s="235">
        <f t="shared" si="16"/>
        <v>13201.300000000001</v>
      </c>
      <c r="G246" s="236">
        <f t="shared" si="17"/>
        <v>145214.29999999999</v>
      </c>
      <c r="H246" s="134"/>
      <c r="I246" s="132"/>
      <c r="J246" s="205"/>
      <c r="L246" s="132"/>
      <c r="M246" s="134"/>
      <c r="N246" s="132"/>
      <c r="O246" s="132"/>
    </row>
    <row r="247" spans="1:15" s="132" customFormat="1" x14ac:dyDescent="0.15">
      <c r="A247" s="193" t="s">
        <v>2153</v>
      </c>
      <c r="B247" s="210">
        <v>258405</v>
      </c>
      <c r="C247" s="221">
        <v>0.2</v>
      </c>
      <c r="D247" s="237"/>
      <c r="E247" s="235">
        <f t="shared" si="18"/>
        <v>51681</v>
      </c>
      <c r="F247" s="235">
        <f t="shared" si="16"/>
        <v>5168.1000000000004</v>
      </c>
      <c r="G247" s="236">
        <f t="shared" si="17"/>
        <v>56849.1</v>
      </c>
      <c r="H247" s="186"/>
      <c r="J247" s="205"/>
      <c r="K247" s="133"/>
      <c r="M247" s="134"/>
    </row>
    <row r="248" spans="1:15" s="132" customFormat="1" x14ac:dyDescent="0.15">
      <c r="A248" s="193" t="s">
        <v>2155</v>
      </c>
      <c r="B248" s="210">
        <v>337867</v>
      </c>
      <c r="C248" s="221">
        <v>0.2</v>
      </c>
      <c r="D248" s="237"/>
      <c r="E248" s="235">
        <f t="shared" si="18"/>
        <v>67573.400000000009</v>
      </c>
      <c r="F248" s="235">
        <f t="shared" si="16"/>
        <v>6757.3400000000011</v>
      </c>
      <c r="G248" s="236">
        <f t="shared" si="17"/>
        <v>74330.740000000005</v>
      </c>
      <c r="H248" s="186"/>
      <c r="J248" s="134"/>
      <c r="K248" s="133"/>
      <c r="M248" s="134"/>
    </row>
    <row r="249" spans="1:15" s="132" customFormat="1" x14ac:dyDescent="0.15">
      <c r="A249" s="193" t="s">
        <v>2157</v>
      </c>
      <c r="B249" s="210">
        <v>210832</v>
      </c>
      <c r="C249" s="221">
        <v>0.2</v>
      </c>
      <c r="D249" s="237"/>
      <c r="E249" s="235">
        <f t="shared" si="18"/>
        <v>42166.400000000001</v>
      </c>
      <c r="F249" s="235">
        <f t="shared" si="16"/>
        <v>4216.6400000000003</v>
      </c>
      <c r="G249" s="236">
        <f t="shared" si="17"/>
        <v>46383.040000000001</v>
      </c>
      <c r="H249" s="186"/>
      <c r="J249" s="134"/>
      <c r="K249" s="133"/>
      <c r="M249" s="134"/>
    </row>
    <row r="250" spans="1:15" s="132" customFormat="1" x14ac:dyDescent="0.15">
      <c r="A250" s="188" t="s">
        <v>2158</v>
      </c>
      <c r="B250" s="210">
        <v>362426</v>
      </c>
      <c r="C250" s="221">
        <v>0.2</v>
      </c>
      <c r="D250" s="237"/>
      <c r="E250" s="235">
        <f t="shared" si="18"/>
        <v>72485.2</v>
      </c>
      <c r="F250" s="235">
        <f t="shared" si="16"/>
        <v>7248.52</v>
      </c>
      <c r="G250" s="236">
        <f t="shared" si="17"/>
        <v>79733.72</v>
      </c>
      <c r="H250" s="186"/>
      <c r="J250" s="134"/>
      <c r="K250" s="133"/>
      <c r="M250" s="134"/>
    </row>
    <row r="251" spans="1:15" s="132" customFormat="1" ht="12" thickBot="1" x14ac:dyDescent="0.2">
      <c r="A251" s="133"/>
      <c r="B251" s="211">
        <f>SUM(B243:B250)</f>
        <v>2399810</v>
      </c>
      <c r="C251" s="221"/>
      <c r="D251" s="237"/>
      <c r="E251" s="242">
        <f>SUM(E243:E250)</f>
        <v>479962.00000000006</v>
      </c>
      <c r="F251" s="242">
        <f t="shared" ref="F251:G251" si="19">SUM(F243:F250)</f>
        <v>47996.200000000012</v>
      </c>
      <c r="G251" s="242">
        <f t="shared" si="19"/>
        <v>527958.19999999995</v>
      </c>
      <c r="H251" s="186"/>
      <c r="J251" s="134"/>
      <c r="K251" s="133"/>
      <c r="M251" s="134"/>
    </row>
    <row r="252" spans="1:15" s="132" customFormat="1" ht="12" thickTop="1" x14ac:dyDescent="0.15">
      <c r="A252" s="193" t="s">
        <v>2148</v>
      </c>
      <c r="B252" s="210">
        <v>108156</v>
      </c>
      <c r="C252" s="221">
        <v>25.827999999999999</v>
      </c>
      <c r="D252" s="237">
        <f t="shared" ref="D252:D253" si="20">+B252*C252</f>
        <v>2793453.1680000001</v>
      </c>
      <c r="E252" s="235">
        <f t="shared" ref="E252:E253" si="21">+D252*0.01</f>
        <v>27934.53168</v>
      </c>
      <c r="F252" s="235">
        <f t="shared" ref="F252:F262" si="22">+E252*0.1</f>
        <v>2793.453168</v>
      </c>
      <c r="G252" s="236">
        <f t="shared" ref="G252:G262" si="23">SUM(E252:F252)</f>
        <v>30727.984848</v>
      </c>
      <c r="H252" s="186"/>
      <c r="J252" s="134"/>
      <c r="K252" s="133"/>
      <c r="M252" s="134"/>
    </row>
    <row r="253" spans="1:15" s="132" customFormat="1" x14ac:dyDescent="0.15">
      <c r="A253" s="185" t="s">
        <v>2154</v>
      </c>
      <c r="B253" s="210">
        <v>150846</v>
      </c>
      <c r="C253" s="221">
        <v>21.6053</v>
      </c>
      <c r="D253" s="237">
        <f t="shared" si="20"/>
        <v>3259073.0838000001</v>
      </c>
      <c r="E253" s="235">
        <f t="shared" si="21"/>
        <v>32590.730838000003</v>
      </c>
      <c r="F253" s="235">
        <f t="shared" si="22"/>
        <v>3259.0730838000004</v>
      </c>
      <c r="G253" s="236">
        <f t="shared" si="23"/>
        <v>35849.803921800005</v>
      </c>
      <c r="H253" s="186"/>
      <c r="J253" s="134"/>
      <c r="K253" s="133"/>
      <c r="M253" s="134"/>
    </row>
    <row r="254" spans="1:15" s="132" customFormat="1" x14ac:dyDescent="0.15">
      <c r="A254" s="193" t="s">
        <v>2092</v>
      </c>
      <c r="B254" s="210">
        <v>327854</v>
      </c>
      <c r="C254" s="221">
        <v>0.2</v>
      </c>
      <c r="D254" s="237"/>
      <c r="E254" s="235">
        <f>+B254*C254</f>
        <v>65570.8</v>
      </c>
      <c r="F254" s="235">
        <f t="shared" si="22"/>
        <v>6557.0800000000008</v>
      </c>
      <c r="G254" s="236">
        <f t="shared" si="23"/>
        <v>72127.88</v>
      </c>
      <c r="H254" s="186"/>
      <c r="J254" s="134"/>
      <c r="K254" s="133"/>
      <c r="M254" s="134"/>
    </row>
    <row r="255" spans="1:15" s="132" customFormat="1" x14ac:dyDescent="0.15">
      <c r="A255" s="193" t="s">
        <v>2163</v>
      </c>
      <c r="B255" s="210">
        <v>33915</v>
      </c>
      <c r="C255" s="221">
        <v>0.2</v>
      </c>
      <c r="D255" s="237"/>
      <c r="E255" s="235">
        <f t="shared" ref="E255:E262" si="24">+B255*C255</f>
        <v>6783</v>
      </c>
      <c r="F255" s="235">
        <f t="shared" si="22"/>
        <v>678.30000000000007</v>
      </c>
      <c r="G255" s="236">
        <f t="shared" si="23"/>
        <v>7461.3</v>
      </c>
      <c r="H255" s="186"/>
      <c r="J255" s="134"/>
      <c r="K255" s="133"/>
      <c r="M255" s="134"/>
    </row>
    <row r="256" spans="1:15" s="132" customFormat="1" x14ac:dyDescent="0.15">
      <c r="A256" s="185" t="s">
        <v>2091</v>
      </c>
      <c r="B256" s="210">
        <v>98979</v>
      </c>
      <c r="C256" s="221">
        <v>0.2</v>
      </c>
      <c r="D256" s="237"/>
      <c r="E256" s="235">
        <f t="shared" si="24"/>
        <v>19795.800000000003</v>
      </c>
      <c r="F256" s="235">
        <f t="shared" si="22"/>
        <v>1979.5800000000004</v>
      </c>
      <c r="G256" s="236">
        <f t="shared" si="23"/>
        <v>21775.380000000005</v>
      </c>
      <c r="H256" s="186"/>
      <c r="J256" s="134"/>
      <c r="K256" s="133"/>
      <c r="M256" s="134"/>
    </row>
    <row r="257" spans="1:13" s="132" customFormat="1" x14ac:dyDescent="0.15">
      <c r="A257" s="133" t="s">
        <v>2146</v>
      </c>
      <c r="B257" s="210">
        <v>273841</v>
      </c>
      <c r="C257" s="221">
        <v>0.2</v>
      </c>
      <c r="D257" s="237"/>
      <c r="E257" s="235">
        <f t="shared" si="24"/>
        <v>54768.200000000004</v>
      </c>
      <c r="F257" s="235">
        <f t="shared" si="22"/>
        <v>5476.8200000000006</v>
      </c>
      <c r="G257" s="236">
        <f t="shared" si="23"/>
        <v>60245.020000000004</v>
      </c>
      <c r="H257" s="186"/>
      <c r="J257" s="134"/>
      <c r="K257" s="133"/>
      <c r="M257" s="134"/>
    </row>
    <row r="258" spans="1:13" s="132" customFormat="1" x14ac:dyDescent="0.15">
      <c r="A258" s="193" t="s">
        <v>2147</v>
      </c>
      <c r="B258" s="210">
        <v>252214</v>
      </c>
      <c r="C258" s="221">
        <v>0.2</v>
      </c>
      <c r="D258" s="237"/>
      <c r="E258" s="235">
        <f t="shared" si="24"/>
        <v>50442.8</v>
      </c>
      <c r="F258" s="235">
        <f t="shared" si="22"/>
        <v>5044.2800000000007</v>
      </c>
      <c r="G258" s="236">
        <f t="shared" si="23"/>
        <v>55487.08</v>
      </c>
      <c r="H258" s="186"/>
      <c r="J258" s="134"/>
      <c r="K258" s="133"/>
      <c r="M258" s="134"/>
    </row>
    <row r="259" spans="1:13" s="132" customFormat="1" x14ac:dyDescent="0.15">
      <c r="A259" s="193" t="s">
        <v>2150</v>
      </c>
      <c r="B259" s="210">
        <v>308542</v>
      </c>
      <c r="C259" s="221">
        <v>0.2</v>
      </c>
      <c r="D259" s="237"/>
      <c r="E259" s="235">
        <f t="shared" si="24"/>
        <v>61708.4</v>
      </c>
      <c r="F259" s="235">
        <f t="shared" si="22"/>
        <v>6170.84</v>
      </c>
      <c r="G259" s="236">
        <f t="shared" si="23"/>
        <v>67879.240000000005</v>
      </c>
      <c r="H259" s="186"/>
      <c r="J259" s="134"/>
      <c r="K259" s="133"/>
      <c r="M259" s="134"/>
    </row>
    <row r="260" spans="1:13" s="132" customFormat="1" x14ac:dyDescent="0.15">
      <c r="A260" s="193" t="s">
        <v>2156</v>
      </c>
      <c r="B260" s="210">
        <v>214591</v>
      </c>
      <c r="C260" s="221">
        <v>0.2</v>
      </c>
      <c r="D260" s="237"/>
      <c r="E260" s="235">
        <f t="shared" si="24"/>
        <v>42918.200000000004</v>
      </c>
      <c r="F260" s="235">
        <f t="shared" si="22"/>
        <v>4291.8200000000006</v>
      </c>
      <c r="G260" s="236">
        <f t="shared" si="23"/>
        <v>47210.020000000004</v>
      </c>
      <c r="H260" s="186"/>
      <c r="J260" s="210"/>
      <c r="K260" s="133"/>
      <c r="M260" s="134"/>
    </row>
    <row r="261" spans="1:13" s="132" customFormat="1" x14ac:dyDescent="0.15">
      <c r="A261" s="193" t="s">
        <v>2159</v>
      </c>
      <c r="B261" s="210">
        <v>163749</v>
      </c>
      <c r="C261" s="221">
        <v>0.2</v>
      </c>
      <c r="D261" s="237"/>
      <c r="E261" s="235">
        <f t="shared" si="24"/>
        <v>32749.800000000003</v>
      </c>
      <c r="F261" s="235">
        <f t="shared" si="22"/>
        <v>3274.9800000000005</v>
      </c>
      <c r="G261" s="236">
        <f t="shared" si="23"/>
        <v>36024.780000000006</v>
      </c>
      <c r="H261" s="186"/>
      <c r="J261" s="134"/>
      <c r="K261" s="133"/>
      <c r="M261" s="134"/>
    </row>
    <row r="262" spans="1:13" s="132" customFormat="1" x14ac:dyDescent="0.15">
      <c r="A262" s="193" t="s">
        <v>2160</v>
      </c>
      <c r="B262" s="210">
        <v>121429</v>
      </c>
      <c r="C262" s="221">
        <v>0.2</v>
      </c>
      <c r="D262" s="237"/>
      <c r="E262" s="235">
        <f t="shared" si="24"/>
        <v>24285.800000000003</v>
      </c>
      <c r="F262" s="235">
        <f t="shared" si="22"/>
        <v>2428.5800000000004</v>
      </c>
      <c r="G262" s="236">
        <f t="shared" si="23"/>
        <v>26714.380000000005</v>
      </c>
      <c r="H262" s="186"/>
      <c r="J262" s="134"/>
      <c r="K262" s="133"/>
      <c r="M262" s="134"/>
    </row>
    <row r="263" spans="1:13" s="132" customFormat="1" ht="12" thickBot="1" x14ac:dyDescent="0.2">
      <c r="A263" s="133"/>
      <c r="B263" s="211">
        <f>SUM(B252:B262)</f>
        <v>2054116</v>
      </c>
      <c r="C263" s="221"/>
      <c r="D263" s="237"/>
      <c r="E263" s="242">
        <f>SUM(E252:E262)</f>
        <v>419548.06251800002</v>
      </c>
      <c r="F263" s="242">
        <f t="shared" ref="F263:G263" si="25">SUM(F252:F262)</f>
        <v>41954.806251800008</v>
      </c>
      <c r="G263" s="242">
        <f t="shared" si="25"/>
        <v>461502.86876980006</v>
      </c>
      <c r="H263" s="186"/>
      <c r="J263" s="134"/>
      <c r="K263" s="133"/>
      <c r="M263" s="134"/>
    </row>
    <row r="264" spans="1:13" s="132" customFormat="1" ht="12" thickTop="1" x14ac:dyDescent="0.15">
      <c r="A264" s="247"/>
      <c r="B264" s="190"/>
      <c r="C264" s="221"/>
      <c r="D264" s="222"/>
      <c r="E264" s="183"/>
      <c r="F264" s="416"/>
      <c r="G264" s="219"/>
      <c r="H264" s="133"/>
      <c r="J264" s="134"/>
      <c r="K264" s="133"/>
      <c r="M264" s="134"/>
    </row>
    <row r="265" spans="1:13" s="132" customFormat="1" x14ac:dyDescent="0.15">
      <c r="A265" s="247"/>
      <c r="B265" s="190"/>
      <c r="C265" s="221"/>
      <c r="D265" s="222"/>
      <c r="E265" s="183"/>
      <c r="F265" s="416"/>
      <c r="G265" s="219"/>
      <c r="H265" s="133"/>
      <c r="I265" s="187"/>
      <c r="J265" s="134"/>
      <c r="K265" s="133"/>
      <c r="M265" s="134"/>
    </row>
    <row r="266" spans="1:13" s="132" customFormat="1" x14ac:dyDescent="0.15">
      <c r="A266" s="193"/>
      <c r="B266" s="131"/>
      <c r="D266" s="133"/>
      <c r="E266" s="183"/>
      <c r="F266" s="416"/>
      <c r="G266" s="219"/>
      <c r="H266" s="133"/>
      <c r="J266" s="134"/>
      <c r="K266" s="133"/>
      <c r="M266" s="134"/>
    </row>
  </sheetData>
  <mergeCells count="7">
    <mergeCell ref="B217:D217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64"/>
  <sheetViews>
    <sheetView zoomScale="115" zoomScaleNormal="115" workbookViewId="0">
      <pane ySplit="6" topLeftCell="A216" activePane="bottomLeft" state="frozen"/>
      <selection pane="bottomLeft" activeCell="A235" sqref="A235:H236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2113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2090</v>
      </c>
      <c r="B7" s="146"/>
      <c r="C7" s="152">
        <v>1287.7133620106251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1287.7133620106251</v>
      </c>
      <c r="O7" s="147">
        <f>+C214</f>
        <v>528638.41236201057</v>
      </c>
    </row>
    <row r="8" spans="1:15" x14ac:dyDescent="0.15">
      <c r="A8" s="154" t="s">
        <v>2091</v>
      </c>
      <c r="B8" s="151"/>
      <c r="C8" s="152">
        <v>131858.92499999999</v>
      </c>
      <c r="D8" s="323"/>
      <c r="E8" s="154"/>
      <c r="F8" s="154"/>
      <c r="G8" s="152"/>
      <c r="H8" s="323"/>
      <c r="I8" s="152"/>
      <c r="J8" s="157"/>
      <c r="K8" s="156"/>
      <c r="L8" s="227"/>
      <c r="M8" s="157"/>
      <c r="N8" s="227">
        <f>+N7-I8-L8</f>
        <v>1287.7133620106251</v>
      </c>
      <c r="O8" s="152">
        <f t="shared" ref="O8:O9" si="0">O7+G8-I8-L8</f>
        <v>528638.41236201057</v>
      </c>
    </row>
    <row r="9" spans="1:15" x14ac:dyDescent="0.15">
      <c r="A9" s="157" t="s">
        <v>2092</v>
      </c>
      <c r="B9" s="151"/>
      <c r="C9" s="152">
        <v>351589.51500000001</v>
      </c>
      <c r="D9" s="323"/>
      <c r="E9" s="154"/>
      <c r="F9" s="157"/>
      <c r="G9" s="152"/>
      <c r="H9" s="323"/>
      <c r="I9" s="152"/>
      <c r="J9" s="157"/>
      <c r="K9" s="154"/>
      <c r="L9" s="227"/>
      <c r="M9" s="154"/>
      <c r="N9" s="227">
        <f t="shared" ref="N9" si="1">+N8-I9-L9</f>
        <v>1287.7133620106251</v>
      </c>
      <c r="O9" s="152">
        <f t="shared" si="0"/>
        <v>528638.41236201057</v>
      </c>
    </row>
    <row r="10" spans="1:15" x14ac:dyDescent="0.15">
      <c r="A10" s="154" t="s">
        <v>2163</v>
      </c>
      <c r="B10" s="151"/>
      <c r="C10" s="152">
        <v>43902.258999999998</v>
      </c>
      <c r="D10" s="323"/>
      <c r="E10" s="154"/>
      <c r="F10" s="157"/>
      <c r="G10" s="152"/>
      <c r="H10" s="323"/>
      <c r="I10" s="152"/>
      <c r="J10" s="157"/>
      <c r="K10" s="154"/>
      <c r="L10" s="227"/>
      <c r="M10" s="154"/>
      <c r="N10" s="227">
        <f t="shared" ref="N10:N17" si="2">+N9-I10-L10</f>
        <v>1287.7133620106251</v>
      </c>
      <c r="O10" s="152">
        <f t="shared" ref="O10:O17" si="3">O9+G10-I10-L10</f>
        <v>528638.41236201057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 t="s">
        <v>2114</v>
      </c>
      <c r="I11" s="152">
        <v>1287.7133620106251</v>
      </c>
      <c r="J11" s="157" t="s">
        <v>2090</v>
      </c>
      <c r="K11" s="154"/>
      <c r="L11" s="227"/>
      <c r="M11" s="154"/>
      <c r="N11" s="227">
        <f t="shared" si="2"/>
        <v>0</v>
      </c>
      <c r="O11" s="152">
        <f t="shared" si="3"/>
        <v>527350.69899999991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2114</v>
      </c>
      <c r="I12" s="152">
        <v>11066.621637989399</v>
      </c>
      <c r="J12" s="157" t="s">
        <v>2091</v>
      </c>
      <c r="K12" s="154">
        <v>5700363936</v>
      </c>
      <c r="L12" s="227">
        <v>11594.874</v>
      </c>
      <c r="M12" s="154" t="s">
        <v>2091</v>
      </c>
      <c r="N12" s="227">
        <f>C8+N11-I12-L12</f>
        <v>109197.42936201059</v>
      </c>
      <c r="O12" s="152">
        <f t="shared" si="3"/>
        <v>504689.20336201048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2114</v>
      </c>
      <c r="I13" s="152"/>
      <c r="J13" s="157"/>
      <c r="K13" s="154">
        <v>5700363936</v>
      </c>
      <c r="L13" s="227">
        <v>14820.508</v>
      </c>
      <c r="M13" s="154" t="s">
        <v>2091</v>
      </c>
      <c r="N13" s="227">
        <f t="shared" si="2"/>
        <v>94376.921362010587</v>
      </c>
      <c r="O13" s="152">
        <f t="shared" si="3"/>
        <v>489868.69536201051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2114</v>
      </c>
      <c r="I14" s="152"/>
      <c r="J14" s="157"/>
      <c r="K14" s="154">
        <v>5700363936</v>
      </c>
      <c r="L14" s="227">
        <v>6301.8050000000003</v>
      </c>
      <c r="M14" s="154" t="s">
        <v>2091</v>
      </c>
      <c r="N14" s="227">
        <f t="shared" si="2"/>
        <v>88075.116362010594</v>
      </c>
      <c r="O14" s="152">
        <f t="shared" si="3"/>
        <v>483566.89036201051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2114</v>
      </c>
      <c r="I15" s="152"/>
      <c r="J15" s="157"/>
      <c r="K15" s="154">
        <v>5700363936</v>
      </c>
      <c r="L15" s="227">
        <v>3903.0210000000002</v>
      </c>
      <c r="M15" s="154" t="s">
        <v>2091</v>
      </c>
      <c r="N15" s="227">
        <f t="shared" si="2"/>
        <v>84172.095362010601</v>
      </c>
      <c r="O15" s="152">
        <f t="shared" si="3"/>
        <v>479663.8693620105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2114</v>
      </c>
      <c r="I16" s="152"/>
      <c r="J16" s="157"/>
      <c r="K16" s="154">
        <v>5700363936</v>
      </c>
      <c r="L16" s="227">
        <v>15238.273999999999</v>
      </c>
      <c r="M16" s="154" t="s">
        <v>2091</v>
      </c>
      <c r="N16" s="227">
        <f t="shared" si="2"/>
        <v>68933.821362010596</v>
      </c>
      <c r="O16" s="152">
        <f t="shared" si="3"/>
        <v>464425.59536201053</v>
      </c>
    </row>
    <row r="17" spans="1:15" x14ac:dyDescent="0.15">
      <c r="A17" s="154"/>
      <c r="B17" s="151"/>
      <c r="C17" s="152"/>
      <c r="D17" s="323" t="s">
        <v>2115</v>
      </c>
      <c r="E17" s="154" t="s">
        <v>72</v>
      </c>
      <c r="F17" s="157" t="s">
        <v>2145</v>
      </c>
      <c r="G17" s="152">
        <v>87925.157000000007</v>
      </c>
      <c r="H17" s="323" t="s">
        <v>2115</v>
      </c>
      <c r="I17" s="152">
        <v>9318.1149999999998</v>
      </c>
      <c r="J17" s="154" t="s">
        <v>2091</v>
      </c>
      <c r="K17" s="154">
        <v>5700363936</v>
      </c>
      <c r="L17" s="227">
        <v>9321.11</v>
      </c>
      <c r="M17" s="154" t="s">
        <v>2091</v>
      </c>
      <c r="N17" s="227">
        <f t="shared" si="2"/>
        <v>50294.596362010598</v>
      </c>
      <c r="O17" s="152">
        <f t="shared" si="3"/>
        <v>533711.52736201056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2115</v>
      </c>
      <c r="I18" s="152"/>
      <c r="J18" s="157"/>
      <c r="K18" s="154">
        <v>5700363936</v>
      </c>
      <c r="L18" s="227">
        <v>3842.221</v>
      </c>
      <c r="M18" s="154" t="s">
        <v>2091</v>
      </c>
      <c r="N18" s="227">
        <f t="shared" ref="N18:N84" si="4">+N17-I18-L18</f>
        <v>46452.3753620106</v>
      </c>
      <c r="O18" s="152">
        <f t="shared" ref="O18:O84" si="5">O17+G18-I18-L18</f>
        <v>529869.30636201054</v>
      </c>
    </row>
    <row r="19" spans="1:15" x14ac:dyDescent="0.15">
      <c r="A19" s="154"/>
      <c r="B19" s="151"/>
      <c r="C19" s="152"/>
      <c r="D19" s="323" t="s">
        <v>2116</v>
      </c>
      <c r="E19" s="154" t="s">
        <v>72</v>
      </c>
      <c r="F19" s="157" t="s">
        <v>2145</v>
      </c>
      <c r="G19" s="152">
        <v>175504.45499999999</v>
      </c>
      <c r="H19" s="323" t="s">
        <v>2116</v>
      </c>
      <c r="I19" s="152">
        <v>12494.932999999999</v>
      </c>
      <c r="J19" s="154" t="s">
        <v>2091</v>
      </c>
      <c r="K19" s="154">
        <v>5700363936</v>
      </c>
      <c r="L19" s="227">
        <v>11269.43</v>
      </c>
      <c r="M19" s="154" t="s">
        <v>2091</v>
      </c>
      <c r="N19" s="227">
        <f t="shared" si="4"/>
        <v>22688.012362010602</v>
      </c>
      <c r="O19" s="152">
        <f t="shared" si="5"/>
        <v>681609.39836201048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2116</v>
      </c>
      <c r="I20" s="152"/>
      <c r="J20" s="157"/>
      <c r="K20" s="154">
        <v>5700363936</v>
      </c>
      <c r="L20" s="227">
        <v>22688.012362010602</v>
      </c>
      <c r="M20" s="154" t="s">
        <v>2091</v>
      </c>
      <c r="N20" s="227">
        <f t="shared" ref="N20:N25" si="6">+N19-I20-L20</f>
        <v>0</v>
      </c>
      <c r="O20" s="152">
        <f t="shared" ref="O20:O25" si="7">O19+G20-I20-L20</f>
        <v>658921.38599999994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2116</v>
      </c>
      <c r="I21" s="152"/>
      <c r="J21" s="157"/>
      <c r="K21" s="154">
        <v>5700363936</v>
      </c>
      <c r="L21" s="227">
        <v>40759.256637989398</v>
      </c>
      <c r="M21" s="157" t="s">
        <v>2092</v>
      </c>
      <c r="N21" s="227">
        <f>C9+N20-I21-L21</f>
        <v>310830.25836201059</v>
      </c>
      <c r="O21" s="152">
        <f t="shared" si="7"/>
        <v>618162.12936201051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2116</v>
      </c>
      <c r="I22" s="152"/>
      <c r="J22" s="154"/>
      <c r="K22" s="154">
        <v>5700363936</v>
      </c>
      <c r="L22" s="227">
        <v>72120.751000000004</v>
      </c>
      <c r="M22" s="157" t="s">
        <v>2092</v>
      </c>
      <c r="N22" s="227">
        <f t="shared" si="6"/>
        <v>238709.5073620106</v>
      </c>
      <c r="O22" s="152">
        <f t="shared" si="7"/>
        <v>546041.37836201047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2116</v>
      </c>
      <c r="I23" s="152"/>
      <c r="J23" s="154"/>
      <c r="K23" s="154">
        <v>5700363936</v>
      </c>
      <c r="L23" s="227">
        <v>37994.591</v>
      </c>
      <c r="M23" s="157" t="s">
        <v>2092</v>
      </c>
      <c r="N23" s="227">
        <f t="shared" si="6"/>
        <v>200714.91636201058</v>
      </c>
      <c r="O23" s="152">
        <f t="shared" si="7"/>
        <v>508046.78736201045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2116</v>
      </c>
      <c r="I24" s="152"/>
      <c r="J24" s="157"/>
      <c r="K24" s="154">
        <v>5700363936</v>
      </c>
      <c r="L24" s="227">
        <v>12055.111000000001</v>
      </c>
      <c r="M24" s="157" t="s">
        <v>2092</v>
      </c>
      <c r="N24" s="227">
        <f t="shared" si="6"/>
        <v>188659.80536201058</v>
      </c>
      <c r="O24" s="152">
        <f t="shared" si="7"/>
        <v>495991.67636201048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2116</v>
      </c>
      <c r="I25" s="152"/>
      <c r="J25" s="154"/>
      <c r="K25" s="154">
        <v>5700363936</v>
      </c>
      <c r="L25" s="227">
        <v>14762.013000000001</v>
      </c>
      <c r="M25" s="157" t="s">
        <v>2092</v>
      </c>
      <c r="N25" s="227">
        <f t="shared" si="6"/>
        <v>173897.79236201057</v>
      </c>
      <c r="O25" s="152">
        <f t="shared" si="7"/>
        <v>481229.6633620105</v>
      </c>
    </row>
    <row r="26" spans="1:15" x14ac:dyDescent="0.15">
      <c r="A26" s="154"/>
      <c r="B26" s="151"/>
      <c r="C26" s="152"/>
      <c r="D26" s="323" t="s">
        <v>2117</v>
      </c>
      <c r="E26" s="154" t="s">
        <v>72</v>
      </c>
      <c r="F26" s="157" t="s">
        <v>2146</v>
      </c>
      <c r="G26" s="152">
        <v>175647.144</v>
      </c>
      <c r="H26" s="323" t="s">
        <v>2117</v>
      </c>
      <c r="I26" s="152">
        <v>10038.133999999998</v>
      </c>
      <c r="J26" s="157" t="s">
        <v>2092</v>
      </c>
      <c r="K26" s="154">
        <v>5700363936</v>
      </c>
      <c r="L26" s="227">
        <v>12632.46</v>
      </c>
      <c r="M26" s="157" t="s">
        <v>2092</v>
      </c>
      <c r="N26" s="227">
        <f t="shared" si="4"/>
        <v>151227.19836201059</v>
      </c>
      <c r="O26" s="152">
        <f t="shared" si="5"/>
        <v>634206.21336201055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2117</v>
      </c>
      <c r="I27" s="152"/>
      <c r="J27" s="154"/>
      <c r="K27" s="154">
        <v>5700363936</v>
      </c>
      <c r="L27" s="227">
        <v>76461.218999999997</v>
      </c>
      <c r="M27" s="157" t="s">
        <v>2092</v>
      </c>
      <c r="N27" s="227">
        <f t="shared" si="4"/>
        <v>74765.979362010592</v>
      </c>
      <c r="O27" s="152">
        <f t="shared" si="5"/>
        <v>557744.9943620105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2117</v>
      </c>
      <c r="I28" s="152"/>
      <c r="J28" s="157"/>
      <c r="K28" s="154">
        <v>5700363936</v>
      </c>
      <c r="L28" s="227">
        <v>10402.724</v>
      </c>
      <c r="M28" s="157" t="s">
        <v>2092</v>
      </c>
      <c r="N28" s="227">
        <f t="shared" si="4"/>
        <v>64363.25536201059</v>
      </c>
      <c r="O28" s="152">
        <f t="shared" si="5"/>
        <v>547342.27036201046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2117</v>
      </c>
      <c r="I29" s="152"/>
      <c r="J29" s="157"/>
      <c r="K29" s="154">
        <v>5700363936</v>
      </c>
      <c r="L29" s="227">
        <v>12364.728999999999</v>
      </c>
      <c r="M29" s="157" t="s">
        <v>2092</v>
      </c>
      <c r="N29" s="227">
        <f t="shared" si="4"/>
        <v>51998.526362010591</v>
      </c>
      <c r="O29" s="152">
        <f t="shared" si="5"/>
        <v>534977.54136201041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2117</v>
      </c>
      <c r="I30" s="152"/>
      <c r="J30" s="154"/>
      <c r="K30" s="154">
        <v>5700363936</v>
      </c>
      <c r="L30" s="227">
        <v>31134.208999999999</v>
      </c>
      <c r="M30" s="157" t="s">
        <v>2092</v>
      </c>
      <c r="N30" s="227">
        <f t="shared" si="4"/>
        <v>20864.317362010592</v>
      </c>
      <c r="O30" s="152">
        <f t="shared" si="5"/>
        <v>503843.33236201043</v>
      </c>
    </row>
    <row r="31" spans="1:15" x14ac:dyDescent="0.15">
      <c r="A31" s="154"/>
      <c r="B31" s="151"/>
      <c r="C31" s="152"/>
      <c r="D31" s="323" t="s">
        <v>2118</v>
      </c>
      <c r="E31" s="154" t="s">
        <v>72</v>
      </c>
      <c r="F31" s="157" t="s">
        <v>2146</v>
      </c>
      <c r="G31" s="152">
        <v>131859.68900000001</v>
      </c>
      <c r="H31" s="323" t="s">
        <v>2118</v>
      </c>
      <c r="I31" s="152">
        <v>13697.056</v>
      </c>
      <c r="J31" s="157" t="s">
        <v>2092</v>
      </c>
      <c r="K31" s="154">
        <v>5700363936</v>
      </c>
      <c r="L31" s="227">
        <v>7167.2613620105913</v>
      </c>
      <c r="M31" s="157" t="s">
        <v>2092</v>
      </c>
      <c r="N31" s="227">
        <f t="shared" ref="N31:N34" si="8">+N30-I31-L31</f>
        <v>0</v>
      </c>
      <c r="O31" s="152">
        <f t="shared" ref="O31:O34" si="9">O30+G31-I31-L31</f>
        <v>614838.70399999979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2118</v>
      </c>
      <c r="I32" s="152"/>
      <c r="J32" s="157"/>
      <c r="K32" s="154">
        <v>5700363936</v>
      </c>
      <c r="L32" s="227">
        <v>7522.2906379894102</v>
      </c>
      <c r="M32" s="154" t="s">
        <v>2163</v>
      </c>
      <c r="N32" s="227">
        <f>C10+N31-I32-L32</f>
        <v>36379.968362010586</v>
      </c>
      <c r="O32" s="152">
        <f t="shared" si="9"/>
        <v>607316.41336201038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2118</v>
      </c>
      <c r="I33" s="152"/>
      <c r="J33" s="157"/>
      <c r="K33" s="154">
        <v>5700363936</v>
      </c>
      <c r="L33" s="227">
        <v>11307.267</v>
      </c>
      <c r="M33" s="154" t="s">
        <v>2163</v>
      </c>
      <c r="N33" s="227">
        <f t="shared" si="8"/>
        <v>25072.701362010586</v>
      </c>
      <c r="O33" s="152">
        <f t="shared" si="9"/>
        <v>596009.14636201039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2118</v>
      </c>
      <c r="I34" s="152"/>
      <c r="J34" s="157"/>
      <c r="K34" s="154">
        <v>5700363936</v>
      </c>
      <c r="L34" s="227">
        <v>2509.7280000000001</v>
      </c>
      <c r="M34" s="154" t="s">
        <v>2163</v>
      </c>
      <c r="N34" s="227">
        <f t="shared" si="8"/>
        <v>22562.973362010587</v>
      </c>
      <c r="O34" s="152">
        <f t="shared" si="9"/>
        <v>593499.41836201039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2118</v>
      </c>
      <c r="I35" s="152"/>
      <c r="J35" s="157"/>
      <c r="K35" s="154">
        <v>5700363936</v>
      </c>
      <c r="L35" s="227">
        <v>629.68100000000004</v>
      </c>
      <c r="M35" s="154" t="s">
        <v>2163</v>
      </c>
      <c r="N35" s="227">
        <f t="shared" si="4"/>
        <v>21933.292362010587</v>
      </c>
      <c r="O35" s="152">
        <f t="shared" si="5"/>
        <v>592869.7373620104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2118</v>
      </c>
      <c r="I36" s="152"/>
      <c r="J36" s="157"/>
      <c r="K36" s="154">
        <v>5700363936</v>
      </c>
      <c r="L36" s="227">
        <v>3828.0590000000002</v>
      </c>
      <c r="M36" s="154" t="s">
        <v>2163</v>
      </c>
      <c r="N36" s="227">
        <f t="shared" si="4"/>
        <v>18105.233362010586</v>
      </c>
      <c r="O36" s="152">
        <f t="shared" si="5"/>
        <v>589041.6783620104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2118</v>
      </c>
      <c r="I37" s="152"/>
      <c r="J37" s="157"/>
      <c r="K37" s="154">
        <v>5700363936</v>
      </c>
      <c r="L37" s="227">
        <v>5901.0079999999998</v>
      </c>
      <c r="M37" s="154" t="s">
        <v>2163</v>
      </c>
      <c r="N37" s="227">
        <f t="shared" si="4"/>
        <v>12204.225362010586</v>
      </c>
      <c r="O37" s="152">
        <f t="shared" si="5"/>
        <v>583140.67036201037</v>
      </c>
    </row>
    <row r="38" spans="1:15" x14ac:dyDescent="0.15">
      <c r="A38" s="154"/>
      <c r="B38" s="151"/>
      <c r="C38" s="152"/>
      <c r="D38" s="323" t="s">
        <v>2119</v>
      </c>
      <c r="E38" s="154" t="s">
        <v>72</v>
      </c>
      <c r="F38" s="157" t="s">
        <v>2147</v>
      </c>
      <c r="G38" s="152">
        <v>87898.1</v>
      </c>
      <c r="H38" s="323" t="s">
        <v>2119</v>
      </c>
      <c r="I38" s="152">
        <v>9987.5779999999995</v>
      </c>
      <c r="J38" s="154" t="s">
        <v>2163</v>
      </c>
      <c r="K38" s="154">
        <v>5700363936</v>
      </c>
      <c r="L38" s="227">
        <v>2216.6473620105644</v>
      </c>
      <c r="M38" s="154" t="s">
        <v>2163</v>
      </c>
      <c r="N38" s="227">
        <f t="shared" ref="N38:N43" si="10">+N37-I38-L38</f>
        <v>2.1827872842550278E-11</v>
      </c>
      <c r="O38" s="152">
        <f t="shared" ref="O38:O43" si="11">O37+G38-I38-L38</f>
        <v>658834.54499999981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2119</v>
      </c>
      <c r="I39" s="152"/>
      <c r="J39" s="157"/>
      <c r="K39" s="154">
        <v>5700363955</v>
      </c>
      <c r="L39" s="227">
        <v>9613.3336379894408</v>
      </c>
      <c r="M39" s="157" t="s">
        <v>2145</v>
      </c>
      <c r="N39" s="227">
        <f>G17+G19+N38-I39-L39</f>
        <v>253816.27836201052</v>
      </c>
      <c r="O39" s="152">
        <f t="shared" si="11"/>
        <v>649221.21136201033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2119</v>
      </c>
      <c r="I40" s="152"/>
      <c r="J40" s="157"/>
      <c r="K40" s="154">
        <v>5700363955</v>
      </c>
      <c r="L40" s="227">
        <v>31712.116999999998</v>
      </c>
      <c r="M40" s="157" t="s">
        <v>2145</v>
      </c>
      <c r="N40" s="227">
        <f t="shared" si="10"/>
        <v>222104.16136201052</v>
      </c>
      <c r="O40" s="152">
        <f t="shared" si="11"/>
        <v>617509.09436201036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2119</v>
      </c>
      <c r="I41" s="152"/>
      <c r="J41" s="157"/>
      <c r="K41" s="154">
        <v>5700363955</v>
      </c>
      <c r="L41" s="227">
        <v>72660.588000000003</v>
      </c>
      <c r="M41" s="157" t="s">
        <v>2145</v>
      </c>
      <c r="N41" s="227">
        <f t="shared" si="10"/>
        <v>149443.57336201053</v>
      </c>
      <c r="O41" s="152">
        <f t="shared" si="11"/>
        <v>544848.50636201038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2119</v>
      </c>
      <c r="I42" s="152"/>
      <c r="J42" s="157"/>
      <c r="K42" s="154">
        <v>5700363955</v>
      </c>
      <c r="L42" s="227">
        <v>10456.696</v>
      </c>
      <c r="M42" s="157" t="s">
        <v>2145</v>
      </c>
      <c r="N42" s="227">
        <f t="shared" si="10"/>
        <v>138986.87736201053</v>
      </c>
      <c r="O42" s="152">
        <f t="shared" si="11"/>
        <v>534391.81036201038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2119</v>
      </c>
      <c r="I43" s="152"/>
      <c r="J43" s="157"/>
      <c r="K43" s="154">
        <v>5700363955</v>
      </c>
      <c r="L43" s="227">
        <v>6332.7879999999996</v>
      </c>
      <c r="M43" s="157" t="s">
        <v>2145</v>
      </c>
      <c r="N43" s="227">
        <f t="shared" si="10"/>
        <v>132654.08936201053</v>
      </c>
      <c r="O43" s="152">
        <f t="shared" si="11"/>
        <v>528059.02236201044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2119</v>
      </c>
      <c r="I44" s="152"/>
      <c r="J44" s="157"/>
      <c r="K44" s="154">
        <v>5700363955</v>
      </c>
      <c r="L44" s="227">
        <v>13173.319</v>
      </c>
      <c r="M44" s="157" t="s">
        <v>2145</v>
      </c>
      <c r="N44" s="227">
        <f t="shared" si="4"/>
        <v>119480.77036201053</v>
      </c>
      <c r="O44" s="152">
        <f t="shared" si="5"/>
        <v>514885.70336201042</v>
      </c>
    </row>
    <row r="45" spans="1:15" x14ac:dyDescent="0.15">
      <c r="A45" s="154"/>
      <c r="B45" s="151"/>
      <c r="C45" s="152"/>
      <c r="D45" s="323" t="s">
        <v>2120</v>
      </c>
      <c r="E45" s="154" t="s">
        <v>72</v>
      </c>
      <c r="F45" s="157" t="s">
        <v>2147</v>
      </c>
      <c r="G45" s="152">
        <v>175743.163</v>
      </c>
      <c r="H45" s="323" t="s">
        <v>2120</v>
      </c>
      <c r="I45" s="152">
        <v>11014.414000000001</v>
      </c>
      <c r="J45" s="157" t="s">
        <v>2145</v>
      </c>
      <c r="K45" s="154">
        <v>5700363955</v>
      </c>
      <c r="L45" s="227">
        <v>11836.995999999999</v>
      </c>
      <c r="M45" s="157" t="s">
        <v>2145</v>
      </c>
      <c r="N45" s="227">
        <f t="shared" si="4"/>
        <v>96629.360362010528</v>
      </c>
      <c r="O45" s="152">
        <f t="shared" si="5"/>
        <v>667777.45636201033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2120</v>
      </c>
      <c r="I46" s="152"/>
      <c r="J46" s="157"/>
      <c r="K46" s="154">
        <v>5700363955</v>
      </c>
      <c r="L46" s="227">
        <v>76129.387000000002</v>
      </c>
      <c r="M46" s="157" t="s">
        <v>2145</v>
      </c>
      <c r="N46" s="227">
        <f t="shared" si="4"/>
        <v>20499.973362010525</v>
      </c>
      <c r="O46" s="152">
        <f t="shared" si="5"/>
        <v>591648.06936201034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2120</v>
      </c>
      <c r="I47" s="152"/>
      <c r="J47" s="157"/>
      <c r="K47" s="154">
        <v>5700363955</v>
      </c>
      <c r="L47" s="227">
        <v>20499.973362010525</v>
      </c>
      <c r="M47" s="157" t="s">
        <v>2145</v>
      </c>
      <c r="N47" s="227">
        <f t="shared" si="4"/>
        <v>0</v>
      </c>
      <c r="O47" s="152">
        <f t="shared" si="5"/>
        <v>571148.09599999979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2120</v>
      </c>
      <c r="I48" s="152"/>
      <c r="J48" s="157"/>
      <c r="K48" s="154">
        <v>5700363936</v>
      </c>
      <c r="L48" s="227">
        <v>52253.126637989502</v>
      </c>
      <c r="M48" s="157" t="s">
        <v>2146</v>
      </c>
      <c r="N48" s="227">
        <f>G26+G31+N47-I48-L48</f>
        <v>255253.70636201047</v>
      </c>
      <c r="O48" s="152">
        <f t="shared" ref="O48:O52" si="12">O47+G48-I48-L48</f>
        <v>518894.96936201031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2120</v>
      </c>
      <c r="I49" s="152"/>
      <c r="J49" s="157"/>
      <c r="K49" s="154">
        <v>5700363936</v>
      </c>
      <c r="L49" s="227">
        <v>7808.04</v>
      </c>
      <c r="M49" s="157" t="s">
        <v>2146</v>
      </c>
      <c r="N49" s="227">
        <f t="shared" ref="N49:N52" si="13">+N48-I49-L49</f>
        <v>247445.66636201047</v>
      </c>
      <c r="O49" s="152">
        <f t="shared" si="12"/>
        <v>511086.92936201033</v>
      </c>
    </row>
    <row r="50" spans="1:15" x14ac:dyDescent="0.15">
      <c r="A50" s="154"/>
      <c r="B50" s="151"/>
      <c r="C50" s="152"/>
      <c r="D50" s="323" t="s">
        <v>2121</v>
      </c>
      <c r="E50" s="154" t="s">
        <v>72</v>
      </c>
      <c r="F50" s="157" t="s">
        <v>2148</v>
      </c>
      <c r="G50" s="152">
        <v>87897.668000000005</v>
      </c>
      <c r="H50" s="323" t="s">
        <v>2121</v>
      </c>
      <c r="I50" s="152">
        <v>9722.902</v>
      </c>
      <c r="J50" s="157" t="s">
        <v>2146</v>
      </c>
      <c r="K50" s="154">
        <v>5700363936</v>
      </c>
      <c r="L50" s="227">
        <v>12519.679</v>
      </c>
      <c r="M50" s="157" t="s">
        <v>2146</v>
      </c>
      <c r="N50" s="227">
        <f t="shared" si="13"/>
        <v>225203.08536201046</v>
      </c>
      <c r="O50" s="152">
        <f t="shared" si="12"/>
        <v>576742.01636201027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2121</v>
      </c>
      <c r="I51" s="152"/>
      <c r="J51" s="157"/>
      <c r="K51" s="154">
        <v>5700363936</v>
      </c>
      <c r="L51" s="227">
        <v>573</v>
      </c>
      <c r="M51" s="157" t="s">
        <v>2146</v>
      </c>
      <c r="N51" s="227">
        <f t="shared" si="13"/>
        <v>224630.08536201046</v>
      </c>
      <c r="O51" s="152">
        <f t="shared" si="12"/>
        <v>576169.01636201027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2121</v>
      </c>
      <c r="I52" s="152"/>
      <c r="J52" s="157"/>
      <c r="K52" s="154">
        <v>5700363936</v>
      </c>
      <c r="L52" s="227">
        <v>7465</v>
      </c>
      <c r="M52" s="157" t="s">
        <v>2146</v>
      </c>
      <c r="N52" s="227">
        <f t="shared" si="13"/>
        <v>217165.08536201046</v>
      </c>
      <c r="O52" s="152">
        <f t="shared" si="12"/>
        <v>568704.01636201027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2121</v>
      </c>
      <c r="I53" s="152"/>
      <c r="J53" s="157"/>
      <c r="K53" s="154">
        <v>5700363936</v>
      </c>
      <c r="L53" s="227">
        <v>13505</v>
      </c>
      <c r="M53" s="157" t="s">
        <v>2146</v>
      </c>
      <c r="N53" s="227">
        <f t="shared" si="4"/>
        <v>203660.08536201046</v>
      </c>
      <c r="O53" s="152">
        <f t="shared" si="5"/>
        <v>555199.01636201027</v>
      </c>
    </row>
    <row r="54" spans="1:15" x14ac:dyDescent="0.15">
      <c r="A54" s="154"/>
      <c r="B54" s="151"/>
      <c r="C54" s="152"/>
      <c r="D54" s="323" t="s">
        <v>2122</v>
      </c>
      <c r="E54" s="154" t="s">
        <v>72</v>
      </c>
      <c r="F54" s="157" t="s">
        <v>2148</v>
      </c>
      <c r="G54" s="152">
        <v>20258.187000000005</v>
      </c>
      <c r="H54" s="323" t="s">
        <v>2122</v>
      </c>
      <c r="I54" s="152">
        <v>12833.587000000001</v>
      </c>
      <c r="J54" s="157" t="s">
        <v>2146</v>
      </c>
      <c r="K54" s="154">
        <v>5700363936</v>
      </c>
      <c r="L54" s="227">
        <v>3034.8690000000001</v>
      </c>
      <c r="M54" s="157" t="s">
        <v>2146</v>
      </c>
      <c r="N54" s="227">
        <f t="shared" si="4"/>
        <v>187791.62936201046</v>
      </c>
      <c r="O54" s="152">
        <f t="shared" si="5"/>
        <v>559588.7473620103</v>
      </c>
    </row>
    <row r="55" spans="1:15" x14ac:dyDescent="0.15">
      <c r="A55" s="154"/>
      <c r="B55" s="151"/>
      <c r="C55" s="152"/>
      <c r="D55" s="323" t="s">
        <v>2122</v>
      </c>
      <c r="E55" s="154" t="s">
        <v>72</v>
      </c>
      <c r="F55" s="157" t="s">
        <v>2149</v>
      </c>
      <c r="G55" s="152">
        <v>23702.677</v>
      </c>
      <c r="H55" s="323" t="s">
        <v>2122</v>
      </c>
      <c r="I55" s="152"/>
      <c r="J55" s="157"/>
      <c r="K55" s="154">
        <v>5700363936</v>
      </c>
      <c r="L55" s="227">
        <v>11638.848</v>
      </c>
      <c r="M55" s="157" t="s">
        <v>2146</v>
      </c>
      <c r="N55" s="227">
        <f t="shared" si="4"/>
        <v>176152.78136201046</v>
      </c>
      <c r="O55" s="152">
        <f t="shared" si="5"/>
        <v>571652.57636201032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2122</v>
      </c>
      <c r="I56" s="152"/>
      <c r="J56" s="157"/>
      <c r="K56" s="154">
        <v>5700363936</v>
      </c>
      <c r="L56" s="227">
        <v>6917.2020000000002</v>
      </c>
      <c r="M56" s="157" t="s">
        <v>2146</v>
      </c>
      <c r="N56" s="227">
        <f t="shared" si="4"/>
        <v>169235.57936201047</v>
      </c>
      <c r="O56" s="152">
        <f t="shared" si="5"/>
        <v>564735.37436201028</v>
      </c>
    </row>
    <row r="57" spans="1:15" x14ac:dyDescent="0.15">
      <c r="A57" s="154"/>
      <c r="B57" s="151"/>
      <c r="C57" s="152"/>
      <c r="D57" s="323" t="s">
        <v>2123</v>
      </c>
      <c r="E57" s="154" t="s">
        <v>72</v>
      </c>
      <c r="F57" s="157" t="s">
        <v>2149</v>
      </c>
      <c r="G57" s="152">
        <v>131827.348</v>
      </c>
      <c r="H57" s="323" t="s">
        <v>2123</v>
      </c>
      <c r="I57" s="152">
        <v>11109.535</v>
      </c>
      <c r="J57" s="157" t="s">
        <v>2146</v>
      </c>
      <c r="K57" s="154">
        <v>5700363936</v>
      </c>
      <c r="L57" s="227">
        <v>13063.619000000001</v>
      </c>
      <c r="M57" s="157" t="s">
        <v>2146</v>
      </c>
      <c r="N57" s="227">
        <f t="shared" si="4"/>
        <v>145062.42536201046</v>
      </c>
      <c r="O57" s="152">
        <f t="shared" si="5"/>
        <v>672389.56836201029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2123</v>
      </c>
      <c r="I58" s="152"/>
      <c r="J58" s="157"/>
      <c r="K58" s="154">
        <v>5700363936</v>
      </c>
      <c r="L58" s="227">
        <v>26610.482</v>
      </c>
      <c r="M58" s="157" t="s">
        <v>2146</v>
      </c>
      <c r="N58" s="227">
        <f t="shared" si="4"/>
        <v>118451.94336201045</v>
      </c>
      <c r="O58" s="152">
        <f t="shared" si="5"/>
        <v>645779.08636201033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2123</v>
      </c>
      <c r="I59" s="152"/>
      <c r="J59" s="157"/>
      <c r="K59" s="154">
        <v>5700363936</v>
      </c>
      <c r="L59" s="227">
        <v>10945.545</v>
      </c>
      <c r="M59" s="157" t="s">
        <v>2146</v>
      </c>
      <c r="N59" s="227">
        <f t="shared" si="4"/>
        <v>107506.39836201046</v>
      </c>
      <c r="O59" s="152">
        <f t="shared" si="5"/>
        <v>634833.54136201029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2123</v>
      </c>
      <c r="I60" s="152"/>
      <c r="J60" s="157"/>
      <c r="K60" s="154">
        <v>5700363936</v>
      </c>
      <c r="L60" s="227">
        <v>58409.593000000001</v>
      </c>
      <c r="M60" s="157" t="s">
        <v>2146</v>
      </c>
      <c r="N60" s="227">
        <f t="shared" si="4"/>
        <v>49096.805362010455</v>
      </c>
      <c r="O60" s="152">
        <f t="shared" si="5"/>
        <v>576423.9483620103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2123</v>
      </c>
      <c r="I61" s="152"/>
      <c r="J61" s="157"/>
      <c r="K61" s="154">
        <v>5700363936</v>
      </c>
      <c r="L61" s="227">
        <v>49096.805362010455</v>
      </c>
      <c r="M61" s="157" t="s">
        <v>2146</v>
      </c>
      <c r="N61" s="227">
        <f t="shared" si="4"/>
        <v>0</v>
      </c>
      <c r="O61" s="152">
        <f t="shared" si="5"/>
        <v>527327.14299999981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2123</v>
      </c>
      <c r="I62" s="152"/>
      <c r="J62" s="157"/>
      <c r="K62" s="154">
        <v>5700363936</v>
      </c>
      <c r="L62" s="227">
        <v>11934.1156379895</v>
      </c>
      <c r="M62" s="157" t="s">
        <v>2147</v>
      </c>
      <c r="N62" s="227">
        <f>G38+G45+N61-I62-L62</f>
        <v>251707.14736201052</v>
      </c>
      <c r="O62" s="152">
        <f t="shared" ref="O62:O67" si="14">O61+G62-I62-L62</f>
        <v>515393.02736201033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2123</v>
      </c>
      <c r="I63" s="152"/>
      <c r="J63" s="157"/>
      <c r="K63" s="154">
        <v>5700363936</v>
      </c>
      <c r="L63" s="227">
        <v>72738.851999999999</v>
      </c>
      <c r="M63" s="157" t="s">
        <v>2147</v>
      </c>
      <c r="N63" s="227">
        <f t="shared" ref="N63:N67" si="15">+N62-I63-L63</f>
        <v>178968.29536201054</v>
      </c>
      <c r="O63" s="152">
        <f t="shared" si="14"/>
        <v>442654.17536201031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2123</v>
      </c>
      <c r="I64" s="152"/>
      <c r="J64" s="154"/>
      <c r="K64" s="154">
        <v>5700363936</v>
      </c>
      <c r="L64" s="227">
        <v>6564.67</v>
      </c>
      <c r="M64" s="157" t="s">
        <v>2147</v>
      </c>
      <c r="N64" s="227">
        <f t="shared" si="15"/>
        <v>172403.62536201053</v>
      </c>
      <c r="O64" s="152">
        <f t="shared" si="14"/>
        <v>436089.50536201033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2123</v>
      </c>
      <c r="I65" s="152"/>
      <c r="J65" s="154"/>
      <c r="K65" s="154">
        <v>5700363936</v>
      </c>
      <c r="L65" s="227">
        <v>34232.637000000002</v>
      </c>
      <c r="M65" s="157" t="s">
        <v>2147</v>
      </c>
      <c r="N65" s="227">
        <f t="shared" si="15"/>
        <v>138170.98836201051</v>
      </c>
      <c r="O65" s="152">
        <f t="shared" si="14"/>
        <v>401856.86836201034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2123</v>
      </c>
      <c r="I66" s="152"/>
      <c r="J66" s="157"/>
      <c r="K66" s="154">
        <v>5700363936</v>
      </c>
      <c r="L66" s="227">
        <v>15539.119000000001</v>
      </c>
      <c r="M66" s="157" t="s">
        <v>2147</v>
      </c>
      <c r="N66" s="227">
        <f t="shared" si="15"/>
        <v>122631.8693620105</v>
      </c>
      <c r="O66" s="152">
        <f t="shared" si="14"/>
        <v>386317.74936201033</v>
      </c>
    </row>
    <row r="67" spans="1:15" x14ac:dyDescent="0.15">
      <c r="A67" s="154"/>
      <c r="B67" s="151"/>
      <c r="C67" s="152"/>
      <c r="D67" s="323" t="s">
        <v>2124</v>
      </c>
      <c r="E67" s="154" t="s">
        <v>72</v>
      </c>
      <c r="F67" s="157" t="s">
        <v>2149</v>
      </c>
      <c r="G67" s="152">
        <v>20258.187000000005</v>
      </c>
      <c r="H67" s="323" t="s">
        <v>2124</v>
      </c>
      <c r="I67" s="152">
        <v>11426.766</v>
      </c>
      <c r="J67" s="157" t="s">
        <v>2147</v>
      </c>
      <c r="K67" s="154">
        <v>5700363936</v>
      </c>
      <c r="L67" s="227">
        <v>12292.983</v>
      </c>
      <c r="M67" s="157" t="s">
        <v>2147</v>
      </c>
      <c r="N67" s="227">
        <f t="shared" si="15"/>
        <v>98912.120362010493</v>
      </c>
      <c r="O67" s="152">
        <f t="shared" si="14"/>
        <v>382856.1873620103</v>
      </c>
    </row>
    <row r="68" spans="1:15" x14ac:dyDescent="0.15">
      <c r="A68" s="154"/>
      <c r="B68" s="151"/>
      <c r="C68" s="152"/>
      <c r="D68" s="323" t="s">
        <v>2124</v>
      </c>
      <c r="E68" s="154" t="s">
        <v>72</v>
      </c>
      <c r="F68" s="157" t="s">
        <v>2150</v>
      </c>
      <c r="G68" s="152">
        <v>155548.33300000001</v>
      </c>
      <c r="H68" s="323" t="s">
        <v>2124</v>
      </c>
      <c r="I68" s="152"/>
      <c r="J68" s="157"/>
      <c r="K68" s="154">
        <v>5700363936</v>
      </c>
      <c r="L68" s="227">
        <v>77831.548999999999</v>
      </c>
      <c r="M68" s="157" t="s">
        <v>2147</v>
      </c>
      <c r="N68" s="227">
        <f t="shared" si="4"/>
        <v>21080.571362010494</v>
      </c>
      <c r="O68" s="152">
        <f t="shared" si="5"/>
        <v>460572.97136201034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2124</v>
      </c>
      <c r="I69" s="152"/>
      <c r="J69" s="157"/>
      <c r="K69" s="154">
        <v>5700363936</v>
      </c>
      <c r="L69" s="227">
        <v>21080.571362010494</v>
      </c>
      <c r="M69" s="157" t="s">
        <v>2147</v>
      </c>
      <c r="N69" s="227">
        <f t="shared" si="4"/>
        <v>0</v>
      </c>
      <c r="O69" s="152">
        <f t="shared" si="5"/>
        <v>439492.39999999985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2124</v>
      </c>
      <c r="I70" s="152"/>
      <c r="J70" s="157"/>
      <c r="K70" s="154">
        <v>5700363936</v>
      </c>
      <c r="L70" s="227">
        <v>54129.915637989499</v>
      </c>
      <c r="M70" s="157" t="s">
        <v>2148</v>
      </c>
      <c r="N70" s="227">
        <f>G50+G54+N69-I70-L70</f>
        <v>54025.939362010511</v>
      </c>
      <c r="O70" s="152">
        <f t="shared" ref="O70:O72" si="16">O69+G70-I70-L70</f>
        <v>385362.48436201038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2124</v>
      </c>
      <c r="I71" s="152"/>
      <c r="J71" s="154"/>
      <c r="K71" s="154">
        <v>5700363936</v>
      </c>
      <c r="L71" s="227">
        <v>10538.518</v>
      </c>
      <c r="M71" s="157" t="s">
        <v>2148</v>
      </c>
      <c r="N71" s="227">
        <f t="shared" ref="N71:N72" si="17">+N70-I71-L71</f>
        <v>43487.421362010515</v>
      </c>
      <c r="O71" s="152">
        <f t="shared" si="16"/>
        <v>374823.9663620104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2124</v>
      </c>
      <c r="I72" s="152"/>
      <c r="J72" s="157"/>
      <c r="K72" s="154">
        <v>5700363936</v>
      </c>
      <c r="L72" s="227">
        <v>4272.9660000000003</v>
      </c>
      <c r="M72" s="157" t="s">
        <v>2148</v>
      </c>
      <c r="N72" s="227">
        <f t="shared" si="17"/>
        <v>39214.455362010514</v>
      </c>
      <c r="O72" s="152">
        <f t="shared" si="16"/>
        <v>370551.00036201038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2124</v>
      </c>
      <c r="I73" s="152"/>
      <c r="J73" s="157"/>
      <c r="K73" s="154">
        <v>5700363936</v>
      </c>
      <c r="L73" s="227">
        <v>34475.521999999997</v>
      </c>
      <c r="M73" s="157" t="s">
        <v>2148</v>
      </c>
      <c r="N73" s="227">
        <f t="shared" si="4"/>
        <v>4738.9333620105172</v>
      </c>
      <c r="O73" s="152">
        <f t="shared" si="5"/>
        <v>336075.47836201038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2124</v>
      </c>
      <c r="I74" s="152"/>
      <c r="J74" s="157"/>
      <c r="K74" s="154">
        <v>5700363936</v>
      </c>
      <c r="L74" s="227">
        <v>4738.9333620105172</v>
      </c>
      <c r="M74" s="157" t="s">
        <v>2148</v>
      </c>
      <c r="N74" s="227">
        <f t="shared" si="4"/>
        <v>0</v>
      </c>
      <c r="O74" s="152">
        <f t="shared" si="5"/>
        <v>331336.54499999987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2124</v>
      </c>
      <c r="I75" s="152"/>
      <c r="J75" s="157"/>
      <c r="K75" s="154">
        <v>5700363955</v>
      </c>
      <c r="L75" s="227">
        <v>8921.3676379894805</v>
      </c>
      <c r="M75" s="157" t="s">
        <v>2149</v>
      </c>
      <c r="N75" s="227">
        <f>G55+G57+G67+N74-I75-L75</f>
        <v>166866.84436201051</v>
      </c>
      <c r="O75" s="152">
        <f t="shared" ref="O75:O79" si="18">O74+G75-I75-L75</f>
        <v>322415.17736201041</v>
      </c>
    </row>
    <row r="76" spans="1:15" x14ac:dyDescent="0.15">
      <c r="A76" s="154"/>
      <c r="B76" s="151"/>
      <c r="C76" s="152"/>
      <c r="D76" s="323" t="s">
        <v>2125</v>
      </c>
      <c r="E76" s="154" t="s">
        <v>72</v>
      </c>
      <c r="F76" s="157" t="s">
        <v>2150</v>
      </c>
      <c r="G76" s="152">
        <v>174471.22299999997</v>
      </c>
      <c r="H76" s="323" t="s">
        <v>2125</v>
      </c>
      <c r="I76" s="152">
        <v>14632.864</v>
      </c>
      <c r="J76" s="157" t="s">
        <v>2149</v>
      </c>
      <c r="K76" s="154">
        <v>5700363955</v>
      </c>
      <c r="L76" s="227">
        <v>11078.134</v>
      </c>
      <c r="M76" s="157" t="s">
        <v>2149</v>
      </c>
      <c r="N76" s="227">
        <f t="shared" ref="N76:N79" si="19">+N75-I76-L76</f>
        <v>141155.84636201052</v>
      </c>
      <c r="O76" s="152">
        <f t="shared" si="18"/>
        <v>471175.40236201033</v>
      </c>
    </row>
    <row r="77" spans="1:15" x14ac:dyDescent="0.15">
      <c r="A77" s="154"/>
      <c r="B77" s="151"/>
      <c r="C77" s="152"/>
      <c r="D77" s="323" t="s">
        <v>2125</v>
      </c>
      <c r="E77" s="154" t="s">
        <v>72</v>
      </c>
      <c r="F77" s="157" t="s">
        <v>2151</v>
      </c>
      <c r="G77" s="152">
        <v>45238.716</v>
      </c>
      <c r="H77" s="323" t="s">
        <v>2125</v>
      </c>
      <c r="I77" s="152"/>
      <c r="J77" s="157"/>
      <c r="K77" s="154">
        <v>5700363955</v>
      </c>
      <c r="L77" s="227">
        <v>6741.2139999999999</v>
      </c>
      <c r="M77" s="157" t="s">
        <v>2149</v>
      </c>
      <c r="N77" s="227">
        <f t="shared" si="19"/>
        <v>134414.63236201051</v>
      </c>
      <c r="O77" s="152">
        <f t="shared" si="18"/>
        <v>509672.90436201036</v>
      </c>
    </row>
    <row r="78" spans="1:15" x14ac:dyDescent="0.15">
      <c r="A78" s="154"/>
      <c r="B78" s="151"/>
      <c r="C78" s="152"/>
      <c r="D78" s="323" t="s">
        <v>2126</v>
      </c>
      <c r="E78" s="154" t="s">
        <v>72</v>
      </c>
      <c r="F78" s="157" t="s">
        <v>2151</v>
      </c>
      <c r="G78" s="152">
        <v>131828.878</v>
      </c>
      <c r="H78" s="323" t="s">
        <v>2126</v>
      </c>
      <c r="I78" s="152">
        <v>14899.692999999999</v>
      </c>
      <c r="J78" s="157" t="s">
        <v>2149</v>
      </c>
      <c r="K78" s="154">
        <v>5700363955</v>
      </c>
      <c r="L78" s="227">
        <v>11888.971</v>
      </c>
      <c r="M78" s="157" t="s">
        <v>2149</v>
      </c>
      <c r="N78" s="227">
        <f t="shared" si="19"/>
        <v>107625.96836201051</v>
      </c>
      <c r="O78" s="152">
        <f t="shared" si="18"/>
        <v>614713.11836201034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2126</v>
      </c>
      <c r="I79" s="152"/>
      <c r="J79" s="157"/>
      <c r="K79" s="154">
        <v>5700363955</v>
      </c>
      <c r="L79" s="227">
        <v>2752.6039999999998</v>
      </c>
      <c r="M79" s="157" t="s">
        <v>2149</v>
      </c>
      <c r="N79" s="227">
        <f t="shared" si="19"/>
        <v>104873.3643620105</v>
      </c>
      <c r="O79" s="152">
        <f t="shared" si="18"/>
        <v>611960.51436201029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2126</v>
      </c>
      <c r="I80" s="152"/>
      <c r="J80" s="157"/>
      <c r="K80" s="154">
        <v>5700363955</v>
      </c>
      <c r="L80" s="227">
        <v>72743.107999999993</v>
      </c>
      <c r="M80" s="157" t="s">
        <v>2149</v>
      </c>
      <c r="N80" s="227">
        <f t="shared" si="4"/>
        <v>32130.256362010507</v>
      </c>
      <c r="O80" s="152">
        <f t="shared" si="5"/>
        <v>539217.40636201028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2126</v>
      </c>
      <c r="I81" s="152"/>
      <c r="J81" s="157"/>
      <c r="K81" s="154">
        <v>5700363955</v>
      </c>
      <c r="L81" s="227">
        <v>7358.5209999999997</v>
      </c>
      <c r="M81" s="157" t="s">
        <v>2149</v>
      </c>
      <c r="N81" s="227">
        <f t="shared" si="4"/>
        <v>24771.735362010506</v>
      </c>
      <c r="O81" s="152">
        <f t="shared" si="5"/>
        <v>531858.88536201033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2126</v>
      </c>
      <c r="I82" s="152"/>
      <c r="J82" s="157"/>
      <c r="K82" s="154">
        <v>5700363955</v>
      </c>
      <c r="L82" s="227">
        <v>7888.1989999999996</v>
      </c>
      <c r="M82" s="157" t="s">
        <v>2149</v>
      </c>
      <c r="N82" s="227">
        <f t="shared" si="4"/>
        <v>16883.536362010505</v>
      </c>
      <c r="O82" s="152">
        <f t="shared" si="5"/>
        <v>523970.68636201031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2126</v>
      </c>
      <c r="I83" s="152"/>
      <c r="J83" s="157"/>
      <c r="K83" s="154">
        <v>5700363955</v>
      </c>
      <c r="L83" s="227">
        <v>15530.547</v>
      </c>
      <c r="M83" s="157" t="s">
        <v>2149</v>
      </c>
      <c r="N83" s="227">
        <f t="shared" si="4"/>
        <v>1352.9893620105049</v>
      </c>
      <c r="O83" s="152">
        <f t="shared" si="5"/>
        <v>508440.13936201029</v>
      </c>
    </row>
    <row r="84" spans="1:15" x14ac:dyDescent="0.15">
      <c r="A84" s="154"/>
      <c r="B84" s="151"/>
      <c r="C84" s="152"/>
      <c r="D84" s="323" t="s">
        <v>2127</v>
      </c>
      <c r="E84" s="154" t="s">
        <v>72</v>
      </c>
      <c r="F84" s="157" t="s">
        <v>2151</v>
      </c>
      <c r="G84" s="152">
        <v>20258.187000000005</v>
      </c>
      <c r="H84" s="323" t="s">
        <v>2127</v>
      </c>
      <c r="I84" s="152">
        <v>1352.9893620105049</v>
      </c>
      <c r="J84" s="157" t="s">
        <v>2149</v>
      </c>
      <c r="K84" s="154"/>
      <c r="L84" s="227"/>
      <c r="M84" s="157"/>
      <c r="N84" s="227">
        <f t="shared" si="4"/>
        <v>0</v>
      </c>
      <c r="O84" s="152">
        <f t="shared" si="5"/>
        <v>527345.33699999982</v>
      </c>
    </row>
    <row r="85" spans="1:15" x14ac:dyDescent="0.15">
      <c r="A85" s="154"/>
      <c r="B85" s="151"/>
      <c r="C85" s="152"/>
      <c r="D85" s="323" t="s">
        <v>2127</v>
      </c>
      <c r="E85" s="154" t="s">
        <v>72</v>
      </c>
      <c r="F85" s="157" t="s">
        <v>2152</v>
      </c>
      <c r="G85" s="152">
        <v>199709.818</v>
      </c>
      <c r="H85" s="323" t="s">
        <v>2127</v>
      </c>
      <c r="I85" s="152">
        <v>10442.6956379895</v>
      </c>
      <c r="J85" s="157" t="s">
        <v>2150</v>
      </c>
      <c r="K85" s="154">
        <v>5700363936</v>
      </c>
      <c r="L85" s="227">
        <v>11488.241</v>
      </c>
      <c r="M85" s="157" t="s">
        <v>2150</v>
      </c>
      <c r="N85" s="227">
        <f>G68+G76+N84-I85-L85</f>
        <v>308088.6193620105</v>
      </c>
      <c r="O85" s="152">
        <f t="shared" ref="O85:O86" si="20">O84+G85-I85-L85</f>
        <v>705124.2183620102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2127</v>
      </c>
      <c r="I86" s="152"/>
      <c r="J86" s="157"/>
      <c r="K86" s="154">
        <v>5700363936</v>
      </c>
      <c r="L86" s="227">
        <v>67632.774999999994</v>
      </c>
      <c r="M86" s="157" t="s">
        <v>2150</v>
      </c>
      <c r="N86" s="227">
        <f t="shared" ref="N86" si="21">+N85-I86-L86</f>
        <v>240455.84436201051</v>
      </c>
      <c r="O86" s="152">
        <f t="shared" si="20"/>
        <v>637491.44336201018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2127</v>
      </c>
      <c r="I87" s="152"/>
      <c r="J87" s="157"/>
      <c r="K87" s="154">
        <v>5700363936</v>
      </c>
      <c r="L87" s="227">
        <v>74872.365000000005</v>
      </c>
      <c r="M87" s="157" t="s">
        <v>2150</v>
      </c>
      <c r="N87" s="227">
        <f t="shared" ref="N87:N154" si="22">+N86-I87-L87</f>
        <v>165583.47936201049</v>
      </c>
      <c r="O87" s="152">
        <f t="shared" ref="O87:O154" si="23">O86+G87-I87-L87</f>
        <v>562619.07836201019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2127</v>
      </c>
      <c r="I88" s="152"/>
      <c r="J88" s="157"/>
      <c r="K88" s="154">
        <v>5700363936</v>
      </c>
      <c r="L88" s="227">
        <v>74164.09</v>
      </c>
      <c r="M88" s="157" t="s">
        <v>2150</v>
      </c>
      <c r="N88" s="227">
        <f t="shared" si="22"/>
        <v>91419.389362010494</v>
      </c>
      <c r="O88" s="152">
        <f t="shared" si="23"/>
        <v>488454.98836201022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2127</v>
      </c>
      <c r="I89" s="152"/>
      <c r="J89" s="157"/>
      <c r="K89" s="154">
        <v>5700363936</v>
      </c>
      <c r="L89" s="227">
        <v>7072.7610000000004</v>
      </c>
      <c r="M89" s="157" t="s">
        <v>2150</v>
      </c>
      <c r="N89" s="227">
        <f t="shared" si="22"/>
        <v>84346.628362010495</v>
      </c>
      <c r="O89" s="152">
        <f t="shared" si="23"/>
        <v>481382.22736201022</v>
      </c>
    </row>
    <row r="90" spans="1:15" x14ac:dyDescent="0.15">
      <c r="A90" s="154"/>
      <c r="B90" s="151"/>
      <c r="C90" s="152"/>
      <c r="D90" s="323" t="s">
        <v>2128</v>
      </c>
      <c r="E90" s="154" t="s">
        <v>72</v>
      </c>
      <c r="F90" s="157" t="s">
        <v>2152</v>
      </c>
      <c r="G90" s="152">
        <v>176089.41099999999</v>
      </c>
      <c r="H90" s="323" t="s">
        <v>2128</v>
      </c>
      <c r="I90" s="152">
        <v>11035.154999999999</v>
      </c>
      <c r="J90" s="157" t="s">
        <v>2150</v>
      </c>
      <c r="K90" s="154">
        <v>5700363936</v>
      </c>
      <c r="L90" s="227">
        <v>14790.955</v>
      </c>
      <c r="M90" s="157" t="s">
        <v>2150</v>
      </c>
      <c r="N90" s="227">
        <f t="shared" si="22"/>
        <v>58520.518362010494</v>
      </c>
      <c r="O90" s="152">
        <f t="shared" si="23"/>
        <v>631645.52836201026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2128</v>
      </c>
      <c r="I91" s="152"/>
      <c r="J91" s="157"/>
      <c r="K91" s="154">
        <v>5700363936</v>
      </c>
      <c r="L91" s="227">
        <v>11436.522999999999</v>
      </c>
      <c r="M91" s="157" t="s">
        <v>2150</v>
      </c>
      <c r="N91" s="227">
        <f t="shared" si="22"/>
        <v>47083.995362010493</v>
      </c>
      <c r="O91" s="152">
        <f t="shared" si="23"/>
        <v>620209.00536201021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2128</v>
      </c>
      <c r="I92" s="152"/>
      <c r="J92" s="157"/>
      <c r="K92" s="154">
        <v>5700363936</v>
      </c>
      <c r="L92" s="227">
        <v>33814.766000000003</v>
      </c>
      <c r="M92" s="157" t="s">
        <v>2150</v>
      </c>
      <c r="N92" s="227">
        <f t="shared" si="22"/>
        <v>13269.22936201049</v>
      </c>
      <c r="O92" s="152">
        <f t="shared" si="23"/>
        <v>586394.23936201027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2128</v>
      </c>
      <c r="I93" s="152"/>
      <c r="J93" s="157"/>
      <c r="K93" s="154">
        <v>5700363936</v>
      </c>
      <c r="L93" s="227">
        <v>13269.22936201049</v>
      </c>
      <c r="M93" s="157" t="s">
        <v>2150</v>
      </c>
      <c r="N93" s="227">
        <f t="shared" ref="N93:N96" si="24">+N92-I93-L93</f>
        <v>0</v>
      </c>
      <c r="O93" s="152">
        <f t="shared" ref="O93:O96" si="25">O92+G93-I93-L93</f>
        <v>573125.00999999978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2128</v>
      </c>
      <c r="I94" s="152"/>
      <c r="J94" s="157"/>
      <c r="K94" s="154">
        <v>5700363955</v>
      </c>
      <c r="L94" s="227">
        <v>58657.262637989501</v>
      </c>
      <c r="M94" s="157" t="s">
        <v>2151</v>
      </c>
      <c r="N94" s="227">
        <f>G77+G78+G84+N93-I94-L94</f>
        <v>138668.51836201048</v>
      </c>
      <c r="O94" s="152">
        <f t="shared" si="25"/>
        <v>514467.7473620103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2128</v>
      </c>
      <c r="I95" s="152"/>
      <c r="J95" s="157"/>
      <c r="K95" s="154">
        <v>5700363955</v>
      </c>
      <c r="L95" s="227">
        <v>3533.2080000000001</v>
      </c>
      <c r="M95" s="157" t="s">
        <v>2151</v>
      </c>
      <c r="N95" s="227">
        <f t="shared" si="24"/>
        <v>135135.31036201047</v>
      </c>
      <c r="O95" s="152">
        <f t="shared" si="25"/>
        <v>510934.53936201031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2128</v>
      </c>
      <c r="I96" s="152"/>
      <c r="J96" s="157"/>
      <c r="K96" s="154">
        <v>5700363955</v>
      </c>
      <c r="L96" s="227">
        <v>6929.4849999999997</v>
      </c>
      <c r="M96" s="157" t="s">
        <v>2151</v>
      </c>
      <c r="N96" s="227">
        <f t="shared" si="24"/>
        <v>128205.82536201047</v>
      </c>
      <c r="O96" s="152">
        <f t="shared" si="25"/>
        <v>504005.05436201033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2128</v>
      </c>
      <c r="I97" s="152"/>
      <c r="J97" s="157"/>
      <c r="K97" s="154">
        <v>5700363955</v>
      </c>
      <c r="L97" s="227">
        <v>16738.509999999998</v>
      </c>
      <c r="M97" s="157" t="s">
        <v>2151</v>
      </c>
      <c r="N97" s="227">
        <f t="shared" si="22"/>
        <v>111467.31536201047</v>
      </c>
      <c r="O97" s="152">
        <f t="shared" si="23"/>
        <v>487266.54436201032</v>
      </c>
    </row>
    <row r="98" spans="1:15" x14ac:dyDescent="0.15">
      <c r="A98" s="154"/>
      <c r="B98" s="151"/>
      <c r="C98" s="152"/>
      <c r="D98" s="323" t="s">
        <v>2129</v>
      </c>
      <c r="E98" s="154" t="s">
        <v>72</v>
      </c>
      <c r="F98" s="157" t="s">
        <v>2152</v>
      </c>
      <c r="G98" s="152">
        <v>176054.66099999999</v>
      </c>
      <c r="H98" s="323" t="s">
        <v>2129</v>
      </c>
      <c r="I98" s="152">
        <v>11715.352000000001</v>
      </c>
      <c r="J98" s="157" t="s">
        <v>2151</v>
      </c>
      <c r="K98" s="154">
        <v>5700363955</v>
      </c>
      <c r="L98" s="227">
        <v>32382.447</v>
      </c>
      <c r="M98" s="157" t="s">
        <v>2151</v>
      </c>
      <c r="N98" s="227">
        <f t="shared" si="22"/>
        <v>67369.516362010472</v>
      </c>
      <c r="O98" s="152">
        <f t="shared" si="23"/>
        <v>619223.40636201028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2129</v>
      </c>
      <c r="I99" s="152"/>
      <c r="J99" s="157"/>
      <c r="K99" s="154">
        <v>5700363955</v>
      </c>
      <c r="L99" s="227">
        <v>25942.016</v>
      </c>
      <c r="M99" s="157" t="s">
        <v>2151</v>
      </c>
      <c r="N99" s="227">
        <f t="shared" si="22"/>
        <v>41427.500362010469</v>
      </c>
      <c r="O99" s="152">
        <f t="shared" si="23"/>
        <v>593281.39036201034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2129</v>
      </c>
      <c r="I100" s="152"/>
      <c r="J100" s="157"/>
      <c r="K100" s="154">
        <v>5700363955</v>
      </c>
      <c r="L100" s="227">
        <v>9385.4750000000004</v>
      </c>
      <c r="M100" s="157" t="s">
        <v>2151</v>
      </c>
      <c r="N100" s="227">
        <f t="shared" si="22"/>
        <v>32042.02536201047</v>
      </c>
      <c r="O100" s="152">
        <f t="shared" si="23"/>
        <v>583895.91536201036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2129</v>
      </c>
      <c r="I101" s="152"/>
      <c r="J101" s="157"/>
      <c r="K101" s="154">
        <v>5700363955</v>
      </c>
      <c r="L101" s="227">
        <v>6646.2550000000001</v>
      </c>
      <c r="M101" s="157" t="s">
        <v>2151</v>
      </c>
      <c r="N101" s="227">
        <f t="shared" si="22"/>
        <v>25395.770362010469</v>
      </c>
      <c r="O101" s="152">
        <f t="shared" si="23"/>
        <v>577249.66036201036</v>
      </c>
    </row>
    <row r="102" spans="1:15" x14ac:dyDescent="0.15">
      <c r="A102" s="154"/>
      <c r="B102" s="151"/>
      <c r="C102" s="152"/>
      <c r="D102" s="323" t="s">
        <v>2130</v>
      </c>
      <c r="E102" s="154" t="s">
        <v>72</v>
      </c>
      <c r="F102" s="157" t="s">
        <v>2152</v>
      </c>
      <c r="G102" s="152">
        <v>132008.459</v>
      </c>
      <c r="H102" s="323" t="s">
        <v>2130</v>
      </c>
      <c r="I102" s="152">
        <v>12713.732</v>
      </c>
      <c r="J102" s="157" t="s">
        <v>2151</v>
      </c>
      <c r="K102" s="154">
        <v>5700363955</v>
      </c>
      <c r="L102" s="227">
        <v>10527.334000000001</v>
      </c>
      <c r="M102" s="157" t="s">
        <v>2151</v>
      </c>
      <c r="N102" s="227">
        <f t="shared" si="22"/>
        <v>2154.7043620104687</v>
      </c>
      <c r="O102" s="152">
        <f t="shared" si="23"/>
        <v>686017.0533620104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2130</v>
      </c>
      <c r="I103" s="152"/>
      <c r="J103" s="157"/>
      <c r="K103" s="154">
        <v>5700363955</v>
      </c>
      <c r="L103" s="227">
        <v>2154.7043620104687</v>
      </c>
      <c r="M103" s="157" t="s">
        <v>2151</v>
      </c>
      <c r="N103" s="227">
        <f t="shared" si="22"/>
        <v>0</v>
      </c>
      <c r="O103" s="152">
        <f t="shared" si="23"/>
        <v>683862.34899999993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2130</v>
      </c>
      <c r="I104" s="152"/>
      <c r="J104" s="157"/>
      <c r="K104" s="154">
        <v>5700363955</v>
      </c>
      <c r="L104" s="227">
        <v>77938.878637989503</v>
      </c>
      <c r="M104" s="157" t="s">
        <v>2152</v>
      </c>
      <c r="N104" s="227">
        <f>G85+G90+G98+G102+G111+N103-I104-L104</f>
        <v>626181.65736201068</v>
      </c>
      <c r="O104" s="152">
        <f t="shared" ref="O104:O108" si="26">O103+G104-I104-L104</f>
        <v>605923.47036201041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2130</v>
      </c>
      <c r="I105" s="152"/>
      <c r="J105" s="157"/>
      <c r="K105" s="154">
        <v>5700363955</v>
      </c>
      <c r="L105" s="227">
        <v>3864.9580000000001</v>
      </c>
      <c r="M105" s="157" t="s">
        <v>2152</v>
      </c>
      <c r="N105" s="227">
        <f t="shared" ref="N105:N108" si="27">+N104-I105-L105</f>
        <v>622316.6993620107</v>
      </c>
      <c r="O105" s="152">
        <f t="shared" si="26"/>
        <v>602058.51236201043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2130</v>
      </c>
      <c r="I106" s="152"/>
      <c r="J106" s="157"/>
      <c r="K106" s="154">
        <v>5700363955</v>
      </c>
      <c r="L106" s="227">
        <v>1123.2280000000001</v>
      </c>
      <c r="M106" s="157" t="s">
        <v>2152</v>
      </c>
      <c r="N106" s="227">
        <f t="shared" si="27"/>
        <v>621193.47136201069</v>
      </c>
      <c r="O106" s="152">
        <f t="shared" si="26"/>
        <v>600935.28436201042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2130</v>
      </c>
      <c r="I107" s="152"/>
      <c r="J107" s="157"/>
      <c r="K107" s="154">
        <v>5700363955</v>
      </c>
      <c r="L107" s="227">
        <v>774.15700000000004</v>
      </c>
      <c r="M107" s="157" t="s">
        <v>2152</v>
      </c>
      <c r="N107" s="227">
        <f t="shared" si="27"/>
        <v>620419.31436201069</v>
      </c>
      <c r="O107" s="152">
        <f t="shared" si="26"/>
        <v>600161.12736201042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2130</v>
      </c>
      <c r="I108" s="152"/>
      <c r="J108" s="157"/>
      <c r="K108" s="154">
        <v>5700363955</v>
      </c>
      <c r="L108" s="227">
        <v>4597.9319999999998</v>
      </c>
      <c r="M108" s="157" t="s">
        <v>2152</v>
      </c>
      <c r="N108" s="227">
        <f t="shared" si="27"/>
        <v>615821.38236201066</v>
      </c>
      <c r="O108" s="152">
        <f t="shared" si="26"/>
        <v>595563.19536201039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2130</v>
      </c>
      <c r="I109" s="152"/>
      <c r="J109" s="157"/>
      <c r="K109" s="154">
        <v>5700363955</v>
      </c>
      <c r="L109" s="227">
        <v>31576.401999999998</v>
      </c>
      <c r="M109" s="157" t="s">
        <v>2152</v>
      </c>
      <c r="N109" s="227">
        <f t="shared" si="22"/>
        <v>584244.98036201065</v>
      </c>
      <c r="O109" s="152">
        <f t="shared" si="23"/>
        <v>563986.79336201039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2130</v>
      </c>
      <c r="I110" s="152"/>
      <c r="J110" s="157"/>
      <c r="K110" s="154">
        <v>5700363955</v>
      </c>
      <c r="L110" s="227">
        <v>15953.234</v>
      </c>
      <c r="M110" s="157" t="s">
        <v>2152</v>
      </c>
      <c r="N110" s="227">
        <f t="shared" si="22"/>
        <v>568291.7463620106</v>
      </c>
      <c r="O110" s="152">
        <f t="shared" si="23"/>
        <v>548033.55936201033</v>
      </c>
    </row>
    <row r="111" spans="1:15" x14ac:dyDescent="0.15">
      <c r="A111" s="154"/>
      <c r="B111" s="151"/>
      <c r="C111" s="152"/>
      <c r="D111" s="323" t="s">
        <v>2131</v>
      </c>
      <c r="E111" s="154" t="s">
        <v>72</v>
      </c>
      <c r="F111" s="157" t="s">
        <v>2152</v>
      </c>
      <c r="G111" s="152">
        <v>20258.187000000151</v>
      </c>
      <c r="H111" s="323" t="s">
        <v>2131</v>
      </c>
      <c r="I111" s="152">
        <v>10903.878000000001</v>
      </c>
      <c r="J111" s="157" t="s">
        <v>2152</v>
      </c>
      <c r="K111" s="154">
        <v>5700363955</v>
      </c>
      <c r="L111" s="227">
        <v>12469.316999999999</v>
      </c>
      <c r="M111" s="157" t="s">
        <v>2152</v>
      </c>
      <c r="N111" s="227">
        <f t="shared" si="22"/>
        <v>544918.55136201053</v>
      </c>
      <c r="O111" s="152">
        <f t="shared" si="23"/>
        <v>544918.55136201042</v>
      </c>
    </row>
    <row r="112" spans="1:15" x14ac:dyDescent="0.15">
      <c r="A112" s="154"/>
      <c r="B112" s="151"/>
      <c r="C112" s="152"/>
      <c r="D112" s="323" t="s">
        <v>2131</v>
      </c>
      <c r="E112" s="154" t="s">
        <v>72</v>
      </c>
      <c r="F112" s="157" t="s">
        <v>2153</v>
      </c>
      <c r="G112" s="152">
        <v>111898.743</v>
      </c>
      <c r="H112" s="323" t="s">
        <v>2131</v>
      </c>
      <c r="I112" s="152"/>
      <c r="J112" s="157"/>
      <c r="K112" s="154">
        <v>5700363955</v>
      </c>
      <c r="L112" s="227">
        <v>76800.91</v>
      </c>
      <c r="M112" s="157" t="s">
        <v>2152</v>
      </c>
      <c r="N112" s="227">
        <f t="shared" si="22"/>
        <v>468117.6413620105</v>
      </c>
      <c r="O112" s="152">
        <f t="shared" si="23"/>
        <v>580016.3843620104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2131</v>
      </c>
      <c r="I113" s="152"/>
      <c r="J113" s="157"/>
      <c r="K113" s="154">
        <v>5700363955</v>
      </c>
      <c r="L113" s="227">
        <v>82061.574999999997</v>
      </c>
      <c r="M113" s="157" t="s">
        <v>2152</v>
      </c>
      <c r="N113" s="227">
        <f t="shared" si="22"/>
        <v>386056.06636201049</v>
      </c>
      <c r="O113" s="152">
        <f t="shared" si="23"/>
        <v>497954.80936201039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2131</v>
      </c>
      <c r="I114" s="152"/>
      <c r="J114" s="157"/>
      <c r="K114" s="154">
        <v>5700363955</v>
      </c>
      <c r="L114" s="227">
        <v>79302.778000000006</v>
      </c>
      <c r="M114" s="157" t="s">
        <v>2152</v>
      </c>
      <c r="N114" s="227">
        <f t="shared" si="22"/>
        <v>306753.2883620105</v>
      </c>
      <c r="O114" s="152">
        <f t="shared" si="23"/>
        <v>418652.0313620104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2131</v>
      </c>
      <c r="I115" s="152"/>
      <c r="J115" s="157"/>
      <c r="K115" s="154">
        <v>5700363955</v>
      </c>
      <c r="L115" s="227">
        <v>9537.1630000000005</v>
      </c>
      <c r="M115" s="157" t="s">
        <v>2152</v>
      </c>
      <c r="N115" s="227">
        <f t="shared" si="22"/>
        <v>297216.1253620105</v>
      </c>
      <c r="O115" s="152">
        <f t="shared" si="23"/>
        <v>409114.8683620104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2131</v>
      </c>
      <c r="I116" s="152"/>
      <c r="J116" s="157"/>
      <c r="K116" s="154">
        <v>5700363955</v>
      </c>
      <c r="L116" s="227">
        <v>6521.692</v>
      </c>
      <c r="M116" s="157" t="s">
        <v>2152</v>
      </c>
      <c r="N116" s="227">
        <f t="shared" si="22"/>
        <v>290694.43336201052</v>
      </c>
      <c r="O116" s="152">
        <f t="shared" si="23"/>
        <v>402593.17636201042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2131</v>
      </c>
      <c r="I117" s="152"/>
      <c r="J117" s="157"/>
      <c r="K117" s="154">
        <v>5700363955</v>
      </c>
      <c r="L117" s="227">
        <v>37091.186999999998</v>
      </c>
      <c r="M117" s="157" t="s">
        <v>2152</v>
      </c>
      <c r="N117" s="227">
        <f t="shared" si="22"/>
        <v>253603.24636201051</v>
      </c>
      <c r="O117" s="152">
        <f t="shared" si="23"/>
        <v>365501.98936201044</v>
      </c>
    </row>
    <row r="118" spans="1:15" x14ac:dyDescent="0.15">
      <c r="A118" s="154"/>
      <c r="B118" s="151"/>
      <c r="C118" s="152"/>
      <c r="D118" s="323" t="s">
        <v>2132</v>
      </c>
      <c r="E118" s="154" t="s">
        <v>72</v>
      </c>
      <c r="F118" s="157" t="s">
        <v>2153</v>
      </c>
      <c r="G118" s="152">
        <v>176214.44200000001</v>
      </c>
      <c r="H118" s="323" t="s">
        <v>2132</v>
      </c>
      <c r="I118" s="152">
        <v>14983.071</v>
      </c>
      <c r="J118" s="157" t="s">
        <v>2152</v>
      </c>
      <c r="K118" s="154">
        <v>5700363955</v>
      </c>
      <c r="L118" s="227">
        <v>11645.9</v>
      </c>
      <c r="M118" s="157" t="s">
        <v>2152</v>
      </c>
      <c r="N118" s="227">
        <f t="shared" si="22"/>
        <v>226974.27536201052</v>
      </c>
      <c r="O118" s="152">
        <f t="shared" si="23"/>
        <v>515087.4603620104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2132</v>
      </c>
      <c r="I119" s="152"/>
      <c r="J119" s="157"/>
      <c r="K119" s="154">
        <v>5700363955</v>
      </c>
      <c r="L119" s="227">
        <v>6608.66</v>
      </c>
      <c r="M119" s="157" t="s">
        <v>2152</v>
      </c>
      <c r="N119" s="227">
        <f t="shared" si="22"/>
        <v>220365.61536201052</v>
      </c>
      <c r="O119" s="152">
        <f t="shared" si="23"/>
        <v>508478.80036201043</v>
      </c>
    </row>
    <row r="120" spans="1:15" x14ac:dyDescent="0.15">
      <c r="A120" s="154"/>
      <c r="B120" s="151"/>
      <c r="C120" s="152"/>
      <c r="D120" s="323" t="s">
        <v>2133</v>
      </c>
      <c r="E120" s="154" t="s">
        <v>72</v>
      </c>
      <c r="F120" s="157" t="s">
        <v>2154</v>
      </c>
      <c r="G120" s="152">
        <v>176196.77600000001</v>
      </c>
      <c r="H120" s="323" t="s">
        <v>2133</v>
      </c>
      <c r="I120" s="152">
        <v>14036.771000000001</v>
      </c>
      <c r="J120" s="157" t="s">
        <v>2152</v>
      </c>
      <c r="K120" s="154">
        <v>5700363955</v>
      </c>
      <c r="L120" s="227">
        <v>12217.353999999999</v>
      </c>
      <c r="M120" s="157" t="s">
        <v>2152</v>
      </c>
      <c r="N120" s="227">
        <f t="shared" si="22"/>
        <v>194111.49036201052</v>
      </c>
      <c r="O120" s="152">
        <f t="shared" si="23"/>
        <v>658421.45136201044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2133</v>
      </c>
      <c r="I121" s="152"/>
      <c r="J121" s="157"/>
      <c r="K121" s="154">
        <v>5700363955</v>
      </c>
      <c r="L121" s="227">
        <v>14107.513999999999</v>
      </c>
      <c r="M121" s="157" t="s">
        <v>2152</v>
      </c>
      <c r="N121" s="227">
        <f t="shared" si="22"/>
        <v>180003.97636201052</v>
      </c>
      <c r="O121" s="152">
        <f t="shared" si="23"/>
        <v>644313.93736201047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2133</v>
      </c>
      <c r="I122" s="152"/>
      <c r="J122" s="157"/>
      <c r="K122" s="154">
        <v>5700363955</v>
      </c>
      <c r="L122" s="227">
        <v>14022.281000000001</v>
      </c>
      <c r="M122" s="157" t="s">
        <v>2152</v>
      </c>
      <c r="N122" s="227">
        <f t="shared" si="22"/>
        <v>165981.69536201053</v>
      </c>
      <c r="O122" s="152">
        <f t="shared" si="23"/>
        <v>630291.65636201052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2133</v>
      </c>
      <c r="I123" s="152"/>
      <c r="J123" s="157"/>
      <c r="K123" s="154">
        <v>5700363955</v>
      </c>
      <c r="L123" s="227">
        <v>59783.21</v>
      </c>
      <c r="M123" s="157" t="s">
        <v>2152</v>
      </c>
      <c r="N123" s="227">
        <f t="shared" si="22"/>
        <v>106198.48536201054</v>
      </c>
      <c r="O123" s="152">
        <f t="shared" si="23"/>
        <v>570508.44636201055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2133</v>
      </c>
      <c r="I124" s="152"/>
      <c r="J124" s="157"/>
      <c r="K124" s="154">
        <v>5700363955</v>
      </c>
      <c r="L124" s="227">
        <v>68366.642999999996</v>
      </c>
      <c r="M124" s="157" t="s">
        <v>2152</v>
      </c>
      <c r="N124" s="227">
        <f t="shared" si="22"/>
        <v>37831.842362010546</v>
      </c>
      <c r="O124" s="152">
        <f t="shared" si="23"/>
        <v>502141.80336201057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2133</v>
      </c>
      <c r="I125" s="152"/>
      <c r="J125" s="157"/>
      <c r="K125" s="154">
        <v>5700363955</v>
      </c>
      <c r="L125" s="227">
        <v>10016.919</v>
      </c>
      <c r="M125" s="157" t="s">
        <v>2152</v>
      </c>
      <c r="N125" s="227">
        <f t="shared" si="22"/>
        <v>27814.923362010544</v>
      </c>
      <c r="O125" s="152">
        <f t="shared" si="23"/>
        <v>492124.88436201058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2133</v>
      </c>
      <c r="I126" s="152"/>
      <c r="J126" s="157"/>
      <c r="K126" s="154">
        <v>5700363955</v>
      </c>
      <c r="L126" s="227">
        <v>1379.3</v>
      </c>
      <c r="M126" s="157" t="s">
        <v>2152</v>
      </c>
      <c r="N126" s="227">
        <f t="shared" si="22"/>
        <v>26435.623362010545</v>
      </c>
      <c r="O126" s="152">
        <f t="shared" si="23"/>
        <v>490745.58436201059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2133</v>
      </c>
      <c r="I127" s="152"/>
      <c r="J127" s="157"/>
      <c r="K127" s="154">
        <v>5700363955</v>
      </c>
      <c r="L127" s="227">
        <v>6413.7470000000003</v>
      </c>
      <c r="M127" s="157" t="s">
        <v>2152</v>
      </c>
      <c r="N127" s="227">
        <f t="shared" si="22"/>
        <v>20021.876362010546</v>
      </c>
      <c r="O127" s="152">
        <f t="shared" si="23"/>
        <v>484331.83736201061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2133</v>
      </c>
      <c r="I128" s="152"/>
      <c r="J128" s="157"/>
      <c r="K128" s="154">
        <v>5700363955</v>
      </c>
      <c r="L128" s="227">
        <v>15889.941000000001</v>
      </c>
      <c r="M128" s="157" t="s">
        <v>2152</v>
      </c>
      <c r="N128" s="227">
        <f t="shared" si="22"/>
        <v>4131.9353620105448</v>
      </c>
      <c r="O128" s="152">
        <f t="shared" si="23"/>
        <v>468441.89636201062</v>
      </c>
    </row>
    <row r="129" spans="1:15" x14ac:dyDescent="0.15">
      <c r="A129" s="154"/>
      <c r="B129" s="151"/>
      <c r="C129" s="152"/>
      <c r="D129" s="323" t="s">
        <v>2134</v>
      </c>
      <c r="E129" s="154" t="s">
        <v>72</v>
      </c>
      <c r="F129" s="157" t="s">
        <v>2155</v>
      </c>
      <c r="G129" s="152">
        <v>176231.83100000001</v>
      </c>
      <c r="H129" s="323" t="s">
        <v>2134</v>
      </c>
      <c r="I129" s="152">
        <v>4131.9353620105448</v>
      </c>
      <c r="J129" s="157" t="s">
        <v>2152</v>
      </c>
      <c r="K129" s="154"/>
      <c r="L129" s="227"/>
      <c r="M129" s="157"/>
      <c r="N129" s="227">
        <f t="shared" ref="N129:N133" si="28">+N128-I129-L129</f>
        <v>0</v>
      </c>
      <c r="O129" s="152">
        <f t="shared" ref="O129:O133" si="29">O128+G129-I129-L129</f>
        <v>640541.79200000013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2134</v>
      </c>
      <c r="I130" s="152">
        <v>15523.028637989501</v>
      </c>
      <c r="J130" s="157" t="s">
        <v>2153</v>
      </c>
      <c r="K130" s="154">
        <v>5700363955</v>
      </c>
      <c r="L130" s="227">
        <v>10798.905000000001</v>
      </c>
      <c r="M130" s="157" t="s">
        <v>2153</v>
      </c>
      <c r="N130" s="227">
        <f>G112+G118+N129-I130-L130</f>
        <v>261791.25136201052</v>
      </c>
      <c r="O130" s="152">
        <f t="shared" si="29"/>
        <v>614219.85836201056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2134</v>
      </c>
      <c r="I131" s="152"/>
      <c r="J131" s="157"/>
      <c r="K131" s="154">
        <v>5700363955</v>
      </c>
      <c r="L131" s="227">
        <v>62713.642</v>
      </c>
      <c r="M131" s="157" t="s">
        <v>2153</v>
      </c>
      <c r="N131" s="227">
        <f t="shared" si="28"/>
        <v>199077.60936201052</v>
      </c>
      <c r="O131" s="152">
        <f t="shared" si="29"/>
        <v>551506.21636201057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2134</v>
      </c>
      <c r="I132" s="152"/>
      <c r="J132" s="157"/>
      <c r="K132" s="154">
        <v>5700363955</v>
      </c>
      <c r="L132" s="227">
        <v>77210.172999999995</v>
      </c>
      <c r="M132" s="157" t="s">
        <v>2153</v>
      </c>
      <c r="N132" s="227">
        <f t="shared" si="28"/>
        <v>121867.43636201053</v>
      </c>
      <c r="O132" s="152">
        <f t="shared" si="29"/>
        <v>474296.04336201056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2134</v>
      </c>
      <c r="I133" s="152"/>
      <c r="J133" s="157"/>
      <c r="K133" s="154">
        <v>5700363955</v>
      </c>
      <c r="L133" s="227">
        <v>76322.263000000006</v>
      </c>
      <c r="M133" s="157" t="s">
        <v>2153</v>
      </c>
      <c r="N133" s="227">
        <f t="shared" si="28"/>
        <v>45545.173362010522</v>
      </c>
      <c r="O133" s="152">
        <f t="shared" si="29"/>
        <v>397973.78036201058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2134</v>
      </c>
      <c r="I134" s="152"/>
      <c r="J134" s="157"/>
      <c r="K134" s="154">
        <v>5700363955</v>
      </c>
      <c r="L134" s="227">
        <v>610</v>
      </c>
      <c r="M134" s="157" t="s">
        <v>2153</v>
      </c>
      <c r="N134" s="227">
        <f t="shared" si="22"/>
        <v>44935.173362010522</v>
      </c>
      <c r="O134" s="152">
        <f t="shared" si="23"/>
        <v>397363.78036201058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2134</v>
      </c>
      <c r="I135" s="152"/>
      <c r="J135" s="157"/>
      <c r="K135" s="154">
        <v>5700363955</v>
      </c>
      <c r="L135" s="227">
        <v>6507</v>
      </c>
      <c r="M135" s="157" t="s">
        <v>2153</v>
      </c>
      <c r="N135" s="227">
        <f t="shared" si="22"/>
        <v>38428.173362010522</v>
      </c>
      <c r="O135" s="152">
        <f t="shared" si="23"/>
        <v>390856.78036201058</v>
      </c>
    </row>
    <row r="136" spans="1:15" x14ac:dyDescent="0.15">
      <c r="A136" s="154"/>
      <c r="B136" s="151"/>
      <c r="C136" s="152"/>
      <c r="D136" s="323" t="s">
        <v>2135</v>
      </c>
      <c r="E136" s="154" t="s">
        <v>72</v>
      </c>
      <c r="F136" s="157" t="s">
        <v>2155</v>
      </c>
      <c r="G136" s="152">
        <v>176268.166</v>
      </c>
      <c r="H136" s="323" t="s">
        <v>2135</v>
      </c>
      <c r="I136" s="152">
        <v>14184.843000000001</v>
      </c>
      <c r="J136" s="157" t="s">
        <v>2153</v>
      </c>
      <c r="K136" s="154">
        <v>5700363955</v>
      </c>
      <c r="L136" s="227">
        <v>11705.486000000001</v>
      </c>
      <c r="M136" s="157" t="s">
        <v>2153</v>
      </c>
      <c r="N136" s="227">
        <f t="shared" si="22"/>
        <v>12537.844362010521</v>
      </c>
      <c r="O136" s="152">
        <f t="shared" si="23"/>
        <v>541234.61736201053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2135</v>
      </c>
      <c r="I137" s="152"/>
      <c r="J137" s="157"/>
      <c r="K137" s="154">
        <v>5700363955</v>
      </c>
      <c r="L137" s="227">
        <v>5565.1279999999997</v>
      </c>
      <c r="M137" s="157" t="s">
        <v>2153</v>
      </c>
      <c r="N137" s="227">
        <f t="shared" si="22"/>
        <v>6972.7163620105212</v>
      </c>
      <c r="O137" s="152">
        <f t="shared" si="23"/>
        <v>535669.4893620105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2135</v>
      </c>
      <c r="I138" s="152"/>
      <c r="J138" s="157"/>
      <c r="K138" s="154">
        <v>5700363955</v>
      </c>
      <c r="L138" s="227">
        <v>6972.7163620105212</v>
      </c>
      <c r="M138" s="157" t="s">
        <v>2153</v>
      </c>
      <c r="N138" s="227">
        <f t="shared" ref="N138:N143" si="30">+N137-I138-L138</f>
        <v>0</v>
      </c>
      <c r="O138" s="152">
        <f t="shared" ref="O138:O143" si="31">O137+G138-I138-L138</f>
        <v>528696.77299999993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2135</v>
      </c>
      <c r="I139" s="152"/>
      <c r="J139" s="157"/>
      <c r="K139" s="154">
        <v>5700363936</v>
      </c>
      <c r="L139" s="227">
        <v>8414.4026379894804</v>
      </c>
      <c r="M139" s="157" t="s">
        <v>2154</v>
      </c>
      <c r="N139" s="227">
        <f>G120+N138-I139-L139</f>
        <v>167782.37336201052</v>
      </c>
      <c r="O139" s="152">
        <f t="shared" si="31"/>
        <v>520282.37036201044</v>
      </c>
    </row>
    <row r="140" spans="1:15" x14ac:dyDescent="0.15">
      <c r="A140" s="154"/>
      <c r="B140" s="151"/>
      <c r="C140" s="152"/>
      <c r="D140" s="323" t="s">
        <v>2136</v>
      </c>
      <c r="E140" s="154" t="s">
        <v>72</v>
      </c>
      <c r="F140" s="157" t="s">
        <v>2156</v>
      </c>
      <c r="G140" s="152">
        <v>132213.97399999999</v>
      </c>
      <c r="H140" s="323" t="s">
        <v>2136</v>
      </c>
      <c r="I140" s="152">
        <v>10068.232</v>
      </c>
      <c r="J140" s="157" t="s">
        <v>2154</v>
      </c>
      <c r="K140" s="154">
        <v>5700363936</v>
      </c>
      <c r="L140" s="227">
        <v>64030</v>
      </c>
      <c r="M140" s="157" t="s">
        <v>2154</v>
      </c>
      <c r="N140" s="227">
        <f t="shared" si="30"/>
        <v>93684.14136201053</v>
      </c>
      <c r="O140" s="152">
        <f t="shared" si="31"/>
        <v>578398.11236201052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2136</v>
      </c>
      <c r="I141" s="152"/>
      <c r="J141" s="157"/>
      <c r="K141" s="154">
        <v>5700363936</v>
      </c>
      <c r="L141" s="227">
        <v>776</v>
      </c>
      <c r="M141" s="157" t="s">
        <v>2154</v>
      </c>
      <c r="N141" s="227">
        <f t="shared" si="30"/>
        <v>92908.14136201053</v>
      </c>
      <c r="O141" s="152">
        <f t="shared" si="31"/>
        <v>577622.11236201052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2136</v>
      </c>
      <c r="I142" s="152"/>
      <c r="J142" s="157"/>
      <c r="K142" s="154">
        <v>5700363936</v>
      </c>
      <c r="L142" s="227">
        <v>9389</v>
      </c>
      <c r="M142" s="157" t="s">
        <v>2154</v>
      </c>
      <c r="N142" s="227">
        <f t="shared" si="30"/>
        <v>83519.14136201053</v>
      </c>
      <c r="O142" s="152">
        <f t="shared" si="31"/>
        <v>568233.11236201052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2136</v>
      </c>
      <c r="I143" s="152"/>
      <c r="J143" s="157"/>
      <c r="K143" s="154">
        <v>5700363936</v>
      </c>
      <c r="L143" s="227">
        <v>41540</v>
      </c>
      <c r="M143" s="157" t="s">
        <v>2154</v>
      </c>
      <c r="N143" s="227">
        <f t="shared" si="30"/>
        <v>41979.14136201053</v>
      </c>
      <c r="O143" s="152">
        <f t="shared" si="31"/>
        <v>526693.11236201052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2136</v>
      </c>
      <c r="I144" s="152"/>
      <c r="J144" s="157"/>
      <c r="K144" s="154">
        <v>5700363936</v>
      </c>
      <c r="L144" s="227">
        <v>6119</v>
      </c>
      <c r="M144" s="157" t="s">
        <v>2154</v>
      </c>
      <c r="N144" s="227">
        <f t="shared" si="22"/>
        <v>35860.14136201053</v>
      </c>
      <c r="O144" s="152">
        <f t="shared" si="23"/>
        <v>520574.11236201052</v>
      </c>
    </row>
    <row r="145" spans="1:15" x14ac:dyDescent="0.15">
      <c r="A145" s="154"/>
      <c r="B145" s="151"/>
      <c r="C145" s="152"/>
      <c r="D145" s="323" t="s">
        <v>2137</v>
      </c>
      <c r="E145" s="154" t="s">
        <v>72</v>
      </c>
      <c r="F145" s="157" t="s">
        <v>2156</v>
      </c>
      <c r="G145" s="152">
        <v>119719.92700000003</v>
      </c>
      <c r="H145" s="323" t="s">
        <v>2137</v>
      </c>
      <c r="I145" s="152">
        <v>15282.963</v>
      </c>
      <c r="J145" s="157" t="s">
        <v>2154</v>
      </c>
      <c r="K145" s="154">
        <v>5700363936</v>
      </c>
      <c r="L145" s="227">
        <v>10925.321</v>
      </c>
      <c r="M145" s="157" t="s">
        <v>2154</v>
      </c>
      <c r="N145" s="227">
        <f t="shared" si="22"/>
        <v>9651.8573620105308</v>
      </c>
      <c r="O145" s="152">
        <f t="shared" si="23"/>
        <v>614085.75536201056</v>
      </c>
    </row>
    <row r="146" spans="1:15" x14ac:dyDescent="0.15">
      <c r="A146" s="154"/>
      <c r="B146" s="151"/>
      <c r="C146" s="152"/>
      <c r="D146" s="323" t="s">
        <v>2137</v>
      </c>
      <c r="E146" s="154" t="s">
        <v>72</v>
      </c>
      <c r="F146" s="157" t="s">
        <v>2157</v>
      </c>
      <c r="G146" s="152">
        <v>56517.62</v>
      </c>
      <c r="H146" s="323" t="s">
        <v>2137</v>
      </c>
      <c r="I146" s="152"/>
      <c r="J146" s="157"/>
      <c r="K146" s="154">
        <v>5700363936</v>
      </c>
      <c r="L146" s="227">
        <v>9651.8573620105308</v>
      </c>
      <c r="M146" s="157" t="s">
        <v>2154</v>
      </c>
      <c r="N146" s="227">
        <f t="shared" si="22"/>
        <v>0</v>
      </c>
      <c r="O146" s="152">
        <f t="shared" si="23"/>
        <v>660951.51800000004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2137</v>
      </c>
      <c r="I147" s="152"/>
      <c r="J147" s="157"/>
      <c r="K147" s="154">
        <v>5700363955</v>
      </c>
      <c r="L147" s="227">
        <v>58171.759637989497</v>
      </c>
      <c r="M147" s="157" t="s">
        <v>2155</v>
      </c>
      <c r="N147" s="227">
        <f>G129+G136+N146-I147-L147</f>
        <v>294328.23736201046</v>
      </c>
      <c r="O147" s="152">
        <f t="shared" ref="O147:O151" si="32">O146+G147-I147-L147</f>
        <v>602779.75836201059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2137</v>
      </c>
      <c r="I148" s="152"/>
      <c r="J148" s="157"/>
      <c r="K148" s="154">
        <v>5700363955</v>
      </c>
      <c r="L148" s="227">
        <v>83345.335999999996</v>
      </c>
      <c r="M148" s="157" t="s">
        <v>2155</v>
      </c>
      <c r="N148" s="227">
        <f t="shared" ref="N148:N151" si="33">+N147-I148-L148</f>
        <v>210982.90136201045</v>
      </c>
      <c r="O148" s="152">
        <f t="shared" si="32"/>
        <v>519434.42236201058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2137</v>
      </c>
      <c r="I149" s="152"/>
      <c r="J149" s="157"/>
      <c r="K149" s="154">
        <v>5700363955</v>
      </c>
      <c r="L149" s="227">
        <v>79562.186000000002</v>
      </c>
      <c r="M149" s="157" t="s">
        <v>2155</v>
      </c>
      <c r="N149" s="227">
        <f t="shared" si="33"/>
        <v>131420.71536201047</v>
      </c>
      <c r="O149" s="152">
        <f t="shared" si="32"/>
        <v>439872.23636201059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2137</v>
      </c>
      <c r="I150" s="152"/>
      <c r="J150" s="157"/>
      <c r="K150" s="154">
        <v>5700363955</v>
      </c>
      <c r="L150" s="227">
        <v>4323.6850000000004</v>
      </c>
      <c r="M150" s="157" t="s">
        <v>2155</v>
      </c>
      <c r="N150" s="227">
        <f t="shared" si="33"/>
        <v>127097.03036201047</v>
      </c>
      <c r="O150" s="152">
        <f t="shared" si="32"/>
        <v>435548.55136201059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2137</v>
      </c>
      <c r="I151" s="152"/>
      <c r="J151" s="157"/>
      <c r="K151" s="154">
        <v>5700363955</v>
      </c>
      <c r="L151" s="227">
        <v>13766.812</v>
      </c>
      <c r="M151" s="157" t="s">
        <v>2155</v>
      </c>
      <c r="N151" s="227">
        <f t="shared" si="33"/>
        <v>113330.21836201046</v>
      </c>
      <c r="O151" s="152">
        <f t="shared" si="32"/>
        <v>421781.73936201062</v>
      </c>
    </row>
    <row r="152" spans="1:15" x14ac:dyDescent="0.15">
      <c r="A152" s="154"/>
      <c r="B152" s="151"/>
      <c r="C152" s="152"/>
      <c r="D152" s="323" t="s">
        <v>2138</v>
      </c>
      <c r="E152" s="154" t="s">
        <v>72</v>
      </c>
      <c r="F152" s="157" t="s">
        <v>2157</v>
      </c>
      <c r="G152" s="152">
        <v>176329.897</v>
      </c>
      <c r="H152" s="323" t="s">
        <v>2138</v>
      </c>
      <c r="I152" s="152">
        <v>14632.989000000001</v>
      </c>
      <c r="J152" s="157" t="s">
        <v>2155</v>
      </c>
      <c r="K152" s="154">
        <v>5700363955</v>
      </c>
      <c r="L152" s="227">
        <v>14482.371999999999</v>
      </c>
      <c r="M152" s="157" t="s">
        <v>2155</v>
      </c>
      <c r="N152" s="227">
        <f t="shared" si="22"/>
        <v>84214.857362010458</v>
      </c>
      <c r="O152" s="152">
        <f t="shared" si="23"/>
        <v>568996.27536201058</v>
      </c>
    </row>
    <row r="153" spans="1:15" x14ac:dyDescent="0.15">
      <c r="A153" s="154"/>
      <c r="B153" s="151"/>
      <c r="C153" s="152"/>
      <c r="D153" s="323" t="s">
        <v>2138</v>
      </c>
      <c r="E153" s="154" t="s">
        <v>72</v>
      </c>
      <c r="F153" s="157" t="s">
        <v>2158</v>
      </c>
      <c r="G153" s="152">
        <v>88171.293999999994</v>
      </c>
      <c r="H153" s="323" t="s">
        <v>2138</v>
      </c>
      <c r="I153" s="152"/>
      <c r="J153" s="157"/>
      <c r="K153" s="154">
        <v>5700363955</v>
      </c>
      <c r="L153" s="227">
        <v>10521.964</v>
      </c>
      <c r="M153" s="157" t="s">
        <v>2155</v>
      </c>
      <c r="N153" s="227">
        <f t="shared" si="22"/>
        <v>73692.893362010451</v>
      </c>
      <c r="O153" s="152">
        <f t="shared" si="23"/>
        <v>646645.60536201054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2138</v>
      </c>
      <c r="I154" s="152"/>
      <c r="J154" s="157"/>
      <c r="K154" s="154">
        <v>5700363955</v>
      </c>
      <c r="L154" s="227">
        <v>14868.582</v>
      </c>
      <c r="M154" s="157" t="s">
        <v>2155</v>
      </c>
      <c r="N154" s="227">
        <f t="shared" si="22"/>
        <v>58824.311362010449</v>
      </c>
      <c r="O154" s="152">
        <f t="shared" si="23"/>
        <v>631777.02336201048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2138</v>
      </c>
      <c r="I155" s="152"/>
      <c r="J155" s="157"/>
      <c r="K155" s="154">
        <v>5700363955</v>
      </c>
      <c r="L155" s="227">
        <v>34498.078999999998</v>
      </c>
      <c r="M155" s="157" t="s">
        <v>2155</v>
      </c>
      <c r="N155" s="227">
        <f t="shared" ref="N155:N172" si="34">+N154-I155-L155</f>
        <v>24326.232362010451</v>
      </c>
      <c r="O155" s="152">
        <f t="shared" ref="O155:O172" si="35">O154+G155-I155-L155</f>
        <v>597278.94436201046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2138</v>
      </c>
      <c r="I156" s="152"/>
      <c r="J156" s="157"/>
      <c r="K156" s="154">
        <v>5700363955</v>
      </c>
      <c r="L156" s="227">
        <v>24326.232362010451</v>
      </c>
      <c r="M156" s="157" t="s">
        <v>2155</v>
      </c>
      <c r="N156" s="227">
        <f t="shared" si="34"/>
        <v>0</v>
      </c>
      <c r="O156" s="152">
        <f t="shared" si="35"/>
        <v>572952.71200000006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2138</v>
      </c>
      <c r="I157" s="152"/>
      <c r="J157" s="157"/>
      <c r="K157" s="154">
        <v>5700363936</v>
      </c>
      <c r="L157" s="227">
        <v>67782.334637989596</v>
      </c>
      <c r="M157" s="157" t="s">
        <v>2156</v>
      </c>
      <c r="N157" s="227">
        <f>G140+G145+N156-I157-L157</f>
        <v>184151.56636201043</v>
      </c>
      <c r="O157" s="152">
        <f t="shared" si="35"/>
        <v>505170.37736201048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2138</v>
      </c>
      <c r="I158" s="152"/>
      <c r="J158" s="157"/>
      <c r="K158" s="154">
        <v>5700363936</v>
      </c>
      <c r="L158" s="227">
        <v>78225.070999999996</v>
      </c>
      <c r="M158" s="157" t="s">
        <v>2156</v>
      </c>
      <c r="N158" s="227">
        <f t="shared" si="34"/>
        <v>105926.49536201044</v>
      </c>
      <c r="O158" s="152">
        <f t="shared" si="35"/>
        <v>426945.30636201048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2138</v>
      </c>
      <c r="I159" s="152"/>
      <c r="J159" s="157"/>
      <c r="K159" s="154">
        <v>5700363936</v>
      </c>
      <c r="L159" s="227">
        <v>1681.8520000000001</v>
      </c>
      <c r="M159" s="157" t="s">
        <v>2156</v>
      </c>
      <c r="N159" s="227">
        <f t="shared" si="34"/>
        <v>104244.64336201044</v>
      </c>
      <c r="O159" s="152">
        <f t="shared" si="35"/>
        <v>425263.45436201047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2138</v>
      </c>
      <c r="I160" s="152"/>
      <c r="J160" s="157"/>
      <c r="K160" s="154">
        <v>5700363936</v>
      </c>
      <c r="L160" s="227">
        <v>10072.102999999999</v>
      </c>
      <c r="M160" s="157" t="s">
        <v>2156</v>
      </c>
      <c r="N160" s="227">
        <f t="shared" si="34"/>
        <v>94172.540362010433</v>
      </c>
      <c r="O160" s="152">
        <f t="shared" si="35"/>
        <v>415191.35136201046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2138</v>
      </c>
      <c r="I161" s="152"/>
      <c r="J161" s="157"/>
      <c r="K161" s="154">
        <v>5700363936</v>
      </c>
      <c r="L161" s="227">
        <v>5318.6949999999997</v>
      </c>
      <c r="M161" s="157" t="s">
        <v>2156</v>
      </c>
      <c r="N161" s="227">
        <f t="shared" si="34"/>
        <v>88853.845362010441</v>
      </c>
      <c r="O161" s="152">
        <f t="shared" si="35"/>
        <v>409872.65636201046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2138</v>
      </c>
      <c r="I162" s="152"/>
      <c r="J162" s="157"/>
      <c r="K162" s="154">
        <v>5700363936</v>
      </c>
      <c r="L162" s="227">
        <v>32266.347000000002</v>
      </c>
      <c r="M162" s="157" t="s">
        <v>2156</v>
      </c>
      <c r="N162" s="227">
        <f t="shared" si="34"/>
        <v>56587.498362010439</v>
      </c>
      <c r="O162" s="152">
        <f t="shared" si="35"/>
        <v>377606.30936201045</v>
      </c>
    </row>
    <row r="163" spans="1:15" x14ac:dyDescent="0.15">
      <c r="A163" s="154"/>
      <c r="B163" s="151"/>
      <c r="C163" s="152"/>
      <c r="D163" s="323" t="s">
        <v>2139</v>
      </c>
      <c r="E163" s="154" t="s">
        <v>72</v>
      </c>
      <c r="F163" s="157" t="s">
        <v>2158</v>
      </c>
      <c r="G163" s="152">
        <v>176453.22</v>
      </c>
      <c r="H163" s="323" t="s">
        <v>2139</v>
      </c>
      <c r="I163" s="152">
        <v>13382.718000000001</v>
      </c>
      <c r="J163" s="157" t="s">
        <v>2156</v>
      </c>
      <c r="K163" s="154">
        <v>5700363936</v>
      </c>
      <c r="L163" s="227">
        <v>11748.762000000001</v>
      </c>
      <c r="M163" s="157" t="s">
        <v>2156</v>
      </c>
      <c r="N163" s="227">
        <f t="shared" si="34"/>
        <v>31456.018362010436</v>
      </c>
      <c r="O163" s="152">
        <f t="shared" si="35"/>
        <v>528928.04936201044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2139</v>
      </c>
      <c r="I164" s="152"/>
      <c r="J164" s="157"/>
      <c r="K164" s="154">
        <v>5700363936</v>
      </c>
      <c r="L164" s="227">
        <v>1556.473</v>
      </c>
      <c r="M164" s="157" t="s">
        <v>2156</v>
      </c>
      <c r="N164" s="227">
        <f t="shared" si="34"/>
        <v>29899.545362010438</v>
      </c>
      <c r="O164" s="152">
        <f t="shared" si="35"/>
        <v>527371.57636201044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2139</v>
      </c>
      <c r="I165" s="152"/>
      <c r="J165" s="157"/>
      <c r="K165" s="154">
        <v>5700363936</v>
      </c>
      <c r="L165" s="227">
        <v>5939.8059999999996</v>
      </c>
      <c r="M165" s="157" t="s">
        <v>2156</v>
      </c>
      <c r="N165" s="227">
        <f t="shared" si="34"/>
        <v>23959.739362010438</v>
      </c>
      <c r="O165" s="152">
        <f t="shared" si="35"/>
        <v>521431.77036201046</v>
      </c>
    </row>
    <row r="166" spans="1:15" x14ac:dyDescent="0.15">
      <c r="A166" s="154"/>
      <c r="B166" s="151"/>
      <c r="C166" s="152"/>
      <c r="D166" s="323" t="s">
        <v>2140</v>
      </c>
      <c r="E166" s="154" t="s">
        <v>72</v>
      </c>
      <c r="F166" s="157" t="s">
        <v>2158</v>
      </c>
      <c r="G166" s="152">
        <v>132303.66699999999</v>
      </c>
      <c r="H166" s="323" t="s">
        <v>2140</v>
      </c>
      <c r="I166" s="152">
        <v>23959.739362010438</v>
      </c>
      <c r="J166" s="157" t="s">
        <v>2156</v>
      </c>
      <c r="K166" s="154"/>
      <c r="L166" s="227"/>
      <c r="M166" s="157"/>
      <c r="N166" s="227">
        <f t="shared" si="34"/>
        <v>0</v>
      </c>
      <c r="O166" s="152">
        <f t="shared" si="35"/>
        <v>629775.69800000009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2140</v>
      </c>
      <c r="I167" s="152">
        <v>2003.17963798956</v>
      </c>
      <c r="J167" s="157" t="s">
        <v>2157</v>
      </c>
      <c r="K167" s="154">
        <v>5700363955</v>
      </c>
      <c r="L167" s="227">
        <v>12267.587</v>
      </c>
      <c r="M167" s="157" t="s">
        <v>2157</v>
      </c>
      <c r="N167" s="227">
        <f>G146+G152+N166-I167-L167</f>
        <v>218576.75036201044</v>
      </c>
      <c r="O167" s="152">
        <f t="shared" ref="O167:O170" si="36">O166+G167-I167-L167</f>
        <v>615504.93136201054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2140</v>
      </c>
      <c r="I168" s="152"/>
      <c r="J168" s="157"/>
      <c r="K168" s="154">
        <v>5700363955</v>
      </c>
      <c r="L168" s="227">
        <v>754.45100000000002</v>
      </c>
      <c r="M168" s="157" t="s">
        <v>2157</v>
      </c>
      <c r="N168" s="227">
        <f t="shared" ref="N168:N170" si="37">+N167-I168-L168</f>
        <v>217822.29936201044</v>
      </c>
      <c r="O168" s="152">
        <f t="shared" si="36"/>
        <v>614750.48036201054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2140</v>
      </c>
      <c r="I169" s="152"/>
      <c r="J169" s="157"/>
      <c r="K169" s="154">
        <v>5700363955</v>
      </c>
      <c r="L169" s="227">
        <v>2894.5650000000001</v>
      </c>
      <c r="M169" s="157" t="s">
        <v>2157</v>
      </c>
      <c r="N169" s="227">
        <f t="shared" si="37"/>
        <v>214927.73436201044</v>
      </c>
      <c r="O169" s="152">
        <f t="shared" si="36"/>
        <v>611855.91536201059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2140</v>
      </c>
      <c r="I170" s="152"/>
      <c r="J170" s="157"/>
      <c r="K170" s="154">
        <v>5700363955</v>
      </c>
      <c r="L170" s="227">
        <v>71922.284</v>
      </c>
      <c r="M170" s="157" t="s">
        <v>2157</v>
      </c>
      <c r="N170" s="227">
        <f t="shared" si="37"/>
        <v>143005.45036201045</v>
      </c>
      <c r="O170" s="152">
        <f t="shared" si="36"/>
        <v>539933.63136201061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2140</v>
      </c>
      <c r="I171" s="152"/>
      <c r="J171" s="157"/>
      <c r="K171" s="154">
        <v>5700363955</v>
      </c>
      <c r="L171" s="227">
        <v>9401.0750000000007</v>
      </c>
      <c r="M171" s="157" t="s">
        <v>2157</v>
      </c>
      <c r="N171" s="227">
        <f t="shared" si="34"/>
        <v>133604.37536201044</v>
      </c>
      <c r="O171" s="152">
        <f t="shared" si="35"/>
        <v>530532.55636201065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2140</v>
      </c>
      <c r="I172" s="152"/>
      <c r="J172" s="157"/>
      <c r="K172" s="154">
        <v>5700363955</v>
      </c>
      <c r="L172" s="227">
        <v>6631.7510000000002</v>
      </c>
      <c r="M172" s="157" t="s">
        <v>2157</v>
      </c>
      <c r="N172" s="227">
        <f t="shared" si="34"/>
        <v>126972.62436201044</v>
      </c>
      <c r="O172" s="152">
        <f t="shared" si="35"/>
        <v>523900.80536201067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2140</v>
      </c>
      <c r="I173" s="152"/>
      <c r="J173" s="157"/>
      <c r="K173" s="154">
        <v>5700363955</v>
      </c>
      <c r="L173" s="227">
        <v>14590.052</v>
      </c>
      <c r="M173" s="157" t="s">
        <v>2157</v>
      </c>
      <c r="N173" s="227">
        <f t="shared" ref="N173:N213" si="38">+N172-I173-L173</f>
        <v>112382.57236201044</v>
      </c>
      <c r="O173" s="152">
        <f t="shared" ref="O173:O213" si="39">O172+G173-I173-L173</f>
        <v>509310.75336201064</v>
      </c>
    </row>
    <row r="174" spans="1:15" x14ac:dyDescent="0.15">
      <c r="A174" s="154"/>
      <c r="B174" s="151"/>
      <c r="C174" s="152"/>
      <c r="D174" s="323" t="s">
        <v>2141</v>
      </c>
      <c r="E174" s="154" t="s">
        <v>72</v>
      </c>
      <c r="F174" s="157" t="s">
        <v>2159</v>
      </c>
      <c r="G174" s="152">
        <v>176243.99299999999</v>
      </c>
      <c r="H174" s="323" t="s">
        <v>2141</v>
      </c>
      <c r="I174" s="152">
        <v>20011.881999999998</v>
      </c>
      <c r="J174" s="157" t="s">
        <v>2157</v>
      </c>
      <c r="K174" s="154">
        <v>5700363955</v>
      </c>
      <c r="L174" s="227">
        <v>12029.197</v>
      </c>
      <c r="M174" s="157" t="s">
        <v>2157</v>
      </c>
      <c r="N174" s="227">
        <f t="shared" si="38"/>
        <v>80341.493362010442</v>
      </c>
      <c r="O174" s="152">
        <f t="shared" si="39"/>
        <v>653513.66736201057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2141</v>
      </c>
      <c r="I175" s="152"/>
      <c r="J175" s="157"/>
      <c r="K175" s="154">
        <v>5700363955</v>
      </c>
      <c r="L175" s="227">
        <v>8841.4599999999991</v>
      </c>
      <c r="M175" s="157" t="s">
        <v>2157</v>
      </c>
      <c r="N175" s="227">
        <f t="shared" si="38"/>
        <v>71500.033362010436</v>
      </c>
      <c r="O175" s="152">
        <f t="shared" si="39"/>
        <v>644672.20736201061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2141</v>
      </c>
      <c r="I176" s="152"/>
      <c r="J176" s="157"/>
      <c r="K176" s="154">
        <v>5700363955</v>
      </c>
      <c r="L176" s="227">
        <v>63093.139000000003</v>
      </c>
      <c r="M176" s="157" t="s">
        <v>2157</v>
      </c>
      <c r="N176" s="227">
        <f t="shared" si="38"/>
        <v>8406.8943620104328</v>
      </c>
      <c r="O176" s="152">
        <f t="shared" si="39"/>
        <v>581579.06836201064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2141</v>
      </c>
      <c r="I177" s="152"/>
      <c r="J177" s="157"/>
      <c r="K177" s="154">
        <v>5700363955</v>
      </c>
      <c r="L177" s="227">
        <v>8406.8943620104328</v>
      </c>
      <c r="M177" s="157" t="s">
        <v>2157</v>
      </c>
      <c r="N177" s="227">
        <f t="shared" ref="N177:N180" si="40">+N176-I177-L177</f>
        <v>0</v>
      </c>
      <c r="O177" s="152">
        <f t="shared" ref="O177:O180" si="41">O176+G177-I177-L177</f>
        <v>573172.17400000023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2141</v>
      </c>
      <c r="I178" s="152"/>
      <c r="J178" s="157"/>
      <c r="K178" s="154">
        <v>5700363955</v>
      </c>
      <c r="L178" s="227">
        <v>23841.378637989601</v>
      </c>
      <c r="M178" s="157" t="s">
        <v>2158</v>
      </c>
      <c r="N178" s="227">
        <f>G153+G163+G166+N177-I178-L178</f>
        <v>373086.80236201041</v>
      </c>
      <c r="O178" s="152">
        <f t="shared" si="41"/>
        <v>549330.7953620106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2141</v>
      </c>
      <c r="I179" s="152"/>
      <c r="J179" s="157"/>
      <c r="K179" s="154">
        <v>5700363955</v>
      </c>
      <c r="L179" s="227">
        <v>74843.659</v>
      </c>
      <c r="M179" s="157" t="s">
        <v>2158</v>
      </c>
      <c r="N179" s="227">
        <f t="shared" si="40"/>
        <v>298243.14336201042</v>
      </c>
      <c r="O179" s="152">
        <f t="shared" si="41"/>
        <v>474487.13636201061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2141</v>
      </c>
      <c r="I180" s="152"/>
      <c r="J180" s="157"/>
      <c r="K180" s="154">
        <v>5700363955</v>
      </c>
      <c r="L180" s="227">
        <v>69989.877999999997</v>
      </c>
      <c r="M180" s="157" t="s">
        <v>2158</v>
      </c>
      <c r="N180" s="227">
        <f t="shared" si="40"/>
        <v>228253.26536201042</v>
      </c>
      <c r="O180" s="152">
        <f t="shared" si="41"/>
        <v>404497.25836201059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2141</v>
      </c>
      <c r="I181" s="152"/>
      <c r="J181" s="157"/>
      <c r="K181" s="154">
        <v>5700363955</v>
      </c>
      <c r="L181" s="227">
        <v>6096.875</v>
      </c>
      <c r="M181" s="157" t="s">
        <v>2158</v>
      </c>
      <c r="N181" s="227">
        <f t="shared" si="38"/>
        <v>222156.39036201042</v>
      </c>
      <c r="O181" s="152">
        <f t="shared" si="39"/>
        <v>398400.38336201059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2141</v>
      </c>
      <c r="I182" s="152"/>
      <c r="J182" s="157"/>
      <c r="K182" s="154">
        <v>5700363955</v>
      </c>
      <c r="L182" s="227">
        <v>2672.328</v>
      </c>
      <c r="M182" s="157" t="s">
        <v>2158</v>
      </c>
      <c r="N182" s="227">
        <f t="shared" si="38"/>
        <v>219484.06236201042</v>
      </c>
      <c r="O182" s="152">
        <f t="shared" si="39"/>
        <v>395728.05536201061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2141</v>
      </c>
      <c r="I183" s="152"/>
      <c r="J183" s="157"/>
      <c r="K183" s="154">
        <v>5700363955</v>
      </c>
      <c r="L183" s="227">
        <v>56040.764000000003</v>
      </c>
      <c r="M183" s="157" t="s">
        <v>2158</v>
      </c>
      <c r="N183" s="227">
        <f t="shared" si="38"/>
        <v>163443.29836201042</v>
      </c>
      <c r="O183" s="152">
        <f t="shared" si="39"/>
        <v>339687.29136201058</v>
      </c>
    </row>
    <row r="184" spans="1:15" x14ac:dyDescent="0.15">
      <c r="A184" s="154"/>
      <c r="B184" s="151"/>
      <c r="C184" s="152"/>
      <c r="D184" s="323" t="s">
        <v>2142</v>
      </c>
      <c r="E184" s="154" t="s">
        <v>72</v>
      </c>
      <c r="F184" s="157" t="s">
        <v>2160</v>
      </c>
      <c r="G184" s="152">
        <v>176324.38699999999</v>
      </c>
      <c r="H184" s="323" t="s">
        <v>2142</v>
      </c>
      <c r="I184" s="152">
        <v>14885.524000000001</v>
      </c>
      <c r="J184" s="157" t="s">
        <v>2158</v>
      </c>
      <c r="K184" s="154">
        <v>5700363955</v>
      </c>
      <c r="L184" s="227">
        <v>11312.885</v>
      </c>
      <c r="M184" s="157" t="s">
        <v>2158</v>
      </c>
      <c r="N184" s="227">
        <f t="shared" si="38"/>
        <v>137244.88936201041</v>
      </c>
      <c r="O184" s="152">
        <f t="shared" si="39"/>
        <v>489813.26936201059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2142</v>
      </c>
      <c r="I185" s="152"/>
      <c r="J185" s="157"/>
      <c r="K185" s="154">
        <v>5700363955</v>
      </c>
      <c r="L185" s="227">
        <v>32052.901999999998</v>
      </c>
      <c r="M185" s="157" t="s">
        <v>2158</v>
      </c>
      <c r="N185" s="227">
        <f t="shared" si="38"/>
        <v>105191.9873620104</v>
      </c>
      <c r="O185" s="152">
        <f t="shared" si="39"/>
        <v>457760.36736201058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2142</v>
      </c>
      <c r="I186" s="152"/>
      <c r="J186" s="157"/>
      <c r="K186" s="154">
        <v>5700363955</v>
      </c>
      <c r="L186" s="227">
        <v>61770.021999999997</v>
      </c>
      <c r="M186" s="157" t="s">
        <v>2158</v>
      </c>
      <c r="N186" s="227">
        <f t="shared" si="38"/>
        <v>43421.965362010407</v>
      </c>
      <c r="O186" s="152">
        <f t="shared" si="39"/>
        <v>395990.34536201059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2142</v>
      </c>
      <c r="I187" s="152"/>
      <c r="J187" s="157"/>
      <c r="K187" s="154">
        <v>5700363955</v>
      </c>
      <c r="L187" s="227">
        <v>13981.64</v>
      </c>
      <c r="M187" s="157" t="s">
        <v>2158</v>
      </c>
      <c r="N187" s="227">
        <f t="shared" si="38"/>
        <v>29440.325362010408</v>
      </c>
      <c r="O187" s="152">
        <f t="shared" si="39"/>
        <v>382008.70536201057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2142</v>
      </c>
      <c r="I188" s="152"/>
      <c r="J188" s="157"/>
      <c r="K188" s="154">
        <v>5700363955</v>
      </c>
      <c r="L188" s="227">
        <v>651.05399999999997</v>
      </c>
      <c r="M188" s="157" t="s">
        <v>2158</v>
      </c>
      <c r="N188" s="227">
        <f t="shared" si="38"/>
        <v>28789.271362010408</v>
      </c>
      <c r="O188" s="152">
        <f t="shared" si="39"/>
        <v>381357.65136201057</v>
      </c>
    </row>
    <row r="189" spans="1:15" x14ac:dyDescent="0.15">
      <c r="A189" s="154"/>
      <c r="B189" s="151"/>
      <c r="C189" s="152"/>
      <c r="D189" s="323" t="s">
        <v>2143</v>
      </c>
      <c r="E189" s="154" t="s">
        <v>72</v>
      </c>
      <c r="F189" s="157" t="s">
        <v>2161</v>
      </c>
      <c r="G189" s="152">
        <v>132182.12400000001</v>
      </c>
      <c r="H189" s="323" t="s">
        <v>2143</v>
      </c>
      <c r="I189" s="152">
        <v>19616.438999999998</v>
      </c>
      <c r="J189" s="157" t="s">
        <v>2158</v>
      </c>
      <c r="K189" s="154">
        <v>5700363955</v>
      </c>
      <c r="L189" s="227">
        <v>9172.8323620104093</v>
      </c>
      <c r="M189" s="157" t="s">
        <v>2158</v>
      </c>
      <c r="N189" s="227">
        <f t="shared" si="38"/>
        <v>0</v>
      </c>
      <c r="O189" s="152">
        <f t="shared" si="39"/>
        <v>484750.50400000013</v>
      </c>
    </row>
    <row r="190" spans="1:15" x14ac:dyDescent="0.15">
      <c r="A190" s="154"/>
      <c r="B190" s="151"/>
      <c r="C190" s="152"/>
      <c r="D190" s="323" t="s">
        <v>2143</v>
      </c>
      <c r="E190" s="154" t="s">
        <v>72</v>
      </c>
      <c r="F190" s="157" t="s">
        <v>2162</v>
      </c>
      <c r="G190" s="152">
        <v>44042.894</v>
      </c>
      <c r="H190" s="323" t="s">
        <v>2143</v>
      </c>
      <c r="I190" s="152"/>
      <c r="J190" s="157"/>
      <c r="K190" s="154">
        <v>5700363936</v>
      </c>
      <c r="L190" s="227">
        <v>5780.5266379895902</v>
      </c>
      <c r="M190" s="157" t="s">
        <v>2159</v>
      </c>
      <c r="N190" s="227">
        <f>G174+N189-I190-L190</f>
        <v>170463.4663620104</v>
      </c>
      <c r="O190" s="152">
        <f t="shared" si="39"/>
        <v>523012.8713620106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2143</v>
      </c>
      <c r="I191" s="152"/>
      <c r="J191" s="157"/>
      <c r="K191" s="154">
        <v>5700363936</v>
      </c>
      <c r="L191" s="227">
        <v>13399.333000000001</v>
      </c>
      <c r="M191" s="157" t="s">
        <v>2159</v>
      </c>
      <c r="N191" s="227">
        <f t="shared" si="38"/>
        <v>157064.13336201038</v>
      </c>
      <c r="O191" s="152">
        <f t="shared" si="39"/>
        <v>509613.53836201061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2143</v>
      </c>
      <c r="I192" s="152"/>
      <c r="J192" s="157"/>
      <c r="K192" s="154">
        <v>5700363936</v>
      </c>
      <c r="L192" s="227">
        <v>10226.071</v>
      </c>
      <c r="M192" s="157" t="s">
        <v>2159</v>
      </c>
      <c r="N192" s="227">
        <f t="shared" si="38"/>
        <v>146838.06236201039</v>
      </c>
      <c r="O192" s="152">
        <f t="shared" si="39"/>
        <v>499387.46736201062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2143</v>
      </c>
      <c r="I193" s="152"/>
      <c r="J193" s="157"/>
      <c r="K193" s="154">
        <v>5700363936</v>
      </c>
      <c r="L193" s="227">
        <v>2510.1179999999999</v>
      </c>
      <c r="M193" s="157" t="s">
        <v>2159</v>
      </c>
      <c r="N193" s="227">
        <f t="shared" si="38"/>
        <v>144327.9443620104</v>
      </c>
      <c r="O193" s="152">
        <f t="shared" si="39"/>
        <v>496877.3493620106</v>
      </c>
    </row>
    <row r="194" spans="1:15" x14ac:dyDescent="0.15">
      <c r="A194" s="154"/>
      <c r="B194" s="151"/>
      <c r="C194" s="152"/>
      <c r="D194" s="323" t="s">
        <v>2144</v>
      </c>
      <c r="E194" s="154" t="s">
        <v>72</v>
      </c>
      <c r="F194" s="157" t="s">
        <v>2162</v>
      </c>
      <c r="G194" s="152">
        <v>176226.87</v>
      </c>
      <c r="H194" s="323" t="s">
        <v>2144</v>
      </c>
      <c r="I194" s="152">
        <v>12494.835999999999</v>
      </c>
      <c r="J194" s="157" t="s">
        <v>2159</v>
      </c>
      <c r="K194" s="154">
        <v>5700363936</v>
      </c>
      <c r="L194" s="227">
        <v>11980.495999999999</v>
      </c>
      <c r="M194" s="157" t="s">
        <v>2159</v>
      </c>
      <c r="N194" s="227">
        <f t="shared" si="38"/>
        <v>119852.61236201039</v>
      </c>
      <c r="O194" s="152">
        <f t="shared" si="39"/>
        <v>648628.88736201054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2144</v>
      </c>
      <c r="I195" s="152"/>
      <c r="J195" s="157"/>
      <c r="K195" s="154">
        <v>5700363936</v>
      </c>
      <c r="L195" s="227">
        <v>12913.95</v>
      </c>
      <c r="M195" s="157" t="s">
        <v>2159</v>
      </c>
      <c r="N195" s="227">
        <f t="shared" si="38"/>
        <v>106938.66236201039</v>
      </c>
      <c r="O195" s="152">
        <f t="shared" si="39"/>
        <v>635714.93736201059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2144</v>
      </c>
      <c r="I196" s="152"/>
      <c r="J196" s="157"/>
      <c r="K196" s="154">
        <v>5700363936</v>
      </c>
      <c r="L196" s="227">
        <v>87859.976999999999</v>
      </c>
      <c r="M196" s="157" t="s">
        <v>2159</v>
      </c>
      <c r="N196" s="227">
        <f t="shared" si="38"/>
        <v>19078.685362010394</v>
      </c>
      <c r="O196" s="152">
        <f t="shared" si="39"/>
        <v>547854.96036201064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2144</v>
      </c>
      <c r="I197" s="152"/>
      <c r="J197" s="157"/>
      <c r="K197" s="154">
        <v>5700363936</v>
      </c>
      <c r="L197" s="227">
        <v>19078.685362010394</v>
      </c>
      <c r="M197" s="157" t="s">
        <v>2159</v>
      </c>
      <c r="N197" s="227">
        <f t="shared" si="38"/>
        <v>0</v>
      </c>
      <c r="O197" s="152">
        <f t="shared" si="39"/>
        <v>528776.27500000026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2144</v>
      </c>
      <c r="I198" s="152"/>
      <c r="J198" s="157"/>
      <c r="K198" s="154">
        <v>5700363936</v>
      </c>
      <c r="L198" s="227">
        <v>58453.139637989603</v>
      </c>
      <c r="M198" s="157" t="s">
        <v>2160</v>
      </c>
      <c r="N198" s="227">
        <f>G184+N197-I198-L198</f>
        <v>117871.24736201038</v>
      </c>
      <c r="O198" s="152">
        <f t="shared" si="39"/>
        <v>470323.13536201068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2144</v>
      </c>
      <c r="I199" s="152"/>
      <c r="J199" s="157"/>
      <c r="K199" s="154">
        <v>5700363936</v>
      </c>
      <c r="L199" s="227">
        <v>45870.59</v>
      </c>
      <c r="M199" s="157" t="s">
        <v>2160</v>
      </c>
      <c r="N199" s="227">
        <f t="shared" si="38"/>
        <v>72000.657362010388</v>
      </c>
      <c r="O199" s="152">
        <f t="shared" si="39"/>
        <v>424452.54536201071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2144</v>
      </c>
      <c r="I200" s="152"/>
      <c r="J200" s="157"/>
      <c r="K200" s="154">
        <v>5700363936</v>
      </c>
      <c r="L200" s="227">
        <v>441.67099999999999</v>
      </c>
      <c r="M200" s="157" t="s">
        <v>2160</v>
      </c>
      <c r="N200" s="227">
        <f t="shared" si="38"/>
        <v>71558.986362010386</v>
      </c>
      <c r="O200" s="152">
        <f t="shared" si="39"/>
        <v>424010.87436201074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2144</v>
      </c>
      <c r="I201" s="152"/>
      <c r="J201" s="157"/>
      <c r="K201" s="154">
        <v>5700363936</v>
      </c>
      <c r="L201" s="227">
        <v>488.74200000000002</v>
      </c>
      <c r="M201" s="157" t="s">
        <v>2160</v>
      </c>
      <c r="N201" s="227">
        <f t="shared" si="38"/>
        <v>71070.244362010388</v>
      </c>
      <c r="O201" s="152">
        <f t="shared" si="39"/>
        <v>423522.13236201071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2144</v>
      </c>
      <c r="I202" s="152"/>
      <c r="J202" s="157"/>
      <c r="K202" s="154">
        <v>5700363936</v>
      </c>
      <c r="L202" s="227">
        <v>16174.554</v>
      </c>
      <c r="M202" s="157" t="s">
        <v>2160</v>
      </c>
      <c r="N202" s="227">
        <f t="shared" si="38"/>
        <v>54895.690362010384</v>
      </c>
      <c r="O202" s="152">
        <f t="shared" si="39"/>
        <v>407347.57836201071</v>
      </c>
    </row>
    <row r="203" spans="1:15" hidden="1" x14ac:dyDescent="0.15">
      <c r="A203" s="154"/>
      <c r="B203" s="151"/>
      <c r="C203" s="152"/>
      <c r="D203" s="323"/>
      <c r="E203" s="154"/>
      <c r="F203" s="157"/>
      <c r="G203" s="152"/>
      <c r="H203" s="323"/>
      <c r="I203" s="152"/>
      <c r="J203" s="157"/>
      <c r="K203" s="154"/>
      <c r="L203" s="227"/>
      <c r="M203" s="157"/>
      <c r="N203" s="227">
        <f t="shared" si="38"/>
        <v>54895.690362010384</v>
      </c>
      <c r="O203" s="152">
        <f t="shared" si="39"/>
        <v>407347.57836201071</v>
      </c>
    </row>
    <row r="204" spans="1:15" hidden="1" x14ac:dyDescent="0.15">
      <c r="A204" s="154"/>
      <c r="B204" s="151"/>
      <c r="C204" s="152"/>
      <c r="D204" s="323"/>
      <c r="E204" s="154"/>
      <c r="F204" s="157"/>
      <c r="G204" s="152"/>
      <c r="H204" s="323"/>
      <c r="I204" s="152"/>
      <c r="J204" s="157"/>
      <c r="K204" s="154"/>
      <c r="L204" s="227"/>
      <c r="M204" s="157"/>
      <c r="N204" s="227">
        <f t="shared" si="38"/>
        <v>54895.690362010384</v>
      </c>
      <c r="O204" s="152">
        <f t="shared" si="39"/>
        <v>407347.57836201071</v>
      </c>
    </row>
    <row r="205" spans="1:15" hidden="1" x14ac:dyDescent="0.15">
      <c r="A205" s="154"/>
      <c r="B205" s="151"/>
      <c r="C205" s="152"/>
      <c r="D205" s="323"/>
      <c r="E205" s="154"/>
      <c r="F205" s="157"/>
      <c r="G205" s="152"/>
      <c r="H205" s="323"/>
      <c r="I205" s="152"/>
      <c r="J205" s="157"/>
      <c r="K205" s="154"/>
      <c r="L205" s="227"/>
      <c r="M205" s="157"/>
      <c r="N205" s="227">
        <f t="shared" si="38"/>
        <v>54895.690362010384</v>
      </c>
      <c r="O205" s="152">
        <f t="shared" si="39"/>
        <v>407347.57836201071</v>
      </c>
    </row>
    <row r="206" spans="1:15" hidden="1" x14ac:dyDescent="0.15">
      <c r="A206" s="154"/>
      <c r="B206" s="151"/>
      <c r="C206" s="152"/>
      <c r="D206" s="323"/>
      <c r="E206" s="155"/>
      <c r="F206" s="157"/>
      <c r="G206" s="152"/>
      <c r="H206" s="323"/>
      <c r="I206" s="152"/>
      <c r="J206" s="157"/>
      <c r="K206" s="154"/>
      <c r="L206" s="227"/>
      <c r="M206" s="157"/>
      <c r="N206" s="227">
        <f t="shared" si="38"/>
        <v>54895.690362010384</v>
      </c>
      <c r="O206" s="152">
        <f t="shared" si="39"/>
        <v>407347.57836201071</v>
      </c>
    </row>
    <row r="207" spans="1:15" hidden="1" x14ac:dyDescent="0.15">
      <c r="A207" s="154"/>
      <c r="B207" s="151"/>
      <c r="C207" s="152"/>
      <c r="D207" s="323"/>
      <c r="E207" s="154"/>
      <c r="F207" s="157"/>
      <c r="G207" s="152"/>
      <c r="H207" s="323"/>
      <c r="I207" s="152"/>
      <c r="J207" s="157"/>
      <c r="K207" s="154"/>
      <c r="L207" s="227"/>
      <c r="M207" s="157"/>
      <c r="N207" s="227">
        <f t="shared" si="38"/>
        <v>54895.690362010384</v>
      </c>
      <c r="O207" s="152">
        <f t="shared" si="39"/>
        <v>407347.57836201071</v>
      </c>
    </row>
    <row r="208" spans="1:15" hidden="1" x14ac:dyDescent="0.15">
      <c r="A208" s="154"/>
      <c r="B208" s="151"/>
      <c r="C208" s="152"/>
      <c r="D208" s="323"/>
      <c r="E208" s="154"/>
      <c r="F208" s="157"/>
      <c r="G208" s="152"/>
      <c r="H208" s="323"/>
      <c r="I208" s="152"/>
      <c r="J208" s="154"/>
      <c r="K208" s="154"/>
      <c r="L208" s="227"/>
      <c r="M208" s="157"/>
      <c r="N208" s="227">
        <f t="shared" si="38"/>
        <v>54895.690362010384</v>
      </c>
      <c r="O208" s="152">
        <f t="shared" si="39"/>
        <v>407347.57836201071</v>
      </c>
    </row>
    <row r="209" spans="1:15" hidden="1" x14ac:dyDescent="0.15">
      <c r="A209" s="154"/>
      <c r="B209" s="151"/>
      <c r="C209" s="151"/>
      <c r="D209" s="323"/>
      <c r="E209" s="154"/>
      <c r="F209" s="157"/>
      <c r="G209" s="152"/>
      <c r="H209" s="323"/>
      <c r="I209" s="152"/>
      <c r="J209" s="154"/>
      <c r="K209" s="154"/>
      <c r="L209" s="227"/>
      <c r="M209" s="157"/>
      <c r="N209" s="227">
        <f t="shared" si="38"/>
        <v>54895.690362010384</v>
      </c>
      <c r="O209" s="152">
        <f t="shared" si="39"/>
        <v>407347.57836201071</v>
      </c>
    </row>
    <row r="210" spans="1:15" hidden="1" x14ac:dyDescent="0.15">
      <c r="A210" s="154"/>
      <c r="B210" s="151"/>
      <c r="C210" s="151"/>
      <c r="D210" s="323"/>
      <c r="E210" s="155"/>
      <c r="F210" s="157"/>
      <c r="G210" s="152"/>
      <c r="H210" s="323"/>
      <c r="I210" s="152"/>
      <c r="J210" s="154"/>
      <c r="K210" s="154"/>
      <c r="L210" s="227"/>
      <c r="M210" s="157"/>
      <c r="N210" s="227">
        <f t="shared" si="38"/>
        <v>54895.690362010384</v>
      </c>
      <c r="O210" s="152">
        <f t="shared" si="39"/>
        <v>407347.57836201071</v>
      </c>
    </row>
    <row r="211" spans="1:15" hidden="1" x14ac:dyDescent="0.15">
      <c r="A211" s="154"/>
      <c r="B211" s="151"/>
      <c r="C211" s="151"/>
      <c r="D211" s="323"/>
      <c r="E211" s="154"/>
      <c r="F211" s="160"/>
      <c r="G211" s="152"/>
      <c r="H211" s="323"/>
      <c r="I211" s="152"/>
      <c r="J211" s="157"/>
      <c r="K211" s="154"/>
      <c r="L211" s="227"/>
      <c r="M211" s="157"/>
      <c r="N211" s="227">
        <f t="shared" si="38"/>
        <v>54895.690362010384</v>
      </c>
      <c r="O211" s="152">
        <f t="shared" si="39"/>
        <v>407347.57836201071</v>
      </c>
    </row>
    <row r="212" spans="1:15" hidden="1" x14ac:dyDescent="0.15">
      <c r="A212" s="154"/>
      <c r="B212" s="151"/>
      <c r="C212" s="151"/>
      <c r="D212" s="323"/>
      <c r="E212" s="154"/>
      <c r="F212" s="160"/>
      <c r="G212" s="152"/>
      <c r="H212" s="323"/>
      <c r="I212" s="152"/>
      <c r="J212" s="150"/>
      <c r="K212" s="154"/>
      <c r="L212" s="227"/>
      <c r="M212" s="157"/>
      <c r="N212" s="227">
        <f t="shared" si="38"/>
        <v>54895.690362010384</v>
      </c>
      <c r="O212" s="152">
        <f t="shared" si="39"/>
        <v>407347.57836201071</v>
      </c>
    </row>
    <row r="213" spans="1:15" x14ac:dyDescent="0.15">
      <c r="A213" s="173"/>
      <c r="B213" s="173"/>
      <c r="C213" s="174"/>
      <c r="D213" s="323"/>
      <c r="E213" s="173"/>
      <c r="F213" s="173"/>
      <c r="G213" s="174"/>
      <c r="H213" s="323"/>
      <c r="I213" s="174"/>
      <c r="J213" s="173"/>
      <c r="K213" s="154"/>
      <c r="L213" s="228"/>
      <c r="M213" s="173"/>
      <c r="N213" s="227">
        <f t="shared" si="38"/>
        <v>54895.690362010384</v>
      </c>
      <c r="O213" s="152">
        <f t="shared" si="39"/>
        <v>407347.57836201071</v>
      </c>
    </row>
    <row r="214" spans="1:15" x14ac:dyDescent="0.15">
      <c r="A214" s="177"/>
      <c r="B214" s="177"/>
      <c r="C214" s="178">
        <f>SUM(C7:C212)</f>
        <v>528638.41236201057</v>
      </c>
      <c r="D214" s="177"/>
      <c r="E214" s="177"/>
      <c r="F214" s="177"/>
      <c r="G214" s="178">
        <f>SUM(G7:G213)</f>
        <v>4753527.4730000002</v>
      </c>
      <c r="H214" s="179"/>
      <c r="I214" s="178">
        <f>SUM(I7:I213)</f>
        <v>420891.86500000005</v>
      </c>
      <c r="J214" s="177"/>
      <c r="K214" s="177"/>
      <c r="L214" s="178">
        <f>SUM(L7:L213)</f>
        <v>4453926.4420000007</v>
      </c>
      <c r="M214" s="177"/>
      <c r="N214" s="180"/>
      <c r="O214" s="181">
        <f>C214+G214-I214-L214</f>
        <v>407347.57836200949</v>
      </c>
    </row>
    <row r="215" spans="1:15" x14ac:dyDescent="0.15">
      <c r="A215" s="182"/>
      <c r="B215" s="465"/>
      <c r="C215" s="465"/>
      <c r="D215" s="465"/>
      <c r="E215" s="183"/>
      <c r="F215" s="284"/>
      <c r="G215" s="185"/>
      <c r="H215" s="186"/>
      <c r="I215" s="187"/>
      <c r="J215" s="188"/>
      <c r="K215" s="189" t="s">
        <v>139</v>
      </c>
      <c r="L215" s="190">
        <f>+L214+I214</f>
        <v>4874818.307000001</v>
      </c>
      <c r="M215" s="197"/>
      <c r="N215" s="230">
        <f>+N213</f>
        <v>54895.690362010384</v>
      </c>
      <c r="O215" s="195" t="s">
        <v>2160</v>
      </c>
    </row>
    <row r="216" spans="1:15" x14ac:dyDescent="0.15">
      <c r="A216" s="133"/>
      <c r="B216" s="382"/>
      <c r="C216" s="382"/>
      <c r="D216" s="382"/>
      <c r="E216" s="183"/>
      <c r="F216" s="383"/>
      <c r="G216" s="219"/>
      <c r="H216" s="186"/>
      <c r="I216" s="187"/>
      <c r="J216" s="210"/>
      <c r="N216" s="230">
        <f>+G189</f>
        <v>132182.12400000001</v>
      </c>
      <c r="O216" s="334" t="str">
        <f>+F189</f>
        <v>GC 261214</v>
      </c>
    </row>
    <row r="217" spans="1:15" x14ac:dyDescent="0.15">
      <c r="A217" s="188" t="s">
        <v>2145</v>
      </c>
      <c r="B217" s="131" t="s">
        <v>2164</v>
      </c>
      <c r="E217" s="183" t="s">
        <v>55</v>
      </c>
      <c r="F217" s="384">
        <v>4945975.04</v>
      </c>
      <c r="G217" s="219" t="s">
        <v>56</v>
      </c>
      <c r="H217" s="186">
        <v>41982</v>
      </c>
      <c r="I217" s="187" t="s">
        <v>71</v>
      </c>
      <c r="J217" s="210">
        <v>252415.19799999995</v>
      </c>
      <c r="N217" s="230">
        <f>+G190+G194</f>
        <v>220269.764</v>
      </c>
      <c r="O217" s="334" t="str">
        <f>+F190</f>
        <v>TOP 271214</v>
      </c>
    </row>
    <row r="218" spans="1:15" x14ac:dyDescent="0.15">
      <c r="A218" s="188" t="s">
        <v>2149</v>
      </c>
      <c r="B218" s="131" t="s">
        <v>2165</v>
      </c>
      <c r="E218" s="183" t="s">
        <v>55</v>
      </c>
      <c r="F218" s="384">
        <v>24122720.52</v>
      </c>
      <c r="G218" s="219" t="s">
        <v>56</v>
      </c>
      <c r="H218" s="186">
        <v>41989</v>
      </c>
      <c r="I218" s="187" t="s">
        <v>71</v>
      </c>
      <c r="J218" s="210">
        <v>144902.66563798947</v>
      </c>
      <c r="K218" s="297"/>
      <c r="N218" s="230"/>
      <c r="O218" s="195"/>
    </row>
    <row r="219" spans="1:15" x14ac:dyDescent="0.15">
      <c r="A219" s="381" t="s">
        <v>2151</v>
      </c>
      <c r="B219" s="131" t="s">
        <v>2166</v>
      </c>
      <c r="E219" s="183" t="s">
        <v>55</v>
      </c>
      <c r="F219" s="384">
        <v>10298222.300000001</v>
      </c>
      <c r="G219" s="219" t="s">
        <v>56</v>
      </c>
      <c r="H219" s="186">
        <v>41990</v>
      </c>
      <c r="I219" s="187" t="s">
        <v>71</v>
      </c>
      <c r="J219" s="210">
        <v>172896.69699999996</v>
      </c>
      <c r="K219" s="333"/>
      <c r="N219" s="230"/>
      <c r="O219" s="195"/>
    </row>
    <row r="220" spans="1:15" x14ac:dyDescent="0.15">
      <c r="A220" s="193" t="s">
        <v>2152</v>
      </c>
      <c r="B220" s="131" t="s">
        <v>2167</v>
      </c>
      <c r="E220" s="183" t="s">
        <v>55</v>
      </c>
      <c r="F220" s="384">
        <v>7447683.4500000002</v>
      </c>
      <c r="G220" s="219" t="s">
        <v>56</v>
      </c>
      <c r="H220" s="186">
        <v>41995</v>
      </c>
      <c r="I220" s="187" t="s">
        <v>71</v>
      </c>
      <c r="J220" s="210">
        <v>660064.8806379895</v>
      </c>
      <c r="N220" s="230"/>
      <c r="O220" s="195"/>
    </row>
    <row r="221" spans="1:15" x14ac:dyDescent="0.15">
      <c r="A221" s="193" t="s">
        <v>2153</v>
      </c>
      <c r="B221" s="131" t="s">
        <v>2168</v>
      </c>
      <c r="E221" s="183" t="s">
        <v>55</v>
      </c>
      <c r="F221" s="384">
        <v>10465547.619999999</v>
      </c>
      <c r="G221" s="219" t="s">
        <v>56</v>
      </c>
      <c r="H221" s="186">
        <v>41997</v>
      </c>
      <c r="I221" s="187" t="s">
        <v>71</v>
      </c>
      <c r="J221" s="210">
        <v>258405.31336201052</v>
      </c>
      <c r="K221" s="333"/>
      <c r="N221" s="230"/>
      <c r="O221" s="195"/>
    </row>
    <row r="222" spans="1:15" x14ac:dyDescent="0.15">
      <c r="A222" s="193" t="s">
        <v>2155</v>
      </c>
      <c r="B222" s="131" t="s">
        <v>2169</v>
      </c>
      <c r="E222" s="183" t="s">
        <v>55</v>
      </c>
      <c r="F222" s="384">
        <v>8325103.2400000002</v>
      </c>
      <c r="G222" s="219" t="s">
        <v>56</v>
      </c>
      <c r="H222" s="186">
        <v>41999</v>
      </c>
      <c r="I222" s="187" t="s">
        <v>71</v>
      </c>
      <c r="J222" s="210">
        <v>337867.00799999997</v>
      </c>
      <c r="N222" s="206" t="s">
        <v>33</v>
      </c>
      <c r="O222" s="207">
        <f>SUM(N215:N221)</f>
        <v>407347.57836201042</v>
      </c>
    </row>
    <row r="223" spans="1:15" x14ac:dyDescent="0.15">
      <c r="A223" s="193" t="s">
        <v>2157</v>
      </c>
      <c r="B223" s="131" t="s">
        <v>2170</v>
      </c>
      <c r="E223" s="183" t="s">
        <v>55</v>
      </c>
      <c r="F223" s="384">
        <v>44483717.009999998</v>
      </c>
      <c r="G223" s="219" t="s">
        <v>56</v>
      </c>
      <c r="H223" s="186">
        <v>42003</v>
      </c>
      <c r="I223" s="187" t="s">
        <v>71</v>
      </c>
      <c r="J223" s="210">
        <v>210832.45536201043</v>
      </c>
      <c r="K223" s="193"/>
      <c r="O223" s="190">
        <f>+O214-O222</f>
        <v>-9.3132257461547852E-10</v>
      </c>
    </row>
    <row r="224" spans="1:15" s="132" customFormat="1" x14ac:dyDescent="0.15">
      <c r="A224" s="188" t="s">
        <v>2158</v>
      </c>
      <c r="B224" s="131" t="s">
        <v>2171</v>
      </c>
      <c r="D224" s="133"/>
      <c r="E224" s="183" t="s">
        <v>55</v>
      </c>
      <c r="F224" s="384">
        <v>38553706.149999999</v>
      </c>
      <c r="G224" s="219" t="s">
        <v>56</v>
      </c>
      <c r="H224" s="186">
        <v>42010</v>
      </c>
      <c r="I224" s="187" t="s">
        <v>71</v>
      </c>
      <c r="J224" s="210">
        <v>362426.21800000005</v>
      </c>
      <c r="K224" s="193"/>
      <c r="M224" s="134"/>
    </row>
    <row r="225" spans="1:15" s="132" customFormat="1" ht="12" thickBot="1" x14ac:dyDescent="0.2">
      <c r="A225" s="133"/>
      <c r="B225" s="382"/>
      <c r="C225" s="382"/>
      <c r="D225" s="382"/>
      <c r="E225" s="183"/>
      <c r="F225" s="383"/>
      <c r="G225" s="219"/>
      <c r="H225" s="186"/>
      <c r="I225" s="217" t="s">
        <v>856</v>
      </c>
      <c r="J225" s="211">
        <f>SUM(J217:J224)</f>
        <v>2399810.4359999998</v>
      </c>
      <c r="K225" s="193"/>
      <c r="M225" s="134"/>
    </row>
    <row r="226" spans="1:15" s="132" customFormat="1" ht="12" thickTop="1" x14ac:dyDescent="0.15">
      <c r="A226" s="193" t="s">
        <v>2148</v>
      </c>
      <c r="B226" s="131" t="s">
        <v>2172</v>
      </c>
      <c r="D226" s="133"/>
      <c r="E226" s="183" t="s">
        <v>55</v>
      </c>
      <c r="F226" s="384">
        <v>69973064.819999993</v>
      </c>
      <c r="G226" s="219" t="s">
        <v>56</v>
      </c>
      <c r="H226" s="186">
        <v>41691</v>
      </c>
      <c r="I226" s="187" t="s">
        <v>71</v>
      </c>
      <c r="J226" s="210">
        <v>108155.85500000001</v>
      </c>
      <c r="K226" s="333"/>
      <c r="M226" s="134"/>
    </row>
    <row r="227" spans="1:15" s="132" customFormat="1" x14ac:dyDescent="0.15">
      <c r="A227" s="185" t="s">
        <v>2154</v>
      </c>
      <c r="B227" s="131" t="s">
        <v>2173</v>
      </c>
      <c r="D227" s="133"/>
      <c r="E227" s="183" t="s">
        <v>55</v>
      </c>
      <c r="F227" s="384">
        <v>43197737.100000001</v>
      </c>
      <c r="G227" s="219" t="s">
        <v>56</v>
      </c>
      <c r="H227" s="186">
        <v>41939</v>
      </c>
      <c r="I227" s="187" t="s">
        <v>71</v>
      </c>
      <c r="J227" s="210">
        <v>150845.58100000001</v>
      </c>
      <c r="K227" s="133"/>
      <c r="M227" s="134"/>
    </row>
    <row r="228" spans="1:15" s="132" customFormat="1" x14ac:dyDescent="0.15">
      <c r="A228" s="193" t="s">
        <v>2092</v>
      </c>
      <c r="B228" s="131" t="s">
        <v>2174</v>
      </c>
      <c r="D228" s="133"/>
      <c r="E228" s="183" t="s">
        <v>55</v>
      </c>
      <c r="F228" s="384">
        <v>48988159.060000002</v>
      </c>
      <c r="G228" s="219" t="s">
        <v>56</v>
      </c>
      <c r="H228" s="186">
        <v>41977</v>
      </c>
      <c r="I228" s="187" t="s">
        <v>71</v>
      </c>
      <c r="J228" s="210">
        <v>327854.32499999995</v>
      </c>
      <c r="K228" s="193"/>
      <c r="M228" s="134"/>
    </row>
    <row r="229" spans="1:15" s="132" customFormat="1" x14ac:dyDescent="0.15">
      <c r="A229" s="193" t="s">
        <v>2163</v>
      </c>
      <c r="B229" s="131" t="s">
        <v>2175</v>
      </c>
      <c r="D229" s="133"/>
      <c r="E229" s="183" t="s">
        <v>55</v>
      </c>
      <c r="F229" s="387">
        <v>31863738.84</v>
      </c>
      <c r="G229" s="219" t="s">
        <v>56</v>
      </c>
      <c r="H229" s="186">
        <v>41981</v>
      </c>
      <c r="I229" s="187" t="s">
        <v>71</v>
      </c>
      <c r="J229" s="210">
        <v>33914.680999999982</v>
      </c>
      <c r="K229" s="193"/>
      <c r="M229" s="134"/>
    </row>
    <row r="230" spans="1:15" s="132" customFormat="1" x14ac:dyDescent="0.15">
      <c r="A230" s="185" t="s">
        <v>2091</v>
      </c>
      <c r="B230" s="131" t="s">
        <v>2176</v>
      </c>
      <c r="D230" s="133"/>
      <c r="E230" s="183" t="s">
        <v>55</v>
      </c>
      <c r="F230" s="387">
        <v>42726814.25</v>
      </c>
      <c r="G230" s="219" t="s">
        <v>56</v>
      </c>
      <c r="H230" s="186">
        <v>41981</v>
      </c>
      <c r="I230" s="187" t="s">
        <v>71</v>
      </c>
      <c r="J230" s="210">
        <v>98979.25536201059</v>
      </c>
      <c r="K230" s="193"/>
      <c r="M230" s="134"/>
    </row>
    <row r="231" spans="1:15" s="132" customFormat="1" x14ac:dyDescent="0.15">
      <c r="A231" s="133" t="s">
        <v>2146</v>
      </c>
      <c r="B231" s="131" t="s">
        <v>2177</v>
      </c>
      <c r="D231" s="133"/>
      <c r="E231" s="183" t="s">
        <v>55</v>
      </c>
      <c r="F231" s="387">
        <v>67539400.170000002</v>
      </c>
      <c r="G231" s="219" t="s">
        <v>56</v>
      </c>
      <c r="H231" s="186">
        <v>41982</v>
      </c>
      <c r="I231" s="187" t="s">
        <v>71</v>
      </c>
      <c r="J231" s="210">
        <v>273840.80899999995</v>
      </c>
      <c r="K231" s="193"/>
      <c r="M231" s="134"/>
    </row>
    <row r="232" spans="1:15" s="132" customFormat="1" x14ac:dyDescent="0.15">
      <c r="A232" s="193" t="s">
        <v>2147</v>
      </c>
      <c r="B232" s="131" t="s">
        <v>2178</v>
      </c>
      <c r="D232" s="133"/>
      <c r="E232" s="183" t="s">
        <v>55</v>
      </c>
      <c r="F232" s="387">
        <v>90386396.439999998</v>
      </c>
      <c r="G232" s="219" t="s">
        <v>56</v>
      </c>
      <c r="H232" s="186">
        <v>41984</v>
      </c>
      <c r="I232" s="187" t="s">
        <v>71</v>
      </c>
      <c r="J232" s="210">
        <v>252214.497</v>
      </c>
      <c r="K232" s="193"/>
      <c r="M232" s="134"/>
    </row>
    <row r="233" spans="1:15" s="132" customFormat="1" x14ac:dyDescent="0.15">
      <c r="A233" s="193" t="s">
        <v>2150</v>
      </c>
      <c r="B233" s="131" t="s">
        <v>2179</v>
      </c>
      <c r="D233" s="133"/>
      <c r="E233" s="183" t="s">
        <v>55</v>
      </c>
      <c r="F233" s="387">
        <v>44501041.960000001</v>
      </c>
      <c r="G233" s="219" t="s">
        <v>56</v>
      </c>
      <c r="H233" s="186">
        <v>41988</v>
      </c>
      <c r="I233" s="187" t="s">
        <v>71</v>
      </c>
      <c r="J233" s="210">
        <v>308541.70536201046</v>
      </c>
      <c r="K233" s="193"/>
      <c r="M233" s="134"/>
    </row>
    <row r="234" spans="1:15" s="132" customFormat="1" x14ac:dyDescent="0.15">
      <c r="A234" s="193" t="s">
        <v>2156</v>
      </c>
      <c r="B234" s="131" t="s">
        <v>2180</v>
      </c>
      <c r="D234" s="133"/>
      <c r="E234" s="183" t="s">
        <v>55</v>
      </c>
      <c r="F234" s="387">
        <v>65704785.549999997</v>
      </c>
      <c r="G234" s="219" t="s">
        <v>56</v>
      </c>
      <c r="H234" s="186">
        <v>42002</v>
      </c>
      <c r="I234" s="187" t="s">
        <v>71</v>
      </c>
      <c r="J234" s="210">
        <v>214591.44363798961</v>
      </c>
      <c r="K234" s="193"/>
      <c r="M234" s="134"/>
    </row>
    <row r="235" spans="1:15" s="132" customFormat="1" x14ac:dyDescent="0.15">
      <c r="A235" s="193" t="s">
        <v>2159</v>
      </c>
      <c r="B235" s="131" t="s">
        <v>2260</v>
      </c>
      <c r="D235" s="133"/>
      <c r="E235" s="183" t="s">
        <v>55</v>
      </c>
      <c r="F235" s="387">
        <v>60763200.409999996</v>
      </c>
      <c r="G235" s="219" t="s">
        <v>56</v>
      </c>
      <c r="H235" s="186">
        <v>42009</v>
      </c>
      <c r="I235" s="187" t="s">
        <v>71</v>
      </c>
      <c r="J235" s="210">
        <v>163749.15699999995</v>
      </c>
      <c r="K235" s="193"/>
      <c r="M235" s="134"/>
    </row>
    <row r="236" spans="1:15" s="132" customFormat="1" x14ac:dyDescent="0.15">
      <c r="A236" s="193" t="s">
        <v>2160</v>
      </c>
      <c r="B236" s="131" t="s">
        <v>2249</v>
      </c>
      <c r="D236" s="133"/>
      <c r="E236" s="183" t="s">
        <v>55</v>
      </c>
      <c r="F236" s="391">
        <v>72963708.900000006</v>
      </c>
      <c r="G236" s="219" t="s">
        <v>56</v>
      </c>
      <c r="H236" s="186">
        <v>42009</v>
      </c>
      <c r="I236" s="187" t="s">
        <v>71</v>
      </c>
      <c r="J236" s="210">
        <v>121428.6966379896</v>
      </c>
      <c r="K236" s="133"/>
      <c r="M236" s="134"/>
    </row>
    <row r="237" spans="1:15" s="133" customFormat="1" ht="12" thickBot="1" x14ac:dyDescent="0.2">
      <c r="B237" s="385"/>
      <c r="C237" s="385"/>
      <c r="D237" s="385"/>
      <c r="E237" s="183"/>
      <c r="F237" s="386"/>
      <c r="G237" s="219"/>
      <c r="H237" s="186"/>
      <c r="I237" s="217" t="s">
        <v>106</v>
      </c>
      <c r="J237" s="211">
        <f>SUM(J226:J236)</f>
        <v>2054116.0060000001</v>
      </c>
      <c r="L237" s="132"/>
      <c r="M237" s="134"/>
      <c r="N237" s="132"/>
      <c r="O237" s="132"/>
    </row>
    <row r="238" spans="1:15" s="133" customFormat="1" ht="12" thickTop="1" x14ac:dyDescent="0.15">
      <c r="B238" s="385"/>
      <c r="C238" s="385"/>
      <c r="D238" s="385"/>
      <c r="E238" s="183"/>
      <c r="F238" s="386"/>
      <c r="G238" s="219"/>
      <c r="H238" s="186"/>
      <c r="I238" s="187"/>
      <c r="J238" s="210"/>
      <c r="L238" s="132"/>
      <c r="M238" s="134"/>
      <c r="N238" s="132"/>
      <c r="O238" s="132"/>
    </row>
    <row r="239" spans="1:15" s="133" customFormat="1" x14ac:dyDescent="0.15">
      <c r="B239" s="385"/>
      <c r="C239" s="385"/>
      <c r="D239" s="385"/>
      <c r="E239" s="183"/>
      <c r="F239" s="386"/>
      <c r="G239" s="219"/>
      <c r="H239" s="186"/>
      <c r="I239" s="187"/>
      <c r="J239" s="210"/>
      <c r="L239" s="132"/>
      <c r="M239" s="134"/>
      <c r="N239" s="132"/>
      <c r="O239" s="132"/>
    </row>
    <row r="240" spans="1:15" s="133" customFormat="1" x14ac:dyDescent="0.15">
      <c r="B240" s="133" t="s">
        <v>9</v>
      </c>
      <c r="C240" s="220" t="s">
        <v>729</v>
      </c>
      <c r="D240" s="220" t="s">
        <v>850</v>
      </c>
      <c r="E240" s="133" t="s">
        <v>570</v>
      </c>
      <c r="F240" s="133" t="s">
        <v>571</v>
      </c>
      <c r="G240" s="133" t="s">
        <v>16</v>
      </c>
      <c r="H240" s="134"/>
      <c r="I240" s="132"/>
      <c r="J240" s="205"/>
      <c r="L240" s="132"/>
      <c r="M240" s="134"/>
      <c r="N240" s="132"/>
      <c r="O240" s="132"/>
    </row>
    <row r="241" spans="1:15" s="133" customFormat="1" x14ac:dyDescent="0.15">
      <c r="A241" s="188" t="s">
        <v>2145</v>
      </c>
      <c r="B241" s="210">
        <v>252415</v>
      </c>
      <c r="C241" s="221">
        <v>0.2</v>
      </c>
      <c r="D241" s="237"/>
      <c r="E241" s="235">
        <f>+B241*C241</f>
        <v>50483</v>
      </c>
      <c r="F241" s="235">
        <f t="shared" ref="F241" si="42">+E241*0.1</f>
        <v>5048.3</v>
      </c>
      <c r="G241" s="236">
        <f t="shared" ref="G241" si="43">SUM(E241:F241)</f>
        <v>55531.3</v>
      </c>
      <c r="H241" s="134"/>
      <c r="I241" s="132"/>
      <c r="J241" s="205"/>
      <c r="L241" s="132"/>
      <c r="M241" s="134"/>
      <c r="N241" s="132"/>
      <c r="O241" s="132"/>
    </row>
    <row r="242" spans="1:15" s="133" customFormat="1" x14ac:dyDescent="0.15">
      <c r="A242" s="188" t="s">
        <v>2149</v>
      </c>
      <c r="B242" s="210">
        <v>144903</v>
      </c>
      <c r="C242" s="221">
        <v>0.2</v>
      </c>
      <c r="D242" s="237"/>
      <c r="E242" s="235">
        <f t="shared" ref="E242:E248" si="44">+B242*C242</f>
        <v>28980.600000000002</v>
      </c>
      <c r="F242" s="235">
        <f t="shared" ref="F242:F248" si="45">+E242*0.1</f>
        <v>2898.0600000000004</v>
      </c>
      <c r="G242" s="236">
        <f t="shared" ref="G242:G248" si="46">SUM(E242:F242)</f>
        <v>31878.660000000003</v>
      </c>
      <c r="I242" s="132"/>
      <c r="J242" s="205"/>
      <c r="L242" s="132"/>
      <c r="M242" s="134"/>
      <c r="N242" s="132"/>
      <c r="O242" s="132"/>
    </row>
    <row r="243" spans="1:15" s="133" customFormat="1" x14ac:dyDescent="0.15">
      <c r="A243" s="381" t="s">
        <v>2151</v>
      </c>
      <c r="B243" s="210">
        <v>172897</v>
      </c>
      <c r="C243" s="221">
        <v>0.2</v>
      </c>
      <c r="D243" s="237"/>
      <c r="E243" s="235">
        <f t="shared" si="44"/>
        <v>34579.4</v>
      </c>
      <c r="F243" s="235">
        <f t="shared" si="45"/>
        <v>3457.9400000000005</v>
      </c>
      <c r="G243" s="236">
        <f t="shared" si="46"/>
        <v>38037.340000000004</v>
      </c>
      <c r="I243" s="132"/>
      <c r="J243" s="205"/>
      <c r="L243" s="132"/>
      <c r="M243" s="134"/>
      <c r="N243" s="132"/>
      <c r="O243" s="132"/>
    </row>
    <row r="244" spans="1:15" s="133" customFormat="1" x14ac:dyDescent="0.15">
      <c r="A244" s="193" t="s">
        <v>2152</v>
      </c>
      <c r="B244" s="210">
        <v>660065</v>
      </c>
      <c r="C244" s="221">
        <v>0.2</v>
      </c>
      <c r="D244" s="237"/>
      <c r="E244" s="235">
        <f t="shared" si="44"/>
        <v>132013</v>
      </c>
      <c r="F244" s="235">
        <f t="shared" si="45"/>
        <v>13201.300000000001</v>
      </c>
      <c r="G244" s="236">
        <f t="shared" si="46"/>
        <v>145214.29999999999</v>
      </c>
      <c r="H244" s="134"/>
      <c r="I244" s="132"/>
      <c r="J244" s="205"/>
      <c r="L244" s="132"/>
      <c r="M244" s="134"/>
      <c r="N244" s="132"/>
      <c r="O244" s="132"/>
    </row>
    <row r="245" spans="1:15" s="132" customFormat="1" x14ac:dyDescent="0.15">
      <c r="A245" s="193" t="s">
        <v>2153</v>
      </c>
      <c r="B245" s="210">
        <v>258405</v>
      </c>
      <c r="C245" s="221">
        <v>0.2</v>
      </c>
      <c r="D245" s="237"/>
      <c r="E245" s="235">
        <f t="shared" si="44"/>
        <v>51681</v>
      </c>
      <c r="F245" s="235">
        <f t="shared" si="45"/>
        <v>5168.1000000000004</v>
      </c>
      <c r="G245" s="236">
        <f t="shared" si="46"/>
        <v>56849.1</v>
      </c>
      <c r="H245" s="186"/>
      <c r="J245" s="205"/>
      <c r="K245" s="133"/>
      <c r="M245" s="134"/>
    </row>
    <row r="246" spans="1:15" s="132" customFormat="1" x14ac:dyDescent="0.15">
      <c r="A246" s="193" t="s">
        <v>2155</v>
      </c>
      <c r="B246" s="210">
        <v>337867</v>
      </c>
      <c r="C246" s="221">
        <v>0.2</v>
      </c>
      <c r="D246" s="237"/>
      <c r="E246" s="235">
        <f t="shared" si="44"/>
        <v>67573.400000000009</v>
      </c>
      <c r="F246" s="235">
        <f t="shared" si="45"/>
        <v>6757.3400000000011</v>
      </c>
      <c r="G246" s="236">
        <f t="shared" si="46"/>
        <v>74330.740000000005</v>
      </c>
      <c r="H246" s="186"/>
      <c r="J246" s="134"/>
      <c r="K246" s="133"/>
      <c r="M246" s="134"/>
    </row>
    <row r="247" spans="1:15" s="132" customFormat="1" x14ac:dyDescent="0.15">
      <c r="A247" s="193" t="s">
        <v>2157</v>
      </c>
      <c r="B247" s="210">
        <v>210832</v>
      </c>
      <c r="C247" s="221">
        <v>0.2</v>
      </c>
      <c r="D247" s="237"/>
      <c r="E247" s="235">
        <f t="shared" si="44"/>
        <v>42166.400000000001</v>
      </c>
      <c r="F247" s="235">
        <f t="shared" si="45"/>
        <v>4216.6400000000003</v>
      </c>
      <c r="G247" s="236">
        <f t="shared" si="46"/>
        <v>46383.040000000001</v>
      </c>
      <c r="H247" s="186"/>
      <c r="J247" s="134"/>
      <c r="K247" s="133"/>
      <c r="M247" s="134"/>
    </row>
    <row r="248" spans="1:15" s="132" customFormat="1" x14ac:dyDescent="0.15">
      <c r="A248" s="188" t="s">
        <v>2158</v>
      </c>
      <c r="B248" s="210">
        <v>362426</v>
      </c>
      <c r="C248" s="221">
        <v>0.2</v>
      </c>
      <c r="D248" s="237"/>
      <c r="E248" s="235">
        <f t="shared" si="44"/>
        <v>72485.2</v>
      </c>
      <c r="F248" s="235">
        <f t="shared" si="45"/>
        <v>7248.52</v>
      </c>
      <c r="G248" s="236">
        <f t="shared" si="46"/>
        <v>79733.72</v>
      </c>
      <c r="H248" s="186"/>
      <c r="J248" s="134"/>
      <c r="K248" s="133"/>
      <c r="M248" s="134"/>
    </row>
    <row r="249" spans="1:15" s="132" customFormat="1" ht="12" thickBot="1" x14ac:dyDescent="0.2">
      <c r="A249" s="133"/>
      <c r="B249" s="211">
        <f>SUM(B241:B248)</f>
        <v>2399810</v>
      </c>
      <c r="C249" s="221"/>
      <c r="D249" s="237"/>
      <c r="E249" s="242">
        <f>SUM(E241:E248)</f>
        <v>479962.00000000006</v>
      </c>
      <c r="F249" s="242">
        <f t="shared" ref="F249:G249" si="47">SUM(F241:F248)</f>
        <v>47996.200000000012</v>
      </c>
      <c r="G249" s="242">
        <f t="shared" si="47"/>
        <v>527958.19999999995</v>
      </c>
      <c r="H249" s="186"/>
      <c r="J249" s="134"/>
      <c r="K249" s="133"/>
      <c r="M249" s="134"/>
    </row>
    <row r="250" spans="1:15" s="132" customFormat="1" ht="12" thickTop="1" x14ac:dyDescent="0.15">
      <c r="A250" s="193" t="s">
        <v>2148</v>
      </c>
      <c r="B250" s="210">
        <v>108156</v>
      </c>
      <c r="C250" s="221">
        <v>25.827999999999999</v>
      </c>
      <c r="D250" s="237">
        <f t="shared" ref="D250:D251" si="48">+B250*C250</f>
        <v>2793453.1680000001</v>
      </c>
      <c r="E250" s="235">
        <f t="shared" ref="E250:E251" si="49">+D250*0.01</f>
        <v>27934.53168</v>
      </c>
      <c r="F250" s="235">
        <f t="shared" ref="F250:F252" si="50">+E250*0.1</f>
        <v>2793.453168</v>
      </c>
      <c r="G250" s="236">
        <f t="shared" ref="G250:G252" si="51">SUM(E250:F250)</f>
        <v>30727.984848</v>
      </c>
      <c r="H250" s="186"/>
      <c r="J250" s="134"/>
      <c r="K250" s="133"/>
      <c r="M250" s="134"/>
    </row>
    <row r="251" spans="1:15" s="132" customFormat="1" x14ac:dyDescent="0.15">
      <c r="A251" s="185" t="s">
        <v>2154</v>
      </c>
      <c r="B251" s="210">
        <v>150846</v>
      </c>
      <c r="C251" s="221">
        <v>21.6053</v>
      </c>
      <c r="D251" s="237">
        <f t="shared" si="48"/>
        <v>3259073.0838000001</v>
      </c>
      <c r="E251" s="235">
        <f t="shared" si="49"/>
        <v>32590.730838000003</v>
      </c>
      <c r="F251" s="235">
        <f t="shared" si="50"/>
        <v>3259.0730838000004</v>
      </c>
      <c r="G251" s="236">
        <f t="shared" si="51"/>
        <v>35849.803921800005</v>
      </c>
      <c r="H251" s="186"/>
      <c r="J251" s="134"/>
      <c r="K251" s="133"/>
      <c r="M251" s="134"/>
    </row>
    <row r="252" spans="1:15" s="132" customFormat="1" x14ac:dyDescent="0.15">
      <c r="A252" s="193" t="s">
        <v>2092</v>
      </c>
      <c r="B252" s="210">
        <v>327854</v>
      </c>
      <c r="C252" s="221">
        <v>0.2</v>
      </c>
      <c r="D252" s="237"/>
      <c r="E252" s="235">
        <f>+B252*C252</f>
        <v>65570.8</v>
      </c>
      <c r="F252" s="235">
        <f t="shared" si="50"/>
        <v>6557.0800000000008</v>
      </c>
      <c r="G252" s="236">
        <f t="shared" si="51"/>
        <v>72127.88</v>
      </c>
      <c r="H252" s="186"/>
      <c r="J252" s="134"/>
      <c r="K252" s="133"/>
      <c r="M252" s="134"/>
    </row>
    <row r="253" spans="1:15" s="132" customFormat="1" x14ac:dyDescent="0.15">
      <c r="A253" s="193" t="s">
        <v>2163</v>
      </c>
      <c r="B253" s="210">
        <v>33915</v>
      </c>
      <c r="C253" s="221">
        <v>0.2</v>
      </c>
      <c r="D253" s="237"/>
      <c r="E253" s="235">
        <f t="shared" ref="E253:E260" si="52">+B253*C253</f>
        <v>6783</v>
      </c>
      <c r="F253" s="235">
        <f t="shared" ref="F253:F260" si="53">+E253*0.1</f>
        <v>678.30000000000007</v>
      </c>
      <c r="G253" s="236">
        <f t="shared" ref="G253:G260" si="54">SUM(E253:F253)</f>
        <v>7461.3</v>
      </c>
      <c r="H253" s="186"/>
      <c r="J253" s="134"/>
      <c r="K253" s="133"/>
      <c r="M253" s="134"/>
    </row>
    <row r="254" spans="1:15" s="132" customFormat="1" x14ac:dyDescent="0.15">
      <c r="A254" s="185" t="s">
        <v>2091</v>
      </c>
      <c r="B254" s="210">
        <v>98979</v>
      </c>
      <c r="C254" s="221">
        <v>0.2</v>
      </c>
      <c r="D254" s="237"/>
      <c r="E254" s="235">
        <f t="shared" si="52"/>
        <v>19795.800000000003</v>
      </c>
      <c r="F254" s="235">
        <f t="shared" si="53"/>
        <v>1979.5800000000004</v>
      </c>
      <c r="G254" s="236">
        <f t="shared" si="54"/>
        <v>21775.380000000005</v>
      </c>
      <c r="H254" s="186"/>
      <c r="J254" s="134"/>
      <c r="K254" s="133"/>
      <c r="M254" s="134"/>
    </row>
    <row r="255" spans="1:15" s="132" customFormat="1" x14ac:dyDescent="0.15">
      <c r="A255" s="133" t="s">
        <v>2146</v>
      </c>
      <c r="B255" s="210">
        <v>273841</v>
      </c>
      <c r="C255" s="221">
        <v>0.2</v>
      </c>
      <c r="D255" s="237"/>
      <c r="E255" s="235">
        <f t="shared" si="52"/>
        <v>54768.200000000004</v>
      </c>
      <c r="F255" s="235">
        <f t="shared" si="53"/>
        <v>5476.8200000000006</v>
      </c>
      <c r="G255" s="236">
        <f t="shared" si="54"/>
        <v>60245.020000000004</v>
      </c>
      <c r="H255" s="186"/>
      <c r="J255" s="134"/>
      <c r="K255" s="133"/>
      <c r="M255" s="134"/>
    </row>
    <row r="256" spans="1:15" s="132" customFormat="1" x14ac:dyDescent="0.15">
      <c r="A256" s="193" t="s">
        <v>2147</v>
      </c>
      <c r="B256" s="210">
        <v>252214</v>
      </c>
      <c r="C256" s="221">
        <v>0.2</v>
      </c>
      <c r="D256" s="237"/>
      <c r="E256" s="235">
        <f t="shared" si="52"/>
        <v>50442.8</v>
      </c>
      <c r="F256" s="235">
        <f t="shared" si="53"/>
        <v>5044.2800000000007</v>
      </c>
      <c r="G256" s="236">
        <f t="shared" si="54"/>
        <v>55487.08</v>
      </c>
      <c r="H256" s="186"/>
      <c r="J256" s="134"/>
      <c r="K256" s="133"/>
      <c r="M256" s="134"/>
    </row>
    <row r="257" spans="1:13" s="132" customFormat="1" x14ac:dyDescent="0.15">
      <c r="A257" s="193" t="s">
        <v>2150</v>
      </c>
      <c r="B257" s="210">
        <v>308542</v>
      </c>
      <c r="C257" s="221">
        <v>0.2</v>
      </c>
      <c r="D257" s="237"/>
      <c r="E257" s="235">
        <f t="shared" si="52"/>
        <v>61708.4</v>
      </c>
      <c r="F257" s="235">
        <f t="shared" si="53"/>
        <v>6170.84</v>
      </c>
      <c r="G257" s="236">
        <f t="shared" si="54"/>
        <v>67879.240000000005</v>
      </c>
      <c r="H257" s="186"/>
      <c r="J257" s="134"/>
      <c r="K257" s="133"/>
      <c r="M257" s="134"/>
    </row>
    <row r="258" spans="1:13" s="132" customFormat="1" x14ac:dyDescent="0.15">
      <c r="A258" s="193" t="s">
        <v>2156</v>
      </c>
      <c r="B258" s="210">
        <v>214591</v>
      </c>
      <c r="C258" s="221">
        <v>0.2</v>
      </c>
      <c r="D258" s="237"/>
      <c r="E258" s="235">
        <f t="shared" si="52"/>
        <v>42918.200000000004</v>
      </c>
      <c r="F258" s="235">
        <f t="shared" si="53"/>
        <v>4291.8200000000006</v>
      </c>
      <c r="G258" s="236">
        <f t="shared" si="54"/>
        <v>47210.020000000004</v>
      </c>
      <c r="H258" s="186"/>
      <c r="J258" s="210"/>
      <c r="K258" s="133"/>
      <c r="M258" s="134"/>
    </row>
    <row r="259" spans="1:13" s="132" customFormat="1" x14ac:dyDescent="0.15">
      <c r="A259" s="193" t="s">
        <v>2159</v>
      </c>
      <c r="B259" s="210">
        <v>163749</v>
      </c>
      <c r="C259" s="221">
        <v>0.2</v>
      </c>
      <c r="D259" s="237"/>
      <c r="E259" s="235">
        <f t="shared" si="52"/>
        <v>32749.800000000003</v>
      </c>
      <c r="F259" s="235">
        <f t="shared" si="53"/>
        <v>3274.9800000000005</v>
      </c>
      <c r="G259" s="236">
        <f t="shared" si="54"/>
        <v>36024.780000000006</v>
      </c>
      <c r="H259" s="186"/>
      <c r="J259" s="134"/>
      <c r="K259" s="133"/>
      <c r="M259" s="134"/>
    </row>
    <row r="260" spans="1:13" s="132" customFormat="1" x14ac:dyDescent="0.15">
      <c r="A260" s="193" t="s">
        <v>2160</v>
      </c>
      <c r="B260" s="210">
        <v>121429</v>
      </c>
      <c r="C260" s="221">
        <v>0.2</v>
      </c>
      <c r="D260" s="237"/>
      <c r="E260" s="235">
        <f t="shared" si="52"/>
        <v>24285.800000000003</v>
      </c>
      <c r="F260" s="235">
        <f t="shared" si="53"/>
        <v>2428.5800000000004</v>
      </c>
      <c r="G260" s="236">
        <f t="shared" si="54"/>
        <v>26714.380000000005</v>
      </c>
      <c r="H260" s="186"/>
      <c r="J260" s="134"/>
      <c r="K260" s="133"/>
      <c r="M260" s="134"/>
    </row>
    <row r="261" spans="1:13" s="132" customFormat="1" ht="12" thickBot="1" x14ac:dyDescent="0.2">
      <c r="A261" s="133"/>
      <c r="B261" s="211">
        <f>SUM(B250:B260)</f>
        <v>2054116</v>
      </c>
      <c r="C261" s="221"/>
      <c r="D261" s="237"/>
      <c r="E261" s="242">
        <f>SUM(E250:E260)</f>
        <v>419548.06251800002</v>
      </c>
      <c r="F261" s="242">
        <f t="shared" ref="F261:G261" si="55">SUM(F250:F260)</f>
        <v>41954.806251800008</v>
      </c>
      <c r="G261" s="242">
        <f t="shared" si="55"/>
        <v>461502.86876980006</v>
      </c>
      <c r="H261" s="186"/>
      <c r="J261" s="134"/>
      <c r="K261" s="133"/>
      <c r="M261" s="134"/>
    </row>
    <row r="262" spans="1:13" s="132" customFormat="1" ht="12" thickTop="1" x14ac:dyDescent="0.15">
      <c r="A262" s="247"/>
      <c r="B262" s="190"/>
      <c r="C262" s="221"/>
      <c r="D262" s="222"/>
      <c r="E262" s="183"/>
      <c r="F262" s="387"/>
      <c r="G262" s="219"/>
      <c r="H262" s="133"/>
      <c r="J262" s="134"/>
      <c r="K262" s="133"/>
      <c r="M262" s="134"/>
    </row>
    <row r="263" spans="1:13" s="132" customFormat="1" x14ac:dyDescent="0.15">
      <c r="A263" s="247"/>
      <c r="B263" s="190"/>
      <c r="C263" s="221"/>
      <c r="D263" s="222"/>
      <c r="E263" s="183"/>
      <c r="F263" s="387"/>
      <c r="G263" s="219"/>
      <c r="H263" s="133"/>
      <c r="I263" s="187"/>
      <c r="J263" s="134"/>
      <c r="K263" s="133"/>
      <c r="M263" s="134"/>
    </row>
    <row r="264" spans="1:13" s="132" customFormat="1" x14ac:dyDescent="0.15">
      <c r="A264" s="193"/>
      <c r="B264" s="131"/>
      <c r="D264" s="133"/>
      <c r="E264" s="183"/>
      <c r="F264" s="387"/>
      <c r="G264" s="219"/>
      <c r="H264" s="133"/>
      <c r="J264" s="134"/>
      <c r="K264" s="133"/>
      <c r="M264" s="134"/>
    </row>
  </sheetData>
  <mergeCells count="7">
    <mergeCell ref="B215:D215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94"/>
  <sheetViews>
    <sheetView zoomScale="115" zoomScaleNormal="115" workbookViewId="0">
      <pane ySplit="6" topLeftCell="A240" activePane="bottomLeft" state="frozen"/>
      <selection pane="bottomLeft" activeCell="A254" sqref="A254:H254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2042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2018</v>
      </c>
      <c r="B7" s="146"/>
      <c r="C7" s="152">
        <v>182191.72036200974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182191.72036200974</v>
      </c>
      <c r="O7" s="147">
        <f>+C238</f>
        <v>530563.96636201092</v>
      </c>
    </row>
    <row r="8" spans="1:15" x14ac:dyDescent="0.15">
      <c r="A8" s="154" t="s">
        <v>2019</v>
      </c>
      <c r="B8" s="151"/>
      <c r="C8" s="152">
        <v>304320.84100000106</v>
      </c>
      <c r="D8" s="323"/>
      <c r="E8" s="154"/>
      <c r="F8" s="154"/>
      <c r="G8" s="152"/>
      <c r="H8" s="323"/>
      <c r="I8" s="152"/>
      <c r="J8" s="157"/>
      <c r="K8" s="156"/>
      <c r="L8" s="227"/>
      <c r="M8" s="157"/>
      <c r="N8" s="227">
        <f>+N7-I8-L8</f>
        <v>182191.72036200974</v>
      </c>
      <c r="O8" s="152">
        <f t="shared" ref="O8:O10" si="0">O7+G8-I8-L8</f>
        <v>530563.96636201092</v>
      </c>
    </row>
    <row r="9" spans="1:15" x14ac:dyDescent="0.15">
      <c r="A9" s="157" t="s">
        <v>2020</v>
      </c>
      <c r="B9" s="151"/>
      <c r="C9" s="152">
        <v>44051.405000000101</v>
      </c>
      <c r="D9" s="323"/>
      <c r="E9" s="154"/>
      <c r="F9" s="157"/>
      <c r="G9" s="152"/>
      <c r="H9" s="323"/>
      <c r="I9" s="152"/>
      <c r="J9" s="157"/>
      <c r="K9" s="154"/>
      <c r="L9" s="227"/>
      <c r="M9" s="154"/>
      <c r="N9" s="227">
        <f t="shared" ref="N9:N10" si="1">+N8-I9-L9</f>
        <v>182191.72036200974</v>
      </c>
      <c r="O9" s="152">
        <f t="shared" si="0"/>
        <v>530563.96636201092</v>
      </c>
    </row>
    <row r="10" spans="1:15" x14ac:dyDescent="0.15">
      <c r="A10" s="154"/>
      <c r="B10" s="151"/>
      <c r="C10" s="152"/>
      <c r="D10" s="323" t="s">
        <v>2043</v>
      </c>
      <c r="E10" s="154" t="s">
        <v>72</v>
      </c>
      <c r="F10" s="157" t="s">
        <v>2020</v>
      </c>
      <c r="G10" s="152">
        <v>131975.76800000001</v>
      </c>
      <c r="H10" s="323" t="s">
        <v>2043</v>
      </c>
      <c r="I10" s="152">
        <v>7550.2340000000004</v>
      </c>
      <c r="J10" s="157" t="s">
        <v>2018</v>
      </c>
      <c r="K10" s="154">
        <v>5700363949</v>
      </c>
      <c r="L10" s="227">
        <v>13132.668</v>
      </c>
      <c r="M10" s="154" t="s">
        <v>2018</v>
      </c>
      <c r="N10" s="227">
        <f t="shared" si="1"/>
        <v>161508.81836200974</v>
      </c>
      <c r="O10" s="152">
        <f t="shared" si="0"/>
        <v>641856.83236201096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 t="s">
        <v>2043</v>
      </c>
      <c r="I11" s="152"/>
      <c r="J11" s="157"/>
      <c r="K11" s="154">
        <v>5700363949</v>
      </c>
      <c r="L11" s="227">
        <v>12863.696</v>
      </c>
      <c r="M11" s="154" t="s">
        <v>2018</v>
      </c>
      <c r="N11" s="227">
        <f t="shared" ref="N11:N82" si="2">+N10-I11-L11</f>
        <v>148645.12236200974</v>
      </c>
      <c r="O11" s="152">
        <f t="shared" ref="O11:O82" si="3">O10+G11-I11-L11</f>
        <v>628993.13636201096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 t="s">
        <v>2043</v>
      </c>
      <c r="I12" s="152"/>
      <c r="J12" s="157"/>
      <c r="K12" s="154">
        <v>5700363949</v>
      </c>
      <c r="L12" s="227">
        <v>6992.2910000000002</v>
      </c>
      <c r="M12" s="154" t="s">
        <v>2018</v>
      </c>
      <c r="N12" s="227">
        <f t="shared" si="2"/>
        <v>141652.83136200975</v>
      </c>
      <c r="O12" s="152">
        <f t="shared" si="3"/>
        <v>622000.84536201099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 t="s">
        <v>2043</v>
      </c>
      <c r="I13" s="152"/>
      <c r="J13" s="157"/>
      <c r="K13" s="154">
        <v>5700363949</v>
      </c>
      <c r="L13" s="227">
        <v>27097.252</v>
      </c>
      <c r="M13" s="154" t="s">
        <v>2018</v>
      </c>
      <c r="N13" s="227">
        <f t="shared" si="2"/>
        <v>114555.57936200974</v>
      </c>
      <c r="O13" s="152">
        <f t="shared" si="3"/>
        <v>594903.59336201102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2043</v>
      </c>
      <c r="I14" s="152"/>
      <c r="J14" s="157"/>
      <c r="K14" s="154">
        <v>5700363949</v>
      </c>
      <c r="L14" s="227">
        <v>15119.467000000001</v>
      </c>
      <c r="M14" s="154" t="s">
        <v>2018</v>
      </c>
      <c r="N14" s="227">
        <f t="shared" si="2"/>
        <v>99436.112362009735</v>
      </c>
      <c r="O14" s="152">
        <f t="shared" si="3"/>
        <v>579784.12636201107</v>
      </c>
    </row>
    <row r="15" spans="1:15" x14ac:dyDescent="0.15">
      <c r="A15" s="154"/>
      <c r="B15" s="151"/>
      <c r="C15" s="152"/>
      <c r="D15" s="323" t="s">
        <v>2044</v>
      </c>
      <c r="E15" s="154" t="s">
        <v>72</v>
      </c>
      <c r="F15" s="157" t="s">
        <v>2020</v>
      </c>
      <c r="G15" s="152">
        <v>43993.799999999872</v>
      </c>
      <c r="H15" s="323" t="s">
        <v>2044</v>
      </c>
      <c r="I15" s="152">
        <v>10892.207999999999</v>
      </c>
      <c r="J15" s="157" t="s">
        <v>2018</v>
      </c>
      <c r="K15" s="154">
        <v>5700363949</v>
      </c>
      <c r="L15" s="227">
        <v>33426.775999999998</v>
      </c>
      <c r="M15" s="154" t="s">
        <v>2018</v>
      </c>
      <c r="N15" s="227">
        <f t="shared" si="2"/>
        <v>55117.128362009738</v>
      </c>
      <c r="O15" s="152">
        <f t="shared" si="3"/>
        <v>579458.94236201094</v>
      </c>
    </row>
    <row r="16" spans="1:15" x14ac:dyDescent="0.15">
      <c r="A16" s="154"/>
      <c r="B16" s="151"/>
      <c r="C16" s="152"/>
      <c r="D16" s="323" t="s">
        <v>2044</v>
      </c>
      <c r="E16" s="154" t="s">
        <v>72</v>
      </c>
      <c r="F16" s="157" t="s">
        <v>2075</v>
      </c>
      <c r="G16" s="152">
        <v>43964.6000000001</v>
      </c>
      <c r="H16" s="323" t="s">
        <v>2044</v>
      </c>
      <c r="I16" s="152"/>
      <c r="J16" s="157"/>
      <c r="K16" s="154">
        <v>5700363949</v>
      </c>
      <c r="L16" s="227">
        <v>35540.203999999998</v>
      </c>
      <c r="M16" s="154" t="s">
        <v>2018</v>
      </c>
      <c r="N16" s="227">
        <f t="shared" si="2"/>
        <v>19576.92436200974</v>
      </c>
      <c r="O16" s="152">
        <f t="shared" si="3"/>
        <v>587883.33836201101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2044</v>
      </c>
      <c r="I17" s="152"/>
      <c r="J17" s="157"/>
      <c r="K17" s="154">
        <v>5700363949</v>
      </c>
      <c r="L17" s="227">
        <v>12172.467000000001</v>
      </c>
      <c r="M17" s="154" t="s">
        <v>2018</v>
      </c>
      <c r="N17" s="227">
        <f t="shared" ref="N17:N22" si="4">+N16-I17-L17</f>
        <v>7404.4573620097399</v>
      </c>
      <c r="O17" s="152">
        <f t="shared" ref="O17:O22" si="5">O16+G17-I17-L17</f>
        <v>575710.87136201106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2044</v>
      </c>
      <c r="I18" s="152"/>
      <c r="J18" s="157"/>
      <c r="K18" s="154">
        <v>5700363949</v>
      </c>
      <c r="L18" s="227">
        <v>7404.4573620097399</v>
      </c>
      <c r="M18" s="154" t="s">
        <v>2018</v>
      </c>
      <c r="N18" s="227">
        <f t="shared" si="4"/>
        <v>0</v>
      </c>
      <c r="O18" s="152">
        <f t="shared" si="5"/>
        <v>568306.41400000127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2044</v>
      </c>
      <c r="I19" s="152"/>
      <c r="J19" s="157"/>
      <c r="K19" s="154">
        <v>5700363949</v>
      </c>
      <c r="L19" s="227">
        <v>30713.268637990299</v>
      </c>
      <c r="M19" s="154" t="s">
        <v>2019</v>
      </c>
      <c r="N19" s="227">
        <f>C8+N18-I19-L19</f>
        <v>273607.57236201077</v>
      </c>
      <c r="O19" s="152">
        <f t="shared" si="5"/>
        <v>537593.14536201092</v>
      </c>
    </row>
    <row r="20" spans="1:15" x14ac:dyDescent="0.15">
      <c r="A20" s="154"/>
      <c r="B20" s="151"/>
      <c r="C20" s="152"/>
      <c r="D20" s="323" t="s">
        <v>2045</v>
      </c>
      <c r="E20" s="154" t="s">
        <v>72</v>
      </c>
      <c r="F20" s="157" t="s">
        <v>2075</v>
      </c>
      <c r="G20" s="152">
        <v>43964.006000000001</v>
      </c>
      <c r="H20" s="323" t="s">
        <v>2045</v>
      </c>
      <c r="I20" s="152">
        <v>8145.4760000000006</v>
      </c>
      <c r="J20" s="154" t="s">
        <v>2019</v>
      </c>
      <c r="K20" s="154">
        <v>5700363949</v>
      </c>
      <c r="L20" s="227">
        <v>10575.215</v>
      </c>
      <c r="M20" s="154" t="s">
        <v>2019</v>
      </c>
      <c r="N20" s="227">
        <f t="shared" si="4"/>
        <v>254886.88136201075</v>
      </c>
      <c r="O20" s="152">
        <f t="shared" si="5"/>
        <v>562836.46036201098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2045</v>
      </c>
      <c r="I21" s="152"/>
      <c r="J21" s="154"/>
      <c r="K21" s="154">
        <v>5700363949</v>
      </c>
      <c r="L21" s="227">
        <v>34635.531000000003</v>
      </c>
      <c r="M21" s="154" t="s">
        <v>2019</v>
      </c>
      <c r="N21" s="227">
        <f t="shared" si="4"/>
        <v>220251.35036201077</v>
      </c>
      <c r="O21" s="152">
        <f t="shared" si="5"/>
        <v>528200.92936201103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2045</v>
      </c>
      <c r="I22" s="152"/>
      <c r="J22" s="157"/>
      <c r="K22" s="154">
        <v>5700363949</v>
      </c>
      <c r="L22" s="227">
        <v>40552.33</v>
      </c>
      <c r="M22" s="154" t="s">
        <v>2019</v>
      </c>
      <c r="N22" s="227">
        <f t="shared" si="4"/>
        <v>179699.02036201075</v>
      </c>
      <c r="O22" s="152">
        <f t="shared" si="5"/>
        <v>487648.59936201101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2045</v>
      </c>
      <c r="I23" s="152"/>
      <c r="J23" s="154"/>
      <c r="K23" s="154">
        <v>5700363949</v>
      </c>
      <c r="L23" s="227">
        <v>14288.343999999999</v>
      </c>
      <c r="M23" s="154" t="s">
        <v>2019</v>
      </c>
      <c r="N23" s="227">
        <f t="shared" si="2"/>
        <v>165410.67636201074</v>
      </c>
      <c r="O23" s="152">
        <f t="shared" si="3"/>
        <v>473360.25536201103</v>
      </c>
    </row>
    <row r="24" spans="1:15" x14ac:dyDescent="0.15">
      <c r="A24" s="154"/>
      <c r="B24" s="151"/>
      <c r="C24" s="152"/>
      <c r="D24" s="323" t="s">
        <v>2046</v>
      </c>
      <c r="E24" s="154" t="s">
        <v>72</v>
      </c>
      <c r="F24" s="157" t="s">
        <v>2075</v>
      </c>
      <c r="G24" s="152">
        <v>87888.79</v>
      </c>
      <c r="H24" s="323" t="s">
        <v>2046</v>
      </c>
      <c r="I24" s="152">
        <v>9515.7839999999997</v>
      </c>
      <c r="J24" s="154" t="s">
        <v>2019</v>
      </c>
      <c r="K24" s="154">
        <v>5700363949</v>
      </c>
      <c r="L24" s="227">
        <v>35141.360000000001</v>
      </c>
      <c r="M24" s="154" t="s">
        <v>2019</v>
      </c>
      <c r="N24" s="227">
        <f t="shared" si="2"/>
        <v>120753.53236201072</v>
      </c>
      <c r="O24" s="152">
        <f t="shared" si="3"/>
        <v>516591.90136201109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2046</v>
      </c>
      <c r="I25" s="152"/>
      <c r="J25" s="154"/>
      <c r="K25" s="154">
        <v>5700363949</v>
      </c>
      <c r="L25" s="227">
        <v>9968.0589999999993</v>
      </c>
      <c r="M25" s="154" t="s">
        <v>2019</v>
      </c>
      <c r="N25" s="227">
        <f t="shared" si="2"/>
        <v>110785.47336201073</v>
      </c>
      <c r="O25" s="152">
        <f t="shared" si="3"/>
        <v>506623.84236201108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2046</v>
      </c>
      <c r="I26" s="152"/>
      <c r="J26" s="157"/>
      <c r="K26" s="154">
        <v>5700363949</v>
      </c>
      <c r="L26" s="227">
        <v>33110.125999999997</v>
      </c>
      <c r="M26" s="154" t="s">
        <v>2019</v>
      </c>
      <c r="N26" s="227">
        <f t="shared" si="2"/>
        <v>77675.34736201074</v>
      </c>
      <c r="O26" s="152">
        <f t="shared" si="3"/>
        <v>473513.7163620111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2046</v>
      </c>
      <c r="I27" s="152"/>
      <c r="J27" s="157"/>
      <c r="K27" s="154">
        <v>5700363949</v>
      </c>
      <c r="L27" s="227">
        <v>38723.538</v>
      </c>
      <c r="M27" s="154" t="s">
        <v>2019</v>
      </c>
      <c r="N27" s="227">
        <f t="shared" si="2"/>
        <v>38951.809362010739</v>
      </c>
      <c r="O27" s="152">
        <f t="shared" si="3"/>
        <v>434790.17836201109</v>
      </c>
    </row>
    <row r="28" spans="1:15" x14ac:dyDescent="0.15">
      <c r="A28" s="154"/>
      <c r="B28" s="151"/>
      <c r="C28" s="152"/>
      <c r="D28" s="323" t="s">
        <v>2047</v>
      </c>
      <c r="E28" s="154" t="s">
        <v>72</v>
      </c>
      <c r="F28" s="157" t="s">
        <v>2076</v>
      </c>
      <c r="G28" s="152">
        <v>175906.03700000001</v>
      </c>
      <c r="H28" s="323" t="s">
        <v>2047</v>
      </c>
      <c r="I28" s="152">
        <v>7110.1620000000003</v>
      </c>
      <c r="J28" s="154" t="s">
        <v>2019</v>
      </c>
      <c r="K28" s="154">
        <v>5700363949</v>
      </c>
      <c r="L28" s="227">
        <v>15118.596</v>
      </c>
      <c r="M28" s="154" t="s">
        <v>2019</v>
      </c>
      <c r="N28" s="227">
        <f t="shared" si="2"/>
        <v>16723.051362010738</v>
      </c>
      <c r="O28" s="152">
        <f t="shared" si="3"/>
        <v>588467.45736201108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2047</v>
      </c>
      <c r="I29" s="152"/>
      <c r="J29" s="154"/>
      <c r="K29" s="154">
        <v>5700363949</v>
      </c>
      <c r="L29" s="227">
        <v>11385.460999999999</v>
      </c>
      <c r="M29" s="154" t="s">
        <v>2019</v>
      </c>
      <c r="N29" s="227">
        <f t="shared" si="2"/>
        <v>5337.5903620107383</v>
      </c>
      <c r="O29" s="152">
        <f t="shared" si="3"/>
        <v>577081.99636201106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2047</v>
      </c>
      <c r="I30" s="152"/>
      <c r="J30" s="157"/>
      <c r="K30" s="154">
        <v>5700363949</v>
      </c>
      <c r="L30" s="227">
        <v>5337.5903620107383</v>
      </c>
      <c r="M30" s="154" t="s">
        <v>2019</v>
      </c>
      <c r="N30" s="227">
        <f t="shared" si="2"/>
        <v>0</v>
      </c>
      <c r="O30" s="152">
        <f t="shared" si="3"/>
        <v>571744.40600000031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2047</v>
      </c>
      <c r="I31" s="152"/>
      <c r="J31" s="157"/>
      <c r="K31" s="154">
        <v>5700363949</v>
      </c>
      <c r="L31" s="227">
        <v>52840.0966379893</v>
      </c>
      <c r="M31" s="157" t="s">
        <v>2020</v>
      </c>
      <c r="N31" s="227">
        <f>C9+G10+G15+N30-I31-L31</f>
        <v>167180.87636201069</v>
      </c>
      <c r="O31" s="152">
        <f t="shared" ref="O31:O34" si="6">O30+G31-I31-L31</f>
        <v>518904.30936201103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2047</v>
      </c>
      <c r="I32" s="152"/>
      <c r="J32" s="157"/>
      <c r="K32" s="154">
        <v>5700363949</v>
      </c>
      <c r="L32" s="227">
        <v>4218.2820000000002</v>
      </c>
      <c r="M32" s="157" t="s">
        <v>2020</v>
      </c>
      <c r="N32" s="227">
        <f t="shared" ref="N32:N34" si="7">+N31-I32-L32</f>
        <v>162962.59436201068</v>
      </c>
      <c r="O32" s="152">
        <f t="shared" si="6"/>
        <v>514686.02736201102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2047</v>
      </c>
      <c r="I33" s="152"/>
      <c r="J33" s="157"/>
      <c r="K33" s="154">
        <v>5700363949</v>
      </c>
      <c r="L33" s="227">
        <v>36791.184999999998</v>
      </c>
      <c r="M33" s="157" t="s">
        <v>2020</v>
      </c>
      <c r="N33" s="227">
        <f t="shared" si="7"/>
        <v>126171.40936201069</v>
      </c>
      <c r="O33" s="152">
        <f t="shared" si="6"/>
        <v>477894.84236201103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2047</v>
      </c>
      <c r="I34" s="152"/>
      <c r="J34" s="157"/>
      <c r="K34" s="154">
        <v>5700363949</v>
      </c>
      <c r="L34" s="227">
        <v>28115.699000000001</v>
      </c>
      <c r="M34" s="157" t="s">
        <v>2020</v>
      </c>
      <c r="N34" s="227">
        <f t="shared" si="7"/>
        <v>98055.710362010694</v>
      </c>
      <c r="O34" s="152">
        <f t="shared" si="6"/>
        <v>449779.143362011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2047</v>
      </c>
      <c r="I35" s="152"/>
      <c r="J35" s="157"/>
      <c r="K35" s="154">
        <v>5700363949</v>
      </c>
      <c r="L35" s="227">
        <v>31806.447</v>
      </c>
      <c r="M35" s="157" t="s">
        <v>2020</v>
      </c>
      <c r="N35" s="227">
        <f t="shared" si="2"/>
        <v>66249.263362010694</v>
      </c>
      <c r="O35" s="152">
        <f t="shared" si="3"/>
        <v>417972.69636201102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2047</v>
      </c>
      <c r="I36" s="152"/>
      <c r="J36" s="157"/>
      <c r="K36" s="154">
        <v>5700363949</v>
      </c>
      <c r="L36" s="227">
        <v>14856.011</v>
      </c>
      <c r="M36" s="157" t="s">
        <v>2020</v>
      </c>
      <c r="N36" s="227">
        <f t="shared" si="2"/>
        <v>51393.252362010695</v>
      </c>
      <c r="O36" s="152">
        <f t="shared" si="3"/>
        <v>403116.68536201102</v>
      </c>
    </row>
    <row r="37" spans="1:15" x14ac:dyDescent="0.15">
      <c r="A37" s="154"/>
      <c r="B37" s="151"/>
      <c r="C37" s="152"/>
      <c r="D37" s="323" t="s">
        <v>2048</v>
      </c>
      <c r="E37" s="154" t="s">
        <v>72</v>
      </c>
      <c r="F37" s="157" t="s">
        <v>2076</v>
      </c>
      <c r="G37" s="152">
        <v>87896.091000000015</v>
      </c>
      <c r="H37" s="323" t="s">
        <v>2048</v>
      </c>
      <c r="I37" s="152">
        <v>5431.348</v>
      </c>
      <c r="J37" s="157" t="s">
        <v>2020</v>
      </c>
      <c r="K37" s="154">
        <v>5700363949</v>
      </c>
      <c r="L37" s="227">
        <v>14824.49</v>
      </c>
      <c r="M37" s="157" t="s">
        <v>2020</v>
      </c>
      <c r="N37" s="227">
        <f t="shared" si="2"/>
        <v>31137.414362010699</v>
      </c>
      <c r="O37" s="152">
        <f t="shared" si="3"/>
        <v>470756.93836201105</v>
      </c>
    </row>
    <row r="38" spans="1:15" x14ac:dyDescent="0.15">
      <c r="A38" s="154"/>
      <c r="B38" s="151"/>
      <c r="C38" s="152"/>
      <c r="D38" s="323" t="s">
        <v>2048</v>
      </c>
      <c r="E38" s="154" t="s">
        <v>72</v>
      </c>
      <c r="F38" s="157" t="s">
        <v>2074</v>
      </c>
      <c r="G38" s="152">
        <v>43964.483999999997</v>
      </c>
      <c r="H38" s="323" t="s">
        <v>2048</v>
      </c>
      <c r="I38" s="152"/>
      <c r="J38" s="157"/>
      <c r="K38" s="154">
        <v>5700363949</v>
      </c>
      <c r="L38" s="227">
        <v>31137.414362010699</v>
      </c>
      <c r="M38" s="157" t="s">
        <v>2020</v>
      </c>
      <c r="N38" s="227">
        <f t="shared" si="2"/>
        <v>0</v>
      </c>
      <c r="O38" s="152">
        <f t="shared" si="3"/>
        <v>483584.00800000032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2048</v>
      </c>
      <c r="I39" s="152"/>
      <c r="J39" s="157"/>
      <c r="K39" s="154">
        <v>5700362430</v>
      </c>
      <c r="L39" s="227">
        <v>27150.0956379893</v>
      </c>
      <c r="M39" s="157" t="s">
        <v>2075</v>
      </c>
      <c r="N39" s="227">
        <f>G16+G20+G24+N38-I39-L39</f>
        <v>148667.30036201081</v>
      </c>
      <c r="O39" s="152">
        <f t="shared" ref="O39:O43" si="8">O38+G39-I39-L39</f>
        <v>456433.91236201103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2048</v>
      </c>
      <c r="I40" s="152"/>
      <c r="J40" s="157"/>
      <c r="K40" s="154">
        <v>5700362430</v>
      </c>
      <c r="L40" s="227">
        <v>10478.777</v>
      </c>
      <c r="M40" s="157" t="s">
        <v>2075</v>
      </c>
      <c r="N40" s="227">
        <f t="shared" ref="N40:N43" si="9">+N39-I40-L40</f>
        <v>138188.5233620108</v>
      </c>
      <c r="O40" s="152">
        <f t="shared" si="8"/>
        <v>445955.13536201103</v>
      </c>
    </row>
    <row r="41" spans="1:15" x14ac:dyDescent="0.15">
      <c r="A41" s="154"/>
      <c r="B41" s="151"/>
      <c r="C41" s="152"/>
      <c r="D41" s="323" t="s">
        <v>2049</v>
      </c>
      <c r="E41" s="154" t="s">
        <v>1696</v>
      </c>
      <c r="F41" s="157" t="s">
        <v>2077</v>
      </c>
      <c r="G41" s="152">
        <v>43936.006999999998</v>
      </c>
      <c r="H41" s="323" t="s">
        <v>2049</v>
      </c>
      <c r="I41" s="152">
        <v>2820.672</v>
      </c>
      <c r="J41" s="157" t="s">
        <v>2075</v>
      </c>
      <c r="K41" s="154">
        <v>5700362430</v>
      </c>
      <c r="L41" s="227">
        <v>31938.362000000001</v>
      </c>
      <c r="M41" s="157" t="s">
        <v>2075</v>
      </c>
      <c r="N41" s="227">
        <f t="shared" si="9"/>
        <v>103429.48936201082</v>
      </c>
      <c r="O41" s="152">
        <f t="shared" si="8"/>
        <v>455132.10836201097</v>
      </c>
    </row>
    <row r="42" spans="1:15" x14ac:dyDescent="0.15">
      <c r="A42" s="154"/>
      <c r="B42" s="151"/>
      <c r="C42" s="152"/>
      <c r="D42" s="323" t="s">
        <v>2049</v>
      </c>
      <c r="E42" s="154" t="s">
        <v>72</v>
      </c>
      <c r="F42" s="157" t="s">
        <v>2074</v>
      </c>
      <c r="G42" s="152">
        <v>88007.212</v>
      </c>
      <c r="H42" s="323" t="s">
        <v>2049</v>
      </c>
      <c r="I42" s="152"/>
      <c r="J42" s="157"/>
      <c r="K42" s="154">
        <v>5700362430</v>
      </c>
      <c r="L42" s="227">
        <v>12183.486999999999</v>
      </c>
      <c r="M42" s="157" t="s">
        <v>2075</v>
      </c>
      <c r="N42" s="227">
        <f t="shared" si="9"/>
        <v>91246.002362010826</v>
      </c>
      <c r="O42" s="152">
        <f t="shared" si="8"/>
        <v>530955.83336201101</v>
      </c>
    </row>
    <row r="43" spans="1:15" x14ac:dyDescent="0.15">
      <c r="A43" s="154"/>
      <c r="B43" s="151"/>
      <c r="C43" s="152"/>
      <c r="D43" s="323" t="s">
        <v>2049</v>
      </c>
      <c r="E43" s="154" t="s">
        <v>72</v>
      </c>
      <c r="F43" s="157" t="s">
        <v>2073</v>
      </c>
      <c r="G43" s="152">
        <v>43990.077999999899</v>
      </c>
      <c r="H43" s="323" t="s">
        <v>2049</v>
      </c>
      <c r="I43" s="152"/>
      <c r="J43" s="157"/>
      <c r="K43" s="154">
        <v>5700362430</v>
      </c>
      <c r="L43" s="227">
        <v>3893.973</v>
      </c>
      <c r="M43" s="157" t="s">
        <v>2075</v>
      </c>
      <c r="N43" s="227">
        <f t="shared" si="9"/>
        <v>87352.029362010828</v>
      </c>
      <c r="O43" s="152">
        <f t="shared" si="8"/>
        <v>571051.93836201087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2049</v>
      </c>
      <c r="I44" s="152"/>
      <c r="J44" s="157"/>
      <c r="K44" s="154">
        <v>5700362430</v>
      </c>
      <c r="L44" s="227">
        <v>39900.213000000003</v>
      </c>
      <c r="M44" s="157" t="s">
        <v>2075</v>
      </c>
      <c r="N44" s="227">
        <f t="shared" si="2"/>
        <v>47451.816362010824</v>
      </c>
      <c r="O44" s="152">
        <f t="shared" si="3"/>
        <v>531151.72536201088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2049</v>
      </c>
      <c r="I45" s="152"/>
      <c r="J45" s="157"/>
      <c r="K45" s="154">
        <v>5700362430</v>
      </c>
      <c r="L45" s="227">
        <v>34187.319000000003</v>
      </c>
      <c r="M45" s="157" t="s">
        <v>2075</v>
      </c>
      <c r="N45" s="227">
        <f t="shared" si="2"/>
        <v>13264.497362010821</v>
      </c>
      <c r="O45" s="152">
        <f t="shared" si="3"/>
        <v>496964.40636201086</v>
      </c>
    </row>
    <row r="46" spans="1:15" x14ac:dyDescent="0.15">
      <c r="A46" s="154"/>
      <c r="B46" s="151"/>
      <c r="C46" s="152"/>
      <c r="D46" s="323" t="s">
        <v>2050</v>
      </c>
      <c r="E46" s="154" t="s">
        <v>72</v>
      </c>
      <c r="F46" s="157" t="s">
        <v>2073</v>
      </c>
      <c r="G46" s="152">
        <v>175898.69099999999</v>
      </c>
      <c r="H46" s="323" t="s">
        <v>2050</v>
      </c>
      <c r="I46" s="152">
        <v>11257.737000000001</v>
      </c>
      <c r="J46" s="157" t="s">
        <v>2075</v>
      </c>
      <c r="K46" s="154">
        <v>5700362430</v>
      </c>
      <c r="L46" s="227">
        <v>2006.7603620108202</v>
      </c>
      <c r="M46" s="157" t="s">
        <v>2075</v>
      </c>
      <c r="N46" s="227">
        <f t="shared" si="2"/>
        <v>0</v>
      </c>
      <c r="O46" s="152">
        <f t="shared" si="3"/>
        <v>659598.60000000009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2050</v>
      </c>
      <c r="I47" s="152"/>
      <c r="J47" s="157"/>
      <c r="K47" s="154">
        <v>5700363949</v>
      </c>
      <c r="L47" s="227">
        <v>11307.5276379892</v>
      </c>
      <c r="M47" s="157" t="s">
        <v>2076</v>
      </c>
      <c r="N47" s="227">
        <f>G28+G37+N46-I47-L47</f>
        <v>252494.60036201082</v>
      </c>
      <c r="O47" s="152">
        <f t="shared" ref="O47:O50" si="10">O46+G47-I47-L47</f>
        <v>648291.07236201095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2050</v>
      </c>
      <c r="I48" s="152"/>
      <c r="J48" s="157"/>
      <c r="K48" s="154">
        <v>5700363949</v>
      </c>
      <c r="L48" s="227">
        <v>47450.815999999999</v>
      </c>
      <c r="M48" s="157" t="s">
        <v>2076</v>
      </c>
      <c r="N48" s="227">
        <f t="shared" ref="N48:N50" si="11">+N47-I48-L48</f>
        <v>205043.78436201083</v>
      </c>
      <c r="O48" s="152">
        <f t="shared" si="10"/>
        <v>600840.25636201096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2050</v>
      </c>
      <c r="I49" s="152"/>
      <c r="J49" s="157"/>
      <c r="K49" s="154">
        <v>5700363949</v>
      </c>
      <c r="L49" s="227">
        <v>31008.883000000002</v>
      </c>
      <c r="M49" s="157" t="s">
        <v>2076</v>
      </c>
      <c r="N49" s="227">
        <f t="shared" si="11"/>
        <v>174034.90136201083</v>
      </c>
      <c r="O49" s="152">
        <f t="shared" si="10"/>
        <v>569831.37336201093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2050</v>
      </c>
      <c r="I50" s="152"/>
      <c r="J50" s="157"/>
      <c r="K50" s="154">
        <v>5700363949</v>
      </c>
      <c r="L50" s="227">
        <v>9256.69</v>
      </c>
      <c r="M50" s="157" t="s">
        <v>2076</v>
      </c>
      <c r="N50" s="227">
        <f t="shared" si="11"/>
        <v>164778.21136201083</v>
      </c>
      <c r="O50" s="152">
        <f t="shared" si="10"/>
        <v>560574.68336201098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2050</v>
      </c>
      <c r="I51" s="152"/>
      <c r="J51" s="157"/>
      <c r="K51" s="154">
        <v>5700363949</v>
      </c>
      <c r="L51" s="227">
        <v>34067.262000000002</v>
      </c>
      <c r="M51" s="157" t="s">
        <v>2076</v>
      </c>
      <c r="N51" s="227">
        <f t="shared" si="2"/>
        <v>130710.94936201083</v>
      </c>
      <c r="O51" s="152">
        <f t="shared" si="3"/>
        <v>526507.42136201099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2050</v>
      </c>
      <c r="I52" s="152"/>
      <c r="J52" s="157"/>
      <c r="K52" s="154">
        <v>5700363949</v>
      </c>
      <c r="L52" s="227">
        <v>1192.604</v>
      </c>
      <c r="M52" s="157" t="s">
        <v>2076</v>
      </c>
      <c r="N52" s="227">
        <f t="shared" si="2"/>
        <v>129518.34536201082</v>
      </c>
      <c r="O52" s="152">
        <f t="shared" si="3"/>
        <v>525314.81736201094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2050</v>
      </c>
      <c r="I53" s="152"/>
      <c r="J53" s="157"/>
      <c r="K53" s="154">
        <v>5700363949</v>
      </c>
      <c r="L53" s="227">
        <v>33386.917000000001</v>
      </c>
      <c r="M53" s="157" t="s">
        <v>2076</v>
      </c>
      <c r="N53" s="227">
        <f t="shared" si="2"/>
        <v>96131.428362010818</v>
      </c>
      <c r="O53" s="152">
        <f t="shared" si="3"/>
        <v>491927.90036201093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2050</v>
      </c>
      <c r="I54" s="152"/>
      <c r="J54" s="157"/>
      <c r="K54" s="154">
        <v>5700363949</v>
      </c>
      <c r="L54" s="227">
        <v>2258.1439999999998</v>
      </c>
      <c r="M54" s="157" t="s">
        <v>2076</v>
      </c>
      <c r="N54" s="227">
        <f t="shared" si="2"/>
        <v>93873.284362010818</v>
      </c>
      <c r="O54" s="152">
        <f t="shared" si="3"/>
        <v>489669.75636201096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2050</v>
      </c>
      <c r="I55" s="152"/>
      <c r="J55" s="157"/>
      <c r="K55" s="154">
        <v>5700363949</v>
      </c>
      <c r="L55" s="227">
        <v>13446.813</v>
      </c>
      <c r="M55" s="157" t="s">
        <v>2076</v>
      </c>
      <c r="N55" s="227">
        <f t="shared" si="2"/>
        <v>80426.471362010823</v>
      </c>
      <c r="O55" s="152">
        <f t="shared" si="3"/>
        <v>476222.94336201093</v>
      </c>
    </row>
    <row r="56" spans="1:15" x14ac:dyDescent="0.15">
      <c r="A56" s="154"/>
      <c r="B56" s="151"/>
      <c r="C56" s="152"/>
      <c r="D56" s="323" t="s">
        <v>2051</v>
      </c>
      <c r="E56" s="154" t="s">
        <v>72</v>
      </c>
      <c r="F56" s="157" t="s">
        <v>2073</v>
      </c>
      <c r="G56" s="152">
        <v>132007.44399999999</v>
      </c>
      <c r="H56" s="323" t="s">
        <v>2051</v>
      </c>
      <c r="I56" s="152">
        <v>9592.0210000000006</v>
      </c>
      <c r="J56" s="157" t="s">
        <v>2076</v>
      </c>
      <c r="K56" s="154">
        <v>5700363949</v>
      </c>
      <c r="L56" s="227">
        <v>10978.504000000001</v>
      </c>
      <c r="M56" s="157" t="s">
        <v>2076</v>
      </c>
      <c r="N56" s="227">
        <f t="shared" si="2"/>
        <v>59855.946362010829</v>
      </c>
      <c r="O56" s="152">
        <f t="shared" si="3"/>
        <v>587659.86236201099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2051</v>
      </c>
      <c r="I57" s="152"/>
      <c r="J57" s="157"/>
      <c r="K57" s="154">
        <v>5700363949</v>
      </c>
      <c r="L57" s="227">
        <v>52439.587</v>
      </c>
      <c r="M57" s="157" t="s">
        <v>2076</v>
      </c>
      <c r="N57" s="227">
        <f t="shared" si="2"/>
        <v>7416.3593620108295</v>
      </c>
      <c r="O57" s="152">
        <f t="shared" si="3"/>
        <v>535220.27536201105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2051</v>
      </c>
      <c r="I58" s="152"/>
      <c r="J58" s="154"/>
      <c r="K58" s="154">
        <v>5700363949</v>
      </c>
      <c r="L58" s="227">
        <v>7416.3593620108295</v>
      </c>
      <c r="M58" s="157" t="s">
        <v>2076</v>
      </c>
      <c r="N58" s="227">
        <f t="shared" ref="N58:N60" si="12">+N57-I58-L58</f>
        <v>0</v>
      </c>
      <c r="O58" s="152">
        <f t="shared" ref="O58:O60" si="13">O57+G58-I58-L58</f>
        <v>527803.9160000002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2051</v>
      </c>
      <c r="I59" s="152"/>
      <c r="J59" s="154"/>
      <c r="K59" s="154">
        <v>5700362430</v>
      </c>
      <c r="L59" s="227">
        <v>30636.702637989201</v>
      </c>
      <c r="M59" s="157" t="s">
        <v>2074</v>
      </c>
      <c r="N59" s="227">
        <f>G38+N58-I59-L59</f>
        <v>13327.781362010795</v>
      </c>
      <c r="O59" s="152">
        <f t="shared" si="13"/>
        <v>497167.21336201101</v>
      </c>
    </row>
    <row r="60" spans="1:15" x14ac:dyDescent="0.15">
      <c r="A60" s="154"/>
      <c r="B60" s="151"/>
      <c r="C60" s="152"/>
      <c r="D60" s="323" t="s">
        <v>2052</v>
      </c>
      <c r="E60" s="154" t="s">
        <v>72</v>
      </c>
      <c r="F60" s="157" t="s">
        <v>2078</v>
      </c>
      <c r="G60" s="152">
        <v>132060.13800000001</v>
      </c>
      <c r="H60" s="323" t="s">
        <v>2052</v>
      </c>
      <c r="I60" s="152">
        <v>9391.5630000000001</v>
      </c>
      <c r="J60" s="157" t="s">
        <v>2074</v>
      </c>
      <c r="K60" s="154">
        <v>5700362430</v>
      </c>
      <c r="L60" s="227">
        <v>3936.2183620107953</v>
      </c>
      <c r="M60" s="157" t="s">
        <v>2074</v>
      </c>
      <c r="N60" s="227">
        <f t="shared" si="12"/>
        <v>0</v>
      </c>
      <c r="O60" s="152">
        <f t="shared" si="13"/>
        <v>615899.5700000003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2052</v>
      </c>
      <c r="I61" s="152"/>
      <c r="J61" s="157"/>
      <c r="K61" s="154">
        <v>5700362430</v>
      </c>
      <c r="L61" s="227">
        <v>11128.5006379892</v>
      </c>
      <c r="M61" s="157" t="s">
        <v>2077</v>
      </c>
      <c r="N61" s="227">
        <f>G41+N60-I61-L61</f>
        <v>32807.506362010798</v>
      </c>
      <c r="O61" s="152">
        <f t="shared" ref="O61:O63" si="14">O60+G61-I61-L61</f>
        <v>604771.06936201104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2052</v>
      </c>
      <c r="I62" s="152"/>
      <c r="J62" s="157"/>
      <c r="K62" s="154">
        <v>5700362430</v>
      </c>
      <c r="L62" s="227">
        <v>4972.08</v>
      </c>
      <c r="M62" s="157" t="s">
        <v>2077</v>
      </c>
      <c r="N62" s="227">
        <f t="shared" ref="N62:N63" si="15">+N61-I62-L62</f>
        <v>27835.426362010796</v>
      </c>
      <c r="O62" s="152">
        <f t="shared" si="14"/>
        <v>599798.98936201108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2052</v>
      </c>
      <c r="I63" s="152"/>
      <c r="J63" s="157"/>
      <c r="K63" s="154">
        <v>5700362430</v>
      </c>
      <c r="L63" s="227">
        <v>754.22199999999998</v>
      </c>
      <c r="M63" s="157" t="s">
        <v>2077</v>
      </c>
      <c r="N63" s="227">
        <f t="shared" si="15"/>
        <v>27081.204362010794</v>
      </c>
      <c r="O63" s="152">
        <f t="shared" si="14"/>
        <v>599044.76736201113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2052</v>
      </c>
      <c r="I64" s="152"/>
      <c r="J64" s="154"/>
      <c r="K64" s="154">
        <v>5700362430</v>
      </c>
      <c r="L64" s="227">
        <v>743.20399999999995</v>
      </c>
      <c r="M64" s="157" t="s">
        <v>2077</v>
      </c>
      <c r="N64" s="227">
        <f t="shared" si="2"/>
        <v>26338.000362010793</v>
      </c>
      <c r="O64" s="152">
        <f t="shared" si="3"/>
        <v>598301.5633620111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2052</v>
      </c>
      <c r="I65" s="152"/>
      <c r="J65" s="157"/>
      <c r="K65" s="154">
        <v>5700362430</v>
      </c>
      <c r="L65" s="227">
        <v>14921.165999999999</v>
      </c>
      <c r="M65" s="157" t="s">
        <v>2077</v>
      </c>
      <c r="N65" s="227">
        <f t="shared" si="2"/>
        <v>11416.834362010793</v>
      </c>
      <c r="O65" s="152">
        <f t="shared" si="3"/>
        <v>583380.39736201114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2052</v>
      </c>
      <c r="I66" s="152"/>
      <c r="J66" s="157"/>
      <c r="K66" s="154">
        <v>5700362430</v>
      </c>
      <c r="L66" s="227">
        <v>11416.834362010793</v>
      </c>
      <c r="M66" s="157" t="s">
        <v>2077</v>
      </c>
      <c r="N66" s="227">
        <f t="shared" si="2"/>
        <v>0</v>
      </c>
      <c r="O66" s="152">
        <f t="shared" si="3"/>
        <v>571963.56300000031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2052</v>
      </c>
      <c r="I67" s="152"/>
      <c r="J67" s="157"/>
      <c r="K67" s="154">
        <v>5700362430</v>
      </c>
      <c r="L67" s="227">
        <v>22838.645637989201</v>
      </c>
      <c r="M67" s="157" t="s">
        <v>2074</v>
      </c>
      <c r="N67" s="227">
        <f>G42+N66-I67-L67</f>
        <v>65168.566362010795</v>
      </c>
      <c r="O67" s="152">
        <f t="shared" ref="O67:O69" si="16">O66+G67-I67-L67</f>
        <v>549124.91736201115</v>
      </c>
    </row>
    <row r="68" spans="1:15" x14ac:dyDescent="0.15">
      <c r="A68" s="154"/>
      <c r="B68" s="151"/>
      <c r="C68" s="152"/>
      <c r="D68" s="323" t="s">
        <v>2053</v>
      </c>
      <c r="E68" s="154" t="s">
        <v>72</v>
      </c>
      <c r="F68" s="157" t="s">
        <v>2078</v>
      </c>
      <c r="G68" s="152">
        <v>17636.44399999897</v>
      </c>
      <c r="H68" s="323" t="s">
        <v>2053</v>
      </c>
      <c r="I68" s="152">
        <v>5576.4690000000001</v>
      </c>
      <c r="J68" s="157" t="s">
        <v>2074</v>
      </c>
      <c r="K68" s="154">
        <v>5700362430</v>
      </c>
      <c r="L68" s="227">
        <v>13436.09</v>
      </c>
      <c r="M68" s="157" t="s">
        <v>2074</v>
      </c>
      <c r="N68" s="227">
        <f t="shared" ref="N68:N69" si="17">+N67-I68-L68</f>
        <v>46156.007362010801</v>
      </c>
      <c r="O68" s="152">
        <f t="shared" si="16"/>
        <v>547748.80236201012</v>
      </c>
    </row>
    <row r="69" spans="1:15" x14ac:dyDescent="0.15">
      <c r="A69" s="154"/>
      <c r="B69" s="151"/>
      <c r="C69" s="152"/>
      <c r="D69" s="323" t="s">
        <v>2053</v>
      </c>
      <c r="E69" s="154" t="s">
        <v>72</v>
      </c>
      <c r="F69" s="157" t="s">
        <v>2079</v>
      </c>
      <c r="G69" s="152">
        <v>26333.341000001001</v>
      </c>
      <c r="H69" s="323" t="s">
        <v>2053</v>
      </c>
      <c r="I69" s="152"/>
      <c r="J69" s="157"/>
      <c r="K69" s="154">
        <v>5700362430</v>
      </c>
      <c r="L69" s="227">
        <v>556.74400000000003</v>
      </c>
      <c r="M69" s="157" t="s">
        <v>2074</v>
      </c>
      <c r="N69" s="227">
        <f t="shared" si="17"/>
        <v>45599.263362010803</v>
      </c>
      <c r="O69" s="152">
        <f t="shared" si="16"/>
        <v>573525.39936201111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2053</v>
      </c>
      <c r="I70" s="152"/>
      <c r="J70" s="157"/>
      <c r="K70" s="154">
        <v>5700362430</v>
      </c>
      <c r="L70" s="227">
        <v>9563.9599999999991</v>
      </c>
      <c r="M70" s="157" t="s">
        <v>2074</v>
      </c>
      <c r="N70" s="227">
        <f t="shared" si="2"/>
        <v>36035.303362010804</v>
      </c>
      <c r="O70" s="152">
        <f t="shared" si="3"/>
        <v>563961.43936201115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2053</v>
      </c>
      <c r="I71" s="152"/>
      <c r="J71" s="157"/>
      <c r="K71" s="154">
        <v>5700362430</v>
      </c>
      <c r="L71" s="227">
        <v>1128.5350000000001</v>
      </c>
      <c r="M71" s="157" t="s">
        <v>2074</v>
      </c>
      <c r="N71" s="227">
        <f t="shared" si="2"/>
        <v>34906.7683620108</v>
      </c>
      <c r="O71" s="152">
        <f t="shared" si="3"/>
        <v>562832.90436201112</v>
      </c>
    </row>
    <row r="72" spans="1:15" x14ac:dyDescent="0.15">
      <c r="A72" s="154"/>
      <c r="B72" s="151"/>
      <c r="C72" s="152"/>
      <c r="D72" s="323" t="s">
        <v>2054</v>
      </c>
      <c r="E72" s="154" t="s">
        <v>72</v>
      </c>
      <c r="F72" s="157" t="s">
        <v>2079</v>
      </c>
      <c r="G72" s="152">
        <v>43977.996999999988</v>
      </c>
      <c r="H72" s="323" t="s">
        <v>2054</v>
      </c>
      <c r="I72" s="152">
        <v>12767.82</v>
      </c>
      <c r="J72" s="157" t="s">
        <v>2074</v>
      </c>
      <c r="K72" s="154">
        <v>5700362430</v>
      </c>
      <c r="L72" s="227">
        <v>22138.9483620108</v>
      </c>
      <c r="M72" s="157" t="s">
        <v>2074</v>
      </c>
      <c r="N72" s="227">
        <f t="shared" ref="N72:N77" si="18">+N71-I72-L72</f>
        <v>0</v>
      </c>
      <c r="O72" s="152">
        <f t="shared" ref="O72:O77" si="19">O71+G72-I72-L72</f>
        <v>571904.13300000038</v>
      </c>
    </row>
    <row r="73" spans="1:15" x14ac:dyDescent="0.15">
      <c r="A73" s="154"/>
      <c r="B73" s="151"/>
      <c r="C73" s="152"/>
      <c r="D73" s="323" t="s">
        <v>2054</v>
      </c>
      <c r="E73" s="154" t="s">
        <v>72</v>
      </c>
      <c r="F73" s="157" t="s">
        <v>2080</v>
      </c>
      <c r="G73" s="152">
        <v>43907.767</v>
      </c>
      <c r="H73" s="323" t="s">
        <v>2054</v>
      </c>
      <c r="I73" s="152"/>
      <c r="J73" s="157"/>
      <c r="K73" s="154">
        <v>5700363949</v>
      </c>
      <c r="L73" s="227">
        <v>11943.4646379892</v>
      </c>
      <c r="M73" s="157" t="s">
        <v>2073</v>
      </c>
      <c r="N73" s="227">
        <f>G43+G46+G56+N72-I73-L73</f>
        <v>339952.74836201069</v>
      </c>
      <c r="O73" s="152">
        <f t="shared" si="19"/>
        <v>603868.43536201119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2054</v>
      </c>
      <c r="I74" s="152"/>
      <c r="J74" s="157"/>
      <c r="K74" s="154">
        <v>5700363949</v>
      </c>
      <c r="L74" s="227">
        <v>12125.763000000001</v>
      </c>
      <c r="M74" s="157" t="s">
        <v>2073</v>
      </c>
      <c r="N74" s="227">
        <f t="shared" si="18"/>
        <v>327826.98536201072</v>
      </c>
      <c r="O74" s="152">
        <f t="shared" si="19"/>
        <v>591742.67236201116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2054</v>
      </c>
      <c r="I75" s="152"/>
      <c r="J75" s="157"/>
      <c r="K75" s="154">
        <v>5700363949</v>
      </c>
      <c r="L75" s="227">
        <v>61510.688000000002</v>
      </c>
      <c r="M75" s="157" t="s">
        <v>2073</v>
      </c>
      <c r="N75" s="227">
        <f t="shared" si="18"/>
        <v>266316.29736201069</v>
      </c>
      <c r="O75" s="152">
        <f t="shared" si="19"/>
        <v>530231.98436201119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2054</v>
      </c>
      <c r="I76" s="152"/>
      <c r="J76" s="157"/>
      <c r="K76" s="154">
        <v>5700363949</v>
      </c>
      <c r="L76" s="227">
        <v>72619.289999999994</v>
      </c>
      <c r="M76" s="157" t="s">
        <v>2073</v>
      </c>
      <c r="N76" s="227">
        <f t="shared" si="18"/>
        <v>193697.00736201071</v>
      </c>
      <c r="O76" s="152">
        <f t="shared" si="19"/>
        <v>457612.69436201121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2054</v>
      </c>
      <c r="I77" s="152"/>
      <c r="J77" s="157"/>
      <c r="K77" s="154">
        <v>5700363949</v>
      </c>
      <c r="L77" s="227">
        <v>32433.077000000001</v>
      </c>
      <c r="M77" s="157" t="s">
        <v>2073</v>
      </c>
      <c r="N77" s="227">
        <f t="shared" si="18"/>
        <v>161263.93036201072</v>
      </c>
      <c r="O77" s="152">
        <f t="shared" si="19"/>
        <v>425179.61736201122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2054</v>
      </c>
      <c r="I78" s="152"/>
      <c r="J78" s="157"/>
      <c r="K78" s="154">
        <v>5700363949</v>
      </c>
      <c r="L78" s="227">
        <v>15904.025</v>
      </c>
      <c r="M78" s="157" t="s">
        <v>2073</v>
      </c>
      <c r="N78" s="227">
        <f t="shared" si="2"/>
        <v>145359.90536201073</v>
      </c>
      <c r="O78" s="152">
        <f t="shared" si="3"/>
        <v>409275.5923620112</v>
      </c>
    </row>
    <row r="79" spans="1:15" x14ac:dyDescent="0.15">
      <c r="A79" s="154"/>
      <c r="B79" s="151"/>
      <c r="C79" s="152"/>
      <c r="D79" s="323" t="s">
        <v>2055</v>
      </c>
      <c r="E79" s="154" t="s">
        <v>72</v>
      </c>
      <c r="F79" s="157" t="s">
        <v>2080</v>
      </c>
      <c r="G79" s="152">
        <v>187567.93399999902</v>
      </c>
      <c r="H79" s="323" t="s">
        <v>2055</v>
      </c>
      <c r="I79" s="152">
        <v>11179.153</v>
      </c>
      <c r="J79" s="157" t="s">
        <v>2073</v>
      </c>
      <c r="K79" s="154">
        <v>5700363949</v>
      </c>
      <c r="L79" s="227">
        <v>11045.721</v>
      </c>
      <c r="M79" s="157" t="s">
        <v>2073</v>
      </c>
      <c r="N79" s="227">
        <f t="shared" si="2"/>
        <v>123135.03136201073</v>
      </c>
      <c r="O79" s="152">
        <f t="shared" si="3"/>
        <v>574618.65236201021</v>
      </c>
    </row>
    <row r="80" spans="1:15" x14ac:dyDescent="0.15">
      <c r="A80" s="154"/>
      <c r="B80" s="151"/>
      <c r="C80" s="152"/>
      <c r="D80" s="323" t="s">
        <v>2055</v>
      </c>
      <c r="E80" s="154" t="s">
        <v>72</v>
      </c>
      <c r="F80" s="157" t="s">
        <v>2081</v>
      </c>
      <c r="G80" s="152">
        <v>32054.921000000999</v>
      </c>
      <c r="H80" s="323" t="s">
        <v>2055</v>
      </c>
      <c r="I80" s="152"/>
      <c r="J80" s="157"/>
      <c r="K80" s="154">
        <v>5700363949</v>
      </c>
      <c r="L80" s="227">
        <v>52188.775999999998</v>
      </c>
      <c r="M80" s="157" t="s">
        <v>2073</v>
      </c>
      <c r="N80" s="227">
        <f t="shared" si="2"/>
        <v>70946.255362010736</v>
      </c>
      <c r="O80" s="152">
        <f t="shared" si="3"/>
        <v>554484.79736201128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2055</v>
      </c>
      <c r="I81" s="152"/>
      <c r="J81" s="157"/>
      <c r="K81" s="154">
        <v>5700363949</v>
      </c>
      <c r="L81" s="227">
        <v>9712.41</v>
      </c>
      <c r="M81" s="157" t="s">
        <v>2073</v>
      </c>
      <c r="N81" s="227">
        <f t="shared" si="2"/>
        <v>61233.845362010732</v>
      </c>
      <c r="O81" s="152">
        <f t="shared" si="3"/>
        <v>544772.38736201124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2055</v>
      </c>
      <c r="I82" s="152"/>
      <c r="J82" s="157"/>
      <c r="K82" s="154">
        <v>5700363949</v>
      </c>
      <c r="L82" s="227">
        <v>28351.687999999998</v>
      </c>
      <c r="M82" s="157" t="s">
        <v>2073</v>
      </c>
      <c r="N82" s="227">
        <f t="shared" si="2"/>
        <v>32882.157362010737</v>
      </c>
      <c r="O82" s="152">
        <f t="shared" si="3"/>
        <v>516420.69936201122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2055</v>
      </c>
      <c r="I83" s="152"/>
      <c r="J83" s="157"/>
      <c r="K83" s="154">
        <v>5700363949</v>
      </c>
      <c r="L83" s="227">
        <v>1788.7850000000001</v>
      </c>
      <c r="M83" s="157" t="s">
        <v>2073</v>
      </c>
      <c r="N83" s="227">
        <f t="shared" ref="N83:N148" si="20">+N82-I83-L83</f>
        <v>31093.372362010738</v>
      </c>
      <c r="O83" s="152">
        <f t="shared" ref="O83:O149" si="21">O82+G83-I83-L83</f>
        <v>514631.91436201124</v>
      </c>
    </row>
    <row r="84" spans="1:15" x14ac:dyDescent="0.15">
      <c r="A84" s="154"/>
      <c r="B84" s="151"/>
      <c r="C84" s="152"/>
      <c r="D84" s="323" t="s">
        <v>2056</v>
      </c>
      <c r="E84" s="154" t="s">
        <v>72</v>
      </c>
      <c r="F84" s="157" t="s">
        <v>2081</v>
      </c>
      <c r="G84" s="152">
        <v>87875.407000000007</v>
      </c>
      <c r="H84" s="323" t="s">
        <v>2056</v>
      </c>
      <c r="I84" s="152">
        <v>13903.264000000001</v>
      </c>
      <c r="J84" s="157" t="s">
        <v>2073</v>
      </c>
      <c r="K84" s="154">
        <v>5700363949</v>
      </c>
      <c r="L84" s="227">
        <v>11157.334999999999</v>
      </c>
      <c r="M84" s="157" t="s">
        <v>2073</v>
      </c>
      <c r="N84" s="227">
        <f t="shared" si="20"/>
        <v>6032.7733620107392</v>
      </c>
      <c r="O84" s="152">
        <f t="shared" si="21"/>
        <v>577446.72236201132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2056</v>
      </c>
      <c r="I85" s="152"/>
      <c r="J85" s="157"/>
      <c r="K85" s="154">
        <v>5700363949</v>
      </c>
      <c r="L85" s="227">
        <v>4740.4639999999999</v>
      </c>
      <c r="M85" s="157" t="s">
        <v>2073</v>
      </c>
      <c r="N85" s="227">
        <f t="shared" si="20"/>
        <v>1292.3093620107393</v>
      </c>
      <c r="O85" s="152">
        <f t="shared" si="21"/>
        <v>572706.25836201129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2056</v>
      </c>
      <c r="I86" s="152"/>
      <c r="J86" s="157"/>
      <c r="K86" s="154">
        <v>5700363949</v>
      </c>
      <c r="L86" s="227">
        <v>1292.3093620107393</v>
      </c>
      <c r="M86" s="157" t="s">
        <v>2073</v>
      </c>
      <c r="N86" s="227">
        <f t="shared" si="20"/>
        <v>0</v>
      </c>
      <c r="O86" s="152">
        <f t="shared" si="21"/>
        <v>571413.94900000049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2056</v>
      </c>
      <c r="I87" s="152"/>
      <c r="J87" s="157"/>
      <c r="K87" s="154">
        <v>5700363949</v>
      </c>
      <c r="L87" s="227">
        <v>40086.483637989302</v>
      </c>
      <c r="M87" s="157" t="s">
        <v>2078</v>
      </c>
      <c r="N87" s="227">
        <f>G60+G68+N86-I87-L87</f>
        <v>109610.09836200968</v>
      </c>
      <c r="O87" s="152">
        <f t="shared" ref="O87:O92" si="22">O86+G87-I87-L87</f>
        <v>531327.46536201122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2056</v>
      </c>
      <c r="I88" s="152"/>
      <c r="J88" s="157"/>
      <c r="K88" s="154">
        <v>5700363949</v>
      </c>
      <c r="L88" s="227">
        <v>471.19099999999997</v>
      </c>
      <c r="M88" s="157" t="s">
        <v>2078</v>
      </c>
      <c r="N88" s="227">
        <f t="shared" ref="N88:N92" si="23">+N87-I88-L88</f>
        <v>109138.90736200968</v>
      </c>
      <c r="O88" s="152">
        <f t="shared" si="22"/>
        <v>530856.27436201123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2056</v>
      </c>
      <c r="I89" s="152"/>
      <c r="J89" s="157"/>
      <c r="K89" s="154">
        <v>5700363949</v>
      </c>
      <c r="L89" s="227">
        <v>5593.1409999999996</v>
      </c>
      <c r="M89" s="157" t="s">
        <v>2078</v>
      </c>
      <c r="N89" s="227">
        <f t="shared" si="23"/>
        <v>103545.76636200967</v>
      </c>
      <c r="O89" s="152">
        <f t="shared" si="22"/>
        <v>525263.13336201129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2056</v>
      </c>
      <c r="I90" s="152"/>
      <c r="J90" s="157"/>
      <c r="K90" s="154">
        <v>5700363949</v>
      </c>
      <c r="L90" s="227">
        <v>33183.898999999998</v>
      </c>
      <c r="M90" s="157" t="s">
        <v>2078</v>
      </c>
      <c r="N90" s="227">
        <f t="shared" si="23"/>
        <v>70361.867362009682</v>
      </c>
      <c r="O90" s="152">
        <f t="shared" si="22"/>
        <v>492079.23436201131</v>
      </c>
    </row>
    <row r="91" spans="1:15" x14ac:dyDescent="0.15">
      <c r="A91" s="154"/>
      <c r="B91" s="151"/>
      <c r="C91" s="152"/>
      <c r="D91" s="323" t="s">
        <v>2057</v>
      </c>
      <c r="E91" s="154" t="s">
        <v>72</v>
      </c>
      <c r="F91" s="157" t="s">
        <v>2081</v>
      </c>
      <c r="G91" s="152">
        <v>175652.85699999996</v>
      </c>
      <c r="H91" s="323" t="s">
        <v>2057</v>
      </c>
      <c r="I91" s="152">
        <v>11246.698</v>
      </c>
      <c r="J91" s="157" t="s">
        <v>2078</v>
      </c>
      <c r="K91" s="154">
        <v>5700363949</v>
      </c>
      <c r="L91" s="227">
        <v>39610.067999999999</v>
      </c>
      <c r="M91" s="157" t="s">
        <v>2078</v>
      </c>
      <c r="N91" s="227">
        <f t="shared" si="23"/>
        <v>19505.101362009678</v>
      </c>
      <c r="O91" s="152">
        <f t="shared" si="22"/>
        <v>616875.32536201132</v>
      </c>
    </row>
    <row r="92" spans="1:15" x14ac:dyDescent="0.15">
      <c r="A92" s="154"/>
      <c r="B92" s="151"/>
      <c r="C92" s="152"/>
      <c r="D92" s="323" t="s">
        <v>2057</v>
      </c>
      <c r="E92" s="154" t="s">
        <v>72</v>
      </c>
      <c r="F92" s="157" t="s">
        <v>2082</v>
      </c>
      <c r="G92" s="152">
        <v>43905.69</v>
      </c>
      <c r="H92" s="323" t="s">
        <v>2057</v>
      </c>
      <c r="I92" s="152"/>
      <c r="J92" s="157"/>
      <c r="K92" s="154">
        <v>5700363949</v>
      </c>
      <c r="L92" s="227">
        <v>12755.462</v>
      </c>
      <c r="M92" s="157" t="s">
        <v>2078</v>
      </c>
      <c r="N92" s="227">
        <f t="shared" si="23"/>
        <v>6749.6393620096787</v>
      </c>
      <c r="O92" s="152">
        <f t="shared" si="22"/>
        <v>648025.55336201121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2057</v>
      </c>
      <c r="I93" s="152"/>
      <c r="J93" s="157"/>
      <c r="K93" s="154">
        <v>5700363949</v>
      </c>
      <c r="L93" s="227">
        <v>6749.6393620096787</v>
      </c>
      <c r="M93" s="157" t="s">
        <v>2078</v>
      </c>
      <c r="N93" s="227">
        <f t="shared" ref="N93:N97" si="24">+N92-I93-L93</f>
        <v>0</v>
      </c>
      <c r="O93" s="152">
        <f t="shared" ref="O93:O97" si="25">O92+G93-I93-L93</f>
        <v>641275.9140000015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2057</v>
      </c>
      <c r="I94" s="152"/>
      <c r="J94" s="157"/>
      <c r="K94" s="154">
        <v>5700363949</v>
      </c>
      <c r="L94" s="227">
        <v>8652.1636379903193</v>
      </c>
      <c r="M94" s="157" t="s">
        <v>2079</v>
      </c>
      <c r="N94" s="227">
        <f>G69+G72+N93-I94-L94</f>
        <v>61659.174362010672</v>
      </c>
      <c r="O94" s="152">
        <f t="shared" si="25"/>
        <v>632623.75036201114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2057</v>
      </c>
      <c r="I95" s="152"/>
      <c r="J95" s="157"/>
      <c r="K95" s="154">
        <v>5700363949</v>
      </c>
      <c r="L95" s="227">
        <v>51436.059000000001</v>
      </c>
      <c r="M95" s="157" t="s">
        <v>2079</v>
      </c>
      <c r="N95" s="227">
        <f t="shared" si="24"/>
        <v>10223.115362010671</v>
      </c>
      <c r="O95" s="152">
        <f t="shared" si="25"/>
        <v>581187.69136201113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2057</v>
      </c>
      <c r="I96" s="152"/>
      <c r="J96" s="157"/>
      <c r="K96" s="154">
        <v>5700363949</v>
      </c>
      <c r="L96" s="227">
        <v>9518.8230000000003</v>
      </c>
      <c r="M96" s="157" t="s">
        <v>2079</v>
      </c>
      <c r="N96" s="227">
        <f t="shared" si="24"/>
        <v>704.29236201067033</v>
      </c>
      <c r="O96" s="152">
        <f t="shared" si="25"/>
        <v>571668.86836201116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2057</v>
      </c>
      <c r="I97" s="152"/>
      <c r="J97" s="157"/>
      <c r="K97" s="154">
        <v>5700363949</v>
      </c>
      <c r="L97" s="227">
        <v>704.29236201067033</v>
      </c>
      <c r="M97" s="157" t="s">
        <v>2079</v>
      </c>
      <c r="N97" s="227">
        <f t="shared" si="24"/>
        <v>0</v>
      </c>
      <c r="O97" s="152">
        <f t="shared" si="25"/>
        <v>570964.57600000047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2057</v>
      </c>
      <c r="I98" s="152"/>
      <c r="J98" s="157"/>
      <c r="K98" s="154">
        <v>5700362430</v>
      </c>
      <c r="L98" s="227">
        <v>32742.6536379893</v>
      </c>
      <c r="M98" s="157" t="s">
        <v>2080</v>
      </c>
      <c r="N98" s="227">
        <f>G73+G79+N97-I98-L98</f>
        <v>198733.0473620097</v>
      </c>
      <c r="O98" s="152">
        <f t="shared" si="21"/>
        <v>538221.92236201116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2057</v>
      </c>
      <c r="I99" s="152"/>
      <c r="J99" s="157"/>
      <c r="K99" s="154">
        <v>5700362430</v>
      </c>
      <c r="L99" s="227">
        <v>4795.43</v>
      </c>
      <c r="M99" s="157" t="s">
        <v>2080</v>
      </c>
      <c r="N99" s="227">
        <f t="shared" si="20"/>
        <v>193937.61736200971</v>
      </c>
      <c r="O99" s="152">
        <f t="shared" si="21"/>
        <v>533426.49236201111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2057</v>
      </c>
      <c r="I100" s="152"/>
      <c r="J100" s="157"/>
      <c r="K100" s="154">
        <v>5700362430</v>
      </c>
      <c r="L100" s="227">
        <v>32556.493999999999</v>
      </c>
      <c r="M100" s="157" t="s">
        <v>2080</v>
      </c>
      <c r="N100" s="227">
        <f t="shared" si="20"/>
        <v>161381.1233620097</v>
      </c>
      <c r="O100" s="152">
        <f t="shared" si="21"/>
        <v>500869.9983620111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2057</v>
      </c>
      <c r="I101" s="152"/>
      <c r="J101" s="157"/>
      <c r="K101" s="154">
        <v>5700362430</v>
      </c>
      <c r="L101" s="227">
        <v>12684.425999999999</v>
      </c>
      <c r="M101" s="157" t="s">
        <v>2080</v>
      </c>
      <c r="N101" s="227">
        <f t="shared" si="20"/>
        <v>148696.6973620097</v>
      </c>
      <c r="O101" s="152">
        <f t="shared" si="21"/>
        <v>488185.57236201112</v>
      </c>
    </row>
    <row r="102" spans="1:15" x14ac:dyDescent="0.15">
      <c r="A102" s="154"/>
      <c r="B102" s="151"/>
      <c r="C102" s="152"/>
      <c r="D102" s="323" t="s">
        <v>2058</v>
      </c>
      <c r="E102" s="154" t="s">
        <v>72</v>
      </c>
      <c r="F102" s="157" t="s">
        <v>2082</v>
      </c>
      <c r="G102" s="152">
        <v>175643.06399999998</v>
      </c>
      <c r="H102" s="323" t="s">
        <v>2058</v>
      </c>
      <c r="I102" s="152">
        <v>11231.039000000001</v>
      </c>
      <c r="J102" s="157" t="s">
        <v>2080</v>
      </c>
      <c r="K102" s="154">
        <v>5700362430</v>
      </c>
      <c r="L102" s="227">
        <v>25795.455999999998</v>
      </c>
      <c r="M102" s="157" t="s">
        <v>2080</v>
      </c>
      <c r="N102" s="227">
        <f t="shared" si="20"/>
        <v>111670.2023620097</v>
      </c>
      <c r="O102" s="152">
        <f t="shared" si="21"/>
        <v>626802.14136201108</v>
      </c>
    </row>
    <row r="103" spans="1:15" x14ac:dyDescent="0.15">
      <c r="A103" s="154"/>
      <c r="B103" s="151"/>
      <c r="C103" s="152"/>
      <c r="D103" s="323" t="s">
        <v>2058</v>
      </c>
      <c r="E103" s="154" t="s">
        <v>72</v>
      </c>
      <c r="F103" s="157" t="s">
        <v>2083</v>
      </c>
      <c r="G103" s="152">
        <v>87885.312000000005</v>
      </c>
      <c r="H103" s="323" t="s">
        <v>2058</v>
      </c>
      <c r="I103" s="152"/>
      <c r="J103" s="157"/>
      <c r="K103" s="154">
        <v>5700362430</v>
      </c>
      <c r="L103" s="227">
        <v>14971.069</v>
      </c>
      <c r="M103" s="157" t="s">
        <v>2080</v>
      </c>
      <c r="N103" s="227">
        <f t="shared" si="20"/>
        <v>96699.133362009699</v>
      </c>
      <c r="O103" s="152">
        <f t="shared" si="21"/>
        <v>699716.3843620111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2058</v>
      </c>
      <c r="I104" s="152"/>
      <c r="J104" s="157"/>
      <c r="K104" s="154">
        <v>5700362430</v>
      </c>
      <c r="L104" s="227">
        <v>11807.786</v>
      </c>
      <c r="M104" s="157" t="s">
        <v>2080</v>
      </c>
      <c r="N104" s="227">
        <f t="shared" si="20"/>
        <v>84891.347362009692</v>
      </c>
      <c r="O104" s="152">
        <f t="shared" si="21"/>
        <v>687908.59836201114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2058</v>
      </c>
      <c r="I105" s="152"/>
      <c r="J105" s="157"/>
      <c r="K105" s="154">
        <v>5700362430</v>
      </c>
      <c r="L105" s="227">
        <v>660.26800000000003</v>
      </c>
      <c r="M105" s="157" t="s">
        <v>2080</v>
      </c>
      <c r="N105" s="227">
        <f t="shared" si="20"/>
        <v>84231.079362009696</v>
      </c>
      <c r="O105" s="152">
        <f t="shared" si="21"/>
        <v>687248.3303620111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2058</v>
      </c>
      <c r="I106" s="152"/>
      <c r="J106" s="157"/>
      <c r="K106" s="154">
        <v>5700362430</v>
      </c>
      <c r="L106" s="227">
        <v>61584.964</v>
      </c>
      <c r="M106" s="157" t="s">
        <v>2080</v>
      </c>
      <c r="N106" s="227">
        <f t="shared" si="20"/>
        <v>22646.115362009696</v>
      </c>
      <c r="O106" s="152">
        <f t="shared" si="21"/>
        <v>625663.36636201106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2058</v>
      </c>
      <c r="I107" s="152"/>
      <c r="J107" s="157"/>
      <c r="K107" s="154">
        <v>5700362430</v>
      </c>
      <c r="L107" s="227">
        <v>4028.0410000000002</v>
      </c>
      <c r="M107" s="157" t="s">
        <v>2080</v>
      </c>
      <c r="N107" s="227">
        <f t="shared" si="20"/>
        <v>18618.074362009695</v>
      </c>
      <c r="O107" s="152">
        <f t="shared" si="21"/>
        <v>621635.32536201109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2058</v>
      </c>
      <c r="I108" s="152"/>
      <c r="J108" s="157"/>
      <c r="K108" s="154">
        <v>5700362430</v>
      </c>
      <c r="L108" s="227">
        <v>18618.074362009695</v>
      </c>
      <c r="M108" s="157" t="s">
        <v>2080</v>
      </c>
      <c r="N108" s="227">
        <f t="shared" si="20"/>
        <v>0</v>
      </c>
      <c r="O108" s="152">
        <f t="shared" si="21"/>
        <v>603017.25100000144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2058</v>
      </c>
      <c r="I109" s="152"/>
      <c r="J109" s="157"/>
      <c r="K109" s="154">
        <v>5700363949</v>
      </c>
      <c r="L109" s="227">
        <v>19441.207637990301</v>
      </c>
      <c r="M109" s="157" t="s">
        <v>2081</v>
      </c>
      <c r="N109" s="227">
        <f>G80+G84+G91+N108-I109-L109</f>
        <v>276141.97736201069</v>
      </c>
      <c r="O109" s="152">
        <f t="shared" si="21"/>
        <v>583576.0433620112</v>
      </c>
    </row>
    <row r="110" spans="1:15" x14ac:dyDescent="0.15">
      <c r="A110" s="154"/>
      <c r="B110" s="151"/>
      <c r="C110" s="152"/>
      <c r="D110" s="323" t="s">
        <v>2059</v>
      </c>
      <c r="E110" s="154" t="s">
        <v>72</v>
      </c>
      <c r="F110" s="157" t="s">
        <v>2083</v>
      </c>
      <c r="G110" s="152">
        <v>43959.038999999997</v>
      </c>
      <c r="H110" s="323" t="s">
        <v>2059</v>
      </c>
      <c r="I110" s="152">
        <v>12604.385999999999</v>
      </c>
      <c r="J110" s="157" t="s">
        <v>2081</v>
      </c>
      <c r="K110" s="154">
        <v>5700363949</v>
      </c>
      <c r="L110" s="227">
        <v>11802.98</v>
      </c>
      <c r="M110" s="157" t="s">
        <v>2081</v>
      </c>
      <c r="N110" s="227">
        <f t="shared" si="20"/>
        <v>251734.61136201068</v>
      </c>
      <c r="O110" s="152">
        <f t="shared" si="21"/>
        <v>603127.71636201115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2059</v>
      </c>
      <c r="I111" s="152"/>
      <c r="J111" s="157"/>
      <c r="K111" s="154">
        <v>5700363949</v>
      </c>
      <c r="L111" s="227">
        <v>4830.4470000000001</v>
      </c>
      <c r="M111" s="157" t="s">
        <v>2081</v>
      </c>
      <c r="N111" s="227">
        <f t="shared" si="20"/>
        <v>246904.16436201066</v>
      </c>
      <c r="O111" s="152">
        <f t="shared" si="21"/>
        <v>598297.26936201111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2059</v>
      </c>
      <c r="I112" s="152"/>
      <c r="J112" s="157"/>
      <c r="K112" s="154">
        <v>5700363949</v>
      </c>
      <c r="L112" s="227">
        <v>5555.8149999999996</v>
      </c>
      <c r="M112" s="157" t="s">
        <v>2081</v>
      </c>
      <c r="N112" s="227">
        <f t="shared" si="20"/>
        <v>241348.34936201066</v>
      </c>
      <c r="O112" s="152">
        <f t="shared" si="21"/>
        <v>592741.45436201117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2059</v>
      </c>
      <c r="I113" s="152"/>
      <c r="J113" s="157"/>
      <c r="K113" s="154">
        <v>5700363949</v>
      </c>
      <c r="L113" s="227">
        <v>33166.803999999996</v>
      </c>
      <c r="M113" s="157" t="s">
        <v>2081</v>
      </c>
      <c r="N113" s="227">
        <f t="shared" si="20"/>
        <v>208181.54536201066</v>
      </c>
      <c r="O113" s="152">
        <f t="shared" si="21"/>
        <v>559574.65036201116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2059</v>
      </c>
      <c r="I114" s="152"/>
      <c r="J114" s="157"/>
      <c r="K114" s="154">
        <v>5700363949</v>
      </c>
      <c r="L114" s="227">
        <v>14315.253000000001</v>
      </c>
      <c r="M114" s="157" t="s">
        <v>2081</v>
      </c>
      <c r="N114" s="227">
        <f t="shared" si="20"/>
        <v>193866.29236201066</v>
      </c>
      <c r="O114" s="152">
        <f t="shared" si="21"/>
        <v>545259.39736201114</v>
      </c>
    </row>
    <row r="115" spans="1:15" x14ac:dyDescent="0.15">
      <c r="A115" s="154"/>
      <c r="B115" s="151"/>
      <c r="C115" s="152"/>
      <c r="D115" s="323" t="s">
        <v>2060</v>
      </c>
      <c r="E115" s="154" t="s">
        <v>72</v>
      </c>
      <c r="F115" s="157" t="s">
        <v>2083</v>
      </c>
      <c r="G115" s="152">
        <v>76930.232999999076</v>
      </c>
      <c r="H115" s="323" t="s">
        <v>2060</v>
      </c>
      <c r="I115" s="152">
        <v>9770.2240000000002</v>
      </c>
      <c r="J115" s="157" t="s">
        <v>2081</v>
      </c>
      <c r="K115" s="154">
        <v>5700363949</v>
      </c>
      <c r="L115" s="227">
        <v>37321.758000000002</v>
      </c>
      <c r="M115" s="157" t="s">
        <v>2081</v>
      </c>
      <c r="N115" s="227">
        <f t="shared" si="20"/>
        <v>146774.31036201067</v>
      </c>
      <c r="O115" s="152">
        <f t="shared" si="21"/>
        <v>575097.64836201014</v>
      </c>
    </row>
    <row r="116" spans="1:15" x14ac:dyDescent="0.15">
      <c r="A116" s="154"/>
      <c r="B116" s="151"/>
      <c r="C116" s="152"/>
      <c r="D116" s="323" t="s">
        <v>2060</v>
      </c>
      <c r="E116" s="154" t="s">
        <v>72</v>
      </c>
      <c r="F116" s="157" t="s">
        <v>2084</v>
      </c>
      <c r="G116" s="152">
        <v>11018.6790000009</v>
      </c>
      <c r="H116" s="323" t="s">
        <v>2060</v>
      </c>
      <c r="I116" s="152"/>
      <c r="J116" s="157"/>
      <c r="K116" s="154">
        <v>5700363949</v>
      </c>
      <c r="L116" s="227">
        <v>7654.3320000000003</v>
      </c>
      <c r="M116" s="157" t="s">
        <v>2081</v>
      </c>
      <c r="N116" s="227">
        <f t="shared" si="20"/>
        <v>139119.97836201068</v>
      </c>
      <c r="O116" s="152">
        <f t="shared" si="21"/>
        <v>578461.99536201102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2060</v>
      </c>
      <c r="I117" s="152"/>
      <c r="J117" s="157"/>
      <c r="K117" s="154">
        <v>5700363949</v>
      </c>
      <c r="L117" s="227">
        <v>37141.313999999998</v>
      </c>
      <c r="M117" s="157" t="s">
        <v>2081</v>
      </c>
      <c r="N117" s="227">
        <f t="shared" si="20"/>
        <v>101978.66436201068</v>
      </c>
      <c r="O117" s="152">
        <f t="shared" si="21"/>
        <v>541320.681362011</v>
      </c>
    </row>
    <row r="118" spans="1:15" x14ac:dyDescent="0.15">
      <c r="A118" s="154"/>
      <c r="B118" s="151"/>
      <c r="C118" s="152"/>
      <c r="D118" s="323" t="s">
        <v>2061</v>
      </c>
      <c r="E118" s="154" t="s">
        <v>72</v>
      </c>
      <c r="F118" s="157" t="s">
        <v>2084</v>
      </c>
      <c r="G118" s="152">
        <v>175840.54399999999</v>
      </c>
      <c r="H118" s="323" t="s">
        <v>2061</v>
      </c>
      <c r="I118" s="152">
        <v>10402.150000000001</v>
      </c>
      <c r="J118" s="157" t="s">
        <v>2081</v>
      </c>
      <c r="K118" s="154">
        <v>5700363949</v>
      </c>
      <c r="L118" s="227">
        <v>12030.741</v>
      </c>
      <c r="M118" s="157" t="s">
        <v>2081</v>
      </c>
      <c r="N118" s="227">
        <f t="shared" si="20"/>
        <v>79545.773362010674</v>
      </c>
      <c r="O118" s="152">
        <f t="shared" si="21"/>
        <v>694728.33436201094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2061</v>
      </c>
      <c r="I119" s="152"/>
      <c r="J119" s="157"/>
      <c r="K119" s="154">
        <v>5700363949</v>
      </c>
      <c r="L119" s="227">
        <v>74827.453999999998</v>
      </c>
      <c r="M119" s="157" t="s">
        <v>2081</v>
      </c>
      <c r="N119" s="227">
        <f t="shared" si="20"/>
        <v>4718.3193620106758</v>
      </c>
      <c r="O119" s="152">
        <f t="shared" si="21"/>
        <v>619900.88036201091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2061</v>
      </c>
      <c r="I120" s="152"/>
      <c r="J120" s="157"/>
      <c r="K120" s="154">
        <v>5700363949</v>
      </c>
      <c r="L120" s="227">
        <v>4718.3193620106758</v>
      </c>
      <c r="M120" s="157" t="s">
        <v>2081</v>
      </c>
      <c r="N120" s="227">
        <f t="shared" si="20"/>
        <v>0</v>
      </c>
      <c r="O120" s="152">
        <f t="shared" si="21"/>
        <v>615182.56100000022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2061</v>
      </c>
      <c r="I121" s="152"/>
      <c r="J121" s="157"/>
      <c r="K121" s="154">
        <v>5700363949</v>
      </c>
      <c r="L121" s="227">
        <v>52507.775637989304</v>
      </c>
      <c r="M121" s="157" t="s">
        <v>2082</v>
      </c>
      <c r="N121" s="227">
        <f>G92+G102+N120-I121-L121</f>
        <v>167040.97836201068</v>
      </c>
      <c r="O121" s="152">
        <f t="shared" si="21"/>
        <v>562674.78536201094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2061</v>
      </c>
      <c r="I122" s="152"/>
      <c r="J122" s="157"/>
      <c r="K122" s="154">
        <v>5700363949</v>
      </c>
      <c r="L122" s="227">
        <v>5531.8559999999998</v>
      </c>
      <c r="M122" s="157" t="s">
        <v>2082</v>
      </c>
      <c r="N122" s="227">
        <f t="shared" si="20"/>
        <v>161509.12236201068</v>
      </c>
      <c r="O122" s="152">
        <f t="shared" si="21"/>
        <v>557142.92936201091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2061</v>
      </c>
      <c r="I123" s="152"/>
      <c r="J123" s="157"/>
      <c r="K123" s="154">
        <v>5700363949</v>
      </c>
      <c r="L123" s="227">
        <v>1208.9580000000001</v>
      </c>
      <c r="M123" s="157" t="s">
        <v>2082</v>
      </c>
      <c r="N123" s="227">
        <f t="shared" si="20"/>
        <v>160300.16436201066</v>
      </c>
      <c r="O123" s="152">
        <f t="shared" si="21"/>
        <v>555933.97136201093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2061</v>
      </c>
      <c r="I124" s="152"/>
      <c r="J124" s="157"/>
      <c r="K124" s="154">
        <v>5700363949</v>
      </c>
      <c r="L124" s="227">
        <v>1808.9290000000001</v>
      </c>
      <c r="M124" s="157" t="s">
        <v>2082</v>
      </c>
      <c r="N124" s="227">
        <f t="shared" si="20"/>
        <v>158491.23536201066</v>
      </c>
      <c r="O124" s="152">
        <f t="shared" si="21"/>
        <v>554125.04236201092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2061</v>
      </c>
      <c r="I125" s="152"/>
      <c r="J125" s="157"/>
      <c r="K125" s="154">
        <v>5700363949</v>
      </c>
      <c r="L125" s="227">
        <v>33203.771000000001</v>
      </c>
      <c r="M125" s="157" t="s">
        <v>2082</v>
      </c>
      <c r="N125" s="227">
        <f t="shared" si="20"/>
        <v>125287.46436201065</v>
      </c>
      <c r="O125" s="152">
        <f t="shared" si="21"/>
        <v>520921.27136201091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2061</v>
      </c>
      <c r="I126" s="152"/>
      <c r="J126" s="157"/>
      <c r="K126" s="154">
        <v>5700363949</v>
      </c>
      <c r="L126" s="227">
        <v>14254.084000000001</v>
      </c>
      <c r="M126" s="157" t="s">
        <v>2082</v>
      </c>
      <c r="N126" s="227">
        <f t="shared" si="20"/>
        <v>111033.38036201065</v>
      </c>
      <c r="O126" s="152">
        <f t="shared" si="21"/>
        <v>506667.18736201094</v>
      </c>
    </row>
    <row r="127" spans="1:15" x14ac:dyDescent="0.15">
      <c r="A127" s="154"/>
      <c r="B127" s="151"/>
      <c r="C127" s="152"/>
      <c r="D127" s="323" t="s">
        <v>2062</v>
      </c>
      <c r="E127" s="154" t="s">
        <v>72</v>
      </c>
      <c r="F127" s="157" t="s">
        <v>2085</v>
      </c>
      <c r="G127" s="152">
        <v>87915.061000000002</v>
      </c>
      <c r="H127" s="323" t="s">
        <v>2062</v>
      </c>
      <c r="I127" s="152">
        <v>12307.442999999999</v>
      </c>
      <c r="J127" s="157" t="s">
        <v>2082</v>
      </c>
      <c r="K127" s="154">
        <v>5700363949</v>
      </c>
      <c r="L127" s="227">
        <v>11206.883</v>
      </c>
      <c r="M127" s="157" t="s">
        <v>2082</v>
      </c>
      <c r="N127" s="227">
        <f t="shared" si="20"/>
        <v>87519.054362010647</v>
      </c>
      <c r="O127" s="152">
        <f t="shared" si="21"/>
        <v>571067.92236201093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2062</v>
      </c>
      <c r="I128" s="152"/>
      <c r="J128" s="157"/>
      <c r="K128" s="154">
        <v>5700363949</v>
      </c>
      <c r="L128" s="227">
        <v>14445.473</v>
      </c>
      <c r="M128" s="157" t="s">
        <v>2082</v>
      </c>
      <c r="N128" s="227">
        <f t="shared" si="20"/>
        <v>73073.581362010649</v>
      </c>
      <c r="O128" s="152">
        <f t="shared" si="21"/>
        <v>556622.44936201093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2062</v>
      </c>
      <c r="I129" s="152"/>
      <c r="J129" s="157"/>
      <c r="K129" s="154">
        <v>5700363949</v>
      </c>
      <c r="L129" s="227">
        <v>58222.517999999996</v>
      </c>
      <c r="M129" s="157" t="s">
        <v>2082</v>
      </c>
      <c r="N129" s="227">
        <f t="shared" si="20"/>
        <v>14851.063362010653</v>
      </c>
      <c r="O129" s="152">
        <f t="shared" si="21"/>
        <v>498399.93136201095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2062</v>
      </c>
      <c r="I130" s="152"/>
      <c r="J130" s="157"/>
      <c r="K130" s="154">
        <v>5700363949</v>
      </c>
      <c r="L130" s="227">
        <v>8523.08</v>
      </c>
      <c r="M130" s="157" t="s">
        <v>2082</v>
      </c>
      <c r="N130" s="227">
        <f t="shared" si="20"/>
        <v>6327.9833620106529</v>
      </c>
      <c r="O130" s="152">
        <f t="shared" si="21"/>
        <v>489876.85136201093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2062</v>
      </c>
      <c r="I131" s="152"/>
      <c r="J131" s="157"/>
      <c r="K131" s="154">
        <v>5700363949</v>
      </c>
      <c r="L131" s="227">
        <v>6327.9833620106529</v>
      </c>
      <c r="M131" s="157" t="s">
        <v>2082</v>
      </c>
      <c r="N131" s="227">
        <f t="shared" si="20"/>
        <v>0</v>
      </c>
      <c r="O131" s="152">
        <f t="shared" si="21"/>
        <v>483548.86800000025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2062</v>
      </c>
      <c r="I132" s="152"/>
      <c r="J132" s="157"/>
      <c r="K132" s="154">
        <v>5700363949</v>
      </c>
      <c r="L132" s="227">
        <v>31395.481637989302</v>
      </c>
      <c r="M132" s="157" t="s">
        <v>2083</v>
      </c>
      <c r="N132" s="227">
        <f>G103+G110+G115+N131-I132-L132</f>
        <v>177379.10236200975</v>
      </c>
      <c r="O132" s="152">
        <f t="shared" si="21"/>
        <v>452153.38636201096</v>
      </c>
    </row>
    <row r="133" spans="1:15" x14ac:dyDescent="0.15">
      <c r="A133" s="154"/>
      <c r="B133" s="151"/>
      <c r="C133" s="152"/>
      <c r="D133" s="323" t="s">
        <v>2063</v>
      </c>
      <c r="E133" s="154" t="s">
        <v>72</v>
      </c>
      <c r="F133" s="157" t="s">
        <v>2086</v>
      </c>
      <c r="G133" s="152">
        <v>219937.755</v>
      </c>
      <c r="H133" s="323" t="s">
        <v>2063</v>
      </c>
      <c r="I133" s="152">
        <v>9110.496000000001</v>
      </c>
      <c r="J133" s="157" t="s">
        <v>2083</v>
      </c>
      <c r="K133" s="154">
        <v>5700363949</v>
      </c>
      <c r="L133" s="227">
        <v>13096.154</v>
      </c>
      <c r="M133" s="157" t="s">
        <v>2083</v>
      </c>
      <c r="N133" s="227">
        <f t="shared" si="20"/>
        <v>155172.45236200973</v>
      </c>
      <c r="O133" s="152">
        <f t="shared" si="21"/>
        <v>649884.49136201094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2063</v>
      </c>
      <c r="I134" s="152"/>
      <c r="J134" s="157"/>
      <c r="K134" s="154">
        <v>5700363949</v>
      </c>
      <c r="L134" s="227">
        <v>13188.962</v>
      </c>
      <c r="M134" s="157" t="s">
        <v>2083</v>
      </c>
      <c r="N134" s="227">
        <f t="shared" si="20"/>
        <v>141983.49036200973</v>
      </c>
      <c r="O134" s="152">
        <f t="shared" si="21"/>
        <v>636695.529362011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2063</v>
      </c>
      <c r="I135" s="152"/>
      <c r="J135" s="157"/>
      <c r="K135" s="154">
        <v>5700363949</v>
      </c>
      <c r="L135" s="227">
        <v>4990.2250000000004</v>
      </c>
      <c r="M135" s="157" t="s">
        <v>2083</v>
      </c>
      <c r="N135" s="227">
        <f t="shared" si="20"/>
        <v>136993.26536200973</v>
      </c>
      <c r="O135" s="152">
        <f t="shared" si="21"/>
        <v>631705.30436201103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2063</v>
      </c>
      <c r="I136" s="152"/>
      <c r="J136" s="157"/>
      <c r="K136" s="154">
        <v>5700363949</v>
      </c>
      <c r="L136" s="227">
        <v>33317.22</v>
      </c>
      <c r="M136" s="157" t="s">
        <v>2083</v>
      </c>
      <c r="N136" s="227">
        <f t="shared" si="20"/>
        <v>103676.04536200973</v>
      </c>
      <c r="O136" s="152">
        <f t="shared" si="21"/>
        <v>598388.08436201105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2063</v>
      </c>
      <c r="I137" s="152"/>
      <c r="J137" s="157"/>
      <c r="K137" s="154">
        <v>5700363949</v>
      </c>
      <c r="L137" s="227">
        <v>294.41699999999997</v>
      </c>
      <c r="M137" s="157" t="s">
        <v>2083</v>
      </c>
      <c r="N137" s="227">
        <f t="shared" si="20"/>
        <v>103381.62836200972</v>
      </c>
      <c r="O137" s="152">
        <f t="shared" si="21"/>
        <v>598093.66736201104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2063</v>
      </c>
      <c r="I138" s="152"/>
      <c r="J138" s="157"/>
      <c r="K138" s="154">
        <v>5700363949</v>
      </c>
      <c r="L138" s="227">
        <v>4933.9930000000004</v>
      </c>
      <c r="M138" s="157" t="s">
        <v>2083</v>
      </c>
      <c r="N138" s="227">
        <f t="shared" si="20"/>
        <v>98447.635362009722</v>
      </c>
      <c r="O138" s="152">
        <f t="shared" si="21"/>
        <v>593159.67436201102</v>
      </c>
    </row>
    <row r="139" spans="1:15" x14ac:dyDescent="0.15">
      <c r="A139" s="154"/>
      <c r="B139" s="151"/>
      <c r="C139" s="152"/>
      <c r="D139" s="323" t="s">
        <v>2064</v>
      </c>
      <c r="E139" s="154" t="s">
        <v>72</v>
      </c>
      <c r="F139" s="157" t="s">
        <v>2086</v>
      </c>
      <c r="G139" s="152">
        <v>43991.902999999991</v>
      </c>
      <c r="H139" s="323" t="s">
        <v>2064</v>
      </c>
      <c r="I139" s="152">
        <v>13435.608</v>
      </c>
      <c r="J139" s="157" t="s">
        <v>2083</v>
      </c>
      <c r="K139" s="154">
        <v>5700363949</v>
      </c>
      <c r="L139" s="227">
        <v>12291.448</v>
      </c>
      <c r="M139" s="157" t="s">
        <v>2083</v>
      </c>
      <c r="N139" s="227">
        <f t="shared" si="20"/>
        <v>72720.57936200971</v>
      </c>
      <c r="O139" s="152">
        <f t="shared" si="21"/>
        <v>611424.52136201097</v>
      </c>
    </row>
    <row r="140" spans="1:15" x14ac:dyDescent="0.15">
      <c r="A140" s="154"/>
      <c r="B140" s="151"/>
      <c r="C140" s="152"/>
      <c r="D140" s="323" t="s">
        <v>2064</v>
      </c>
      <c r="E140" s="154" t="s">
        <v>72</v>
      </c>
      <c r="F140" s="157" t="s">
        <v>2087</v>
      </c>
      <c r="G140" s="152">
        <v>43994.525000000001</v>
      </c>
      <c r="H140" s="323" t="s">
        <v>2064</v>
      </c>
      <c r="I140" s="152"/>
      <c r="J140" s="157"/>
      <c r="K140" s="154">
        <v>5700363949</v>
      </c>
      <c r="L140" s="227">
        <v>59504.264000000003</v>
      </c>
      <c r="M140" s="157" t="s">
        <v>2083</v>
      </c>
      <c r="N140" s="227">
        <f t="shared" si="20"/>
        <v>13216.315362009707</v>
      </c>
      <c r="O140" s="152">
        <f t="shared" si="21"/>
        <v>595914.78236201103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2064</v>
      </c>
      <c r="I141" s="152"/>
      <c r="J141" s="157"/>
      <c r="K141" s="154">
        <v>5700363949</v>
      </c>
      <c r="L141" s="227">
        <v>9040.1560000000009</v>
      </c>
      <c r="M141" s="157" t="s">
        <v>2083</v>
      </c>
      <c r="N141" s="227">
        <f t="shared" si="20"/>
        <v>4176.1593620097065</v>
      </c>
      <c r="O141" s="152">
        <f t="shared" si="21"/>
        <v>586874.62636201107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2064</v>
      </c>
      <c r="I142" s="152"/>
      <c r="J142" s="157"/>
      <c r="K142" s="154">
        <v>5700363949</v>
      </c>
      <c r="L142" s="227">
        <v>4176.1593620097065</v>
      </c>
      <c r="M142" s="157" t="s">
        <v>2083</v>
      </c>
      <c r="N142" s="227">
        <f t="shared" ref="N142:N147" si="26">+N141-I142-L142</f>
        <v>0</v>
      </c>
      <c r="O142" s="152">
        <f t="shared" ref="O142:O147" si="27">O141+G142-I142-L142</f>
        <v>582698.46700000134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/>
      <c r="I143" s="152"/>
      <c r="J143" s="157"/>
      <c r="K143" s="154">
        <v>5700362430</v>
      </c>
      <c r="L143" s="227">
        <v>1915.00963799029</v>
      </c>
      <c r="M143" s="157" t="s">
        <v>2084</v>
      </c>
      <c r="N143" s="227">
        <f>G116+G118+N142-I143-L143</f>
        <v>184944.2133620106</v>
      </c>
      <c r="O143" s="152">
        <f t="shared" si="27"/>
        <v>580783.45736201108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2064</v>
      </c>
      <c r="I144" s="152"/>
      <c r="J144" s="157"/>
      <c r="K144" s="154">
        <v>5700362430</v>
      </c>
      <c r="L144" s="227">
        <v>14490.675999999999</v>
      </c>
      <c r="M144" s="157" t="s">
        <v>2084</v>
      </c>
      <c r="N144" s="227">
        <f t="shared" si="26"/>
        <v>170453.5373620106</v>
      </c>
      <c r="O144" s="152">
        <f t="shared" si="27"/>
        <v>566292.7813620111</v>
      </c>
    </row>
    <row r="145" spans="1:15" x14ac:dyDescent="0.15">
      <c r="A145" s="154"/>
      <c r="B145" s="151"/>
      <c r="C145" s="152"/>
      <c r="D145" s="323" t="s">
        <v>2065</v>
      </c>
      <c r="E145" s="154" t="s">
        <v>72</v>
      </c>
      <c r="F145" s="157" t="s">
        <v>2087</v>
      </c>
      <c r="G145" s="152">
        <v>175890.6</v>
      </c>
      <c r="H145" s="323" t="s">
        <v>2065</v>
      </c>
      <c r="I145" s="152">
        <v>11733.645</v>
      </c>
      <c r="J145" s="157" t="s">
        <v>2084</v>
      </c>
      <c r="K145" s="154">
        <v>5700362430</v>
      </c>
      <c r="L145" s="227">
        <v>11930.736000000001</v>
      </c>
      <c r="M145" s="157" t="s">
        <v>2084</v>
      </c>
      <c r="N145" s="227">
        <f t="shared" si="26"/>
        <v>146789.1563620106</v>
      </c>
      <c r="O145" s="152">
        <f t="shared" si="27"/>
        <v>718519.00036201102</v>
      </c>
    </row>
    <row r="146" spans="1:15" x14ac:dyDescent="0.15">
      <c r="A146" s="154"/>
      <c r="B146" s="151"/>
      <c r="C146" s="152"/>
      <c r="D146" s="323" t="s">
        <v>2065</v>
      </c>
      <c r="E146" s="154" t="s">
        <v>72</v>
      </c>
      <c r="F146" s="157" t="s">
        <v>2088</v>
      </c>
      <c r="G146" s="152">
        <v>43975.216999999997</v>
      </c>
      <c r="H146" s="323" t="s">
        <v>2065</v>
      </c>
      <c r="I146" s="152"/>
      <c r="J146" s="157"/>
      <c r="K146" s="154">
        <v>5700362430</v>
      </c>
      <c r="L146" s="227">
        <v>65123.74</v>
      </c>
      <c r="M146" s="157" t="s">
        <v>2084</v>
      </c>
      <c r="N146" s="227">
        <f t="shared" si="26"/>
        <v>81665.416362010612</v>
      </c>
      <c r="O146" s="152">
        <f t="shared" si="27"/>
        <v>697370.47736201098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2065</v>
      </c>
      <c r="I147" s="152"/>
      <c r="J147" s="157"/>
      <c r="K147" s="154">
        <v>5700362430</v>
      </c>
      <c r="L147" s="227">
        <v>75901.851999999999</v>
      </c>
      <c r="M147" s="157" t="s">
        <v>2084</v>
      </c>
      <c r="N147" s="227">
        <f t="shared" si="26"/>
        <v>5763.564362010613</v>
      </c>
      <c r="O147" s="152">
        <f t="shared" si="27"/>
        <v>621468.62536201102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2065</v>
      </c>
      <c r="I148" s="152"/>
      <c r="J148" s="157"/>
      <c r="K148" s="154">
        <v>5700362430</v>
      </c>
      <c r="L148" s="227">
        <v>5763.564362010613</v>
      </c>
      <c r="M148" s="157" t="s">
        <v>2084</v>
      </c>
      <c r="N148" s="227">
        <f t="shared" si="20"/>
        <v>0</v>
      </c>
      <c r="O148" s="152">
        <f t="shared" si="21"/>
        <v>615705.06100000045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2065</v>
      </c>
      <c r="I149" s="152"/>
      <c r="J149" s="157"/>
      <c r="K149" s="154">
        <v>5700363949</v>
      </c>
      <c r="L149" s="227">
        <v>55846.582637989399</v>
      </c>
      <c r="M149" s="157" t="s">
        <v>2085</v>
      </c>
      <c r="N149" s="227">
        <f>G127+N148-I149-L149</f>
        <v>32068.478362010603</v>
      </c>
      <c r="O149" s="152">
        <f t="shared" si="21"/>
        <v>559858.47836201102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2065</v>
      </c>
      <c r="I150" s="152"/>
      <c r="J150" s="157"/>
      <c r="K150" s="154">
        <v>5700363949</v>
      </c>
      <c r="L150" s="227">
        <v>32068.478362010603</v>
      </c>
      <c r="M150" s="157" t="s">
        <v>2085</v>
      </c>
      <c r="N150" s="227">
        <f t="shared" ref="N150:N214" si="28">+N149-I150-L150</f>
        <v>0</v>
      </c>
      <c r="O150" s="152">
        <f t="shared" ref="O150:O214" si="29">O149+G150-I150-L150</f>
        <v>527790.00000000047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2065</v>
      </c>
      <c r="I151" s="152"/>
      <c r="J151" s="157"/>
      <c r="K151" s="154">
        <v>5700363949</v>
      </c>
      <c r="L151" s="227">
        <v>13851.7506379894</v>
      </c>
      <c r="M151" s="157" t="s">
        <v>2086</v>
      </c>
      <c r="N151" s="227">
        <f>G133+G139+N150-I151-L151</f>
        <v>250077.90736201059</v>
      </c>
      <c r="O151" s="152">
        <f t="shared" ref="O151:O153" si="30">O150+G151-I151-L151</f>
        <v>513938.24936201109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2065</v>
      </c>
      <c r="I152" s="152"/>
      <c r="J152" s="157"/>
      <c r="K152" s="154">
        <v>5700363949</v>
      </c>
      <c r="L152" s="227">
        <v>5267.8090000000002</v>
      </c>
      <c r="M152" s="157" t="s">
        <v>2086</v>
      </c>
      <c r="N152" s="227">
        <f t="shared" ref="N152:N153" si="31">+N151-I152-L152</f>
        <v>244810.09836201058</v>
      </c>
      <c r="O152" s="152">
        <f t="shared" si="30"/>
        <v>508670.44036201108</v>
      </c>
    </row>
    <row r="153" spans="1:15" x14ac:dyDescent="0.15">
      <c r="A153" s="154"/>
      <c r="B153" s="151"/>
      <c r="C153" s="152"/>
      <c r="D153" s="323" t="s">
        <v>2066</v>
      </c>
      <c r="E153" s="154" t="s">
        <v>72</v>
      </c>
      <c r="F153" s="157" t="s">
        <v>2088</v>
      </c>
      <c r="G153" s="152">
        <v>87962.699999999983</v>
      </c>
      <c r="H153" s="323" t="s">
        <v>2066</v>
      </c>
      <c r="I153" s="152">
        <v>15359.074000000001</v>
      </c>
      <c r="J153" s="157" t="s">
        <v>2086</v>
      </c>
      <c r="K153" s="154">
        <v>5700363949</v>
      </c>
      <c r="L153" s="227">
        <v>4810.7920000000004</v>
      </c>
      <c r="M153" s="157" t="s">
        <v>2086</v>
      </c>
      <c r="N153" s="227">
        <f t="shared" si="31"/>
        <v>224640.2323620106</v>
      </c>
      <c r="O153" s="152">
        <f t="shared" si="30"/>
        <v>576463.274362011</v>
      </c>
    </row>
    <row r="154" spans="1:15" x14ac:dyDescent="0.15">
      <c r="A154" s="154"/>
      <c r="B154" s="151"/>
      <c r="C154" s="152"/>
      <c r="D154" s="323" t="s">
        <v>2066</v>
      </c>
      <c r="E154" s="154" t="s">
        <v>72</v>
      </c>
      <c r="F154" s="157" t="s">
        <v>2089</v>
      </c>
      <c r="G154" s="152">
        <v>43990.165000000001</v>
      </c>
      <c r="H154" s="323" t="s">
        <v>2066</v>
      </c>
      <c r="I154" s="152"/>
      <c r="J154" s="157"/>
      <c r="K154" s="154">
        <v>5700363949</v>
      </c>
      <c r="L154" s="227">
        <v>12713.591</v>
      </c>
      <c r="M154" s="157" t="s">
        <v>2086</v>
      </c>
      <c r="N154" s="227">
        <f t="shared" si="28"/>
        <v>211926.64136201062</v>
      </c>
      <c r="O154" s="152">
        <f t="shared" si="29"/>
        <v>607739.84836201102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2066</v>
      </c>
      <c r="I155" s="152"/>
      <c r="J155" s="157"/>
      <c r="K155" s="154">
        <v>5700363949</v>
      </c>
      <c r="L155" s="227">
        <v>14470.314</v>
      </c>
      <c r="M155" s="157" t="s">
        <v>2086</v>
      </c>
      <c r="N155" s="227">
        <f t="shared" si="28"/>
        <v>197456.3273620106</v>
      </c>
      <c r="O155" s="152">
        <f t="shared" si="29"/>
        <v>593269.53436201101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2066</v>
      </c>
      <c r="I156" s="152"/>
      <c r="J156" s="157"/>
      <c r="K156" s="154">
        <v>5700363949</v>
      </c>
      <c r="L156" s="227">
        <v>3504.4430000000002</v>
      </c>
      <c r="M156" s="157" t="s">
        <v>2086</v>
      </c>
      <c r="N156" s="227">
        <f t="shared" si="28"/>
        <v>193951.88436201061</v>
      </c>
      <c r="O156" s="152">
        <f t="shared" si="29"/>
        <v>589765.09136201104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2066</v>
      </c>
      <c r="I157" s="152"/>
      <c r="J157" s="157"/>
      <c r="K157" s="154">
        <v>5700363949</v>
      </c>
      <c r="L157" s="227">
        <v>15059.716</v>
      </c>
      <c r="M157" s="157" t="s">
        <v>2086</v>
      </c>
      <c r="N157" s="227">
        <f t="shared" si="28"/>
        <v>178892.16836201062</v>
      </c>
      <c r="O157" s="152">
        <f t="shared" si="29"/>
        <v>574705.37536201102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2067</v>
      </c>
      <c r="I158" s="152">
        <v>15622.665999999999</v>
      </c>
      <c r="J158" s="157" t="s">
        <v>2086</v>
      </c>
      <c r="K158" s="154">
        <v>5700363949</v>
      </c>
      <c r="L158" s="227">
        <v>13076.727999999999</v>
      </c>
      <c r="M158" s="157" t="s">
        <v>2086</v>
      </c>
      <c r="N158" s="227">
        <f t="shared" si="28"/>
        <v>150192.77436201062</v>
      </c>
      <c r="O158" s="152">
        <f t="shared" si="29"/>
        <v>546005.98136201105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2067</v>
      </c>
      <c r="I159" s="152"/>
      <c r="J159" s="157"/>
      <c r="K159" s="154">
        <v>5700363949</v>
      </c>
      <c r="L159" s="227">
        <v>2427.5740000000001</v>
      </c>
      <c r="M159" s="157" t="s">
        <v>2086</v>
      </c>
      <c r="N159" s="227">
        <f t="shared" si="28"/>
        <v>147765.20036201063</v>
      </c>
      <c r="O159" s="152">
        <f t="shared" si="29"/>
        <v>543578.40736201103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2067</v>
      </c>
      <c r="I160" s="152"/>
      <c r="J160" s="157"/>
      <c r="K160" s="154">
        <v>5700363949</v>
      </c>
      <c r="L160" s="227">
        <v>9117.5480000000007</v>
      </c>
      <c r="M160" s="157" t="s">
        <v>2086</v>
      </c>
      <c r="N160" s="227">
        <f t="shared" si="28"/>
        <v>138647.65236201062</v>
      </c>
      <c r="O160" s="152">
        <f t="shared" si="29"/>
        <v>534460.85936201108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2067</v>
      </c>
      <c r="I161" s="152"/>
      <c r="J161" s="157"/>
      <c r="K161" s="154">
        <v>5700363949</v>
      </c>
      <c r="L161" s="227">
        <v>36771.548000000003</v>
      </c>
      <c r="M161" s="157" t="s">
        <v>2086</v>
      </c>
      <c r="N161" s="227">
        <f t="shared" si="28"/>
        <v>101876.10436201061</v>
      </c>
      <c r="O161" s="152">
        <f t="shared" si="29"/>
        <v>497689.31136201107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2067</v>
      </c>
      <c r="I162" s="152"/>
      <c r="J162" s="157"/>
      <c r="K162" s="154">
        <v>5700363949</v>
      </c>
      <c r="L162" s="227">
        <v>11449.572</v>
      </c>
      <c r="M162" s="157" t="s">
        <v>2086</v>
      </c>
      <c r="N162" s="227">
        <f t="shared" si="28"/>
        <v>90426.532362010606</v>
      </c>
      <c r="O162" s="152">
        <f t="shared" si="29"/>
        <v>486239.73936201108</v>
      </c>
    </row>
    <row r="163" spans="1:15" x14ac:dyDescent="0.15">
      <c r="A163" s="154"/>
      <c r="B163" s="151"/>
      <c r="C163" s="152"/>
      <c r="D163" s="323" t="s">
        <v>2068</v>
      </c>
      <c r="E163" s="154" t="s">
        <v>72</v>
      </c>
      <c r="F163" s="157" t="s">
        <v>2089</v>
      </c>
      <c r="G163" s="152">
        <v>131787.86300000001</v>
      </c>
      <c r="H163" s="323" t="s">
        <v>2068</v>
      </c>
      <c r="I163" s="152">
        <v>12877.436</v>
      </c>
      <c r="J163" s="157" t="s">
        <v>2086</v>
      </c>
      <c r="K163" s="154">
        <v>5700363949</v>
      </c>
      <c r="L163" s="227">
        <v>11670.82</v>
      </c>
      <c r="M163" s="157" t="s">
        <v>2086</v>
      </c>
      <c r="N163" s="227">
        <f t="shared" si="28"/>
        <v>65878.276362010598</v>
      </c>
      <c r="O163" s="152">
        <f t="shared" si="29"/>
        <v>593479.34636201116</v>
      </c>
    </row>
    <row r="164" spans="1:15" x14ac:dyDescent="0.15">
      <c r="A164" s="154"/>
      <c r="B164" s="151"/>
      <c r="C164" s="152"/>
      <c r="D164" s="323" t="s">
        <v>2068</v>
      </c>
      <c r="E164" s="154" t="s">
        <v>72</v>
      </c>
      <c r="F164" s="157" t="s">
        <v>2090</v>
      </c>
      <c r="G164" s="152">
        <v>43918.921000000002</v>
      </c>
      <c r="H164" s="323" t="s">
        <v>2068</v>
      </c>
      <c r="I164" s="152"/>
      <c r="J164" s="157"/>
      <c r="K164" s="154">
        <v>5700363949</v>
      </c>
      <c r="L164" s="227">
        <v>65878.276362010598</v>
      </c>
      <c r="M164" s="157" t="s">
        <v>2086</v>
      </c>
      <c r="N164" s="227">
        <f t="shared" si="28"/>
        <v>0</v>
      </c>
      <c r="O164" s="152">
        <f t="shared" si="29"/>
        <v>571519.9910000005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2068</v>
      </c>
      <c r="I165" s="152"/>
      <c r="J165" s="157"/>
      <c r="K165" s="154">
        <v>5700362430</v>
      </c>
      <c r="L165" s="227">
        <v>1611.0746379893999</v>
      </c>
      <c r="M165" s="157" t="s">
        <v>2087</v>
      </c>
      <c r="N165" s="227">
        <f>G140+G145+N164-I165-L165</f>
        <v>218274.0503620106</v>
      </c>
      <c r="O165" s="152">
        <f t="shared" si="29"/>
        <v>569908.91636201111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2068</v>
      </c>
      <c r="I166" s="152"/>
      <c r="J166" s="157"/>
      <c r="K166" s="154">
        <v>5700362430</v>
      </c>
      <c r="L166" s="227">
        <v>34440.523000000001</v>
      </c>
      <c r="M166" s="157" t="s">
        <v>2087</v>
      </c>
      <c r="N166" s="227">
        <f t="shared" si="28"/>
        <v>183833.52736201062</v>
      </c>
      <c r="O166" s="152">
        <f t="shared" si="29"/>
        <v>535468.39336201106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2068</v>
      </c>
      <c r="I167" s="152"/>
      <c r="J167" s="157"/>
      <c r="K167" s="154">
        <v>5700362430</v>
      </c>
      <c r="L167" s="227">
        <v>3717.7719999999999</v>
      </c>
      <c r="M167" s="157" t="s">
        <v>2087</v>
      </c>
      <c r="N167" s="227">
        <f t="shared" si="28"/>
        <v>180115.75536201062</v>
      </c>
      <c r="O167" s="152">
        <f t="shared" si="29"/>
        <v>531750.62136201106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2068</v>
      </c>
      <c r="I168" s="152"/>
      <c r="J168" s="157"/>
      <c r="K168" s="154">
        <v>5700362430</v>
      </c>
      <c r="L168" s="227">
        <v>15321.27</v>
      </c>
      <c r="M168" s="157" t="s">
        <v>2087</v>
      </c>
      <c r="N168" s="227">
        <f t="shared" si="28"/>
        <v>164794.48536201063</v>
      </c>
      <c r="O168" s="152">
        <f t="shared" si="29"/>
        <v>516429.35136201105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2068</v>
      </c>
      <c r="I169" s="152"/>
      <c r="J169" s="157"/>
      <c r="K169" s="154">
        <v>5700362430</v>
      </c>
      <c r="L169" s="227">
        <v>14711.9</v>
      </c>
      <c r="M169" s="157" t="s">
        <v>2087</v>
      </c>
      <c r="N169" s="227">
        <f t="shared" si="28"/>
        <v>150082.58536201064</v>
      </c>
      <c r="O169" s="152">
        <f t="shared" si="29"/>
        <v>501717.45136201102</v>
      </c>
    </row>
    <row r="170" spans="1:15" x14ac:dyDescent="0.15">
      <c r="A170" s="154"/>
      <c r="B170" s="151"/>
      <c r="C170" s="152"/>
      <c r="D170" s="323" t="s">
        <v>2069</v>
      </c>
      <c r="E170" s="154" t="s">
        <v>72</v>
      </c>
      <c r="F170" s="157" t="s">
        <v>2090</v>
      </c>
      <c r="G170" s="152">
        <v>175795.68900000001</v>
      </c>
      <c r="H170" s="323" t="s">
        <v>2069</v>
      </c>
      <c r="I170" s="152">
        <v>13586.933000000001</v>
      </c>
      <c r="J170" s="157" t="s">
        <v>2087</v>
      </c>
      <c r="K170" s="154">
        <v>5700362430</v>
      </c>
      <c r="L170" s="227">
        <v>11568.579</v>
      </c>
      <c r="M170" s="157" t="s">
        <v>2087</v>
      </c>
      <c r="N170" s="227">
        <f t="shared" si="28"/>
        <v>124927.07336201065</v>
      </c>
      <c r="O170" s="152">
        <f t="shared" si="29"/>
        <v>652357.62836201105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2069</v>
      </c>
      <c r="I171" s="152"/>
      <c r="J171" s="157"/>
      <c r="K171" s="154">
        <v>5700362430</v>
      </c>
      <c r="L171" s="227">
        <v>61079.773000000001</v>
      </c>
      <c r="M171" s="157" t="s">
        <v>2087</v>
      </c>
      <c r="N171" s="227">
        <f t="shared" si="28"/>
        <v>63847.300362010646</v>
      </c>
      <c r="O171" s="152">
        <f t="shared" si="29"/>
        <v>591277.855362011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2069</v>
      </c>
      <c r="I172" s="152"/>
      <c r="J172" s="157"/>
      <c r="K172" s="154">
        <v>5700362430</v>
      </c>
      <c r="L172" s="227">
        <v>63847.300362010646</v>
      </c>
      <c r="M172" s="157" t="s">
        <v>2087</v>
      </c>
      <c r="N172" s="227">
        <f t="shared" si="28"/>
        <v>0</v>
      </c>
      <c r="O172" s="152">
        <f t="shared" si="29"/>
        <v>527430.5550000004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2069</v>
      </c>
      <c r="I173" s="152"/>
      <c r="J173" s="157"/>
      <c r="K173" s="154">
        <v>5700362430</v>
      </c>
      <c r="L173" s="227">
        <v>11253.261637989401</v>
      </c>
      <c r="M173" s="157" t="s">
        <v>2088</v>
      </c>
      <c r="N173" s="227">
        <f>G146+G153+N172-I173-L173</f>
        <v>120684.65536201058</v>
      </c>
      <c r="O173" s="152">
        <f t="shared" si="29"/>
        <v>516177.29336201103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2069</v>
      </c>
      <c r="I174" s="152"/>
      <c r="J174" s="157"/>
      <c r="K174" s="154">
        <v>5700362430</v>
      </c>
      <c r="L174" s="227">
        <v>9601.2559999999994</v>
      </c>
      <c r="M174" s="157" t="s">
        <v>2088</v>
      </c>
      <c r="N174" s="227">
        <f t="shared" si="28"/>
        <v>111083.39936201059</v>
      </c>
      <c r="O174" s="152">
        <f t="shared" si="29"/>
        <v>506576.03736201103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2069</v>
      </c>
      <c r="I175" s="152"/>
      <c r="J175" s="157"/>
      <c r="K175" s="154">
        <v>5700362430</v>
      </c>
      <c r="L175" s="227">
        <v>32676.835999999999</v>
      </c>
      <c r="M175" s="157" t="s">
        <v>2088</v>
      </c>
      <c r="N175" s="227">
        <f t="shared" si="28"/>
        <v>78406.563362010595</v>
      </c>
      <c r="O175" s="152">
        <f t="shared" si="29"/>
        <v>473899.20136201102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2069</v>
      </c>
      <c r="I176" s="152"/>
      <c r="J176" s="157"/>
      <c r="K176" s="154">
        <v>5700362430</v>
      </c>
      <c r="L176" s="227">
        <v>4977.9480000000003</v>
      </c>
      <c r="M176" s="157" t="s">
        <v>2088</v>
      </c>
      <c r="N176" s="227">
        <f t="shared" si="28"/>
        <v>73428.615362010591</v>
      </c>
      <c r="O176" s="152">
        <f t="shared" si="29"/>
        <v>468921.25336201105</v>
      </c>
    </row>
    <row r="177" spans="1:15" x14ac:dyDescent="0.15">
      <c r="A177" s="154"/>
      <c r="B177" s="151"/>
      <c r="C177" s="152"/>
      <c r="D177" s="323" t="s">
        <v>2070</v>
      </c>
      <c r="E177" s="154" t="s">
        <v>72</v>
      </c>
      <c r="F177" s="157" t="s">
        <v>2091</v>
      </c>
      <c r="G177" s="152">
        <v>131858.92499999999</v>
      </c>
      <c r="H177" s="323" t="s">
        <v>2070</v>
      </c>
      <c r="I177" s="152">
        <v>13455.296</v>
      </c>
      <c r="J177" s="157" t="s">
        <v>2088</v>
      </c>
      <c r="K177" s="154">
        <v>5700362430</v>
      </c>
      <c r="L177" s="227">
        <v>10796.967000000001</v>
      </c>
      <c r="M177" s="157" t="s">
        <v>2088</v>
      </c>
      <c r="N177" s="227">
        <f t="shared" si="28"/>
        <v>49176.352362010584</v>
      </c>
      <c r="O177" s="152">
        <f t="shared" si="29"/>
        <v>576527.91536201106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2070</v>
      </c>
      <c r="I178" s="152"/>
      <c r="J178" s="157"/>
      <c r="K178" s="154">
        <v>5700362430</v>
      </c>
      <c r="L178" s="227">
        <v>4677.0230000000001</v>
      </c>
      <c r="M178" s="157" t="s">
        <v>2088</v>
      </c>
      <c r="N178" s="227">
        <f t="shared" si="28"/>
        <v>44499.329362010583</v>
      </c>
      <c r="O178" s="152">
        <f t="shared" si="29"/>
        <v>571850.89236201101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2070</v>
      </c>
      <c r="I179" s="152"/>
      <c r="J179" s="157"/>
      <c r="K179" s="154">
        <v>5700362430</v>
      </c>
      <c r="L179" s="227">
        <v>35244.813000000002</v>
      </c>
      <c r="M179" s="157" t="s">
        <v>2088</v>
      </c>
      <c r="N179" s="227">
        <f t="shared" si="28"/>
        <v>9254.5163620105814</v>
      </c>
      <c r="O179" s="152">
        <f t="shared" si="29"/>
        <v>536606.07936201105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2070</v>
      </c>
      <c r="I180" s="152"/>
      <c r="J180" s="157"/>
      <c r="K180" s="154">
        <v>5700362430</v>
      </c>
      <c r="L180" s="227">
        <v>6499.1360000000004</v>
      </c>
      <c r="M180" s="157" t="s">
        <v>2088</v>
      </c>
      <c r="N180" s="227">
        <f t="shared" si="28"/>
        <v>2755.3803620105809</v>
      </c>
      <c r="O180" s="152">
        <f t="shared" si="29"/>
        <v>530106.94336201099</v>
      </c>
    </row>
    <row r="181" spans="1:15" x14ac:dyDescent="0.15">
      <c r="A181" s="154"/>
      <c r="B181" s="151"/>
      <c r="C181" s="152"/>
      <c r="D181" s="323" t="s">
        <v>2071</v>
      </c>
      <c r="E181" s="154" t="s">
        <v>72</v>
      </c>
      <c r="F181" s="157" t="s">
        <v>2092</v>
      </c>
      <c r="G181" s="152">
        <v>175889.64199999999</v>
      </c>
      <c r="H181" s="323" t="s">
        <v>2071</v>
      </c>
      <c r="I181" s="152">
        <v>2755.3803620105809</v>
      </c>
      <c r="J181" s="157" t="s">
        <v>2088</v>
      </c>
      <c r="K181" s="154"/>
      <c r="L181" s="227"/>
      <c r="M181" s="157"/>
      <c r="N181" s="227">
        <f t="shared" si="28"/>
        <v>0</v>
      </c>
      <c r="O181" s="152">
        <f t="shared" si="29"/>
        <v>703241.20500000042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2071</v>
      </c>
      <c r="I182" s="152">
        <v>12024.3906379894</v>
      </c>
      <c r="J182" s="157" t="s">
        <v>2089</v>
      </c>
      <c r="K182" s="154">
        <v>5700362430</v>
      </c>
      <c r="L182" s="227">
        <v>13415.380999999999</v>
      </c>
      <c r="M182" s="157" t="s">
        <v>2089</v>
      </c>
      <c r="N182" s="227">
        <f>G154+G163+N181-I182-L182</f>
        <v>150338.25636201064</v>
      </c>
      <c r="O182" s="152">
        <f t="shared" si="29"/>
        <v>677801.43336201098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2071</v>
      </c>
      <c r="I183" s="152"/>
      <c r="J183" s="157"/>
      <c r="K183" s="154">
        <v>5700362430</v>
      </c>
      <c r="L183" s="227">
        <v>48346.862999999998</v>
      </c>
      <c r="M183" s="157" t="s">
        <v>2089</v>
      </c>
      <c r="N183" s="227">
        <f t="shared" si="28"/>
        <v>101991.39336201064</v>
      </c>
      <c r="O183" s="152">
        <f t="shared" si="29"/>
        <v>629454.57036201097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2071</v>
      </c>
      <c r="I184" s="152"/>
      <c r="J184" s="157"/>
      <c r="K184" s="154">
        <v>5700362430</v>
      </c>
      <c r="L184" s="227">
        <v>74141.835000000006</v>
      </c>
      <c r="M184" s="157" t="s">
        <v>2089</v>
      </c>
      <c r="N184" s="227">
        <f t="shared" si="28"/>
        <v>27849.558362010634</v>
      </c>
      <c r="O184" s="152">
        <f t="shared" si="29"/>
        <v>555312.73536201101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2071</v>
      </c>
      <c r="I185" s="152"/>
      <c r="J185" s="157"/>
      <c r="K185" s="154">
        <v>5700362430</v>
      </c>
      <c r="L185" s="227">
        <v>9112.56</v>
      </c>
      <c r="M185" s="157" t="s">
        <v>2089</v>
      </c>
      <c r="N185" s="227">
        <f t="shared" si="28"/>
        <v>18736.998362010636</v>
      </c>
      <c r="O185" s="152">
        <f t="shared" si="29"/>
        <v>546200.17536201095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2071</v>
      </c>
      <c r="I186" s="152"/>
      <c r="J186" s="157"/>
      <c r="K186" s="154">
        <v>5700362430</v>
      </c>
      <c r="L186" s="227">
        <v>6433.2759999999998</v>
      </c>
      <c r="M186" s="157" t="s">
        <v>2089</v>
      </c>
      <c r="N186" s="227">
        <f t="shared" si="28"/>
        <v>12303.722362010636</v>
      </c>
      <c r="O186" s="152">
        <f t="shared" si="29"/>
        <v>539766.899362011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2071</v>
      </c>
      <c r="I187" s="152"/>
      <c r="J187" s="157"/>
      <c r="K187" s="154">
        <v>5700362430</v>
      </c>
      <c r="L187" s="227">
        <v>12303.722362010636</v>
      </c>
      <c r="M187" s="157" t="s">
        <v>2089</v>
      </c>
      <c r="N187" s="227">
        <f t="shared" si="28"/>
        <v>0</v>
      </c>
      <c r="O187" s="152">
        <f t="shared" si="29"/>
        <v>527463.17700000037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2071</v>
      </c>
      <c r="I188" s="152"/>
      <c r="J188" s="157"/>
      <c r="K188" s="154">
        <v>5700363949</v>
      </c>
      <c r="L188" s="227">
        <v>26772.916637989401</v>
      </c>
      <c r="M188" s="157" t="s">
        <v>2090</v>
      </c>
      <c r="N188" s="227">
        <f>G164+G170+N187-I188-L188</f>
        <v>192941.69336201061</v>
      </c>
      <c r="O188" s="152">
        <f t="shared" si="29"/>
        <v>500690.26036201097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2071</v>
      </c>
      <c r="I189" s="152"/>
      <c r="J189" s="157"/>
      <c r="K189" s="154">
        <v>5700363949</v>
      </c>
      <c r="L189" s="227">
        <v>17029.670999999998</v>
      </c>
      <c r="M189" s="157" t="s">
        <v>2090</v>
      </c>
      <c r="N189" s="227">
        <f t="shared" si="28"/>
        <v>175912.02236201061</v>
      </c>
      <c r="O189" s="152">
        <f t="shared" si="29"/>
        <v>483660.589362011</v>
      </c>
    </row>
    <row r="190" spans="1:15" x14ac:dyDescent="0.15">
      <c r="A190" s="154"/>
      <c r="B190" s="151"/>
      <c r="C190" s="152"/>
      <c r="D190" s="323" t="s">
        <v>2072</v>
      </c>
      <c r="E190" s="154" t="s">
        <v>72</v>
      </c>
      <c r="F190" s="157" t="s">
        <v>2092</v>
      </c>
      <c r="G190" s="152">
        <v>175699.87299999999</v>
      </c>
      <c r="H190" s="323" t="s">
        <v>2072</v>
      </c>
      <c r="I190" s="152">
        <v>8958.4439999999995</v>
      </c>
      <c r="J190" s="157" t="s">
        <v>2090</v>
      </c>
      <c r="K190" s="154">
        <v>5700363949</v>
      </c>
      <c r="L190" s="227">
        <v>15893.742</v>
      </c>
      <c r="M190" s="157" t="s">
        <v>2090</v>
      </c>
      <c r="N190" s="227">
        <f t="shared" si="28"/>
        <v>151059.83636201062</v>
      </c>
      <c r="O190" s="152">
        <f t="shared" si="29"/>
        <v>634508.27636201098</v>
      </c>
    </row>
    <row r="191" spans="1:15" x14ac:dyDescent="0.15">
      <c r="A191" s="154"/>
      <c r="B191" s="151"/>
      <c r="C191" s="152"/>
      <c r="D191" s="323" t="s">
        <v>2072</v>
      </c>
      <c r="E191" s="154" t="s">
        <v>72</v>
      </c>
      <c r="F191" s="157" t="s">
        <v>2163</v>
      </c>
      <c r="G191" s="152">
        <v>43902.258999999998</v>
      </c>
      <c r="H191" s="323" t="s">
        <v>2072</v>
      </c>
      <c r="I191" s="152"/>
      <c r="J191" s="157"/>
      <c r="K191" s="154">
        <v>5700363949</v>
      </c>
      <c r="L191" s="227">
        <v>11442.531999999999</v>
      </c>
      <c r="M191" s="157" t="s">
        <v>2090</v>
      </c>
      <c r="N191" s="227">
        <f t="shared" si="28"/>
        <v>139617.30436201062</v>
      </c>
      <c r="O191" s="152">
        <f t="shared" si="29"/>
        <v>666968.00336201093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2072</v>
      </c>
      <c r="I192" s="152"/>
      <c r="J192" s="157"/>
      <c r="K192" s="154">
        <v>5700363949</v>
      </c>
      <c r="L192" s="227">
        <v>74706.994999999995</v>
      </c>
      <c r="M192" s="157" t="s">
        <v>2090</v>
      </c>
      <c r="N192" s="227">
        <f t="shared" si="28"/>
        <v>64910.309362010623</v>
      </c>
      <c r="O192" s="152">
        <f t="shared" si="29"/>
        <v>592261.00836201094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2072</v>
      </c>
      <c r="I193" s="152"/>
      <c r="J193" s="157"/>
      <c r="K193" s="154">
        <v>5700363949</v>
      </c>
      <c r="L193" s="227">
        <v>55319.595999999998</v>
      </c>
      <c r="M193" s="157" t="s">
        <v>2090</v>
      </c>
      <c r="N193" s="227">
        <f t="shared" si="28"/>
        <v>9590.7133620106251</v>
      </c>
      <c r="O193" s="152">
        <f t="shared" si="29"/>
        <v>536941.41236201092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2072</v>
      </c>
      <c r="I194" s="152"/>
      <c r="J194" s="157"/>
      <c r="K194" s="154">
        <v>5700363949</v>
      </c>
      <c r="L194" s="227">
        <v>8303</v>
      </c>
      <c r="M194" s="157" t="s">
        <v>2090</v>
      </c>
      <c r="N194" s="227">
        <f t="shared" si="28"/>
        <v>1287.7133620106251</v>
      </c>
      <c r="O194" s="152">
        <f t="shared" si="29"/>
        <v>528638.41236201092</v>
      </c>
    </row>
    <row r="195" spans="1:15" hidden="1" x14ac:dyDescent="0.15">
      <c r="A195" s="154"/>
      <c r="B195" s="151"/>
      <c r="C195" s="152"/>
      <c r="D195" s="323"/>
      <c r="E195" s="154"/>
      <c r="F195" s="157"/>
      <c r="G195" s="152"/>
      <c r="H195" s="323"/>
      <c r="I195" s="152"/>
      <c r="J195" s="157"/>
      <c r="K195" s="154"/>
      <c r="L195" s="227"/>
      <c r="M195" s="157"/>
      <c r="N195" s="227">
        <f t="shared" si="28"/>
        <v>1287.7133620106251</v>
      </c>
      <c r="O195" s="152">
        <f t="shared" si="29"/>
        <v>528638.41236201092</v>
      </c>
    </row>
    <row r="196" spans="1:15" hidden="1" x14ac:dyDescent="0.15">
      <c r="A196" s="154"/>
      <c r="B196" s="151"/>
      <c r="C196" s="152"/>
      <c r="D196" s="323"/>
      <c r="E196" s="154"/>
      <c r="F196" s="157"/>
      <c r="G196" s="152"/>
      <c r="H196" s="323"/>
      <c r="I196" s="152"/>
      <c r="J196" s="157"/>
      <c r="K196" s="154"/>
      <c r="L196" s="227"/>
      <c r="M196" s="157"/>
      <c r="N196" s="227">
        <f t="shared" si="28"/>
        <v>1287.7133620106251</v>
      </c>
      <c r="O196" s="152">
        <f t="shared" si="29"/>
        <v>528638.41236201092</v>
      </c>
    </row>
    <row r="197" spans="1:15" hidden="1" x14ac:dyDescent="0.15">
      <c r="A197" s="154"/>
      <c r="B197" s="151"/>
      <c r="C197" s="152"/>
      <c r="D197" s="323"/>
      <c r="E197" s="154"/>
      <c r="F197" s="157"/>
      <c r="G197" s="152"/>
      <c r="H197" s="323"/>
      <c r="I197" s="152"/>
      <c r="J197" s="157"/>
      <c r="K197" s="154"/>
      <c r="L197" s="227"/>
      <c r="M197" s="157"/>
      <c r="N197" s="227">
        <f t="shared" si="28"/>
        <v>1287.7133620106251</v>
      </c>
      <c r="O197" s="152">
        <f t="shared" si="29"/>
        <v>528638.41236201092</v>
      </c>
    </row>
    <row r="198" spans="1:15" hidden="1" x14ac:dyDescent="0.15">
      <c r="A198" s="154"/>
      <c r="B198" s="151"/>
      <c r="C198" s="152"/>
      <c r="D198" s="323"/>
      <c r="E198" s="154"/>
      <c r="F198" s="157"/>
      <c r="G198" s="152"/>
      <c r="H198" s="323"/>
      <c r="I198" s="152"/>
      <c r="J198" s="157"/>
      <c r="K198" s="154"/>
      <c r="L198" s="227"/>
      <c r="M198" s="157"/>
      <c r="N198" s="227">
        <f t="shared" si="28"/>
        <v>1287.7133620106251</v>
      </c>
      <c r="O198" s="152">
        <f t="shared" si="29"/>
        <v>528638.41236201092</v>
      </c>
    </row>
    <row r="199" spans="1:15" hidden="1" x14ac:dyDescent="0.15">
      <c r="A199" s="154"/>
      <c r="B199" s="151"/>
      <c r="C199" s="152"/>
      <c r="D199" s="323"/>
      <c r="E199" s="154"/>
      <c r="F199" s="157"/>
      <c r="G199" s="152"/>
      <c r="H199" s="323"/>
      <c r="I199" s="152"/>
      <c r="J199" s="157"/>
      <c r="K199" s="154"/>
      <c r="L199" s="227"/>
      <c r="M199" s="157"/>
      <c r="N199" s="227">
        <f t="shared" si="28"/>
        <v>1287.7133620106251</v>
      </c>
      <c r="O199" s="152">
        <f t="shared" si="29"/>
        <v>528638.41236201092</v>
      </c>
    </row>
    <row r="200" spans="1:15" hidden="1" x14ac:dyDescent="0.15">
      <c r="A200" s="154"/>
      <c r="B200" s="151"/>
      <c r="C200" s="152"/>
      <c r="D200" s="323"/>
      <c r="E200" s="154"/>
      <c r="F200" s="157"/>
      <c r="G200" s="152"/>
      <c r="H200" s="323"/>
      <c r="I200" s="152"/>
      <c r="J200" s="157"/>
      <c r="K200" s="154"/>
      <c r="L200" s="227"/>
      <c r="M200" s="157"/>
      <c r="N200" s="227">
        <f t="shared" si="28"/>
        <v>1287.7133620106251</v>
      </c>
      <c r="O200" s="152">
        <f t="shared" si="29"/>
        <v>528638.41236201092</v>
      </c>
    </row>
    <row r="201" spans="1:15" hidden="1" x14ac:dyDescent="0.15">
      <c r="A201" s="154"/>
      <c r="B201" s="151"/>
      <c r="C201" s="152"/>
      <c r="D201" s="323"/>
      <c r="E201" s="154"/>
      <c r="F201" s="157"/>
      <c r="G201" s="152"/>
      <c r="H201" s="323"/>
      <c r="I201" s="152"/>
      <c r="J201" s="157"/>
      <c r="K201" s="154"/>
      <c r="L201" s="227"/>
      <c r="M201" s="157"/>
      <c r="N201" s="227">
        <f t="shared" si="28"/>
        <v>1287.7133620106251</v>
      </c>
      <c r="O201" s="152">
        <f t="shared" si="29"/>
        <v>528638.41236201092</v>
      </c>
    </row>
    <row r="202" spans="1:15" hidden="1" x14ac:dyDescent="0.15">
      <c r="A202" s="154"/>
      <c r="B202" s="151"/>
      <c r="C202" s="152"/>
      <c r="D202" s="323"/>
      <c r="E202" s="154"/>
      <c r="F202" s="157"/>
      <c r="G202" s="152"/>
      <c r="H202" s="323"/>
      <c r="I202" s="152"/>
      <c r="J202" s="157"/>
      <c r="K202" s="154"/>
      <c r="L202" s="227"/>
      <c r="M202" s="157"/>
      <c r="N202" s="227">
        <f t="shared" si="28"/>
        <v>1287.7133620106251</v>
      </c>
      <c r="O202" s="152">
        <f t="shared" si="29"/>
        <v>528638.41236201092</v>
      </c>
    </row>
    <row r="203" spans="1:15" hidden="1" x14ac:dyDescent="0.15">
      <c r="A203" s="154"/>
      <c r="B203" s="151"/>
      <c r="C203" s="152"/>
      <c r="D203" s="323"/>
      <c r="E203" s="154"/>
      <c r="F203" s="157"/>
      <c r="G203" s="152"/>
      <c r="H203" s="323"/>
      <c r="I203" s="152"/>
      <c r="J203" s="157"/>
      <c r="K203" s="154"/>
      <c r="L203" s="227"/>
      <c r="M203" s="157"/>
      <c r="N203" s="227">
        <f t="shared" si="28"/>
        <v>1287.7133620106251</v>
      </c>
      <c r="O203" s="152">
        <f t="shared" si="29"/>
        <v>528638.41236201092</v>
      </c>
    </row>
    <row r="204" spans="1:15" hidden="1" x14ac:dyDescent="0.15">
      <c r="A204" s="154"/>
      <c r="B204" s="151"/>
      <c r="C204" s="152"/>
      <c r="D204" s="323"/>
      <c r="E204" s="154"/>
      <c r="F204" s="157"/>
      <c r="G204" s="152"/>
      <c r="H204" s="323"/>
      <c r="I204" s="152"/>
      <c r="J204" s="157"/>
      <c r="K204" s="154"/>
      <c r="L204" s="227"/>
      <c r="M204" s="157"/>
      <c r="N204" s="227">
        <f t="shared" si="28"/>
        <v>1287.7133620106251</v>
      </c>
      <c r="O204" s="152">
        <f t="shared" si="29"/>
        <v>528638.41236201092</v>
      </c>
    </row>
    <row r="205" spans="1:15" hidden="1" x14ac:dyDescent="0.15">
      <c r="A205" s="154"/>
      <c r="B205" s="151"/>
      <c r="C205" s="152"/>
      <c r="D205" s="323"/>
      <c r="E205" s="154"/>
      <c r="F205" s="157"/>
      <c r="G205" s="152"/>
      <c r="H205" s="323"/>
      <c r="I205" s="152"/>
      <c r="J205" s="157"/>
      <c r="K205" s="154"/>
      <c r="L205" s="227"/>
      <c r="M205" s="157"/>
      <c r="N205" s="227">
        <f t="shared" si="28"/>
        <v>1287.7133620106251</v>
      </c>
      <c r="O205" s="152">
        <f t="shared" si="29"/>
        <v>528638.41236201092</v>
      </c>
    </row>
    <row r="206" spans="1:15" hidden="1" x14ac:dyDescent="0.15">
      <c r="A206" s="154"/>
      <c r="B206" s="151"/>
      <c r="C206" s="152"/>
      <c r="D206" s="323"/>
      <c r="E206" s="154"/>
      <c r="F206" s="157"/>
      <c r="G206" s="152"/>
      <c r="H206" s="323"/>
      <c r="I206" s="152"/>
      <c r="J206" s="157"/>
      <c r="K206" s="154"/>
      <c r="L206" s="227"/>
      <c r="M206" s="157"/>
      <c r="N206" s="227">
        <f t="shared" si="28"/>
        <v>1287.7133620106251</v>
      </c>
      <c r="O206" s="152">
        <f t="shared" si="29"/>
        <v>528638.41236201092</v>
      </c>
    </row>
    <row r="207" spans="1:15" hidden="1" x14ac:dyDescent="0.15">
      <c r="A207" s="154"/>
      <c r="B207" s="151"/>
      <c r="C207" s="152"/>
      <c r="D207" s="323"/>
      <c r="E207" s="154"/>
      <c r="F207" s="157"/>
      <c r="G207" s="152"/>
      <c r="H207" s="323"/>
      <c r="I207" s="152"/>
      <c r="J207" s="157"/>
      <c r="K207" s="154"/>
      <c r="L207" s="227"/>
      <c r="M207" s="157"/>
      <c r="N207" s="227">
        <f t="shared" si="28"/>
        <v>1287.7133620106251</v>
      </c>
      <c r="O207" s="152">
        <f t="shared" si="29"/>
        <v>528638.41236201092</v>
      </c>
    </row>
    <row r="208" spans="1:15" hidden="1" x14ac:dyDescent="0.15">
      <c r="A208" s="154"/>
      <c r="B208" s="151"/>
      <c r="C208" s="152"/>
      <c r="D208" s="323"/>
      <c r="E208" s="154"/>
      <c r="F208" s="157"/>
      <c r="G208" s="152"/>
      <c r="H208" s="323"/>
      <c r="I208" s="152"/>
      <c r="J208" s="157"/>
      <c r="K208" s="154"/>
      <c r="L208" s="227"/>
      <c r="M208" s="157"/>
      <c r="N208" s="227">
        <f t="shared" si="28"/>
        <v>1287.7133620106251</v>
      </c>
      <c r="O208" s="152">
        <f t="shared" si="29"/>
        <v>528638.41236201092</v>
      </c>
    </row>
    <row r="209" spans="1:15" hidden="1" x14ac:dyDescent="0.15">
      <c r="A209" s="154"/>
      <c r="B209" s="151"/>
      <c r="C209" s="152"/>
      <c r="D209" s="323"/>
      <c r="E209" s="154"/>
      <c r="F209" s="157"/>
      <c r="G209" s="152"/>
      <c r="H209" s="323"/>
      <c r="I209" s="152"/>
      <c r="J209" s="157"/>
      <c r="K209" s="154"/>
      <c r="L209" s="227"/>
      <c r="M209" s="157"/>
      <c r="N209" s="227">
        <f t="shared" si="28"/>
        <v>1287.7133620106251</v>
      </c>
      <c r="O209" s="152">
        <f t="shared" si="29"/>
        <v>528638.41236201092</v>
      </c>
    </row>
    <row r="210" spans="1:15" hidden="1" x14ac:dyDescent="0.15">
      <c r="A210" s="154"/>
      <c r="B210" s="151"/>
      <c r="C210" s="152"/>
      <c r="D210" s="323"/>
      <c r="E210" s="154"/>
      <c r="F210" s="157"/>
      <c r="G210" s="152"/>
      <c r="H210" s="323"/>
      <c r="I210" s="152"/>
      <c r="J210" s="157"/>
      <c r="K210" s="154"/>
      <c r="L210" s="227"/>
      <c r="M210" s="157"/>
      <c r="N210" s="227">
        <f t="shared" si="28"/>
        <v>1287.7133620106251</v>
      </c>
      <c r="O210" s="152">
        <f t="shared" si="29"/>
        <v>528638.41236201092</v>
      </c>
    </row>
    <row r="211" spans="1:15" hidden="1" x14ac:dyDescent="0.15">
      <c r="A211" s="154"/>
      <c r="B211" s="151"/>
      <c r="C211" s="152"/>
      <c r="D211" s="323"/>
      <c r="E211" s="154"/>
      <c r="F211" s="157"/>
      <c r="G211" s="152"/>
      <c r="H211" s="323"/>
      <c r="I211" s="152"/>
      <c r="J211" s="157"/>
      <c r="K211" s="154"/>
      <c r="L211" s="227"/>
      <c r="M211" s="157"/>
      <c r="N211" s="227">
        <f t="shared" si="28"/>
        <v>1287.7133620106251</v>
      </c>
      <c r="O211" s="152">
        <f t="shared" si="29"/>
        <v>528638.41236201092</v>
      </c>
    </row>
    <row r="212" spans="1:15" hidden="1" x14ac:dyDescent="0.15">
      <c r="A212" s="154"/>
      <c r="B212" s="151"/>
      <c r="C212" s="152"/>
      <c r="D212" s="323"/>
      <c r="E212" s="154"/>
      <c r="F212" s="157"/>
      <c r="G212" s="152"/>
      <c r="H212" s="323"/>
      <c r="I212" s="152"/>
      <c r="J212" s="157"/>
      <c r="K212" s="154"/>
      <c r="L212" s="227"/>
      <c r="M212" s="157"/>
      <c r="N212" s="227">
        <f t="shared" si="28"/>
        <v>1287.7133620106251</v>
      </c>
      <c r="O212" s="152">
        <f t="shared" si="29"/>
        <v>528638.41236201092</v>
      </c>
    </row>
    <row r="213" spans="1:15" hidden="1" x14ac:dyDescent="0.15">
      <c r="A213" s="154"/>
      <c r="B213" s="151"/>
      <c r="C213" s="152"/>
      <c r="D213" s="323"/>
      <c r="E213" s="154"/>
      <c r="F213" s="157"/>
      <c r="G213" s="152"/>
      <c r="H213" s="323"/>
      <c r="I213" s="152"/>
      <c r="J213" s="157"/>
      <c r="K213" s="154"/>
      <c r="L213" s="227"/>
      <c r="M213" s="157"/>
      <c r="N213" s="227">
        <f t="shared" si="28"/>
        <v>1287.7133620106251</v>
      </c>
      <c r="O213" s="152">
        <f t="shared" si="29"/>
        <v>528638.41236201092</v>
      </c>
    </row>
    <row r="214" spans="1:15" hidden="1" x14ac:dyDescent="0.15">
      <c r="A214" s="154"/>
      <c r="B214" s="151"/>
      <c r="C214" s="152"/>
      <c r="D214" s="323"/>
      <c r="E214" s="154"/>
      <c r="F214" s="157"/>
      <c r="G214" s="152"/>
      <c r="H214" s="323"/>
      <c r="I214" s="152"/>
      <c r="J214" s="157"/>
      <c r="K214" s="154"/>
      <c r="L214" s="227"/>
      <c r="M214" s="157"/>
      <c r="N214" s="227">
        <f t="shared" si="28"/>
        <v>1287.7133620106251</v>
      </c>
      <c r="O214" s="152">
        <f t="shared" si="29"/>
        <v>528638.41236201092</v>
      </c>
    </row>
    <row r="215" spans="1:15" hidden="1" x14ac:dyDescent="0.15">
      <c r="A215" s="154"/>
      <c r="B215" s="151"/>
      <c r="C215" s="152"/>
      <c r="D215" s="323"/>
      <c r="E215" s="154"/>
      <c r="F215" s="157"/>
      <c r="G215" s="152"/>
      <c r="H215" s="323"/>
      <c r="I215" s="152"/>
      <c r="J215" s="157"/>
      <c r="K215" s="154"/>
      <c r="L215" s="227"/>
      <c r="M215" s="157"/>
      <c r="N215" s="227">
        <f t="shared" ref="N215:N237" si="32">+N214-I215-L215</f>
        <v>1287.7133620106251</v>
      </c>
      <c r="O215" s="152">
        <f t="shared" ref="O215:O237" si="33">O214+G215-I215-L215</f>
        <v>528638.41236201092</v>
      </c>
    </row>
    <row r="216" spans="1:15" hidden="1" x14ac:dyDescent="0.15">
      <c r="A216" s="154"/>
      <c r="B216" s="151"/>
      <c r="C216" s="152"/>
      <c r="D216" s="323"/>
      <c r="E216" s="154"/>
      <c r="F216" s="157"/>
      <c r="G216" s="152"/>
      <c r="H216" s="323"/>
      <c r="I216" s="152"/>
      <c r="J216" s="157"/>
      <c r="K216" s="154"/>
      <c r="L216" s="227"/>
      <c r="M216" s="157"/>
      <c r="N216" s="227">
        <f t="shared" si="32"/>
        <v>1287.7133620106251</v>
      </c>
      <c r="O216" s="152">
        <f t="shared" si="33"/>
        <v>528638.41236201092</v>
      </c>
    </row>
    <row r="217" spans="1:15" hidden="1" x14ac:dyDescent="0.15">
      <c r="A217" s="154"/>
      <c r="B217" s="151"/>
      <c r="C217" s="152"/>
      <c r="D217" s="323"/>
      <c r="E217" s="154"/>
      <c r="F217" s="157"/>
      <c r="G217" s="152"/>
      <c r="H217" s="323"/>
      <c r="I217" s="152"/>
      <c r="J217" s="157"/>
      <c r="K217" s="154"/>
      <c r="L217" s="227"/>
      <c r="M217" s="157"/>
      <c r="N217" s="227">
        <f t="shared" si="32"/>
        <v>1287.7133620106251</v>
      </c>
      <c r="O217" s="152">
        <f t="shared" si="33"/>
        <v>528638.41236201092</v>
      </c>
    </row>
    <row r="218" spans="1:15" hidden="1" x14ac:dyDescent="0.15">
      <c r="A218" s="154"/>
      <c r="B218" s="151"/>
      <c r="C218" s="152"/>
      <c r="D218" s="323"/>
      <c r="E218" s="154"/>
      <c r="F218" s="157"/>
      <c r="G218" s="152"/>
      <c r="H218" s="323"/>
      <c r="I218" s="152"/>
      <c r="J218" s="157"/>
      <c r="K218" s="154"/>
      <c r="L218" s="227"/>
      <c r="M218" s="157"/>
      <c r="N218" s="227">
        <f t="shared" si="32"/>
        <v>1287.7133620106251</v>
      </c>
      <c r="O218" s="152">
        <f t="shared" si="33"/>
        <v>528638.41236201092</v>
      </c>
    </row>
    <row r="219" spans="1:15" hidden="1" x14ac:dyDescent="0.15">
      <c r="A219" s="154"/>
      <c r="B219" s="151"/>
      <c r="C219" s="152"/>
      <c r="D219" s="323"/>
      <c r="E219" s="154"/>
      <c r="F219" s="157"/>
      <c r="G219" s="152"/>
      <c r="H219" s="323"/>
      <c r="I219" s="152"/>
      <c r="J219" s="157"/>
      <c r="K219" s="154"/>
      <c r="L219" s="227"/>
      <c r="M219" s="157"/>
      <c r="N219" s="227">
        <f t="shared" si="32"/>
        <v>1287.7133620106251</v>
      </c>
      <c r="O219" s="152">
        <f t="shared" si="33"/>
        <v>528638.41236201092</v>
      </c>
    </row>
    <row r="220" spans="1:15" hidden="1" x14ac:dyDescent="0.15">
      <c r="A220" s="154"/>
      <c r="B220" s="151"/>
      <c r="C220" s="152"/>
      <c r="D220" s="323"/>
      <c r="E220" s="155"/>
      <c r="F220" s="157"/>
      <c r="G220" s="152"/>
      <c r="H220" s="323"/>
      <c r="I220" s="152"/>
      <c r="J220" s="157"/>
      <c r="K220" s="154"/>
      <c r="L220" s="227"/>
      <c r="M220" s="157"/>
      <c r="N220" s="227">
        <f t="shared" si="32"/>
        <v>1287.7133620106251</v>
      </c>
      <c r="O220" s="152">
        <f t="shared" si="33"/>
        <v>528638.41236201092</v>
      </c>
    </row>
    <row r="221" spans="1:15" hidden="1" x14ac:dyDescent="0.15">
      <c r="A221" s="154"/>
      <c r="B221" s="151"/>
      <c r="C221" s="152"/>
      <c r="D221" s="323"/>
      <c r="E221" s="155"/>
      <c r="F221" s="157"/>
      <c r="G221" s="152"/>
      <c r="H221" s="323"/>
      <c r="I221" s="152"/>
      <c r="J221" s="157"/>
      <c r="K221" s="154"/>
      <c r="L221" s="227"/>
      <c r="M221" s="157"/>
      <c r="N221" s="227">
        <f t="shared" si="32"/>
        <v>1287.7133620106251</v>
      </c>
      <c r="O221" s="152">
        <f t="shared" si="33"/>
        <v>528638.41236201092</v>
      </c>
    </row>
    <row r="222" spans="1:15" hidden="1" x14ac:dyDescent="0.15">
      <c r="A222" s="154"/>
      <c r="B222" s="151"/>
      <c r="C222" s="152"/>
      <c r="D222" s="323"/>
      <c r="E222" s="155"/>
      <c r="F222" s="157"/>
      <c r="G222" s="152"/>
      <c r="H222" s="323"/>
      <c r="I222" s="152"/>
      <c r="J222" s="157"/>
      <c r="K222" s="154"/>
      <c r="L222" s="227"/>
      <c r="M222" s="157"/>
      <c r="N222" s="227">
        <f t="shared" si="32"/>
        <v>1287.7133620106251</v>
      </c>
      <c r="O222" s="152">
        <f t="shared" si="33"/>
        <v>528638.41236201092</v>
      </c>
    </row>
    <row r="223" spans="1:15" hidden="1" x14ac:dyDescent="0.15">
      <c r="A223" s="154"/>
      <c r="B223" s="151"/>
      <c r="C223" s="152"/>
      <c r="D223" s="323"/>
      <c r="E223" s="155"/>
      <c r="F223" s="157"/>
      <c r="G223" s="152"/>
      <c r="H223" s="323"/>
      <c r="I223" s="152"/>
      <c r="J223" s="157"/>
      <c r="K223" s="154"/>
      <c r="L223" s="227"/>
      <c r="M223" s="157"/>
      <c r="N223" s="227">
        <f t="shared" si="32"/>
        <v>1287.7133620106251</v>
      </c>
      <c r="O223" s="152">
        <f t="shared" si="33"/>
        <v>528638.41236201092</v>
      </c>
    </row>
    <row r="224" spans="1:15" hidden="1" x14ac:dyDescent="0.15">
      <c r="A224" s="154"/>
      <c r="B224" s="151"/>
      <c r="C224" s="152"/>
      <c r="D224" s="323"/>
      <c r="E224" s="155"/>
      <c r="F224" s="157"/>
      <c r="G224" s="152"/>
      <c r="H224" s="323"/>
      <c r="I224" s="152"/>
      <c r="J224" s="157"/>
      <c r="K224" s="154"/>
      <c r="L224" s="227"/>
      <c r="M224" s="157"/>
      <c r="N224" s="227">
        <f t="shared" si="32"/>
        <v>1287.7133620106251</v>
      </c>
      <c r="O224" s="152">
        <f t="shared" si="33"/>
        <v>528638.41236201092</v>
      </c>
    </row>
    <row r="225" spans="1:15" hidden="1" x14ac:dyDescent="0.15">
      <c r="A225" s="154"/>
      <c r="B225" s="151"/>
      <c r="C225" s="152"/>
      <c r="D225" s="323"/>
      <c r="E225" s="155"/>
      <c r="F225" s="157"/>
      <c r="G225" s="152"/>
      <c r="H225" s="323"/>
      <c r="I225" s="152"/>
      <c r="J225" s="157"/>
      <c r="K225" s="154"/>
      <c r="L225" s="227"/>
      <c r="M225" s="157"/>
      <c r="N225" s="227">
        <f t="shared" si="32"/>
        <v>1287.7133620106251</v>
      </c>
      <c r="O225" s="152">
        <f t="shared" si="33"/>
        <v>528638.41236201092</v>
      </c>
    </row>
    <row r="226" spans="1:15" hidden="1" x14ac:dyDescent="0.15">
      <c r="A226" s="154"/>
      <c r="B226" s="151"/>
      <c r="C226" s="152"/>
      <c r="D226" s="323"/>
      <c r="E226" s="154"/>
      <c r="F226" s="157"/>
      <c r="G226" s="152"/>
      <c r="H226" s="323"/>
      <c r="I226" s="152"/>
      <c r="J226" s="157"/>
      <c r="K226" s="154"/>
      <c r="L226" s="227"/>
      <c r="M226" s="157"/>
      <c r="N226" s="227">
        <f t="shared" si="32"/>
        <v>1287.7133620106251</v>
      </c>
      <c r="O226" s="152">
        <f t="shared" si="33"/>
        <v>528638.41236201092</v>
      </c>
    </row>
    <row r="227" spans="1:15" hidden="1" x14ac:dyDescent="0.15">
      <c r="A227" s="154"/>
      <c r="B227" s="151"/>
      <c r="C227" s="152"/>
      <c r="D227" s="323"/>
      <c r="E227" s="154"/>
      <c r="F227" s="157"/>
      <c r="G227" s="152"/>
      <c r="H227" s="323"/>
      <c r="I227" s="152"/>
      <c r="J227" s="157"/>
      <c r="K227" s="154"/>
      <c r="L227" s="227"/>
      <c r="M227" s="157"/>
      <c r="N227" s="227">
        <f t="shared" si="32"/>
        <v>1287.7133620106251</v>
      </c>
      <c r="O227" s="152">
        <f t="shared" si="33"/>
        <v>528638.41236201092</v>
      </c>
    </row>
    <row r="228" spans="1:15" hidden="1" x14ac:dyDescent="0.15">
      <c r="A228" s="154"/>
      <c r="B228" s="151"/>
      <c r="C228" s="152"/>
      <c r="D228" s="323"/>
      <c r="E228" s="154"/>
      <c r="F228" s="157"/>
      <c r="G228" s="152"/>
      <c r="H228" s="323"/>
      <c r="I228" s="152"/>
      <c r="J228" s="157"/>
      <c r="K228" s="154"/>
      <c r="L228" s="227"/>
      <c r="M228" s="157"/>
      <c r="N228" s="227">
        <f t="shared" si="32"/>
        <v>1287.7133620106251</v>
      </c>
      <c r="O228" s="152">
        <f t="shared" si="33"/>
        <v>528638.41236201092</v>
      </c>
    </row>
    <row r="229" spans="1:15" hidden="1" x14ac:dyDescent="0.15">
      <c r="A229" s="154"/>
      <c r="B229" s="151"/>
      <c r="C229" s="152"/>
      <c r="D229" s="323"/>
      <c r="E229" s="154"/>
      <c r="F229" s="157"/>
      <c r="G229" s="152"/>
      <c r="H229" s="323"/>
      <c r="I229" s="152"/>
      <c r="J229" s="157"/>
      <c r="K229" s="154"/>
      <c r="L229" s="227"/>
      <c r="M229" s="157"/>
      <c r="N229" s="227">
        <f t="shared" si="32"/>
        <v>1287.7133620106251</v>
      </c>
      <c r="O229" s="152">
        <f t="shared" si="33"/>
        <v>528638.41236201092</v>
      </c>
    </row>
    <row r="230" spans="1:15" hidden="1" x14ac:dyDescent="0.15">
      <c r="A230" s="154"/>
      <c r="B230" s="151"/>
      <c r="C230" s="152"/>
      <c r="D230" s="323"/>
      <c r="E230" s="155"/>
      <c r="F230" s="157"/>
      <c r="G230" s="152"/>
      <c r="H230" s="323"/>
      <c r="I230" s="152"/>
      <c r="J230" s="157"/>
      <c r="K230" s="154"/>
      <c r="L230" s="227"/>
      <c r="M230" s="157"/>
      <c r="N230" s="227">
        <f t="shared" si="32"/>
        <v>1287.7133620106251</v>
      </c>
      <c r="O230" s="152">
        <f t="shared" si="33"/>
        <v>528638.41236201092</v>
      </c>
    </row>
    <row r="231" spans="1:15" hidden="1" x14ac:dyDescent="0.15">
      <c r="A231" s="154"/>
      <c r="B231" s="151"/>
      <c r="C231" s="152"/>
      <c r="D231" s="323"/>
      <c r="E231" s="154"/>
      <c r="F231" s="157"/>
      <c r="G231" s="152"/>
      <c r="H231" s="323"/>
      <c r="I231" s="152"/>
      <c r="J231" s="157"/>
      <c r="K231" s="154"/>
      <c r="L231" s="227"/>
      <c r="M231" s="157"/>
      <c r="N231" s="227">
        <f t="shared" si="32"/>
        <v>1287.7133620106251</v>
      </c>
      <c r="O231" s="152">
        <f t="shared" si="33"/>
        <v>528638.41236201092</v>
      </c>
    </row>
    <row r="232" spans="1:15" hidden="1" x14ac:dyDescent="0.15">
      <c r="A232" s="154"/>
      <c r="B232" s="151"/>
      <c r="C232" s="152"/>
      <c r="D232" s="323"/>
      <c r="E232" s="154"/>
      <c r="F232" s="157"/>
      <c r="G232" s="152"/>
      <c r="H232" s="323"/>
      <c r="I232" s="152"/>
      <c r="J232" s="154"/>
      <c r="K232" s="154"/>
      <c r="L232" s="227"/>
      <c r="M232" s="157"/>
      <c r="N232" s="227">
        <f t="shared" si="32"/>
        <v>1287.7133620106251</v>
      </c>
      <c r="O232" s="152">
        <f t="shared" si="33"/>
        <v>528638.41236201092</v>
      </c>
    </row>
    <row r="233" spans="1:15" hidden="1" x14ac:dyDescent="0.15">
      <c r="A233" s="154"/>
      <c r="B233" s="151"/>
      <c r="C233" s="151"/>
      <c r="D233" s="323"/>
      <c r="E233" s="154"/>
      <c r="F233" s="157"/>
      <c r="G233" s="152"/>
      <c r="H233" s="323"/>
      <c r="I233" s="152"/>
      <c r="J233" s="154"/>
      <c r="K233" s="154"/>
      <c r="L233" s="227"/>
      <c r="M233" s="157"/>
      <c r="N233" s="227">
        <f t="shared" si="32"/>
        <v>1287.7133620106251</v>
      </c>
      <c r="O233" s="152">
        <f t="shared" si="33"/>
        <v>528638.41236201092</v>
      </c>
    </row>
    <row r="234" spans="1:15" hidden="1" x14ac:dyDescent="0.15">
      <c r="A234" s="154"/>
      <c r="B234" s="151"/>
      <c r="C234" s="151"/>
      <c r="D234" s="323"/>
      <c r="E234" s="155"/>
      <c r="F234" s="157"/>
      <c r="G234" s="152"/>
      <c r="H234" s="323"/>
      <c r="I234" s="152"/>
      <c r="J234" s="154"/>
      <c r="K234" s="154"/>
      <c r="L234" s="227"/>
      <c r="M234" s="157"/>
      <c r="N234" s="227">
        <f t="shared" si="32"/>
        <v>1287.7133620106251</v>
      </c>
      <c r="O234" s="152">
        <f t="shared" si="33"/>
        <v>528638.41236201092</v>
      </c>
    </row>
    <row r="235" spans="1:15" hidden="1" x14ac:dyDescent="0.15">
      <c r="A235" s="154"/>
      <c r="B235" s="151"/>
      <c r="C235" s="151"/>
      <c r="D235" s="323"/>
      <c r="E235" s="154"/>
      <c r="F235" s="160"/>
      <c r="G235" s="152"/>
      <c r="H235" s="323"/>
      <c r="I235" s="152"/>
      <c r="J235" s="157"/>
      <c r="K235" s="154"/>
      <c r="L235" s="227"/>
      <c r="M235" s="157"/>
      <c r="N235" s="227">
        <f t="shared" si="32"/>
        <v>1287.7133620106251</v>
      </c>
      <c r="O235" s="152">
        <f t="shared" si="33"/>
        <v>528638.41236201092</v>
      </c>
    </row>
    <row r="236" spans="1:15" hidden="1" x14ac:dyDescent="0.15">
      <c r="A236" s="154"/>
      <c r="B236" s="151"/>
      <c r="C236" s="151"/>
      <c r="D236" s="323"/>
      <c r="E236" s="154"/>
      <c r="F236" s="160"/>
      <c r="G236" s="152"/>
      <c r="H236" s="323"/>
      <c r="I236" s="152"/>
      <c r="J236" s="150"/>
      <c r="K236" s="154"/>
      <c r="L236" s="227"/>
      <c r="M236" s="157"/>
      <c r="N236" s="227">
        <f t="shared" si="32"/>
        <v>1287.7133620106251</v>
      </c>
      <c r="O236" s="152">
        <f t="shared" si="33"/>
        <v>528638.41236201092</v>
      </c>
    </row>
    <row r="237" spans="1:15" x14ac:dyDescent="0.15">
      <c r="A237" s="173"/>
      <c r="B237" s="173"/>
      <c r="C237" s="174"/>
      <c r="D237" s="323"/>
      <c r="E237" s="173"/>
      <c r="F237" s="173"/>
      <c r="G237" s="174"/>
      <c r="H237" s="323"/>
      <c r="I237" s="174"/>
      <c r="J237" s="173"/>
      <c r="K237" s="154"/>
      <c r="L237" s="228"/>
      <c r="M237" s="173"/>
      <c r="N237" s="227">
        <f t="shared" si="32"/>
        <v>1287.7133620106251</v>
      </c>
      <c r="O237" s="152">
        <f t="shared" si="33"/>
        <v>528638.41236201092</v>
      </c>
    </row>
    <row r="238" spans="1:15" x14ac:dyDescent="0.15">
      <c r="A238" s="177"/>
      <c r="B238" s="177"/>
      <c r="C238" s="178">
        <f>SUM(C7:C236)</f>
        <v>530563.96636201092</v>
      </c>
      <c r="D238" s="177"/>
      <c r="E238" s="177"/>
      <c r="F238" s="177"/>
      <c r="G238" s="178">
        <f>SUM(G7:G237)</f>
        <v>4132153.4729999993</v>
      </c>
      <c r="H238" s="179"/>
      <c r="I238" s="178">
        <f>SUM(I7:I237)</f>
        <v>321615.21999999991</v>
      </c>
      <c r="J238" s="177"/>
      <c r="K238" s="177"/>
      <c r="L238" s="178">
        <f>SUM(L7:L237)</f>
        <v>3812463.8070000005</v>
      </c>
      <c r="M238" s="177"/>
      <c r="N238" s="180"/>
      <c r="O238" s="181">
        <f>C238+G238-I238-L238</f>
        <v>528638.41236200975</v>
      </c>
    </row>
    <row r="239" spans="1:15" x14ac:dyDescent="0.15">
      <c r="A239" s="182"/>
      <c r="B239" s="465"/>
      <c r="C239" s="465"/>
      <c r="D239" s="465"/>
      <c r="E239" s="183"/>
      <c r="F239" s="284"/>
      <c r="G239" s="185">
        <f>+G238-4132153.473</f>
        <v>0</v>
      </c>
      <c r="H239" s="186"/>
      <c r="I239" s="187"/>
      <c r="J239" s="188"/>
      <c r="K239" s="189" t="s">
        <v>139</v>
      </c>
      <c r="L239" s="190">
        <f>+L238+I238</f>
        <v>4134079.0270000002</v>
      </c>
      <c r="M239" s="197"/>
      <c r="N239" s="230">
        <f>+N237</f>
        <v>1287.7133620106251</v>
      </c>
      <c r="O239" s="195" t="str">
        <f>+M194</f>
        <v>GC 231114</v>
      </c>
    </row>
    <row r="240" spans="1:15" x14ac:dyDescent="0.15">
      <c r="A240" s="133"/>
      <c r="B240" s="377"/>
      <c r="C240" s="377"/>
      <c r="D240" s="377"/>
      <c r="E240" s="183"/>
      <c r="F240" s="378"/>
      <c r="G240" s="219"/>
      <c r="H240" s="186"/>
      <c r="I240" s="187"/>
      <c r="J240" s="210"/>
      <c r="N240" s="230">
        <f>+G177</f>
        <v>131858.92499999999</v>
      </c>
      <c r="O240" s="334" t="str">
        <f>+F177</f>
        <v>TOP 251114</v>
      </c>
    </row>
    <row r="241" spans="1:15" x14ac:dyDescent="0.15">
      <c r="A241" s="133"/>
      <c r="B241" s="377"/>
      <c r="C241" s="377"/>
      <c r="D241" s="377"/>
      <c r="E241" s="183"/>
      <c r="F241" s="378"/>
      <c r="G241" s="219"/>
      <c r="H241" s="186"/>
      <c r="I241" s="187"/>
      <c r="J241" s="210"/>
      <c r="N241" s="230">
        <f>+G181+G190</f>
        <v>351589.51500000001</v>
      </c>
      <c r="O241" s="334" t="str">
        <f>+F181</f>
        <v>TOP 241114</v>
      </c>
    </row>
    <row r="242" spans="1:15" x14ac:dyDescent="0.15">
      <c r="A242" s="188" t="s">
        <v>2018</v>
      </c>
      <c r="B242" s="131" t="s">
        <v>2041</v>
      </c>
      <c r="E242" s="183" t="s">
        <v>55</v>
      </c>
      <c r="F242" s="380">
        <v>20380163.18</v>
      </c>
      <c r="G242" s="219" t="s">
        <v>56</v>
      </c>
      <c r="H242" s="186">
        <v>41947</v>
      </c>
      <c r="I242" s="187" t="s">
        <v>71</v>
      </c>
      <c r="J242" s="210">
        <v>163749.27836200973</v>
      </c>
      <c r="K242" s="297"/>
      <c r="N242" s="230">
        <v>43902.258999999998</v>
      </c>
      <c r="O242" s="195" t="str">
        <f>+F191</f>
        <v>TOP 271114</v>
      </c>
    </row>
    <row r="243" spans="1:15" x14ac:dyDescent="0.15">
      <c r="A243" s="188" t="s">
        <v>2019</v>
      </c>
      <c r="B243" s="131" t="s">
        <v>2093</v>
      </c>
      <c r="E243" s="183" t="s">
        <v>55</v>
      </c>
      <c r="F243" s="380">
        <v>13171739.41</v>
      </c>
      <c r="G243" s="219" t="s">
        <v>56</v>
      </c>
      <c r="H243" s="186">
        <v>41949</v>
      </c>
      <c r="I243" s="187" t="s">
        <v>71</v>
      </c>
      <c r="J243" s="210">
        <v>279549.4190000011</v>
      </c>
      <c r="K243" s="333"/>
      <c r="N243" s="230"/>
      <c r="O243" s="195"/>
    </row>
    <row r="244" spans="1:15" x14ac:dyDescent="0.15">
      <c r="A244" s="381" t="s">
        <v>2020</v>
      </c>
      <c r="B244" s="131" t="s">
        <v>2094</v>
      </c>
      <c r="E244" s="183" t="s">
        <v>55</v>
      </c>
      <c r="F244" s="380">
        <v>7993429.4800000004</v>
      </c>
      <c r="G244" s="219" t="s">
        <v>56</v>
      </c>
      <c r="H244" s="186">
        <v>41950</v>
      </c>
      <c r="I244" s="187" t="s">
        <v>71</v>
      </c>
      <c r="J244" s="210">
        <v>214589.62499999997</v>
      </c>
      <c r="N244" s="230"/>
      <c r="O244" s="195"/>
    </row>
    <row r="245" spans="1:15" x14ac:dyDescent="0.15">
      <c r="A245" s="193" t="s">
        <v>2076</v>
      </c>
      <c r="B245" s="131" t="s">
        <v>2107</v>
      </c>
      <c r="E245" s="183" t="s">
        <v>55</v>
      </c>
      <c r="F245" s="379">
        <v>12179440.5</v>
      </c>
      <c r="G245" s="219" t="s">
        <v>56</v>
      </c>
      <c r="H245" s="186">
        <v>41955</v>
      </c>
      <c r="I245" s="187" t="s">
        <v>71</v>
      </c>
      <c r="J245" s="210">
        <v>254210.10700000008</v>
      </c>
      <c r="K245" s="333"/>
      <c r="N245" s="230"/>
      <c r="O245" s="195"/>
    </row>
    <row r="246" spans="1:15" x14ac:dyDescent="0.15">
      <c r="A246" s="193" t="s">
        <v>2073</v>
      </c>
      <c r="B246" s="131" t="s">
        <v>2108</v>
      </c>
      <c r="E246" s="183" t="s">
        <v>55</v>
      </c>
      <c r="F246" s="379">
        <v>24446686.079999998</v>
      </c>
      <c r="G246" s="219" t="s">
        <v>56</v>
      </c>
      <c r="H246" s="186">
        <v>41960</v>
      </c>
      <c r="I246" s="187" t="s">
        <v>71</v>
      </c>
      <c r="J246" s="210">
        <v>326813.79599999991</v>
      </c>
      <c r="N246" s="206" t="s">
        <v>33</v>
      </c>
      <c r="O246" s="207">
        <f>SUM(N239:N245)</f>
        <v>528638.41236201057</v>
      </c>
    </row>
    <row r="247" spans="1:15" x14ac:dyDescent="0.15">
      <c r="A247" s="193" t="s">
        <v>2078</v>
      </c>
      <c r="B247" s="131" t="s">
        <v>2110</v>
      </c>
      <c r="E247" s="183" t="s">
        <v>55</v>
      </c>
      <c r="F247" s="379">
        <v>9049731.0999999996</v>
      </c>
      <c r="G247" s="219" t="s">
        <v>56</v>
      </c>
      <c r="H247" s="186">
        <v>41961</v>
      </c>
      <c r="I247" s="187" t="s">
        <v>71</v>
      </c>
      <c r="J247" s="210">
        <v>138449.88399999897</v>
      </c>
      <c r="K247" s="193"/>
      <c r="O247" s="190">
        <f>+O238-O246</f>
        <v>0</v>
      </c>
    </row>
    <row r="248" spans="1:15" s="132" customFormat="1" x14ac:dyDescent="0.15">
      <c r="A248" s="193" t="s">
        <v>2079</v>
      </c>
      <c r="B248" s="131" t="s">
        <v>2109</v>
      </c>
      <c r="D248" s="133"/>
      <c r="E248" s="183" t="s">
        <v>55</v>
      </c>
      <c r="F248" s="379">
        <v>6589673.0599999996</v>
      </c>
      <c r="G248" s="219" t="s">
        <v>56</v>
      </c>
      <c r="H248" s="186">
        <v>41961</v>
      </c>
      <c r="I248" s="187" t="s">
        <v>71</v>
      </c>
      <c r="J248" s="210">
        <v>70311.338000000993</v>
      </c>
      <c r="K248" s="193"/>
      <c r="M248" s="134"/>
    </row>
    <row r="249" spans="1:15" s="132" customFormat="1" x14ac:dyDescent="0.15">
      <c r="A249" s="188" t="s">
        <v>2081</v>
      </c>
      <c r="B249" s="131" t="s">
        <v>2095</v>
      </c>
      <c r="D249" s="133"/>
      <c r="E249" s="183" t="s">
        <v>55</v>
      </c>
      <c r="F249" s="380">
        <v>5432353.4800000004</v>
      </c>
      <c r="G249" s="219" t="s">
        <v>56</v>
      </c>
      <c r="H249" s="186">
        <v>41964</v>
      </c>
      <c r="I249" s="187" t="s">
        <v>71</v>
      </c>
      <c r="J249" s="210">
        <v>262806.42500000098</v>
      </c>
      <c r="K249" s="193"/>
      <c r="M249" s="134"/>
    </row>
    <row r="250" spans="1:15" s="132" customFormat="1" x14ac:dyDescent="0.15">
      <c r="A250" s="188" t="s">
        <v>2082</v>
      </c>
      <c r="B250" s="131" t="s">
        <v>2096</v>
      </c>
      <c r="D250" s="133"/>
      <c r="E250" s="183" t="s">
        <v>55</v>
      </c>
      <c r="F250" s="380">
        <v>13022245.75</v>
      </c>
      <c r="G250" s="219" t="s">
        <v>56</v>
      </c>
      <c r="H250" s="186">
        <v>41967</v>
      </c>
      <c r="I250" s="187" t="s">
        <v>71</v>
      </c>
      <c r="J250" s="210">
        <v>207241.31099999993</v>
      </c>
      <c r="K250" s="333"/>
      <c r="M250" s="134"/>
    </row>
    <row r="251" spans="1:15" s="132" customFormat="1" x14ac:dyDescent="0.15">
      <c r="A251" s="193" t="s">
        <v>2083</v>
      </c>
      <c r="B251" s="131" t="s">
        <v>2111</v>
      </c>
      <c r="D251" s="133"/>
      <c r="E251" s="183" t="s">
        <v>55</v>
      </c>
      <c r="F251" s="379">
        <v>6401302.0099999998</v>
      </c>
      <c r="G251" s="219" t="s">
        <v>56</v>
      </c>
      <c r="H251" s="186">
        <v>41968</v>
      </c>
      <c r="I251" s="187" t="s">
        <v>71</v>
      </c>
      <c r="J251" s="210">
        <v>186228.47999999899</v>
      </c>
      <c r="K251" s="133"/>
      <c r="M251" s="134"/>
    </row>
    <row r="252" spans="1:15" s="132" customFormat="1" x14ac:dyDescent="0.15">
      <c r="A252" s="381" t="s">
        <v>2085</v>
      </c>
      <c r="B252" s="131" t="s">
        <v>2097</v>
      </c>
      <c r="D252" s="133"/>
      <c r="E252" s="183" t="s">
        <v>55</v>
      </c>
      <c r="F252" s="380">
        <v>21695030.690000001</v>
      </c>
      <c r="G252" s="219" t="s">
        <v>56</v>
      </c>
      <c r="H252" s="186">
        <v>41970</v>
      </c>
      <c r="I252" s="187" t="s">
        <v>71</v>
      </c>
      <c r="J252" s="210">
        <v>87915.061000000002</v>
      </c>
      <c r="K252" s="193"/>
      <c r="M252" s="134"/>
    </row>
    <row r="253" spans="1:15" s="132" customFormat="1" x14ac:dyDescent="0.15">
      <c r="A253" s="381" t="s">
        <v>2086</v>
      </c>
      <c r="B253" s="131" t="s">
        <v>2098</v>
      </c>
      <c r="D253" s="133"/>
      <c r="E253" s="183" t="s">
        <v>55</v>
      </c>
      <c r="F253" s="380">
        <v>8807972.0500000007</v>
      </c>
      <c r="G253" s="219" t="s">
        <v>56</v>
      </c>
      <c r="H253" s="186">
        <v>41971</v>
      </c>
      <c r="I253" s="187" t="s">
        <v>71</v>
      </c>
      <c r="J253" s="210">
        <v>220070.48199999999</v>
      </c>
      <c r="K253" s="193"/>
      <c r="M253" s="134"/>
    </row>
    <row r="254" spans="1:15" s="132" customFormat="1" x14ac:dyDescent="0.15">
      <c r="A254" s="193" t="s">
        <v>2090</v>
      </c>
      <c r="B254" s="131" t="s">
        <v>2112</v>
      </c>
      <c r="D254" s="133"/>
      <c r="E254" s="183" t="s">
        <v>55</v>
      </c>
      <c r="F254" s="379">
        <v>7156134.5199999996</v>
      </c>
      <c r="G254" s="219" t="s">
        <v>56</v>
      </c>
      <c r="H254" s="186">
        <v>41977</v>
      </c>
      <c r="I254" s="187" t="s">
        <v>71</v>
      </c>
      <c r="J254" s="210">
        <v>209468.45263798939</v>
      </c>
      <c r="K254" s="193"/>
      <c r="M254" s="134"/>
    </row>
    <row r="255" spans="1:15" s="132" customFormat="1" ht="12" thickBot="1" x14ac:dyDescent="0.2">
      <c r="A255" s="133"/>
      <c r="B255" s="377"/>
      <c r="C255" s="377"/>
      <c r="D255" s="377"/>
      <c r="E255" s="183"/>
      <c r="F255" s="378"/>
      <c r="G255" s="219"/>
      <c r="H255" s="186"/>
      <c r="I255" s="217" t="s">
        <v>856</v>
      </c>
      <c r="J255" s="211">
        <f>SUM(J242:J254)</f>
        <v>2621403.659</v>
      </c>
      <c r="K255" s="193"/>
      <c r="M255" s="134"/>
    </row>
    <row r="256" spans="1:15" s="132" customFormat="1" ht="12" thickTop="1" x14ac:dyDescent="0.15">
      <c r="A256" s="193" t="s">
        <v>2077</v>
      </c>
      <c r="B256" s="131" t="s">
        <v>2102</v>
      </c>
      <c r="D256" s="133"/>
      <c r="E256" s="183" t="s">
        <v>55</v>
      </c>
      <c r="F256" s="379">
        <v>22369598.280000001</v>
      </c>
      <c r="G256" s="219" t="s">
        <v>56</v>
      </c>
      <c r="H256" s="186">
        <v>41929</v>
      </c>
      <c r="I256" s="187" t="s">
        <v>71</v>
      </c>
      <c r="J256" s="210">
        <v>43936.006999999991</v>
      </c>
      <c r="K256" s="193"/>
      <c r="M256" s="134"/>
    </row>
    <row r="257" spans="1:15" s="132" customFormat="1" x14ac:dyDescent="0.15">
      <c r="A257" s="185" t="s">
        <v>2075</v>
      </c>
      <c r="B257" s="131" t="s">
        <v>2099</v>
      </c>
      <c r="D257" s="133"/>
      <c r="E257" s="183" t="s">
        <v>55</v>
      </c>
      <c r="F257" s="380">
        <v>33919499.020000003</v>
      </c>
      <c r="G257" s="219" t="s">
        <v>56</v>
      </c>
      <c r="H257" s="186">
        <v>41953</v>
      </c>
      <c r="I257" s="187" t="s">
        <v>71</v>
      </c>
      <c r="J257" s="210">
        <v>161738.98700000011</v>
      </c>
      <c r="K257" s="193"/>
      <c r="M257" s="134"/>
    </row>
    <row r="258" spans="1:15" s="132" customFormat="1" x14ac:dyDescent="0.15">
      <c r="A258" s="193" t="s">
        <v>2074</v>
      </c>
      <c r="B258" s="131" t="s">
        <v>2103</v>
      </c>
      <c r="D258" s="133"/>
      <c r="E258" s="183" t="s">
        <v>55</v>
      </c>
      <c r="F258" s="379">
        <v>11316904.02</v>
      </c>
      <c r="G258" s="219" t="s">
        <v>56</v>
      </c>
      <c r="H258" s="186">
        <v>41955</v>
      </c>
      <c r="I258" s="187" t="s">
        <v>71</v>
      </c>
      <c r="J258" s="210">
        <v>104235.84399999998</v>
      </c>
      <c r="K258" s="193"/>
      <c r="M258" s="134"/>
    </row>
    <row r="259" spans="1:15" s="132" customFormat="1" x14ac:dyDescent="0.15">
      <c r="A259" s="185" t="s">
        <v>2080</v>
      </c>
      <c r="B259" s="131" t="s">
        <v>2100</v>
      </c>
      <c r="D259" s="133"/>
      <c r="E259" s="183" t="s">
        <v>55</v>
      </c>
      <c r="F259" s="380">
        <v>22980241.23</v>
      </c>
      <c r="G259" s="219" t="s">
        <v>56</v>
      </c>
      <c r="H259" s="186">
        <v>41962</v>
      </c>
      <c r="I259" s="187" t="s">
        <v>71</v>
      </c>
      <c r="J259" s="210">
        <v>220244.66199999905</v>
      </c>
      <c r="K259" s="193"/>
      <c r="M259" s="134"/>
    </row>
    <row r="260" spans="1:15" s="132" customFormat="1" x14ac:dyDescent="0.15">
      <c r="A260" s="133" t="s">
        <v>2084</v>
      </c>
      <c r="B260" s="131" t="s">
        <v>2101</v>
      </c>
      <c r="D260" s="133"/>
      <c r="E260" s="183" t="s">
        <v>55</v>
      </c>
      <c r="F260" s="380">
        <v>56308652.299999997</v>
      </c>
      <c r="G260" s="219" t="s">
        <v>56</v>
      </c>
      <c r="H260" s="186">
        <v>41967</v>
      </c>
      <c r="I260" s="187" t="s">
        <v>71</v>
      </c>
      <c r="J260" s="210">
        <v>175125.57800000091</v>
      </c>
      <c r="K260" s="133"/>
      <c r="M260" s="134"/>
    </row>
    <row r="261" spans="1:15" s="133" customFormat="1" x14ac:dyDescent="0.15">
      <c r="A261" s="193" t="s">
        <v>2087</v>
      </c>
      <c r="B261" s="131" t="s">
        <v>2104</v>
      </c>
      <c r="C261" s="132"/>
      <c r="E261" s="183" t="s">
        <v>55</v>
      </c>
      <c r="F261" s="379">
        <v>28220205.02</v>
      </c>
      <c r="G261" s="219" t="s">
        <v>56</v>
      </c>
      <c r="H261" s="186">
        <v>41971</v>
      </c>
      <c r="I261" s="187" t="s">
        <v>71</v>
      </c>
      <c r="J261" s="210">
        <v>206298.19200000004</v>
      </c>
      <c r="L261" s="132"/>
      <c r="M261" s="134"/>
      <c r="N261" s="132"/>
      <c r="O261" s="132"/>
    </row>
    <row r="262" spans="1:15" s="133" customFormat="1" x14ac:dyDescent="0.15">
      <c r="A262" s="193" t="s">
        <v>2088</v>
      </c>
      <c r="B262" s="131" t="s">
        <v>2105</v>
      </c>
      <c r="C262" s="132"/>
      <c r="E262" s="183" t="s">
        <v>55</v>
      </c>
      <c r="F262" s="379">
        <v>38793116.869999997</v>
      </c>
      <c r="G262" s="219" t="s">
        <v>56</v>
      </c>
      <c r="H262" s="186">
        <v>41974</v>
      </c>
      <c r="I262" s="187" t="s">
        <v>71</v>
      </c>
      <c r="J262" s="210">
        <v>115727.24063798939</v>
      </c>
      <c r="L262" s="132"/>
      <c r="M262" s="134"/>
      <c r="N262" s="132"/>
      <c r="O262" s="132"/>
    </row>
    <row r="263" spans="1:15" s="133" customFormat="1" x14ac:dyDescent="0.15">
      <c r="A263" s="193" t="s">
        <v>2089</v>
      </c>
      <c r="B263" s="131" t="s">
        <v>2106</v>
      </c>
      <c r="C263" s="132"/>
      <c r="E263" s="183" t="s">
        <v>55</v>
      </c>
      <c r="F263" s="379">
        <v>41436135.310000002</v>
      </c>
      <c r="G263" s="219" t="s">
        <v>56</v>
      </c>
      <c r="H263" s="186">
        <v>41975</v>
      </c>
      <c r="I263" s="187" t="s">
        <v>71</v>
      </c>
      <c r="J263" s="210">
        <v>163753.63736201063</v>
      </c>
      <c r="L263" s="132"/>
      <c r="M263" s="134"/>
      <c r="N263" s="132"/>
      <c r="O263" s="132"/>
    </row>
    <row r="264" spans="1:15" s="133" customFormat="1" ht="12" thickBot="1" x14ac:dyDescent="0.2">
      <c r="B264" s="377"/>
      <c r="C264" s="377"/>
      <c r="D264" s="377"/>
      <c r="E264" s="183"/>
      <c r="F264" s="378"/>
      <c r="G264" s="219"/>
      <c r="H264" s="186"/>
      <c r="I264" s="217" t="s">
        <v>106</v>
      </c>
      <c r="J264" s="211">
        <f>SUM(J256:J263)</f>
        <v>1191060.148</v>
      </c>
      <c r="L264" s="132"/>
      <c r="M264" s="134"/>
      <c r="N264" s="132"/>
      <c r="O264" s="132"/>
    </row>
    <row r="265" spans="1:15" s="133" customFormat="1" ht="12" thickTop="1" x14ac:dyDescent="0.15">
      <c r="B265" s="377"/>
      <c r="C265" s="377"/>
      <c r="D265" s="377"/>
      <c r="E265" s="183"/>
      <c r="F265" s="378"/>
      <c r="G265" s="219"/>
      <c r="H265" s="186"/>
      <c r="I265" s="187"/>
      <c r="J265" s="210"/>
      <c r="L265" s="132"/>
      <c r="M265" s="134"/>
      <c r="N265" s="132"/>
      <c r="O265" s="132"/>
    </row>
    <row r="266" spans="1:15" s="133" customFormat="1" x14ac:dyDescent="0.15">
      <c r="B266" s="377"/>
      <c r="C266" s="377"/>
      <c r="D266" s="377"/>
      <c r="E266" s="183"/>
      <c r="F266" s="378"/>
      <c r="G266" s="219"/>
      <c r="H266" s="186"/>
      <c r="I266" s="187"/>
      <c r="J266" s="210"/>
      <c r="L266" s="132"/>
      <c r="M266" s="134"/>
      <c r="N266" s="132"/>
      <c r="O266" s="132"/>
    </row>
    <row r="267" spans="1:15" s="133" customFormat="1" x14ac:dyDescent="0.15">
      <c r="B267" s="377"/>
      <c r="C267" s="377"/>
      <c r="D267" s="377"/>
      <c r="E267" s="183"/>
      <c r="F267" s="378"/>
      <c r="G267" s="219"/>
      <c r="H267" s="186"/>
      <c r="I267" s="187"/>
      <c r="J267" s="210"/>
      <c r="L267" s="132"/>
      <c r="M267" s="134"/>
      <c r="N267" s="132"/>
      <c r="O267" s="132"/>
    </row>
    <row r="268" spans="1:15" s="133" customFormat="1" x14ac:dyDescent="0.15">
      <c r="B268" s="133" t="s">
        <v>9</v>
      </c>
      <c r="C268" s="220" t="s">
        <v>729</v>
      </c>
      <c r="D268" s="220" t="s">
        <v>850</v>
      </c>
      <c r="E268" s="133" t="s">
        <v>570</v>
      </c>
      <c r="F268" s="133" t="s">
        <v>571</v>
      </c>
      <c r="G268" s="133" t="s">
        <v>16</v>
      </c>
      <c r="H268" s="134"/>
      <c r="I268" s="132"/>
      <c r="J268" s="205"/>
      <c r="L268" s="132"/>
      <c r="M268" s="134"/>
      <c r="N268" s="132"/>
      <c r="O268" s="132"/>
    </row>
    <row r="269" spans="1:15" s="132" customFormat="1" x14ac:dyDescent="0.15">
      <c r="A269" s="193" t="s">
        <v>2018</v>
      </c>
      <c r="B269" s="210">
        <v>163749</v>
      </c>
      <c r="C269" s="221">
        <v>20.3567</v>
      </c>
      <c r="D269" s="237">
        <f t="shared" ref="D269:D278" si="34">+B269*C269</f>
        <v>3333389.2683000001</v>
      </c>
      <c r="E269" s="235">
        <f t="shared" ref="E269:E278" si="35">+D269*0.01</f>
        <v>33333.892682999998</v>
      </c>
      <c r="F269" s="235">
        <f t="shared" ref="F269:F281" si="36">+E269*0.1</f>
        <v>3333.3892682999999</v>
      </c>
      <c r="G269" s="236">
        <f t="shared" ref="G269:G281" si="37">SUM(E269:F269)</f>
        <v>36667.281951299999</v>
      </c>
      <c r="H269" s="134"/>
      <c r="J269" s="205"/>
      <c r="K269" s="133"/>
      <c r="M269" s="134"/>
    </row>
    <row r="270" spans="1:15" s="132" customFormat="1" x14ac:dyDescent="0.15">
      <c r="A270" s="193" t="s">
        <v>2019</v>
      </c>
      <c r="B270" s="210">
        <v>279549</v>
      </c>
      <c r="C270" s="221">
        <v>20.5154</v>
      </c>
      <c r="D270" s="237">
        <f t="shared" si="34"/>
        <v>5735059.5545999995</v>
      </c>
      <c r="E270" s="235">
        <f t="shared" si="35"/>
        <v>57350.595545999997</v>
      </c>
      <c r="F270" s="235">
        <f t="shared" si="36"/>
        <v>5735.0595546000004</v>
      </c>
      <c r="G270" s="236">
        <f t="shared" si="37"/>
        <v>63085.655100599994</v>
      </c>
      <c r="H270" s="133"/>
      <c r="J270" s="205"/>
      <c r="K270" s="133"/>
      <c r="M270" s="134"/>
    </row>
    <row r="271" spans="1:15" s="132" customFormat="1" x14ac:dyDescent="0.15">
      <c r="A271" s="193" t="s">
        <v>2020</v>
      </c>
      <c r="B271" s="210">
        <v>214590</v>
      </c>
      <c r="C271" s="221">
        <v>20.5154</v>
      </c>
      <c r="D271" s="237">
        <f t="shared" si="34"/>
        <v>4402399.6859999998</v>
      </c>
      <c r="E271" s="235">
        <f t="shared" si="35"/>
        <v>44023.996859999999</v>
      </c>
      <c r="F271" s="235">
        <f t="shared" si="36"/>
        <v>4402.3996859999997</v>
      </c>
      <c r="G271" s="236">
        <f t="shared" si="37"/>
        <v>48426.396545999996</v>
      </c>
      <c r="H271" s="133"/>
      <c r="J271" s="205"/>
      <c r="K271" s="133"/>
      <c r="M271" s="134"/>
    </row>
    <row r="272" spans="1:15" s="132" customFormat="1" x14ac:dyDescent="0.15">
      <c r="A272" s="193" t="s">
        <v>2076</v>
      </c>
      <c r="B272" s="210">
        <v>254210</v>
      </c>
      <c r="C272" s="221">
        <v>20.8613</v>
      </c>
      <c r="D272" s="237">
        <f t="shared" si="34"/>
        <v>5303151.0729999999</v>
      </c>
      <c r="E272" s="235">
        <f t="shared" si="35"/>
        <v>53031.510730000002</v>
      </c>
      <c r="F272" s="235">
        <f t="shared" si="36"/>
        <v>5303.1510730000009</v>
      </c>
      <c r="G272" s="236">
        <f t="shared" si="37"/>
        <v>58334.661803000003</v>
      </c>
      <c r="H272" s="134"/>
      <c r="J272" s="205"/>
      <c r="K272" s="133"/>
      <c r="M272" s="134"/>
    </row>
    <row r="273" spans="1:13" s="132" customFormat="1" x14ac:dyDescent="0.15">
      <c r="A273" s="193" t="s">
        <v>2073</v>
      </c>
      <c r="B273" s="210">
        <v>326814</v>
      </c>
      <c r="C273" s="221">
        <v>20.703099999999999</v>
      </c>
      <c r="D273" s="237">
        <f t="shared" si="34"/>
        <v>6766062.9233999997</v>
      </c>
      <c r="E273" s="235">
        <f t="shared" si="35"/>
        <v>67660.629233999993</v>
      </c>
      <c r="F273" s="235">
        <f t="shared" si="36"/>
        <v>6766.0629233999998</v>
      </c>
      <c r="G273" s="236">
        <f t="shared" si="37"/>
        <v>74426.692157399986</v>
      </c>
      <c r="H273" s="186"/>
      <c r="J273" s="205"/>
      <c r="K273" s="133"/>
      <c r="M273" s="134"/>
    </row>
    <row r="274" spans="1:13" s="132" customFormat="1" x14ac:dyDescent="0.15">
      <c r="A274" s="193" t="s">
        <v>2078</v>
      </c>
      <c r="B274" s="210">
        <v>138450</v>
      </c>
      <c r="C274" s="221">
        <v>20.590800000000002</v>
      </c>
      <c r="D274" s="237">
        <f t="shared" si="34"/>
        <v>2850796.2600000002</v>
      </c>
      <c r="E274" s="235">
        <f t="shared" si="35"/>
        <v>28507.962600000003</v>
      </c>
      <c r="F274" s="235">
        <f t="shared" si="36"/>
        <v>2850.7962600000005</v>
      </c>
      <c r="G274" s="236">
        <f t="shared" si="37"/>
        <v>31358.758860000002</v>
      </c>
      <c r="H274" s="186"/>
      <c r="J274" s="134"/>
      <c r="K274" s="133"/>
      <c r="M274" s="134"/>
    </row>
    <row r="275" spans="1:13" s="132" customFormat="1" x14ac:dyDescent="0.15">
      <c r="A275" s="193" t="s">
        <v>2079</v>
      </c>
      <c r="B275" s="210">
        <v>70311</v>
      </c>
      <c r="C275" s="221">
        <v>20.602699999999999</v>
      </c>
      <c r="D275" s="237">
        <f t="shared" si="34"/>
        <v>1448596.4397</v>
      </c>
      <c r="E275" s="235">
        <f t="shared" si="35"/>
        <v>14485.964397</v>
      </c>
      <c r="F275" s="235">
        <f t="shared" si="36"/>
        <v>1448.5964397</v>
      </c>
      <c r="G275" s="236">
        <f t="shared" si="37"/>
        <v>15934.5608367</v>
      </c>
      <c r="H275" s="186"/>
      <c r="J275" s="134"/>
      <c r="K275" s="133"/>
      <c r="M275" s="134"/>
    </row>
    <row r="276" spans="1:13" s="132" customFormat="1" x14ac:dyDescent="0.15">
      <c r="A276" s="193" t="s">
        <v>2081</v>
      </c>
      <c r="B276" s="210">
        <v>262806</v>
      </c>
      <c r="C276" s="221">
        <v>20.816199999999998</v>
      </c>
      <c r="D276" s="237">
        <f t="shared" si="34"/>
        <v>5470622.2571999999</v>
      </c>
      <c r="E276" s="235">
        <f t="shared" si="35"/>
        <v>54706.222571999999</v>
      </c>
      <c r="F276" s="235">
        <f t="shared" si="36"/>
        <v>5470.6222572000006</v>
      </c>
      <c r="G276" s="236">
        <f t="shared" si="37"/>
        <v>60176.844829199996</v>
      </c>
      <c r="H276" s="186"/>
      <c r="J276" s="134"/>
      <c r="K276" s="133"/>
      <c r="M276" s="134"/>
    </row>
    <row r="277" spans="1:13" s="132" customFormat="1" x14ac:dyDescent="0.15">
      <c r="A277" s="193" t="s">
        <v>2082</v>
      </c>
      <c r="B277" s="210">
        <v>207241</v>
      </c>
      <c r="C277" s="221">
        <v>20.8932</v>
      </c>
      <c r="D277" s="237">
        <f t="shared" si="34"/>
        <v>4329927.6612</v>
      </c>
      <c r="E277" s="235">
        <f t="shared" si="35"/>
        <v>43299.276612000001</v>
      </c>
      <c r="F277" s="235">
        <f t="shared" si="36"/>
        <v>4329.9276612000003</v>
      </c>
      <c r="G277" s="236">
        <f t="shared" si="37"/>
        <v>47629.204273200005</v>
      </c>
      <c r="H277" s="134"/>
      <c r="J277" s="134"/>
      <c r="K277" s="133"/>
      <c r="M277" s="134"/>
    </row>
    <row r="278" spans="1:13" x14ac:dyDescent="0.15">
      <c r="A278" s="193" t="s">
        <v>2083</v>
      </c>
      <c r="B278" s="210">
        <v>186228</v>
      </c>
      <c r="C278" s="221">
        <v>20.247699999999998</v>
      </c>
      <c r="D278" s="237">
        <f t="shared" si="34"/>
        <v>3770688.6755999997</v>
      </c>
      <c r="E278" s="235">
        <f t="shared" si="35"/>
        <v>37706.886756</v>
      </c>
      <c r="F278" s="235">
        <f t="shared" si="36"/>
        <v>3770.6886756000004</v>
      </c>
      <c r="G278" s="236">
        <f t="shared" si="37"/>
        <v>41477.575431600002</v>
      </c>
      <c r="H278" s="186"/>
    </row>
    <row r="279" spans="1:13" x14ac:dyDescent="0.15">
      <c r="A279" s="193" t="s">
        <v>2085</v>
      </c>
      <c r="B279" s="210">
        <v>87915</v>
      </c>
      <c r="C279" s="221">
        <v>19.781700000000001</v>
      </c>
      <c r="D279" s="237">
        <v>0.2</v>
      </c>
      <c r="E279" s="235">
        <f>+B279*D279</f>
        <v>17583</v>
      </c>
      <c r="F279" s="235">
        <f t="shared" si="36"/>
        <v>1758.3000000000002</v>
      </c>
      <c r="G279" s="236">
        <f t="shared" si="37"/>
        <v>19341.3</v>
      </c>
      <c r="H279" s="186"/>
    </row>
    <row r="280" spans="1:13" x14ac:dyDescent="0.15">
      <c r="A280" s="193" t="s">
        <v>2086</v>
      </c>
      <c r="B280" s="210">
        <v>220070</v>
      </c>
      <c r="C280" s="221">
        <v>19.781700000000001</v>
      </c>
      <c r="D280" s="237">
        <v>0.2</v>
      </c>
      <c r="E280" s="235">
        <f t="shared" ref="E280:E281" si="38">+B280*D280</f>
        <v>44014</v>
      </c>
      <c r="F280" s="235">
        <f t="shared" si="36"/>
        <v>4401.4000000000005</v>
      </c>
      <c r="G280" s="236">
        <f t="shared" si="37"/>
        <v>48415.4</v>
      </c>
      <c r="H280" s="186"/>
    </row>
    <row r="281" spans="1:13" x14ac:dyDescent="0.15">
      <c r="A281" s="193" t="s">
        <v>2090</v>
      </c>
      <c r="B281" s="210">
        <v>209468</v>
      </c>
      <c r="C281" s="221">
        <v>19.820699999999999</v>
      </c>
      <c r="D281" s="237">
        <v>0.2</v>
      </c>
      <c r="E281" s="235">
        <f t="shared" si="38"/>
        <v>41893.600000000006</v>
      </c>
      <c r="F281" s="235">
        <f t="shared" si="36"/>
        <v>4189.3600000000006</v>
      </c>
      <c r="G281" s="236">
        <f t="shared" si="37"/>
        <v>46082.960000000006</v>
      </c>
      <c r="H281" s="186"/>
    </row>
    <row r="282" spans="1:13" ht="12" thickBot="1" x14ac:dyDescent="0.2">
      <c r="A282" s="133"/>
      <c r="B282" s="211">
        <f>SUM(B269:B281)</f>
        <v>2621401</v>
      </c>
      <c r="C282" s="221"/>
      <c r="D282" s="237"/>
      <c r="E282" s="242">
        <f>SUM(E269:E281)</f>
        <v>537597.53798999998</v>
      </c>
      <c r="F282" s="242">
        <f t="shared" ref="F282:G282" si="39">SUM(F269:F281)</f>
        <v>53759.753799000013</v>
      </c>
      <c r="G282" s="242">
        <f t="shared" si="39"/>
        <v>591357.29178899992</v>
      </c>
      <c r="H282" s="186"/>
    </row>
    <row r="283" spans="1:13" ht="12" thickTop="1" x14ac:dyDescent="0.15">
      <c r="A283" s="193" t="s">
        <v>2077</v>
      </c>
      <c r="B283" s="210">
        <v>43936</v>
      </c>
      <c r="C283" s="221">
        <v>22.4528</v>
      </c>
      <c r="D283" s="237">
        <f t="shared" ref="D283:D288" si="40">+B283*C283</f>
        <v>986486.22080000001</v>
      </c>
      <c r="E283" s="235">
        <f t="shared" ref="E283:E288" si="41">+D283*0.01</f>
        <v>9864.8622080000005</v>
      </c>
      <c r="F283" s="235">
        <f t="shared" ref="F283:F290" si="42">+E283*0.1</f>
        <v>986.48622080000007</v>
      </c>
      <c r="G283" s="236">
        <f t="shared" ref="G283:G285" si="43">SUM(E283:F283)</f>
        <v>10851.3484288</v>
      </c>
      <c r="H283" s="186"/>
    </row>
    <row r="284" spans="1:13" x14ac:dyDescent="0.15">
      <c r="A284" s="193" t="s">
        <v>2075</v>
      </c>
      <c r="B284" s="210">
        <v>161739</v>
      </c>
      <c r="C284" s="221">
        <v>20.915600000000001</v>
      </c>
      <c r="D284" s="237">
        <f t="shared" si="40"/>
        <v>3382868.2284000004</v>
      </c>
      <c r="E284" s="235">
        <f t="shared" si="41"/>
        <v>33828.682284000002</v>
      </c>
      <c r="F284" s="235">
        <f t="shared" si="42"/>
        <v>3382.8682284000006</v>
      </c>
      <c r="G284" s="236">
        <f t="shared" si="43"/>
        <v>37211.550512400005</v>
      </c>
      <c r="H284" s="186"/>
    </row>
    <row r="285" spans="1:13" x14ac:dyDescent="0.15">
      <c r="A285" s="193" t="s">
        <v>2074</v>
      </c>
      <c r="B285" s="210">
        <v>104236</v>
      </c>
      <c r="C285" s="221">
        <v>20.952200000000001</v>
      </c>
      <c r="D285" s="237">
        <f t="shared" si="40"/>
        <v>2183973.5192</v>
      </c>
      <c r="E285" s="235">
        <f t="shared" si="41"/>
        <v>21839.735192</v>
      </c>
      <c r="F285" s="235">
        <f t="shared" si="42"/>
        <v>2183.9735192000003</v>
      </c>
      <c r="G285" s="236">
        <f t="shared" si="43"/>
        <v>24023.708711200001</v>
      </c>
      <c r="H285" s="186"/>
    </row>
    <row r="286" spans="1:13" x14ac:dyDescent="0.15">
      <c r="A286" s="193" t="s">
        <v>2080</v>
      </c>
      <c r="B286" s="210">
        <v>220245</v>
      </c>
      <c r="C286" s="221">
        <v>20.9452</v>
      </c>
      <c r="D286" s="237">
        <f t="shared" si="40"/>
        <v>4613075.574</v>
      </c>
      <c r="E286" s="235">
        <f t="shared" si="41"/>
        <v>46130.755740000001</v>
      </c>
      <c r="F286" s="235">
        <f t="shared" si="42"/>
        <v>4613.0755740000004</v>
      </c>
      <c r="G286" s="236">
        <f t="shared" ref="G286:G290" si="44">SUM(E286:F286)</f>
        <v>50743.831314000003</v>
      </c>
      <c r="H286" s="186"/>
      <c r="J286" s="210"/>
    </row>
    <row r="287" spans="1:13" x14ac:dyDescent="0.15">
      <c r="A287" s="193" t="s">
        <v>2084</v>
      </c>
      <c r="B287" s="210">
        <v>175126</v>
      </c>
      <c r="C287" s="221">
        <v>20.0565</v>
      </c>
      <c r="D287" s="237">
        <f t="shared" si="40"/>
        <v>3512414.6189999999</v>
      </c>
      <c r="E287" s="235">
        <f t="shared" si="41"/>
        <v>35124.146189999999</v>
      </c>
      <c r="F287" s="235">
        <f t="shared" si="42"/>
        <v>3512.4146190000001</v>
      </c>
      <c r="G287" s="236">
        <f t="shared" si="44"/>
        <v>38636.560809000002</v>
      </c>
      <c r="H287" s="186"/>
    </row>
    <row r="288" spans="1:13" x14ac:dyDescent="0.15">
      <c r="A288" s="193" t="s">
        <v>2087</v>
      </c>
      <c r="B288" s="210">
        <v>206298</v>
      </c>
      <c r="C288" s="221">
        <v>20.572600000000001</v>
      </c>
      <c r="D288" s="237">
        <f t="shared" si="40"/>
        <v>4244086.2348000007</v>
      </c>
      <c r="E288" s="235">
        <f t="shared" si="41"/>
        <v>42440.86234800001</v>
      </c>
      <c r="F288" s="235">
        <f t="shared" si="42"/>
        <v>4244.086234800001</v>
      </c>
      <c r="G288" s="236">
        <f t="shared" si="44"/>
        <v>46684.948582800011</v>
      </c>
      <c r="H288" s="186"/>
    </row>
    <row r="289" spans="1:9" x14ac:dyDescent="0.15">
      <c r="A289" s="193" t="s">
        <v>2088</v>
      </c>
      <c r="B289" s="210">
        <v>115727</v>
      </c>
      <c r="C289" s="221"/>
      <c r="D289" s="237">
        <v>0.2</v>
      </c>
      <c r="E289" s="235">
        <f>+B289*D289</f>
        <v>23145.4</v>
      </c>
      <c r="F289" s="235">
        <f t="shared" si="42"/>
        <v>2314.5400000000004</v>
      </c>
      <c r="G289" s="236">
        <f t="shared" si="44"/>
        <v>25459.940000000002</v>
      </c>
      <c r="H289" s="186"/>
    </row>
    <row r="290" spans="1:9" x14ac:dyDescent="0.15">
      <c r="A290" s="193" t="s">
        <v>2089</v>
      </c>
      <c r="B290" s="210">
        <v>163754</v>
      </c>
      <c r="C290" s="221"/>
      <c r="D290" s="237">
        <v>0.2</v>
      </c>
      <c r="E290" s="235">
        <f>+B290*D290</f>
        <v>32750.800000000003</v>
      </c>
      <c r="F290" s="235">
        <f t="shared" si="42"/>
        <v>3275.0800000000004</v>
      </c>
      <c r="G290" s="236">
        <f t="shared" si="44"/>
        <v>36025.880000000005</v>
      </c>
      <c r="H290" s="186"/>
    </row>
    <row r="291" spans="1:9" ht="12" thickBot="1" x14ac:dyDescent="0.2">
      <c r="A291" s="133"/>
      <c r="B291" s="211">
        <f>SUM(B283:B290)</f>
        <v>1191061</v>
      </c>
      <c r="C291" s="221"/>
      <c r="D291" s="237"/>
      <c r="E291" s="242">
        <f>SUM(E283:E290)</f>
        <v>245125.24396200001</v>
      </c>
      <c r="F291" s="242">
        <f t="shared" ref="F291:G291" si="45">SUM(F283:F290)</f>
        <v>24512.524396200006</v>
      </c>
      <c r="G291" s="242">
        <f t="shared" si="45"/>
        <v>269637.76835820009</v>
      </c>
      <c r="H291" s="186"/>
      <c r="I291" s="187"/>
    </row>
    <row r="292" spans="1:9" ht="12" thickTop="1" x14ac:dyDescent="0.15">
      <c r="A292" s="247"/>
      <c r="B292" s="190"/>
      <c r="C292" s="221"/>
      <c r="D292" s="222"/>
      <c r="E292" s="183"/>
      <c r="F292" s="379"/>
      <c r="G292" s="219"/>
    </row>
    <row r="293" spans="1:9" x14ac:dyDescent="0.15">
      <c r="A293" s="247"/>
      <c r="B293" s="190"/>
      <c r="C293" s="221"/>
      <c r="D293" s="222"/>
      <c r="E293" s="183"/>
      <c r="F293" s="379"/>
      <c r="G293" s="219"/>
    </row>
    <row r="294" spans="1:9" x14ac:dyDescent="0.15">
      <c r="A294" s="193"/>
      <c r="E294" s="183"/>
      <c r="F294" s="379"/>
      <c r="G294" s="219"/>
    </row>
  </sheetData>
  <mergeCells count="7">
    <mergeCell ref="B239:D239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503"/>
  <sheetViews>
    <sheetView tabSelected="1" zoomScale="112" zoomScaleNormal="112" workbookViewId="0">
      <pane ySplit="6" topLeftCell="A7" activePane="bottomLeft" state="frozen"/>
      <selection pane="bottomLeft" activeCell="K455" sqref="K455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.85546875" style="132" bestFit="1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2.85546875" style="132" bestFit="1" customWidth="1"/>
    <col min="16" max="16384" width="18.5703125" style="134"/>
  </cols>
  <sheetData>
    <row r="1" spans="1:15" x14ac:dyDescent="0.15">
      <c r="A1" s="130" t="s">
        <v>4118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4090</v>
      </c>
      <c r="B7" s="146"/>
      <c r="C7" s="152">
        <v>122093.59136201198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152">
        <f>+C7</f>
        <v>122093.59136201198</v>
      </c>
      <c r="O7" s="152">
        <f>+C452</f>
        <v>1791397.7213620122</v>
      </c>
    </row>
    <row r="8" spans="1:15" x14ac:dyDescent="0.15">
      <c r="A8" s="154" t="s">
        <v>4091</v>
      </c>
      <c r="B8" s="151"/>
      <c r="C8" s="152">
        <v>219710.81699999998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152">
        <f>+N7-I8-L8</f>
        <v>122093.59136201198</v>
      </c>
      <c r="O8" s="152">
        <f t="shared" ref="O8:O9" si="0">O7+G8-I8-L8</f>
        <v>1791397.7213620122</v>
      </c>
    </row>
    <row r="9" spans="1:15" x14ac:dyDescent="0.15">
      <c r="A9" s="157" t="s">
        <v>4092</v>
      </c>
      <c r="B9" s="151"/>
      <c r="C9" s="152">
        <v>131852.285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152">
        <f t="shared" ref="N9:N10" si="1">+N8-I9-L9</f>
        <v>122093.59136201198</v>
      </c>
      <c r="O9" s="152">
        <f t="shared" si="0"/>
        <v>1791397.7213620122</v>
      </c>
    </row>
    <row r="10" spans="1:15" x14ac:dyDescent="0.15">
      <c r="A10" s="154" t="s">
        <v>4093</v>
      </c>
      <c r="B10" s="151"/>
      <c r="C10" s="152">
        <v>175774.011</v>
      </c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152">
        <f t="shared" si="1"/>
        <v>122093.59136201198</v>
      </c>
      <c r="O10" s="152">
        <f t="shared" ref="O10:O16" si="2">O9+G10-I10-L10</f>
        <v>1791397.7213620122</v>
      </c>
    </row>
    <row r="11" spans="1:15" x14ac:dyDescent="0.15">
      <c r="A11" s="154" t="s">
        <v>4094</v>
      </c>
      <c r="B11" s="151"/>
      <c r="C11" s="152">
        <v>80184.873000000109</v>
      </c>
      <c r="D11" s="323"/>
      <c r="E11" s="154"/>
      <c r="F11" s="157"/>
      <c r="G11" s="152"/>
      <c r="H11" s="323"/>
      <c r="I11" s="152"/>
      <c r="J11" s="154"/>
      <c r="K11" s="157"/>
      <c r="L11" s="227"/>
      <c r="M11" s="154"/>
      <c r="N11" s="152">
        <f t="shared" ref="N11:N16" si="3">+N10-I11-L11</f>
        <v>122093.59136201198</v>
      </c>
      <c r="O11" s="152">
        <f t="shared" si="2"/>
        <v>1791397.7213620122</v>
      </c>
    </row>
    <row r="12" spans="1:15" x14ac:dyDescent="0.15">
      <c r="A12" s="154" t="s">
        <v>4095</v>
      </c>
      <c r="B12" s="151"/>
      <c r="C12" s="152">
        <v>490653.36099999998</v>
      </c>
      <c r="D12" s="323"/>
      <c r="E12" s="154"/>
      <c r="F12" s="157"/>
      <c r="G12" s="152"/>
      <c r="H12" s="323"/>
      <c r="I12" s="152"/>
      <c r="J12" s="154"/>
      <c r="K12" s="157"/>
      <c r="L12" s="227"/>
      <c r="M12" s="154"/>
      <c r="N12" s="152">
        <f t="shared" si="3"/>
        <v>122093.59136201198</v>
      </c>
      <c r="O12" s="152">
        <f t="shared" si="2"/>
        <v>1791397.7213620122</v>
      </c>
    </row>
    <row r="13" spans="1:15" x14ac:dyDescent="0.15">
      <c r="A13" s="154" t="s">
        <v>4096</v>
      </c>
      <c r="B13" s="151"/>
      <c r="C13" s="152">
        <v>175531.11499999999</v>
      </c>
      <c r="D13" s="323"/>
      <c r="E13" s="154"/>
      <c r="F13" s="157"/>
      <c r="G13" s="152"/>
      <c r="H13" s="323"/>
      <c r="I13" s="152"/>
      <c r="J13" s="157"/>
      <c r="K13" s="157"/>
      <c r="L13" s="227"/>
      <c r="M13" s="154"/>
      <c r="N13" s="152">
        <f t="shared" si="3"/>
        <v>122093.59136201198</v>
      </c>
      <c r="O13" s="152">
        <f t="shared" si="2"/>
        <v>1791397.7213620122</v>
      </c>
    </row>
    <row r="14" spans="1:15" x14ac:dyDescent="0.15">
      <c r="A14" s="154" t="s">
        <v>4097</v>
      </c>
      <c r="B14" s="151"/>
      <c r="C14" s="152">
        <v>263830.68199999997</v>
      </c>
      <c r="D14" s="323"/>
      <c r="E14" s="154"/>
      <c r="F14" s="157"/>
      <c r="G14" s="152"/>
      <c r="H14" s="323"/>
      <c r="I14" s="152"/>
      <c r="J14" s="157"/>
      <c r="K14" s="157"/>
      <c r="L14" s="227"/>
      <c r="M14" s="154"/>
      <c r="N14" s="152">
        <f t="shared" si="3"/>
        <v>122093.59136201198</v>
      </c>
      <c r="O14" s="152">
        <f t="shared" si="2"/>
        <v>1791397.7213620122</v>
      </c>
    </row>
    <row r="15" spans="1:15" x14ac:dyDescent="0.15">
      <c r="A15" s="154" t="s">
        <v>4098</v>
      </c>
      <c r="B15" s="151"/>
      <c r="C15" s="152">
        <v>131766.986</v>
      </c>
      <c r="D15" s="323"/>
      <c r="E15" s="154"/>
      <c r="F15" s="157"/>
      <c r="G15" s="152"/>
      <c r="H15" s="323"/>
      <c r="I15" s="152"/>
      <c r="J15" s="154"/>
      <c r="K15" s="157"/>
      <c r="L15" s="227"/>
      <c r="M15" s="154"/>
      <c r="N15" s="152">
        <f t="shared" si="3"/>
        <v>122093.59136201198</v>
      </c>
      <c r="O15" s="152">
        <f t="shared" si="2"/>
        <v>1791397.7213620122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/>
      <c r="I16" s="152"/>
      <c r="J16" s="460"/>
      <c r="K16" s="157"/>
      <c r="L16" s="227"/>
      <c r="M16" s="154"/>
      <c r="N16" s="152">
        <f t="shared" si="3"/>
        <v>122093.59136201198</v>
      </c>
      <c r="O16" s="152">
        <f t="shared" si="2"/>
        <v>1791397.7213620122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/>
      <c r="I17" s="152"/>
      <c r="J17" s="150"/>
      <c r="K17" s="157"/>
      <c r="L17" s="227"/>
      <c r="M17" s="150"/>
      <c r="N17" s="152">
        <f>+N16-I17-L17</f>
        <v>122093.59136201198</v>
      </c>
      <c r="O17" s="152">
        <f t="shared" ref="O17" si="4">O16+G17-I17-L17</f>
        <v>1791397.7213620122</v>
      </c>
    </row>
    <row r="18" spans="1:15" x14ac:dyDescent="0.15">
      <c r="A18" s="154"/>
      <c r="B18" s="151"/>
      <c r="C18" s="152"/>
      <c r="D18" s="323" t="s">
        <v>4119</v>
      </c>
      <c r="E18" s="154" t="s">
        <v>72</v>
      </c>
      <c r="F18" s="157" t="s">
        <v>4098</v>
      </c>
      <c r="G18" s="152">
        <v>263772.64600000001</v>
      </c>
      <c r="H18" s="323" t="s">
        <v>4119</v>
      </c>
      <c r="I18" s="152">
        <v>13320.273000000001</v>
      </c>
      <c r="J18" s="157" t="s">
        <v>4090</v>
      </c>
      <c r="K18" s="157">
        <v>5800362608</v>
      </c>
      <c r="L18" s="227">
        <v>17699.968000000001</v>
      </c>
      <c r="M18" s="150" t="s">
        <v>4090</v>
      </c>
      <c r="N18" s="152">
        <f t="shared" ref="N18:N83" si="5">+N17-I18-L18</f>
        <v>91073.350362011988</v>
      </c>
      <c r="O18" s="152">
        <f t="shared" ref="O18:O83" si="6">O17+G18-I18-L18</f>
        <v>2024150.126362012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4119</v>
      </c>
      <c r="I19" s="152"/>
      <c r="J19" s="157"/>
      <c r="K19" s="157">
        <v>5800362608</v>
      </c>
      <c r="L19" s="227">
        <v>7287.6930000000002</v>
      </c>
      <c r="M19" s="150" t="s">
        <v>4090</v>
      </c>
      <c r="N19" s="152">
        <f t="shared" si="5"/>
        <v>83785.657362011989</v>
      </c>
      <c r="O19" s="152">
        <f t="shared" si="6"/>
        <v>2016862.433362012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4119</v>
      </c>
      <c r="I20" s="152"/>
      <c r="J20" s="157"/>
      <c r="K20" s="157">
        <v>5800362608</v>
      </c>
      <c r="L20" s="227">
        <v>15728.97</v>
      </c>
      <c r="M20" s="150" t="s">
        <v>4090</v>
      </c>
      <c r="N20" s="152">
        <f t="shared" si="5"/>
        <v>68056.687362011988</v>
      </c>
      <c r="O20" s="152">
        <f t="shared" si="6"/>
        <v>2001133.4633620121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4119</v>
      </c>
      <c r="I21" s="152"/>
      <c r="J21" s="157"/>
      <c r="K21" s="157">
        <v>5800362608</v>
      </c>
      <c r="L21" s="227">
        <v>14597.396000000001</v>
      </c>
      <c r="M21" s="150" t="s">
        <v>4090</v>
      </c>
      <c r="N21" s="152">
        <f t="shared" si="5"/>
        <v>53459.291362011987</v>
      </c>
      <c r="O21" s="152">
        <f t="shared" si="6"/>
        <v>1986536.0673620121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4119</v>
      </c>
      <c r="I22" s="152"/>
      <c r="J22" s="157"/>
      <c r="K22" s="157">
        <v>5800362608</v>
      </c>
      <c r="L22" s="227">
        <v>15828.02</v>
      </c>
      <c r="M22" s="150" t="s">
        <v>4090</v>
      </c>
      <c r="N22" s="152">
        <f t="shared" si="5"/>
        <v>37631.27136201199</v>
      </c>
      <c r="O22" s="152">
        <f t="shared" si="6"/>
        <v>1970708.0473620121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4119</v>
      </c>
      <c r="I23" s="152"/>
      <c r="J23" s="157"/>
      <c r="K23" s="157">
        <v>5800362608</v>
      </c>
      <c r="L23" s="227">
        <v>10072.102999999999</v>
      </c>
      <c r="M23" s="150" t="s">
        <v>4090</v>
      </c>
      <c r="N23" s="152">
        <f>+N22-I23-L23</f>
        <v>27559.168362011991</v>
      </c>
      <c r="O23" s="152">
        <f t="shared" si="6"/>
        <v>1960635.9443620122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4119</v>
      </c>
      <c r="I24" s="152"/>
      <c r="J24" s="157"/>
      <c r="K24" s="157">
        <v>5800362608</v>
      </c>
      <c r="L24" s="227">
        <v>14437.315000000001</v>
      </c>
      <c r="M24" s="150" t="s">
        <v>4090</v>
      </c>
      <c r="N24" s="152">
        <f>+N23-I24-L24</f>
        <v>13121.853362011991</v>
      </c>
      <c r="O24" s="152">
        <f t="shared" si="6"/>
        <v>1946198.6293620123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4119</v>
      </c>
      <c r="I25" s="152"/>
      <c r="J25" s="157"/>
      <c r="K25" s="157">
        <v>5800362608</v>
      </c>
      <c r="L25" s="227">
        <v>13121.853362011991</v>
      </c>
      <c r="M25" s="150" t="s">
        <v>4090</v>
      </c>
      <c r="N25" s="152">
        <f t="shared" si="5"/>
        <v>0</v>
      </c>
      <c r="O25" s="152">
        <f t="shared" si="6"/>
        <v>1933076.7760000003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4174</v>
      </c>
      <c r="I26" s="152"/>
      <c r="J26" s="157"/>
      <c r="K26" s="157">
        <v>5800361781</v>
      </c>
      <c r="L26" s="227">
        <v>1237.7776379880088</v>
      </c>
      <c r="M26" s="154" t="s">
        <v>4091</v>
      </c>
      <c r="N26" s="152">
        <f>C8+N25-I26-L26</f>
        <v>218473.03936201197</v>
      </c>
      <c r="O26" s="152">
        <f t="shared" ref="O26:O29" si="7">O25+G26-I26-L26</f>
        <v>1931838.9983620122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4119</v>
      </c>
      <c r="I27" s="152"/>
      <c r="J27" s="154"/>
      <c r="K27" s="157">
        <v>5800361781</v>
      </c>
      <c r="L27" s="227">
        <v>14735.517</v>
      </c>
      <c r="M27" s="154" t="s">
        <v>4091</v>
      </c>
      <c r="N27" s="152">
        <f t="shared" ref="N27:N29" si="8">+N26-I27-L27</f>
        <v>203737.52236201198</v>
      </c>
      <c r="O27" s="152">
        <f t="shared" si="7"/>
        <v>1917103.4813620122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4119</v>
      </c>
      <c r="I28" s="152"/>
      <c r="J28" s="154"/>
      <c r="K28" s="157">
        <v>5800361781</v>
      </c>
      <c r="L28" s="227">
        <v>4876.5159999999996</v>
      </c>
      <c r="M28" s="154" t="s">
        <v>4091</v>
      </c>
      <c r="N28" s="152">
        <f t="shared" si="8"/>
        <v>198861.00636201198</v>
      </c>
      <c r="O28" s="152">
        <f t="shared" si="7"/>
        <v>1912226.9653620122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4119</v>
      </c>
      <c r="I29" s="152"/>
      <c r="J29" s="157"/>
      <c r="K29" s="157">
        <v>5800361781</v>
      </c>
      <c r="L29" s="227">
        <v>34299.563999999998</v>
      </c>
      <c r="M29" s="154" t="s">
        <v>4091</v>
      </c>
      <c r="N29" s="152">
        <f t="shared" si="8"/>
        <v>164561.44236201199</v>
      </c>
      <c r="O29" s="152">
        <f t="shared" si="7"/>
        <v>1877927.4013620121</v>
      </c>
    </row>
    <row r="30" spans="1:15" x14ac:dyDescent="0.15">
      <c r="A30" s="154"/>
      <c r="B30" s="151"/>
      <c r="C30" s="152"/>
      <c r="D30" s="323" t="s">
        <v>4120</v>
      </c>
      <c r="E30" s="154" t="s">
        <v>72</v>
      </c>
      <c r="F30" s="157" t="s">
        <v>4098</v>
      </c>
      <c r="G30" s="152">
        <v>219977.59499999997</v>
      </c>
      <c r="H30" s="323" t="s">
        <v>4120</v>
      </c>
      <c r="I30" s="152">
        <v>10812.778</v>
      </c>
      <c r="J30" s="154" t="s">
        <v>4091</v>
      </c>
      <c r="K30" s="157">
        <v>5800361781</v>
      </c>
      <c r="L30" s="227">
        <v>14694.246999999999</v>
      </c>
      <c r="M30" s="154" t="s">
        <v>4091</v>
      </c>
      <c r="N30" s="152">
        <f t="shared" si="5"/>
        <v>139054.417362012</v>
      </c>
      <c r="O30" s="152">
        <f t="shared" si="6"/>
        <v>2072397.971362012</v>
      </c>
    </row>
    <row r="31" spans="1:15" x14ac:dyDescent="0.15">
      <c r="A31" s="154"/>
      <c r="B31" s="151"/>
      <c r="C31" s="152"/>
      <c r="D31" s="323" t="s">
        <v>4120</v>
      </c>
      <c r="E31" s="154" t="s">
        <v>72</v>
      </c>
      <c r="F31" s="157" t="s">
        <v>4150</v>
      </c>
      <c r="G31" s="152">
        <v>44006.68200000003</v>
      </c>
      <c r="H31" s="323" t="s">
        <v>4120</v>
      </c>
      <c r="I31" s="152"/>
      <c r="J31" s="157"/>
      <c r="K31" s="157">
        <v>5800361781</v>
      </c>
      <c r="L31" s="227">
        <v>17502.645</v>
      </c>
      <c r="M31" s="154" t="s">
        <v>4091</v>
      </c>
      <c r="N31" s="152">
        <f t="shared" si="5"/>
        <v>121551.77236201199</v>
      </c>
      <c r="O31" s="152">
        <f t="shared" si="6"/>
        <v>2098902.008362012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4120</v>
      </c>
      <c r="I32" s="152"/>
      <c r="J32" s="154"/>
      <c r="K32" s="157">
        <v>5800361781</v>
      </c>
      <c r="L32" s="227">
        <v>7922.2290000000003</v>
      </c>
      <c r="M32" s="154" t="s">
        <v>4091</v>
      </c>
      <c r="N32" s="152">
        <f t="shared" si="5"/>
        <v>113629.54336201199</v>
      </c>
      <c r="O32" s="152">
        <f t="shared" si="6"/>
        <v>2090979.7793620119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4120</v>
      </c>
      <c r="I33" s="152"/>
      <c r="J33" s="157"/>
      <c r="K33" s="157">
        <v>5800361781</v>
      </c>
      <c r="L33" s="227">
        <v>13605.153</v>
      </c>
      <c r="M33" s="154" t="s">
        <v>4091</v>
      </c>
      <c r="N33" s="152">
        <f t="shared" si="5"/>
        <v>100024.39036201198</v>
      </c>
      <c r="O33" s="152">
        <f t="shared" si="6"/>
        <v>2077374.626362012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4120</v>
      </c>
      <c r="I34" s="152"/>
      <c r="J34" s="157"/>
      <c r="K34" s="157">
        <v>5800361781</v>
      </c>
      <c r="L34" s="227">
        <v>78470.843999999997</v>
      </c>
      <c r="M34" s="154" t="s">
        <v>4091</v>
      </c>
      <c r="N34" s="152">
        <f t="shared" si="5"/>
        <v>21553.546362011984</v>
      </c>
      <c r="O34" s="152">
        <f t="shared" si="6"/>
        <v>1998903.782362012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4120</v>
      </c>
      <c r="I35" s="152"/>
      <c r="J35" s="157"/>
      <c r="K35" s="157">
        <v>5800361781</v>
      </c>
      <c r="L35" s="227">
        <v>12022.11</v>
      </c>
      <c r="M35" s="154" t="s">
        <v>4091</v>
      </c>
      <c r="N35" s="152">
        <f t="shared" si="5"/>
        <v>9531.4363620119839</v>
      </c>
      <c r="O35" s="152">
        <f t="shared" si="6"/>
        <v>1986881.6723620119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4120</v>
      </c>
      <c r="I36" s="152"/>
      <c r="J36" s="157"/>
      <c r="K36" s="157">
        <v>5800361781</v>
      </c>
      <c r="L36" s="227">
        <v>9531.4363620119839</v>
      </c>
      <c r="M36" s="154" t="s">
        <v>4091</v>
      </c>
      <c r="N36" s="152">
        <f t="shared" si="5"/>
        <v>0</v>
      </c>
      <c r="O36" s="152">
        <f t="shared" si="6"/>
        <v>1977350.2359999998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4120</v>
      </c>
      <c r="I37" s="152"/>
      <c r="J37" s="157"/>
      <c r="K37" s="157">
        <v>5800362608</v>
      </c>
      <c r="L37" s="227">
        <v>70323.067637988017</v>
      </c>
      <c r="M37" s="154" t="s">
        <v>4092</v>
      </c>
      <c r="N37" s="152">
        <f>C9+N36-I37-L37</f>
        <v>61529.217362011987</v>
      </c>
      <c r="O37" s="152">
        <f t="shared" ref="O37:O38" si="9">O36+G37-I37-L37</f>
        <v>1907027.1683620117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4120</v>
      </c>
      <c r="I38" s="152"/>
      <c r="J38" s="157"/>
      <c r="K38" s="157">
        <v>5800362608</v>
      </c>
      <c r="L38" s="227">
        <v>61529.217362011987</v>
      </c>
      <c r="M38" s="157" t="s">
        <v>4092</v>
      </c>
      <c r="N38" s="152">
        <f t="shared" ref="N38" si="10">+N37-I38-L38</f>
        <v>0</v>
      </c>
      <c r="O38" s="152">
        <f t="shared" si="9"/>
        <v>1845497.9509999997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4120</v>
      </c>
      <c r="I39" s="152"/>
      <c r="J39" s="157"/>
      <c r="K39" s="157">
        <v>5800361781</v>
      </c>
      <c r="L39" s="227">
        <v>18264.169637988016</v>
      </c>
      <c r="M39" s="157" t="s">
        <v>4093</v>
      </c>
      <c r="N39" s="152">
        <f>C10+N38-I39-L39</f>
        <v>157509.84136201197</v>
      </c>
      <c r="O39" s="152">
        <f t="shared" ref="O39:O42" si="11">O38+G39-I39-L39</f>
        <v>1827233.7813620116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4120</v>
      </c>
      <c r="I40" s="152"/>
      <c r="J40" s="157"/>
      <c r="K40" s="157">
        <v>5800361781</v>
      </c>
      <c r="L40" s="227">
        <v>16942.866999999998</v>
      </c>
      <c r="M40" s="157" t="s">
        <v>4093</v>
      </c>
      <c r="N40" s="152">
        <f t="shared" ref="N40:N42" si="12">+N39-I40-L40</f>
        <v>140566.97436201197</v>
      </c>
      <c r="O40" s="152">
        <f t="shared" si="11"/>
        <v>1810290.9143620115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4120</v>
      </c>
      <c r="I41" s="152"/>
      <c r="J41" s="157"/>
      <c r="K41" s="157">
        <v>5800361781</v>
      </c>
      <c r="L41" s="227">
        <v>13174.34</v>
      </c>
      <c r="M41" s="157" t="s">
        <v>4093</v>
      </c>
      <c r="N41" s="152">
        <f t="shared" si="12"/>
        <v>127392.63436201197</v>
      </c>
      <c r="O41" s="152">
        <f t="shared" si="11"/>
        <v>1797116.5743620114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4120</v>
      </c>
      <c r="I42" s="152"/>
      <c r="J42" s="157"/>
      <c r="K42" s="157">
        <v>5800361781</v>
      </c>
      <c r="L42" s="227">
        <v>2498.0129999999999</v>
      </c>
      <c r="M42" s="157" t="s">
        <v>4093</v>
      </c>
      <c r="N42" s="152">
        <f t="shared" si="12"/>
        <v>124894.62136201197</v>
      </c>
      <c r="O42" s="152">
        <f t="shared" si="11"/>
        <v>1794618.5613620114</v>
      </c>
    </row>
    <row r="43" spans="1:15" x14ac:dyDescent="0.15">
      <c r="A43" s="154"/>
      <c r="B43" s="151"/>
      <c r="C43" s="152"/>
      <c r="D43" s="323" t="s">
        <v>4121</v>
      </c>
      <c r="E43" s="154" t="s">
        <v>72</v>
      </c>
      <c r="F43" s="157" t="s">
        <v>4150</v>
      </c>
      <c r="G43" s="152">
        <v>263555.94400000002</v>
      </c>
      <c r="H43" s="323" t="s">
        <v>4121</v>
      </c>
      <c r="I43" s="152">
        <v>18538.044999999998</v>
      </c>
      <c r="J43" s="154" t="s">
        <v>4093</v>
      </c>
      <c r="K43" s="157">
        <v>5800361781</v>
      </c>
      <c r="L43" s="227">
        <v>10106.119000000001</v>
      </c>
      <c r="M43" s="157" t="s">
        <v>4093</v>
      </c>
      <c r="N43" s="152">
        <f t="shared" si="5"/>
        <v>96250.457362011963</v>
      </c>
      <c r="O43" s="152">
        <f t="shared" si="6"/>
        <v>2029530.3413620116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4121</v>
      </c>
      <c r="I44" s="152"/>
      <c r="J44" s="154"/>
      <c r="K44" s="157">
        <v>5800361781</v>
      </c>
      <c r="L44" s="227">
        <v>89901.538</v>
      </c>
      <c r="M44" s="157" t="s">
        <v>4093</v>
      </c>
      <c r="N44" s="152">
        <f t="shared" si="5"/>
        <v>6348.9193620119622</v>
      </c>
      <c r="O44" s="152">
        <f t="shared" si="6"/>
        <v>1939628.8033620117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4121</v>
      </c>
      <c r="I45" s="152"/>
      <c r="J45" s="154"/>
      <c r="K45" s="157">
        <v>5800361781</v>
      </c>
      <c r="L45" s="227">
        <v>6348.9193620119622</v>
      </c>
      <c r="M45" s="157" t="s">
        <v>4093</v>
      </c>
      <c r="N45" s="152">
        <f t="shared" si="5"/>
        <v>0</v>
      </c>
      <c r="O45" s="152">
        <f t="shared" si="6"/>
        <v>1933279.8839999996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4121</v>
      </c>
      <c r="I46" s="152"/>
      <c r="J46" s="154"/>
      <c r="K46" s="157">
        <v>5800362608</v>
      </c>
      <c r="L46" s="227">
        <v>8212.5566379880383</v>
      </c>
      <c r="M46" s="154" t="s">
        <v>4094</v>
      </c>
      <c r="N46" s="152">
        <f>C11+N45-I46-L46</f>
        <v>71972.316362012076</v>
      </c>
      <c r="O46" s="152">
        <f t="shared" ref="O46:O48" si="13">O45+G46-I46-L46</f>
        <v>1925067.3273620117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4121</v>
      </c>
      <c r="I47" s="152"/>
      <c r="J47" s="154"/>
      <c r="K47" s="157">
        <v>5800362608</v>
      </c>
      <c r="L47" s="227">
        <v>2764.28</v>
      </c>
      <c r="M47" s="154" t="s">
        <v>4094</v>
      </c>
      <c r="N47" s="152">
        <f t="shared" ref="N47:N48" si="14">+N46-I47-L47</f>
        <v>69208.036362012077</v>
      </c>
      <c r="O47" s="152">
        <f t="shared" si="13"/>
        <v>1922303.0473620116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4121</v>
      </c>
      <c r="I48" s="152"/>
      <c r="J48" s="157"/>
      <c r="K48" s="157">
        <v>5800362608</v>
      </c>
      <c r="L48" s="227">
        <v>34413.487999999998</v>
      </c>
      <c r="M48" s="154" t="s">
        <v>4094</v>
      </c>
      <c r="N48" s="152">
        <f t="shared" si="14"/>
        <v>34794.548362012079</v>
      </c>
      <c r="O48" s="152">
        <f t="shared" si="13"/>
        <v>1887889.5593620117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4121</v>
      </c>
      <c r="I49" s="152"/>
      <c r="J49" s="157"/>
      <c r="K49" s="157">
        <v>5800362608</v>
      </c>
      <c r="L49" s="227">
        <v>13738.959000000001</v>
      </c>
      <c r="M49" s="154" t="s">
        <v>4094</v>
      </c>
      <c r="N49" s="152">
        <f t="shared" si="5"/>
        <v>21055.589362012077</v>
      </c>
      <c r="O49" s="152">
        <f t="shared" si="6"/>
        <v>1874150.6003620117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4121</v>
      </c>
      <c r="I50" s="152"/>
      <c r="J50" s="157"/>
      <c r="K50" s="157">
        <v>5800362608</v>
      </c>
      <c r="L50" s="227">
        <v>14353.27</v>
      </c>
      <c r="M50" s="154" t="s">
        <v>4094</v>
      </c>
      <c r="N50" s="152">
        <f t="shared" si="5"/>
        <v>6702.3193620120765</v>
      </c>
      <c r="O50" s="152">
        <f t="shared" si="6"/>
        <v>1859797.3303620117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4121</v>
      </c>
      <c r="I51" s="152"/>
      <c r="J51" s="157"/>
      <c r="K51" s="157">
        <v>5800362608</v>
      </c>
      <c r="L51" s="227">
        <v>6702.3193620120765</v>
      </c>
      <c r="M51" s="154" t="s">
        <v>4094</v>
      </c>
      <c r="N51" s="152">
        <f t="shared" si="5"/>
        <v>0</v>
      </c>
      <c r="O51" s="152">
        <f t="shared" si="6"/>
        <v>1853095.0109999997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4121</v>
      </c>
      <c r="I52" s="152"/>
      <c r="J52" s="157"/>
      <c r="K52" s="157">
        <v>5800362608</v>
      </c>
      <c r="L52" s="227">
        <v>6701.4706379879244</v>
      </c>
      <c r="M52" s="154" t="s">
        <v>4095</v>
      </c>
      <c r="N52" s="152">
        <f>C12+N51-I52-L52</f>
        <v>483951.89036201203</v>
      </c>
      <c r="O52" s="152">
        <f t="shared" ref="O52:O53" si="15">O51+G52-I52-L52</f>
        <v>1846393.5403620119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4121</v>
      </c>
      <c r="I53" s="152"/>
      <c r="J53" s="157"/>
      <c r="K53" s="157">
        <v>5800362608</v>
      </c>
      <c r="L53" s="227">
        <v>12463.313</v>
      </c>
      <c r="M53" s="154" t="s">
        <v>4095</v>
      </c>
      <c r="N53" s="152">
        <f t="shared" ref="N53" si="16">+N52-I53-L53</f>
        <v>471488.577362012</v>
      </c>
      <c r="O53" s="152">
        <f t="shared" si="15"/>
        <v>1833930.2273620118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4121</v>
      </c>
      <c r="I54" s="152"/>
      <c r="J54" s="157"/>
      <c r="K54" s="157">
        <v>5800362608</v>
      </c>
      <c r="L54" s="227">
        <v>13543.86</v>
      </c>
      <c r="M54" s="154" t="s">
        <v>4095</v>
      </c>
      <c r="N54" s="152">
        <f t="shared" si="5"/>
        <v>457944.71736201202</v>
      </c>
      <c r="O54" s="152">
        <f t="shared" si="6"/>
        <v>1820386.3673620117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4121</v>
      </c>
      <c r="I55" s="152"/>
      <c r="J55" s="154"/>
      <c r="K55" s="157">
        <v>5800362608</v>
      </c>
      <c r="L55" s="227">
        <v>7809.9560000000001</v>
      </c>
      <c r="M55" s="154" t="s">
        <v>4095</v>
      </c>
      <c r="N55" s="152">
        <f t="shared" si="5"/>
        <v>450134.76136201201</v>
      </c>
      <c r="O55" s="152">
        <f t="shared" si="6"/>
        <v>1812576.4113620117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4121</v>
      </c>
      <c r="I56" s="152"/>
      <c r="J56" s="154"/>
      <c r="K56" s="157">
        <v>5800362608</v>
      </c>
      <c r="L56" s="227">
        <v>15770.989</v>
      </c>
      <c r="M56" s="154" t="s">
        <v>4095</v>
      </c>
      <c r="N56" s="152">
        <f t="shared" si="5"/>
        <v>434363.77236201201</v>
      </c>
      <c r="O56" s="152">
        <f t="shared" si="6"/>
        <v>1796805.4223620116</v>
      </c>
    </row>
    <row r="57" spans="1:15" x14ac:dyDescent="0.15">
      <c r="A57" s="154"/>
      <c r="B57" s="151"/>
      <c r="C57" s="152"/>
      <c r="D57" s="323" t="s">
        <v>4122</v>
      </c>
      <c r="E57" s="154" t="s">
        <v>72</v>
      </c>
      <c r="F57" s="157" t="s">
        <v>4150</v>
      </c>
      <c r="G57" s="152">
        <v>43857.230999999912</v>
      </c>
      <c r="H57" s="323" t="s">
        <v>4122</v>
      </c>
      <c r="I57" s="152">
        <v>14258.218999999999</v>
      </c>
      <c r="J57" s="154" t="s">
        <v>4095</v>
      </c>
      <c r="K57" s="157">
        <v>5800362608</v>
      </c>
      <c r="L57" s="227">
        <v>13612.897999999999</v>
      </c>
      <c r="M57" s="154" t="s">
        <v>4095</v>
      </c>
      <c r="N57" s="152">
        <f t="shared" si="5"/>
        <v>406492.65536201204</v>
      </c>
      <c r="O57" s="152">
        <f t="shared" si="6"/>
        <v>1812791.5363620115</v>
      </c>
    </row>
    <row r="58" spans="1:15" x14ac:dyDescent="0.15">
      <c r="A58" s="154"/>
      <c r="B58" s="151"/>
      <c r="C58" s="152"/>
      <c r="D58" s="323" t="s">
        <v>4122</v>
      </c>
      <c r="E58" s="154" t="s">
        <v>72</v>
      </c>
      <c r="F58" s="157" t="s">
        <v>4151</v>
      </c>
      <c r="G58" s="152">
        <v>219628.21100000007</v>
      </c>
      <c r="H58" s="323" t="s">
        <v>4122</v>
      </c>
      <c r="I58" s="152"/>
      <c r="J58" s="157"/>
      <c r="K58" s="157">
        <v>5800362608</v>
      </c>
      <c r="L58" s="227">
        <v>13746.965</v>
      </c>
      <c r="M58" s="154" t="s">
        <v>4095</v>
      </c>
      <c r="N58" s="152">
        <f t="shared" si="5"/>
        <v>392745.69036201201</v>
      </c>
      <c r="O58" s="152">
        <f t="shared" si="6"/>
        <v>2018672.7823620115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4122</v>
      </c>
      <c r="I59" s="152"/>
      <c r="J59" s="157"/>
      <c r="K59" s="157">
        <v>5800362608</v>
      </c>
      <c r="L59" s="227">
        <v>19147.702000000001</v>
      </c>
      <c r="M59" s="154" t="s">
        <v>4095</v>
      </c>
      <c r="N59" s="152">
        <f t="shared" si="5"/>
        <v>373597.98836201202</v>
      </c>
      <c r="O59" s="152">
        <f t="shared" si="6"/>
        <v>1999525.0803620114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4122</v>
      </c>
      <c r="I60" s="152"/>
      <c r="J60" s="157"/>
      <c r="K60" s="157">
        <v>5800362608</v>
      </c>
      <c r="L60" s="227">
        <v>10690.416999999999</v>
      </c>
      <c r="M60" s="154" t="s">
        <v>4095</v>
      </c>
      <c r="N60" s="152">
        <f t="shared" si="5"/>
        <v>362907.57136201201</v>
      </c>
      <c r="O60" s="152">
        <f t="shared" si="6"/>
        <v>1988834.6633620115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4122</v>
      </c>
      <c r="I61" s="152"/>
      <c r="J61" s="154"/>
      <c r="K61" s="157">
        <v>5800362608</v>
      </c>
      <c r="L61" s="227">
        <v>6071.076</v>
      </c>
      <c r="M61" s="154" t="s">
        <v>4095</v>
      </c>
      <c r="N61" s="152">
        <f t="shared" si="5"/>
        <v>356836.49536201201</v>
      </c>
      <c r="O61" s="152">
        <f t="shared" si="6"/>
        <v>1982763.5873620117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4122</v>
      </c>
      <c r="I62" s="152"/>
      <c r="J62" s="157"/>
      <c r="K62" s="157">
        <v>5800362608</v>
      </c>
      <c r="L62" s="227">
        <v>13199.688</v>
      </c>
      <c r="M62" s="154" t="s">
        <v>4095</v>
      </c>
      <c r="N62" s="152">
        <f t="shared" si="5"/>
        <v>343636.80736201198</v>
      </c>
      <c r="O62" s="152">
        <f t="shared" si="6"/>
        <v>1969563.8993620116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4122</v>
      </c>
      <c r="I63" s="152"/>
      <c r="J63" s="157"/>
      <c r="K63" s="157">
        <v>5800362608</v>
      </c>
      <c r="L63" s="227">
        <v>8419.2659999999996</v>
      </c>
      <c r="M63" s="154" t="s">
        <v>4095</v>
      </c>
      <c r="N63" s="152">
        <f t="shared" si="5"/>
        <v>335217.54136201198</v>
      </c>
      <c r="O63" s="152">
        <f t="shared" si="6"/>
        <v>1961144.6333620115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4122</v>
      </c>
      <c r="I64" s="152"/>
      <c r="J64" s="157"/>
      <c r="K64" s="157">
        <v>5800362608</v>
      </c>
      <c r="L64" s="227">
        <v>13006.083000000001</v>
      </c>
      <c r="M64" s="154" t="s">
        <v>4095</v>
      </c>
      <c r="N64" s="152">
        <f t="shared" si="5"/>
        <v>322211.458362012</v>
      </c>
      <c r="O64" s="152">
        <f t="shared" si="6"/>
        <v>1948138.5503620114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4122</v>
      </c>
      <c r="I65" s="152"/>
      <c r="J65" s="157"/>
      <c r="K65" s="157">
        <v>5800362608</v>
      </c>
      <c r="L65" s="227">
        <v>2764.317</v>
      </c>
      <c r="M65" s="154" t="s">
        <v>4095</v>
      </c>
      <c r="N65" s="152">
        <f t="shared" si="5"/>
        <v>319447.14136201201</v>
      </c>
      <c r="O65" s="152">
        <f t="shared" si="6"/>
        <v>1945374.2333620114</v>
      </c>
    </row>
    <row r="66" spans="1:15" x14ac:dyDescent="0.15">
      <c r="A66" s="154"/>
      <c r="B66" s="151"/>
      <c r="C66" s="152"/>
      <c r="D66" s="323" t="s">
        <v>4123</v>
      </c>
      <c r="E66" s="154" t="s">
        <v>72</v>
      </c>
      <c r="F66" s="157" t="s">
        <v>4151</v>
      </c>
      <c r="G66" s="152">
        <v>43950.911999999953</v>
      </c>
      <c r="H66" s="323" t="s">
        <v>4123</v>
      </c>
      <c r="I66" s="152">
        <v>13664.769999999999</v>
      </c>
      <c r="J66" s="154" t="s">
        <v>4095</v>
      </c>
      <c r="K66" s="157">
        <v>5800362608</v>
      </c>
      <c r="L66" s="227">
        <v>14066.852000000001</v>
      </c>
      <c r="M66" s="154" t="s">
        <v>4095</v>
      </c>
      <c r="N66" s="152">
        <f t="shared" si="5"/>
        <v>291715.51936201198</v>
      </c>
      <c r="O66" s="152">
        <f t="shared" si="6"/>
        <v>1961593.5233620114</v>
      </c>
    </row>
    <row r="67" spans="1:15" x14ac:dyDescent="0.15">
      <c r="A67" s="154"/>
      <c r="B67" s="151"/>
      <c r="C67" s="152"/>
      <c r="D67" s="323" t="s">
        <v>4123</v>
      </c>
      <c r="E67" s="154" t="s">
        <v>72</v>
      </c>
      <c r="F67" s="157" t="s">
        <v>4152</v>
      </c>
      <c r="G67" s="152">
        <v>219710.21800000005</v>
      </c>
      <c r="H67" s="323" t="s">
        <v>4123</v>
      </c>
      <c r="I67" s="152"/>
      <c r="J67" s="157"/>
      <c r="K67" s="157">
        <v>5800362608</v>
      </c>
      <c r="L67" s="227">
        <v>11658.362999999999</v>
      </c>
      <c r="M67" s="154" t="s">
        <v>4095</v>
      </c>
      <c r="N67" s="152">
        <f t="shared" si="5"/>
        <v>280057.15636201197</v>
      </c>
      <c r="O67" s="152">
        <f t="shared" si="6"/>
        <v>2169645.3783620116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4123</v>
      </c>
      <c r="I68" s="152"/>
      <c r="J68" s="154"/>
      <c r="K68" s="157">
        <v>5800362608</v>
      </c>
      <c r="L68" s="227">
        <v>14234.886</v>
      </c>
      <c r="M68" s="154" t="s">
        <v>4095</v>
      </c>
      <c r="N68" s="152">
        <f t="shared" si="5"/>
        <v>265822.27036201197</v>
      </c>
      <c r="O68" s="152">
        <f t="shared" si="6"/>
        <v>2155410.4923620117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4123</v>
      </c>
      <c r="I69" s="152"/>
      <c r="J69" s="157"/>
      <c r="K69" s="157">
        <v>5800362608</v>
      </c>
      <c r="L69" s="227">
        <v>11655.362999999999</v>
      </c>
      <c r="M69" s="154" t="s">
        <v>4095</v>
      </c>
      <c r="N69" s="152">
        <f t="shared" si="5"/>
        <v>254166.90736201196</v>
      </c>
      <c r="O69" s="152">
        <f t="shared" si="6"/>
        <v>2143755.1293620118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4123</v>
      </c>
      <c r="I70" s="152"/>
      <c r="J70" s="154"/>
      <c r="K70" s="157">
        <v>5800362608</v>
      </c>
      <c r="L70" s="227">
        <v>7228.4650000000001</v>
      </c>
      <c r="M70" s="154" t="s">
        <v>4095</v>
      </c>
      <c r="N70" s="152">
        <f t="shared" si="5"/>
        <v>246938.44236201196</v>
      </c>
      <c r="O70" s="152">
        <f t="shared" si="6"/>
        <v>2136526.6643620119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4123</v>
      </c>
      <c r="I71" s="152"/>
      <c r="J71" s="157"/>
      <c r="K71" s="157">
        <v>5800362608</v>
      </c>
      <c r="L71" s="227">
        <v>12679.57</v>
      </c>
      <c r="M71" s="154" t="s">
        <v>4095</v>
      </c>
      <c r="N71" s="152">
        <f t="shared" si="5"/>
        <v>234258.87236201196</v>
      </c>
      <c r="O71" s="152">
        <f t="shared" si="6"/>
        <v>2123847.0943620121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4123</v>
      </c>
      <c r="I72" s="152"/>
      <c r="J72" s="157"/>
      <c r="K72" s="157">
        <v>5800362608</v>
      </c>
      <c r="L72" s="227">
        <v>14133.865</v>
      </c>
      <c r="M72" s="154" t="s">
        <v>4095</v>
      </c>
      <c r="N72" s="152">
        <f t="shared" si="5"/>
        <v>220125.00736201197</v>
      </c>
      <c r="O72" s="152">
        <f t="shared" si="6"/>
        <v>2109713.2293620119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4123</v>
      </c>
      <c r="I73" s="152"/>
      <c r="J73" s="157"/>
      <c r="K73" s="157">
        <v>5800362608</v>
      </c>
      <c r="L73" s="227">
        <v>780.15800000000002</v>
      </c>
      <c r="M73" s="154" t="s">
        <v>4095</v>
      </c>
      <c r="N73" s="152">
        <f t="shared" si="5"/>
        <v>219344.84936201197</v>
      </c>
      <c r="O73" s="152">
        <f t="shared" si="6"/>
        <v>2108933.0713620121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4123</v>
      </c>
      <c r="I74" s="152"/>
      <c r="J74" s="157"/>
      <c r="K74" s="157">
        <v>5800362608</v>
      </c>
      <c r="L74" s="227">
        <v>33466.784</v>
      </c>
      <c r="M74" s="154" t="s">
        <v>4095</v>
      </c>
      <c r="N74" s="152">
        <f t="shared" si="5"/>
        <v>185878.06536201196</v>
      </c>
      <c r="O74" s="152">
        <f t="shared" si="6"/>
        <v>2075466.2873620121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4123</v>
      </c>
      <c r="I75" s="152"/>
      <c r="J75" s="157"/>
      <c r="K75" s="157">
        <v>5800362608</v>
      </c>
      <c r="L75" s="227">
        <v>57160.587</v>
      </c>
      <c r="M75" s="154" t="s">
        <v>4095</v>
      </c>
      <c r="N75" s="152">
        <f t="shared" si="5"/>
        <v>128717.47836201196</v>
      </c>
      <c r="O75" s="152">
        <f t="shared" si="6"/>
        <v>2018305.700362012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4123</v>
      </c>
      <c r="I76" s="152"/>
      <c r="J76" s="157"/>
      <c r="K76" s="157">
        <v>5800362608</v>
      </c>
      <c r="L76" s="227">
        <v>13832.804</v>
      </c>
      <c r="M76" s="154" t="s">
        <v>4095</v>
      </c>
      <c r="N76" s="152">
        <f t="shared" si="5"/>
        <v>114884.67436201195</v>
      </c>
      <c r="O76" s="152">
        <f t="shared" si="6"/>
        <v>2004472.896362012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4123</v>
      </c>
      <c r="I77" s="152"/>
      <c r="J77" s="154"/>
      <c r="K77" s="157">
        <v>5800362608</v>
      </c>
      <c r="L77" s="227">
        <v>6064.2290000000003</v>
      </c>
      <c r="M77" s="154" t="s">
        <v>4095</v>
      </c>
      <c r="N77" s="152">
        <f t="shared" si="5"/>
        <v>108820.44536201195</v>
      </c>
      <c r="O77" s="152">
        <f t="shared" si="6"/>
        <v>1998408.667362012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4123</v>
      </c>
      <c r="I78" s="152"/>
      <c r="J78" s="157"/>
      <c r="K78" s="157">
        <v>5800362608</v>
      </c>
      <c r="L78" s="227">
        <v>32543.597000000002</v>
      </c>
      <c r="M78" s="154" t="s">
        <v>4095</v>
      </c>
      <c r="N78" s="152">
        <f t="shared" si="5"/>
        <v>76276.848362011951</v>
      </c>
      <c r="O78" s="152">
        <f t="shared" si="6"/>
        <v>1965865.0703620119</v>
      </c>
    </row>
    <row r="79" spans="1:15" x14ac:dyDescent="0.15">
      <c r="A79" s="154"/>
      <c r="B79" s="151"/>
      <c r="C79" s="152"/>
      <c r="D79" s="323" t="s">
        <v>4124</v>
      </c>
      <c r="E79" s="154" t="s">
        <v>72</v>
      </c>
      <c r="F79" s="157" t="s">
        <v>4152</v>
      </c>
      <c r="G79" s="152">
        <v>43909.348999999929</v>
      </c>
      <c r="H79" s="323" t="s">
        <v>4124</v>
      </c>
      <c r="I79" s="152">
        <v>8579.2150000000001</v>
      </c>
      <c r="J79" s="157" t="s">
        <v>4095</v>
      </c>
      <c r="K79" s="157">
        <v>5800362608</v>
      </c>
      <c r="L79" s="227">
        <v>14674.460999999999</v>
      </c>
      <c r="M79" s="154" t="s">
        <v>4095</v>
      </c>
      <c r="N79" s="152">
        <f t="shared" si="5"/>
        <v>53023.172362011959</v>
      </c>
      <c r="O79" s="152">
        <f t="shared" si="6"/>
        <v>1986520.7433620119</v>
      </c>
    </row>
    <row r="80" spans="1:15" x14ac:dyDescent="0.15">
      <c r="A80" s="154"/>
      <c r="B80" s="151"/>
      <c r="C80" s="152"/>
      <c r="D80" s="323" t="s">
        <v>4124</v>
      </c>
      <c r="E80" s="154" t="s">
        <v>72</v>
      </c>
      <c r="F80" s="157" t="s">
        <v>4153</v>
      </c>
      <c r="G80" s="152">
        <v>131756.71200000006</v>
      </c>
      <c r="H80" s="323" t="s">
        <v>4124</v>
      </c>
      <c r="I80" s="152"/>
      <c r="J80" s="154"/>
      <c r="K80" s="157">
        <v>5800362608</v>
      </c>
      <c r="L80" s="227">
        <v>18704.686000000002</v>
      </c>
      <c r="M80" s="154" t="s">
        <v>4095</v>
      </c>
      <c r="N80" s="152">
        <f t="shared" si="5"/>
        <v>34318.486362011958</v>
      </c>
      <c r="O80" s="152">
        <f t="shared" si="6"/>
        <v>2099572.7693620115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4124</v>
      </c>
      <c r="I81" s="152"/>
      <c r="J81" s="157"/>
      <c r="K81" s="157">
        <v>5800362608</v>
      </c>
      <c r="L81" s="227">
        <v>13346.057000000001</v>
      </c>
      <c r="M81" s="154" t="s">
        <v>4095</v>
      </c>
      <c r="N81" s="152">
        <f t="shared" si="5"/>
        <v>20972.429362011957</v>
      </c>
      <c r="O81" s="152">
        <f t="shared" si="6"/>
        <v>2086226.7123620114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4124</v>
      </c>
      <c r="I82" s="152"/>
      <c r="J82" s="157"/>
      <c r="K82" s="157">
        <v>5800362608</v>
      </c>
      <c r="L82" s="227">
        <v>7887.3980000000001</v>
      </c>
      <c r="M82" s="154" t="s">
        <v>4095</v>
      </c>
      <c r="N82" s="152">
        <f t="shared" si="5"/>
        <v>13085.031362011956</v>
      </c>
      <c r="O82" s="152">
        <f t="shared" si="6"/>
        <v>2078339.3143620114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4124</v>
      </c>
      <c r="I83" s="152"/>
      <c r="J83" s="154"/>
      <c r="K83" s="157">
        <v>5800362608</v>
      </c>
      <c r="L83" s="227">
        <v>13085.031362011956</v>
      </c>
      <c r="M83" s="154" t="s">
        <v>4095</v>
      </c>
      <c r="N83" s="152">
        <f t="shared" si="5"/>
        <v>0</v>
      </c>
      <c r="O83" s="152">
        <f t="shared" si="6"/>
        <v>2065254.2829999994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4124</v>
      </c>
      <c r="I84" s="152"/>
      <c r="J84" s="154"/>
      <c r="K84" s="157">
        <v>5800362608</v>
      </c>
      <c r="L84" s="227">
        <v>66929.291637988048</v>
      </c>
      <c r="M84" s="154" t="s">
        <v>4096</v>
      </c>
      <c r="N84" s="152">
        <f>C13+N83-I84-L84</f>
        <v>108601.82336201194</v>
      </c>
      <c r="O84" s="152">
        <f t="shared" ref="O84:O91" si="17">O83+G84-I84-L84</f>
        <v>1998324.9913620113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4124</v>
      </c>
      <c r="I85" s="152"/>
      <c r="J85" s="154"/>
      <c r="K85" s="157">
        <v>5800362608</v>
      </c>
      <c r="L85" s="227">
        <v>35429.222999999998</v>
      </c>
      <c r="M85" s="154" t="s">
        <v>4096</v>
      </c>
      <c r="N85" s="152">
        <f t="shared" ref="N85:N91" si="18">+N84-I85-L85</f>
        <v>73172.600362011945</v>
      </c>
      <c r="O85" s="152">
        <f t="shared" si="17"/>
        <v>1962895.7683620113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4124</v>
      </c>
      <c r="I86" s="152"/>
      <c r="J86" s="157"/>
      <c r="K86" s="157">
        <v>5800362608</v>
      </c>
      <c r="L86" s="227">
        <v>883.73099999999999</v>
      </c>
      <c r="M86" s="154" t="s">
        <v>4096</v>
      </c>
      <c r="N86" s="152">
        <f t="shared" si="18"/>
        <v>72288.869362011945</v>
      </c>
      <c r="O86" s="152">
        <f t="shared" si="17"/>
        <v>1962012.0373620114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4124</v>
      </c>
      <c r="I87" s="152"/>
      <c r="J87" s="157"/>
      <c r="K87" s="157">
        <v>5800362608</v>
      </c>
      <c r="L87" s="227">
        <v>12428.218999999999</v>
      </c>
      <c r="M87" s="154" t="s">
        <v>4096</v>
      </c>
      <c r="N87" s="152">
        <f t="shared" si="18"/>
        <v>59860.650362011947</v>
      </c>
      <c r="O87" s="152">
        <f t="shared" si="17"/>
        <v>1949583.8183620113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4124</v>
      </c>
      <c r="I88" s="152"/>
      <c r="J88" s="157"/>
      <c r="K88" s="157">
        <v>5800362608</v>
      </c>
      <c r="L88" s="227">
        <v>8110.5330000000004</v>
      </c>
      <c r="M88" s="154" t="s">
        <v>4096</v>
      </c>
      <c r="N88" s="152">
        <f t="shared" si="18"/>
        <v>51750.117362011944</v>
      </c>
      <c r="O88" s="152">
        <f t="shared" si="17"/>
        <v>1941473.2853620113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4124</v>
      </c>
      <c r="I89" s="152"/>
      <c r="J89" s="157"/>
      <c r="K89" s="157">
        <v>5800362608</v>
      </c>
      <c r="L89" s="227">
        <v>14643.546</v>
      </c>
      <c r="M89" s="154" t="s">
        <v>4096</v>
      </c>
      <c r="N89" s="152">
        <f t="shared" si="18"/>
        <v>37106.571362011942</v>
      </c>
      <c r="O89" s="152">
        <f t="shared" si="17"/>
        <v>1926829.7393620112</v>
      </c>
    </row>
    <row r="90" spans="1:15" x14ac:dyDescent="0.15">
      <c r="A90" s="154"/>
      <c r="B90" s="151"/>
      <c r="C90" s="152"/>
      <c r="D90" s="323" t="s">
        <v>4125</v>
      </c>
      <c r="E90" s="154" t="s">
        <v>72</v>
      </c>
      <c r="F90" s="157" t="s">
        <v>4153</v>
      </c>
      <c r="G90" s="152">
        <v>219637.451</v>
      </c>
      <c r="H90" s="323" t="s">
        <v>4125</v>
      </c>
      <c r="I90" s="152">
        <v>12044.16</v>
      </c>
      <c r="J90" s="154" t="s">
        <v>4096</v>
      </c>
      <c r="K90" s="157">
        <v>5800362608</v>
      </c>
      <c r="L90" s="227">
        <v>13357.062</v>
      </c>
      <c r="M90" s="154" t="s">
        <v>4096</v>
      </c>
      <c r="N90" s="152">
        <f t="shared" si="18"/>
        <v>11705.349362011943</v>
      </c>
      <c r="O90" s="152">
        <f t="shared" si="17"/>
        <v>2121065.968362011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4125</v>
      </c>
      <c r="I91" s="152"/>
      <c r="J91" s="154"/>
      <c r="K91" s="157">
        <v>5800362608</v>
      </c>
      <c r="L91" s="227">
        <v>11705.349362011943</v>
      </c>
      <c r="M91" s="154" t="s">
        <v>4096</v>
      </c>
      <c r="N91" s="152">
        <f t="shared" si="18"/>
        <v>0</v>
      </c>
      <c r="O91" s="152">
        <f t="shared" si="17"/>
        <v>2109360.618999999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4125</v>
      </c>
      <c r="I92" s="152"/>
      <c r="J92" s="154"/>
      <c r="K92" s="157">
        <v>5800361781</v>
      </c>
      <c r="L92" s="227">
        <v>354.31763798805696</v>
      </c>
      <c r="M92" s="154" t="s">
        <v>4097</v>
      </c>
      <c r="N92" s="152">
        <f>C14+N91-I92-L92</f>
        <v>263476.3643620119</v>
      </c>
      <c r="O92" s="152">
        <f t="shared" ref="O92:O96" si="19">O91+G92-I92-L92</f>
        <v>2109006.3013620111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4125</v>
      </c>
      <c r="I93" s="152"/>
      <c r="J93" s="157"/>
      <c r="K93" s="157">
        <v>5800361781</v>
      </c>
      <c r="L93" s="227">
        <v>12495.8</v>
      </c>
      <c r="M93" s="154" t="s">
        <v>4097</v>
      </c>
      <c r="N93" s="152">
        <f>+N92-I93-L93</f>
        <v>250980.56436201191</v>
      </c>
      <c r="O93" s="152">
        <f>O92+G93-I93-L93</f>
        <v>2096510.5013620111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4125</v>
      </c>
      <c r="I94" s="152"/>
      <c r="J94" s="157"/>
      <c r="K94" s="157">
        <v>5800361781</v>
      </c>
      <c r="L94" s="227">
        <v>7307.2219999999998</v>
      </c>
      <c r="M94" s="154" t="s">
        <v>4097</v>
      </c>
      <c r="N94" s="152">
        <f t="shared" ref="N94:N96" si="20">+N93-I94-L94</f>
        <v>243673.3423620119</v>
      </c>
      <c r="O94" s="152">
        <f t="shared" si="19"/>
        <v>2089203.279362011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4125</v>
      </c>
      <c r="I95" s="152"/>
      <c r="J95" s="154"/>
      <c r="K95" s="157">
        <v>5800361781</v>
      </c>
      <c r="L95" s="227">
        <v>11449.482</v>
      </c>
      <c r="M95" s="154" t="s">
        <v>4097</v>
      </c>
      <c r="N95" s="152">
        <f t="shared" si="20"/>
        <v>232223.86036201191</v>
      </c>
      <c r="O95" s="152">
        <f t="shared" si="19"/>
        <v>2077753.7973620109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4125</v>
      </c>
      <c r="I96" s="152"/>
      <c r="J96" s="154"/>
      <c r="K96" s="157">
        <v>5800361781</v>
      </c>
      <c r="L96" s="227">
        <v>11765.578</v>
      </c>
      <c r="M96" s="154" t="s">
        <v>4097</v>
      </c>
      <c r="N96" s="152">
        <f t="shared" si="20"/>
        <v>220458.2823620119</v>
      </c>
      <c r="O96" s="152">
        <f t="shared" si="19"/>
        <v>2065988.2193620109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4125</v>
      </c>
      <c r="I97" s="152"/>
      <c r="J97" s="154"/>
      <c r="K97" s="157">
        <v>5800361781</v>
      </c>
      <c r="L97" s="227">
        <v>19671.014999999999</v>
      </c>
      <c r="M97" s="154" t="s">
        <v>4097</v>
      </c>
      <c r="N97" s="152">
        <f t="shared" ref="N97:N139" si="21">+N96-I97-L97</f>
        <v>200787.26736201189</v>
      </c>
      <c r="O97" s="152">
        <f t="shared" ref="O97:O137" si="22">O96+G97-I97-L97</f>
        <v>2046317.204362011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4125</v>
      </c>
      <c r="I98" s="152"/>
      <c r="J98" s="157"/>
      <c r="K98" s="157">
        <v>5800361781</v>
      </c>
      <c r="L98" s="227">
        <v>5806.2330000000002</v>
      </c>
      <c r="M98" s="154" t="s">
        <v>4097</v>
      </c>
      <c r="N98" s="152">
        <f t="shared" si="21"/>
        <v>194981.03436201188</v>
      </c>
      <c r="O98" s="152">
        <f t="shared" si="22"/>
        <v>2040510.971362011</v>
      </c>
    </row>
    <row r="99" spans="1:15" x14ac:dyDescent="0.15">
      <c r="A99" s="154"/>
      <c r="B99" s="151"/>
      <c r="C99" s="152"/>
      <c r="D99" s="323" t="s">
        <v>4126</v>
      </c>
      <c r="E99" s="154" t="s">
        <v>72</v>
      </c>
      <c r="F99" s="157" t="s">
        <v>4153</v>
      </c>
      <c r="G99" s="152">
        <v>131917.03599999996</v>
      </c>
      <c r="H99" s="323" t="s">
        <v>4126</v>
      </c>
      <c r="I99" s="152">
        <v>16310.412</v>
      </c>
      <c r="J99" s="154" t="s">
        <v>4097</v>
      </c>
      <c r="K99" s="157">
        <v>5800361781</v>
      </c>
      <c r="L99" s="227">
        <v>14462.066999999999</v>
      </c>
      <c r="M99" s="154" t="s">
        <v>4097</v>
      </c>
      <c r="N99" s="152">
        <f t="shared" si="21"/>
        <v>164208.55536201186</v>
      </c>
      <c r="O99" s="152">
        <f t="shared" si="22"/>
        <v>2141655.5283620111</v>
      </c>
    </row>
    <row r="100" spans="1:15" x14ac:dyDescent="0.15">
      <c r="A100" s="154"/>
      <c r="B100" s="151"/>
      <c r="C100" s="152"/>
      <c r="D100" s="323" t="s">
        <v>4126</v>
      </c>
      <c r="E100" s="154" t="s">
        <v>72</v>
      </c>
      <c r="F100" s="157" t="s">
        <v>4154</v>
      </c>
      <c r="G100" s="152">
        <v>131856.69300000003</v>
      </c>
      <c r="H100" s="323" t="s">
        <v>4126</v>
      </c>
      <c r="I100" s="152"/>
      <c r="J100" s="157"/>
      <c r="K100" s="157">
        <v>5800361781</v>
      </c>
      <c r="L100" s="227">
        <v>14083.144</v>
      </c>
      <c r="M100" s="154" t="s">
        <v>4097</v>
      </c>
      <c r="N100" s="152">
        <f t="shared" si="21"/>
        <v>150125.41136201186</v>
      </c>
      <c r="O100" s="152">
        <f t="shared" si="22"/>
        <v>2259429.0773620112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4126</v>
      </c>
      <c r="I101" s="152"/>
      <c r="J101" s="157"/>
      <c r="K101" s="157">
        <v>5800361781</v>
      </c>
      <c r="L101" s="227">
        <v>13619.237999999999</v>
      </c>
      <c r="M101" s="154" t="s">
        <v>4097</v>
      </c>
      <c r="N101" s="152">
        <f t="shared" si="21"/>
        <v>136506.17336201185</v>
      </c>
      <c r="O101" s="152">
        <f t="shared" si="22"/>
        <v>2245809.8393620113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4126</v>
      </c>
      <c r="I102" s="152"/>
      <c r="J102" s="157"/>
      <c r="K102" s="157">
        <v>5800361781</v>
      </c>
      <c r="L102" s="227">
        <v>17504.45</v>
      </c>
      <c r="M102" s="154" t="s">
        <v>4097</v>
      </c>
      <c r="N102" s="152">
        <f t="shared" si="21"/>
        <v>119001.72336201185</v>
      </c>
      <c r="O102" s="152">
        <f t="shared" si="22"/>
        <v>2228305.3893620111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4126</v>
      </c>
      <c r="I103" s="152"/>
      <c r="J103" s="157"/>
      <c r="K103" s="157">
        <v>5800361781</v>
      </c>
      <c r="L103" s="227">
        <v>13605.241</v>
      </c>
      <c r="M103" s="154" t="s">
        <v>4097</v>
      </c>
      <c r="N103" s="152">
        <f t="shared" si="21"/>
        <v>105396.48236201186</v>
      </c>
      <c r="O103" s="152">
        <f t="shared" si="22"/>
        <v>2214700.1483620112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4126</v>
      </c>
      <c r="I104" s="152"/>
      <c r="J104" s="154"/>
      <c r="K104" s="157">
        <v>5800361781</v>
      </c>
      <c r="L104" s="227">
        <v>6284.7250000000004</v>
      </c>
      <c r="M104" s="154" t="s">
        <v>4097</v>
      </c>
      <c r="N104" s="152">
        <f t="shared" si="21"/>
        <v>99111.757362011849</v>
      </c>
      <c r="O104" s="152">
        <f t="shared" si="22"/>
        <v>2208415.4233620111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4126</v>
      </c>
      <c r="I105" s="152"/>
      <c r="J105" s="157"/>
      <c r="K105" s="157">
        <v>5800361781</v>
      </c>
      <c r="L105" s="227">
        <v>14394.081</v>
      </c>
      <c r="M105" s="154" t="s">
        <v>4097</v>
      </c>
      <c r="N105" s="152">
        <f t="shared" si="21"/>
        <v>84717.676362011844</v>
      </c>
      <c r="O105" s="152">
        <f t="shared" si="22"/>
        <v>2194021.3423620113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4126</v>
      </c>
      <c r="I106" s="152"/>
      <c r="J106" s="157"/>
      <c r="K106" s="157">
        <v>5800361781</v>
      </c>
      <c r="L106" s="227">
        <v>15824.79</v>
      </c>
      <c r="M106" s="154" t="s">
        <v>4097</v>
      </c>
      <c r="N106" s="152">
        <f t="shared" si="21"/>
        <v>68892.886362011835</v>
      </c>
      <c r="O106" s="152">
        <f t="shared" si="22"/>
        <v>2178196.5523620113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4126</v>
      </c>
      <c r="I107" s="152"/>
      <c r="J107" s="154"/>
      <c r="K107" s="157">
        <v>5800361781</v>
      </c>
      <c r="L107" s="227">
        <v>14930</v>
      </c>
      <c r="M107" s="154" t="s">
        <v>4097</v>
      </c>
      <c r="N107" s="152">
        <f t="shared" si="21"/>
        <v>53962.886362011835</v>
      </c>
      <c r="O107" s="152">
        <f t="shared" si="22"/>
        <v>2163266.5523620113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4126</v>
      </c>
      <c r="I108" s="152"/>
      <c r="J108" s="157"/>
      <c r="K108" s="157">
        <v>5800361781</v>
      </c>
      <c r="L108" s="227">
        <v>6572</v>
      </c>
      <c r="M108" s="154" t="s">
        <v>4097</v>
      </c>
      <c r="N108" s="152">
        <f t="shared" si="21"/>
        <v>47390.886362011835</v>
      </c>
      <c r="O108" s="152">
        <f t="shared" si="22"/>
        <v>2156694.5523620113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4126</v>
      </c>
      <c r="I109" s="152"/>
      <c r="J109" s="157"/>
      <c r="K109" s="157">
        <v>5800361781</v>
      </c>
      <c r="L109" s="227">
        <v>11143</v>
      </c>
      <c r="M109" s="154" t="s">
        <v>4097</v>
      </c>
      <c r="N109" s="152">
        <f t="shared" si="21"/>
        <v>36247.886362011835</v>
      </c>
      <c r="O109" s="152">
        <f t="shared" si="22"/>
        <v>2145551.5523620113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4126</v>
      </c>
      <c r="I110" s="152"/>
      <c r="J110" s="154"/>
      <c r="K110" s="157">
        <v>5800361781</v>
      </c>
      <c r="L110" s="227">
        <v>34512</v>
      </c>
      <c r="M110" s="154" t="s">
        <v>4097</v>
      </c>
      <c r="N110" s="152">
        <f t="shared" si="21"/>
        <v>1735.8863620118354</v>
      </c>
      <c r="O110" s="152">
        <f t="shared" si="22"/>
        <v>2111039.5523620113</v>
      </c>
    </row>
    <row r="111" spans="1:15" x14ac:dyDescent="0.15">
      <c r="A111" s="154"/>
      <c r="B111" s="151"/>
      <c r="C111" s="152"/>
      <c r="D111" s="323" t="s">
        <v>4127</v>
      </c>
      <c r="E111" s="154" t="s">
        <v>72</v>
      </c>
      <c r="F111" s="157" t="s">
        <v>4154</v>
      </c>
      <c r="G111" s="152">
        <v>43953.645999999979</v>
      </c>
      <c r="H111" s="323" t="s">
        <v>4127</v>
      </c>
      <c r="I111" s="152">
        <v>1735.8863620118354</v>
      </c>
      <c r="J111" s="157" t="s">
        <v>4097</v>
      </c>
      <c r="K111" s="157"/>
      <c r="L111" s="227"/>
      <c r="M111" s="154"/>
      <c r="N111" s="152">
        <f t="shared" si="21"/>
        <v>0</v>
      </c>
      <c r="O111" s="152">
        <f t="shared" si="22"/>
        <v>2153257.3119999995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4127</v>
      </c>
      <c r="I112" s="152">
        <f>13562.575-I111</f>
        <v>11826.688637988165</v>
      </c>
      <c r="J112" s="154" t="s">
        <v>4098</v>
      </c>
      <c r="K112" s="157">
        <v>5800362608</v>
      </c>
      <c r="L112" s="227">
        <v>13576.752</v>
      </c>
      <c r="M112" s="154" t="s">
        <v>4098</v>
      </c>
      <c r="N112" s="152">
        <f>C15+N111-I112-L112</f>
        <v>106363.54536201185</v>
      </c>
      <c r="O112" s="152">
        <f t="shared" ref="O112:O116" si="23">O111+G112-I112-L112</f>
        <v>2127853.8713620114</v>
      </c>
    </row>
    <row r="113" spans="1:15" x14ac:dyDescent="0.15">
      <c r="A113" s="154"/>
      <c r="B113" s="151"/>
      <c r="C113" s="152"/>
      <c r="D113" s="323" t="s">
        <v>4127</v>
      </c>
      <c r="E113" s="154" t="s">
        <v>72</v>
      </c>
      <c r="F113" s="157" t="s">
        <v>4155</v>
      </c>
      <c r="G113" s="152">
        <v>131892.48600000003</v>
      </c>
      <c r="H113" s="323" t="s">
        <v>4127</v>
      </c>
      <c r="I113" s="152"/>
      <c r="J113" s="154"/>
      <c r="K113" s="157">
        <v>5800362608</v>
      </c>
      <c r="L113" s="227">
        <v>13983.834000000001</v>
      </c>
      <c r="M113" s="154" t="s">
        <v>4098</v>
      </c>
      <c r="N113" s="152">
        <f t="shared" ref="N113:N116" si="24">+N112-I113-L113</f>
        <v>92379.711362011847</v>
      </c>
      <c r="O113" s="152">
        <f t="shared" si="23"/>
        <v>2245762.5233620116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4127</v>
      </c>
      <c r="I114" s="152"/>
      <c r="J114" s="157"/>
      <c r="K114" s="157">
        <v>5800362608</v>
      </c>
      <c r="L114" s="227">
        <v>19156.883000000002</v>
      </c>
      <c r="M114" s="154" t="s">
        <v>4098</v>
      </c>
      <c r="N114" s="152">
        <f t="shared" si="24"/>
        <v>73222.828362011845</v>
      </c>
      <c r="O114" s="152">
        <f t="shared" si="23"/>
        <v>2226605.6403620117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4127</v>
      </c>
      <c r="I115" s="152"/>
      <c r="J115" s="157"/>
      <c r="K115" s="157">
        <v>5800362608</v>
      </c>
      <c r="L115" s="227">
        <v>12167.466</v>
      </c>
      <c r="M115" s="154" t="s">
        <v>4098</v>
      </c>
      <c r="N115" s="152">
        <f t="shared" si="24"/>
        <v>61055.362362011845</v>
      </c>
      <c r="O115" s="152">
        <f t="shared" si="23"/>
        <v>2214438.1743620117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4127</v>
      </c>
      <c r="I116" s="152"/>
      <c r="J116" s="157"/>
      <c r="K116" s="157">
        <v>5800362608</v>
      </c>
      <c r="L116" s="227">
        <v>6863.3909999999996</v>
      </c>
      <c r="M116" s="154" t="s">
        <v>4098</v>
      </c>
      <c r="N116" s="152">
        <f t="shared" si="24"/>
        <v>54191.971362011842</v>
      </c>
      <c r="O116" s="152">
        <f t="shared" si="23"/>
        <v>2207574.7833620119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4127</v>
      </c>
      <c r="I117" s="152"/>
      <c r="J117" s="154"/>
      <c r="K117" s="157">
        <v>5800362608</v>
      </c>
      <c r="L117" s="227">
        <v>9933.0130000000008</v>
      </c>
      <c r="M117" s="154" t="s">
        <v>4098</v>
      </c>
      <c r="N117" s="152">
        <f t="shared" si="21"/>
        <v>44258.958362011843</v>
      </c>
      <c r="O117" s="152">
        <f t="shared" si="22"/>
        <v>2197641.7703620121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4127</v>
      </c>
      <c r="I118" s="152"/>
      <c r="J118" s="154"/>
      <c r="K118" s="157">
        <v>5800362608</v>
      </c>
      <c r="L118" s="227">
        <v>44258.958362011843</v>
      </c>
      <c r="M118" s="154" t="s">
        <v>4098</v>
      </c>
      <c r="N118" s="152">
        <f t="shared" si="21"/>
        <v>0</v>
      </c>
      <c r="O118" s="152">
        <f t="shared" si="22"/>
        <v>2153382.8120000004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4127</v>
      </c>
      <c r="I119" s="152"/>
      <c r="J119" s="154"/>
      <c r="K119" s="157">
        <v>5800362608</v>
      </c>
      <c r="L119" s="227">
        <v>30146.121637988159</v>
      </c>
      <c r="M119" s="154" t="s">
        <v>4098</v>
      </c>
      <c r="N119" s="152">
        <f>G18+N118-I119-L119</f>
        <v>233626.52436201184</v>
      </c>
      <c r="O119" s="152">
        <f t="shared" ref="O119:O122" si="25">O118+G119-I119-L119</f>
        <v>2123236.690362012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4127</v>
      </c>
      <c r="I120" s="152"/>
      <c r="J120" s="157"/>
      <c r="K120" s="157">
        <v>5800362608</v>
      </c>
      <c r="L120" s="227">
        <v>82006.620999999999</v>
      </c>
      <c r="M120" s="154" t="s">
        <v>4098</v>
      </c>
      <c r="N120" s="152">
        <f t="shared" ref="N120:N122" si="26">+N119-I120-L120</f>
        <v>151619.90336201183</v>
      </c>
      <c r="O120" s="152">
        <f t="shared" si="25"/>
        <v>2041230.069362012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4127</v>
      </c>
      <c r="I121" s="152"/>
      <c r="J121" s="157"/>
      <c r="K121" s="157">
        <v>5800362608</v>
      </c>
      <c r="L121" s="227">
        <v>8447.7119999999995</v>
      </c>
      <c r="M121" s="154" t="s">
        <v>4098</v>
      </c>
      <c r="N121" s="152">
        <f t="shared" si="26"/>
        <v>143172.19136201183</v>
      </c>
      <c r="O121" s="152">
        <f t="shared" si="25"/>
        <v>2032782.3573620119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4127</v>
      </c>
      <c r="I122" s="152"/>
      <c r="J122" s="157"/>
      <c r="K122" s="157">
        <v>5800362608</v>
      </c>
      <c r="L122" s="227">
        <v>33156.720000000001</v>
      </c>
      <c r="M122" s="154" t="s">
        <v>4098</v>
      </c>
      <c r="N122" s="152">
        <f t="shared" si="26"/>
        <v>110015.47136201183</v>
      </c>
      <c r="O122" s="152">
        <f t="shared" si="25"/>
        <v>1999625.6373620119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4127</v>
      </c>
      <c r="I123" s="152"/>
      <c r="J123" s="157"/>
      <c r="K123" s="157">
        <v>5800362608</v>
      </c>
      <c r="L123" s="227">
        <v>15298.242</v>
      </c>
      <c r="M123" s="154" t="s">
        <v>4098</v>
      </c>
      <c r="N123" s="152">
        <f t="shared" si="21"/>
        <v>94717.229362011829</v>
      </c>
      <c r="O123" s="152">
        <f t="shared" si="22"/>
        <v>1984327.3953620119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4127</v>
      </c>
      <c r="I124" s="152"/>
      <c r="J124" s="154"/>
      <c r="K124" s="157">
        <v>5800362608</v>
      </c>
      <c r="L124" s="227">
        <v>6590.6580000000004</v>
      </c>
      <c r="M124" s="154" t="s">
        <v>4098</v>
      </c>
      <c r="N124" s="152">
        <f t="shared" si="21"/>
        <v>88126.571362011833</v>
      </c>
      <c r="O124" s="152">
        <f t="shared" si="22"/>
        <v>1977736.7373620118</v>
      </c>
    </row>
    <row r="125" spans="1:15" x14ac:dyDescent="0.15">
      <c r="A125" s="154"/>
      <c r="B125" s="151"/>
      <c r="C125" s="152"/>
      <c r="D125" s="323" t="s">
        <v>4128</v>
      </c>
      <c r="E125" s="154" t="s">
        <v>72</v>
      </c>
      <c r="F125" s="157" t="s">
        <v>4155</v>
      </c>
      <c r="G125" s="152">
        <v>175903.163</v>
      </c>
      <c r="H125" s="323" t="s">
        <v>4128</v>
      </c>
      <c r="I125" s="152">
        <v>15267.439999999999</v>
      </c>
      <c r="J125" s="157" t="s">
        <v>4098</v>
      </c>
      <c r="K125" s="157">
        <v>5800362608</v>
      </c>
      <c r="L125" s="227">
        <v>15385.119000000001</v>
      </c>
      <c r="M125" s="154" t="s">
        <v>4098</v>
      </c>
      <c r="N125" s="152">
        <f t="shared" si="21"/>
        <v>57474.012362011832</v>
      </c>
      <c r="O125" s="152">
        <f t="shared" si="22"/>
        <v>2122987.3413620121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4128</v>
      </c>
      <c r="I126" s="152"/>
      <c r="J126" s="154"/>
      <c r="K126" s="157">
        <v>5800362608</v>
      </c>
      <c r="L126" s="227">
        <v>13763.79</v>
      </c>
      <c r="M126" s="157" t="s">
        <v>4098</v>
      </c>
      <c r="N126" s="152">
        <f t="shared" si="21"/>
        <v>43710.222362011831</v>
      </c>
      <c r="O126" s="152">
        <f t="shared" si="22"/>
        <v>2109223.551362012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4128</v>
      </c>
      <c r="I127" s="152"/>
      <c r="J127" s="154"/>
      <c r="K127" s="157">
        <v>5800362608</v>
      </c>
      <c r="L127" s="227">
        <v>13325.700999999999</v>
      </c>
      <c r="M127" s="157" t="s">
        <v>4098</v>
      </c>
      <c r="N127" s="152">
        <f t="shared" si="21"/>
        <v>30384.52136201183</v>
      </c>
      <c r="O127" s="152">
        <f t="shared" si="22"/>
        <v>2095897.8503620122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4128</v>
      </c>
      <c r="I128" s="152"/>
      <c r="J128" s="157"/>
      <c r="K128" s="157">
        <v>5800362608</v>
      </c>
      <c r="L128" s="227">
        <v>13572.751</v>
      </c>
      <c r="M128" s="157" t="s">
        <v>4098</v>
      </c>
      <c r="N128" s="152">
        <f t="shared" si="21"/>
        <v>16811.77036201183</v>
      </c>
      <c r="O128" s="152">
        <f t="shared" si="22"/>
        <v>2082325.0993620122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4128</v>
      </c>
      <c r="I129" s="152"/>
      <c r="J129" s="157"/>
      <c r="K129" s="157">
        <v>5800362608</v>
      </c>
      <c r="L129" s="227">
        <v>13474.732</v>
      </c>
      <c r="M129" s="157" t="s">
        <v>4098</v>
      </c>
      <c r="N129" s="152">
        <f t="shared" si="21"/>
        <v>3337.03836201183</v>
      </c>
      <c r="O129" s="152">
        <f t="shared" si="22"/>
        <v>2068850.3673620122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4128</v>
      </c>
      <c r="I130" s="152"/>
      <c r="J130" s="157"/>
      <c r="K130" s="157">
        <v>5800362608</v>
      </c>
      <c r="L130" s="227">
        <v>3337.03836201183</v>
      </c>
      <c r="M130" s="157" t="s">
        <v>4098</v>
      </c>
      <c r="N130" s="152">
        <f t="shared" si="21"/>
        <v>0</v>
      </c>
      <c r="O130" s="152">
        <f t="shared" si="22"/>
        <v>2065513.3290000004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4128</v>
      </c>
      <c r="I131" s="152"/>
      <c r="J131" s="157"/>
      <c r="K131" s="157">
        <v>5800362608</v>
      </c>
      <c r="L131" s="227">
        <v>12093.089637988171</v>
      </c>
      <c r="M131" s="157" t="s">
        <v>4098</v>
      </c>
      <c r="N131" s="152">
        <f>G30+N130-I131-L131</f>
        <v>207884.50536201181</v>
      </c>
      <c r="O131" s="152">
        <f t="shared" ref="O131:O133" si="27">O130+G131-I131-L131</f>
        <v>2053420.2393620121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4128</v>
      </c>
      <c r="I132" s="152"/>
      <c r="J132" s="157"/>
      <c r="K132" s="157">
        <v>5800362608</v>
      </c>
      <c r="L132" s="227">
        <v>6944.4080000000004</v>
      </c>
      <c r="M132" s="157" t="s">
        <v>4098</v>
      </c>
      <c r="N132" s="152">
        <f t="shared" ref="N132:N133" si="28">+N131-I132-L132</f>
        <v>200940.09736201182</v>
      </c>
      <c r="O132" s="152">
        <f t="shared" si="27"/>
        <v>2046475.8313620121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4128</v>
      </c>
      <c r="I133" s="152"/>
      <c r="J133" s="157"/>
      <c r="K133" s="157">
        <v>5800362608</v>
      </c>
      <c r="L133" s="227">
        <v>15526.147000000001</v>
      </c>
      <c r="M133" s="157" t="s">
        <v>4098</v>
      </c>
      <c r="N133" s="152">
        <f t="shared" si="28"/>
        <v>185413.95036201182</v>
      </c>
      <c r="O133" s="152">
        <f t="shared" si="27"/>
        <v>2030949.684362012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4128</v>
      </c>
      <c r="I134" s="152"/>
      <c r="J134" s="154"/>
      <c r="K134" s="157">
        <v>5800362608</v>
      </c>
      <c r="L134" s="227">
        <v>84757.182000000001</v>
      </c>
      <c r="M134" s="157" t="s">
        <v>4098</v>
      </c>
      <c r="N134" s="152">
        <f t="shared" si="21"/>
        <v>100656.76836201182</v>
      </c>
      <c r="O134" s="152">
        <f t="shared" si="22"/>
        <v>1946192.5023620119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4128</v>
      </c>
      <c r="I135" s="152"/>
      <c r="J135" s="154"/>
      <c r="K135" s="157">
        <v>5800362608</v>
      </c>
      <c r="L135" s="227">
        <v>6384.7049999999999</v>
      </c>
      <c r="M135" s="157" t="s">
        <v>4098</v>
      </c>
      <c r="N135" s="152">
        <f t="shared" si="21"/>
        <v>94272.063362011817</v>
      </c>
      <c r="O135" s="152">
        <f t="shared" si="22"/>
        <v>1939807.7973620119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4128</v>
      </c>
      <c r="I136" s="152"/>
      <c r="J136" s="157"/>
      <c r="K136" s="157">
        <v>5800362608</v>
      </c>
      <c r="L136" s="227">
        <v>14219.116</v>
      </c>
      <c r="M136" s="157" t="s">
        <v>4098</v>
      </c>
      <c r="N136" s="152">
        <f t="shared" si="21"/>
        <v>80052.947362011822</v>
      </c>
      <c r="O136" s="152">
        <f t="shared" si="22"/>
        <v>1925588.6813620119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4128</v>
      </c>
      <c r="I137" s="152"/>
      <c r="J137" s="154"/>
      <c r="K137" s="157">
        <v>5800362608</v>
      </c>
      <c r="L137" s="227">
        <v>35750.749000000003</v>
      </c>
      <c r="M137" s="157" t="s">
        <v>4098</v>
      </c>
      <c r="N137" s="152">
        <f t="shared" si="21"/>
        <v>44302.198362011819</v>
      </c>
      <c r="O137" s="152">
        <f t="shared" si="22"/>
        <v>1889837.9323620119</v>
      </c>
    </row>
    <row r="138" spans="1:15" x14ac:dyDescent="0.15">
      <c r="A138" s="154"/>
      <c r="B138" s="151"/>
      <c r="C138" s="152"/>
      <c r="D138" s="323" t="s">
        <v>4129</v>
      </c>
      <c r="E138" s="154" t="s">
        <v>72</v>
      </c>
      <c r="F138" s="157" t="s">
        <v>4155</v>
      </c>
      <c r="G138" s="152">
        <v>87906.406999999948</v>
      </c>
      <c r="H138" s="323" t="s">
        <v>4129</v>
      </c>
      <c r="I138" s="152">
        <v>12875.856</v>
      </c>
      <c r="J138" s="157" t="s">
        <v>4098</v>
      </c>
      <c r="K138" s="157">
        <v>5800362608</v>
      </c>
      <c r="L138" s="227">
        <v>13078.325999999999</v>
      </c>
      <c r="M138" s="157" t="s">
        <v>4098</v>
      </c>
      <c r="N138" s="152">
        <f t="shared" si="21"/>
        <v>18348.016362011818</v>
      </c>
      <c r="O138" s="152">
        <f>O137+G138-I138-L138</f>
        <v>1951790.157362012</v>
      </c>
    </row>
    <row r="139" spans="1:15" x14ac:dyDescent="0.15">
      <c r="A139" s="154"/>
      <c r="B139" s="151"/>
      <c r="C139" s="152"/>
      <c r="D139" s="323" t="s">
        <v>4129</v>
      </c>
      <c r="E139" s="154" t="s">
        <v>72</v>
      </c>
      <c r="F139" s="157" t="s">
        <v>4156</v>
      </c>
      <c r="G139" s="152">
        <v>88044.977000000043</v>
      </c>
      <c r="H139" s="323" t="s">
        <v>4129</v>
      </c>
      <c r="I139" s="152"/>
      <c r="J139" s="157"/>
      <c r="K139" s="157">
        <v>5800362608</v>
      </c>
      <c r="L139" s="227">
        <v>18348.016362011818</v>
      </c>
      <c r="M139" s="157" t="s">
        <v>4098</v>
      </c>
      <c r="N139" s="152">
        <f t="shared" si="21"/>
        <v>0</v>
      </c>
      <c r="O139" s="152">
        <f>O138+G139-I139-L139</f>
        <v>2021487.118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4129</v>
      </c>
      <c r="I140" s="152"/>
      <c r="J140" s="157"/>
      <c r="K140" s="157">
        <v>5800360300</v>
      </c>
      <c r="L140" s="227">
        <v>202.86363798818275</v>
      </c>
      <c r="M140" s="157" t="s">
        <v>4150</v>
      </c>
      <c r="N140" s="152">
        <f>G31+N139-I140-L140</f>
        <v>43803.818362011851</v>
      </c>
      <c r="O140" s="152">
        <f t="shared" ref="O140:O141" si="29">O139+G140-I140-L140</f>
        <v>2021284.2543620118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4129</v>
      </c>
      <c r="I141" s="152"/>
      <c r="J141" s="154"/>
      <c r="K141" s="157">
        <v>5800360300</v>
      </c>
      <c r="L141" s="227">
        <v>12718.289000000001</v>
      </c>
      <c r="M141" s="157" t="s">
        <v>4150</v>
      </c>
      <c r="N141" s="152">
        <f>+N140-I141-L141</f>
        <v>31085.52936201185</v>
      </c>
      <c r="O141" s="152">
        <f t="shared" si="29"/>
        <v>2008565.9653620117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4129</v>
      </c>
      <c r="I142" s="152"/>
      <c r="J142" s="154"/>
      <c r="K142" s="157">
        <v>5800360300</v>
      </c>
      <c r="L142" s="227">
        <v>1127.114</v>
      </c>
      <c r="M142" s="157" t="s">
        <v>4150</v>
      </c>
      <c r="N142" s="152">
        <f t="shared" ref="N142:N149" si="30">+N141-I142-L142</f>
        <v>29958.415362011849</v>
      </c>
      <c r="O142" s="152">
        <f t="shared" ref="O142:O149" si="31">O141+G142-I142-L142</f>
        <v>2007438.8513620116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4129</v>
      </c>
      <c r="I143" s="152"/>
      <c r="J143" s="154"/>
      <c r="K143" s="157">
        <v>5800360300</v>
      </c>
      <c r="L143" s="227">
        <v>13802.398999999999</v>
      </c>
      <c r="M143" s="157" t="s">
        <v>4150</v>
      </c>
      <c r="N143" s="152">
        <f t="shared" si="30"/>
        <v>16156.016362011849</v>
      </c>
      <c r="O143" s="152">
        <f t="shared" si="31"/>
        <v>1993636.4523620117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4129</v>
      </c>
      <c r="I144" s="152"/>
      <c r="J144" s="154"/>
      <c r="K144" s="157">
        <v>5800360300</v>
      </c>
      <c r="L144" s="227">
        <v>16156.016362011849</v>
      </c>
      <c r="M144" s="157" t="s">
        <v>4150</v>
      </c>
      <c r="N144" s="152">
        <f t="shared" si="30"/>
        <v>0</v>
      </c>
      <c r="O144" s="152">
        <f t="shared" si="31"/>
        <v>1977480.4359999998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4129</v>
      </c>
      <c r="I145" s="152"/>
      <c r="J145" s="154"/>
      <c r="K145" s="157">
        <v>5800360300</v>
      </c>
      <c r="L145" s="227">
        <v>626.87863798815124</v>
      </c>
      <c r="M145" s="157" t="s">
        <v>4150</v>
      </c>
      <c r="N145" s="152">
        <f>G43+N144-I145-L145</f>
        <v>262929.06536201184</v>
      </c>
      <c r="O145" s="152">
        <f t="shared" ref="O145:O146" si="32">O144+G145-I145-L145</f>
        <v>1976853.5573620116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4129</v>
      </c>
      <c r="I146" s="152"/>
      <c r="J146" s="154"/>
      <c r="K146" s="157">
        <v>5800360300</v>
      </c>
      <c r="L146" s="227">
        <v>13965.752</v>
      </c>
      <c r="M146" s="157" t="s">
        <v>4150</v>
      </c>
      <c r="N146" s="152">
        <f t="shared" ref="N146" si="33">+N145-I146-L146</f>
        <v>248963.31336201183</v>
      </c>
      <c r="O146" s="152">
        <f t="shared" si="32"/>
        <v>1962887.8053620115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4129</v>
      </c>
      <c r="I147" s="152"/>
      <c r="J147" s="157"/>
      <c r="K147" s="157">
        <v>5800360300</v>
      </c>
      <c r="L147" s="227">
        <v>7637.6769999999997</v>
      </c>
      <c r="M147" s="157" t="s">
        <v>4150</v>
      </c>
      <c r="N147" s="152">
        <f t="shared" si="30"/>
        <v>241325.63636201184</v>
      </c>
      <c r="O147" s="152">
        <f t="shared" si="31"/>
        <v>1955250.1283620116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4129</v>
      </c>
      <c r="I148" s="152"/>
      <c r="J148" s="157"/>
      <c r="K148" s="157">
        <v>5800360300</v>
      </c>
      <c r="L148" s="227">
        <v>13262.965</v>
      </c>
      <c r="M148" s="157" t="s">
        <v>4150</v>
      </c>
      <c r="N148" s="152">
        <f t="shared" si="30"/>
        <v>228062.67136201184</v>
      </c>
      <c r="O148" s="152">
        <f t="shared" si="31"/>
        <v>1941987.1633620115</v>
      </c>
    </row>
    <row r="149" spans="1:15" x14ac:dyDescent="0.15">
      <c r="A149" s="154"/>
      <c r="B149" s="151"/>
      <c r="C149" s="152"/>
      <c r="D149" s="323" t="s">
        <v>4130</v>
      </c>
      <c r="E149" s="154" t="s">
        <v>72</v>
      </c>
      <c r="F149" s="157" t="s">
        <v>4156</v>
      </c>
      <c r="G149" s="152">
        <v>43925.884999999951</v>
      </c>
      <c r="H149" s="323" t="s">
        <v>4130</v>
      </c>
      <c r="I149" s="152">
        <v>17147.050000000003</v>
      </c>
      <c r="J149" s="157" t="s">
        <v>4150</v>
      </c>
      <c r="K149" s="157">
        <v>5800360300</v>
      </c>
      <c r="L149" s="227">
        <v>13339.352000000001</v>
      </c>
      <c r="M149" s="157" t="s">
        <v>4150</v>
      </c>
      <c r="N149" s="152">
        <f t="shared" si="30"/>
        <v>197576.26936201181</v>
      </c>
      <c r="O149" s="152">
        <f t="shared" si="31"/>
        <v>1955426.6463620116</v>
      </c>
    </row>
    <row r="150" spans="1:15" x14ac:dyDescent="0.15">
      <c r="A150" s="154"/>
      <c r="B150" s="151"/>
      <c r="C150" s="152"/>
      <c r="D150" s="323" t="s">
        <v>4130</v>
      </c>
      <c r="E150" s="154" t="s">
        <v>72</v>
      </c>
      <c r="F150" s="157" t="s">
        <v>4157</v>
      </c>
      <c r="G150" s="152">
        <v>131844.01600000006</v>
      </c>
      <c r="H150" s="323" t="s">
        <v>4130</v>
      </c>
      <c r="I150" s="152"/>
      <c r="J150" s="157"/>
      <c r="K150" s="157">
        <v>5800360300</v>
      </c>
      <c r="L150" s="227">
        <v>14085.428</v>
      </c>
      <c r="M150" s="157" t="s">
        <v>4150</v>
      </c>
      <c r="N150" s="152">
        <f t="shared" ref="N150:N155" si="34">+N149-I150-L150</f>
        <v>183490.84136201179</v>
      </c>
      <c r="O150" s="152">
        <f t="shared" ref="O150:O155" si="35">O149+G150-I150-L150</f>
        <v>2073185.2343620115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4130</v>
      </c>
      <c r="I151" s="152"/>
      <c r="J151" s="154"/>
      <c r="K151" s="157">
        <v>5800360300</v>
      </c>
      <c r="L151" s="227">
        <v>14192.438</v>
      </c>
      <c r="M151" s="157" t="s">
        <v>4150</v>
      </c>
      <c r="N151" s="152">
        <f t="shared" si="34"/>
        <v>169298.4033620118</v>
      </c>
      <c r="O151" s="152">
        <f t="shared" si="35"/>
        <v>2058992.7963620115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4130</v>
      </c>
      <c r="I152" s="152"/>
      <c r="J152" s="154"/>
      <c r="K152" s="157">
        <v>5800360300</v>
      </c>
      <c r="L152" s="227">
        <v>12466.263000000001</v>
      </c>
      <c r="M152" s="157" t="s">
        <v>4150</v>
      </c>
      <c r="N152" s="152">
        <f t="shared" si="34"/>
        <v>156832.14036201179</v>
      </c>
      <c r="O152" s="152">
        <f t="shared" si="35"/>
        <v>2046526.5333620114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4130</v>
      </c>
      <c r="I153" s="152"/>
      <c r="J153" s="154"/>
      <c r="K153" s="157">
        <v>5800360300</v>
      </c>
      <c r="L153" s="227">
        <v>16447.667000000001</v>
      </c>
      <c r="M153" s="157" t="s">
        <v>4150</v>
      </c>
      <c r="N153" s="152">
        <f t="shared" si="34"/>
        <v>140384.47336201178</v>
      </c>
      <c r="O153" s="152">
        <f t="shared" si="35"/>
        <v>2030078.8663620115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4130</v>
      </c>
      <c r="I154" s="152"/>
      <c r="J154" s="154"/>
      <c r="K154" s="157">
        <v>5800360300</v>
      </c>
      <c r="L154" s="227">
        <v>7714.7820000000002</v>
      </c>
      <c r="M154" s="157" t="s">
        <v>4150</v>
      </c>
      <c r="N154" s="152">
        <f t="shared" si="34"/>
        <v>132669.69136201177</v>
      </c>
      <c r="O154" s="152">
        <f t="shared" si="35"/>
        <v>2022364.0843620116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4130</v>
      </c>
      <c r="I155" s="152"/>
      <c r="J155" s="157"/>
      <c r="K155" s="157">
        <v>5800360300</v>
      </c>
      <c r="L155" s="227">
        <v>16591.682000000001</v>
      </c>
      <c r="M155" s="157" t="s">
        <v>4150</v>
      </c>
      <c r="N155" s="152">
        <f t="shared" si="34"/>
        <v>116078.00936201177</v>
      </c>
      <c r="O155" s="152">
        <f t="shared" si="35"/>
        <v>2005772.4023620116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4130</v>
      </c>
      <c r="I156" s="152"/>
      <c r="J156" s="154"/>
      <c r="K156" s="157">
        <v>5800360300</v>
      </c>
      <c r="L156" s="227">
        <v>35784.114999999998</v>
      </c>
      <c r="M156" s="157" t="s">
        <v>4150</v>
      </c>
      <c r="N156" s="152">
        <f t="shared" ref="N156" si="36">+N155-I156-L156</f>
        <v>80293.894362011779</v>
      </c>
      <c r="O156" s="152">
        <f t="shared" ref="O156" si="37">O155+G156-I156-L156</f>
        <v>1969988.2873620116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4130</v>
      </c>
      <c r="I157" s="152"/>
      <c r="J157" s="157"/>
      <c r="K157" s="157">
        <v>5800360300</v>
      </c>
      <c r="L157" s="227">
        <v>13895.772999999999</v>
      </c>
      <c r="M157" s="157" t="s">
        <v>4150</v>
      </c>
      <c r="N157" s="152">
        <f>+N156-I157-L157</f>
        <v>66398.121362011778</v>
      </c>
      <c r="O157" s="152">
        <f t="shared" ref="O157:O232" si="38">O156+G157-I157-L157</f>
        <v>1956092.5143620116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4130</v>
      </c>
      <c r="I158" s="152"/>
      <c r="J158" s="154"/>
      <c r="K158" s="157">
        <v>5800360300</v>
      </c>
      <c r="L158" s="227">
        <v>7298.78</v>
      </c>
      <c r="M158" s="157" t="s">
        <v>4150</v>
      </c>
      <c r="N158" s="152">
        <f>+N157-I158-L158</f>
        <v>59099.341362011779</v>
      </c>
      <c r="O158" s="152">
        <f t="shared" si="38"/>
        <v>1948793.7343620115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4130</v>
      </c>
      <c r="I159" s="152"/>
      <c r="J159" s="154"/>
      <c r="K159" s="157">
        <v>5800360300</v>
      </c>
      <c r="L159" s="227">
        <v>11750.425999999999</v>
      </c>
      <c r="M159" s="157" t="s">
        <v>4150</v>
      </c>
      <c r="N159" s="152">
        <f t="shared" ref="N159:N232" si="39">+N158-I159-L159</f>
        <v>47348.91536201178</v>
      </c>
      <c r="O159" s="152">
        <f t="shared" si="38"/>
        <v>1937043.3083620116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4130</v>
      </c>
      <c r="I160" s="152"/>
      <c r="J160" s="154"/>
      <c r="K160" s="157">
        <v>5800360300</v>
      </c>
      <c r="L160" s="227">
        <v>32050.25</v>
      </c>
      <c r="M160" s="157" t="s">
        <v>4150</v>
      </c>
      <c r="N160" s="152">
        <f>+N159-I160-L160</f>
        <v>15298.66536201178</v>
      </c>
      <c r="O160" s="152">
        <f t="shared" si="38"/>
        <v>1904993.0583620116</v>
      </c>
    </row>
    <row r="161" spans="1:15" x14ac:dyDescent="0.15">
      <c r="A161" s="154"/>
      <c r="B161" s="151"/>
      <c r="C161" s="152"/>
      <c r="D161" s="323" t="s">
        <v>4131</v>
      </c>
      <c r="E161" s="154" t="s">
        <v>72</v>
      </c>
      <c r="F161" s="157" t="s">
        <v>4157</v>
      </c>
      <c r="G161" s="152">
        <v>175711.71900000001</v>
      </c>
      <c r="H161" s="323" t="s">
        <v>4131</v>
      </c>
      <c r="I161" s="152">
        <v>15064.190999999999</v>
      </c>
      <c r="J161" s="157" t="s">
        <v>4150</v>
      </c>
      <c r="K161" s="157">
        <v>5800360300</v>
      </c>
      <c r="L161" s="227">
        <v>234.47436201178061</v>
      </c>
      <c r="M161" s="157" t="s">
        <v>4150</v>
      </c>
      <c r="N161" s="152">
        <f t="shared" si="39"/>
        <v>0</v>
      </c>
      <c r="O161" s="152">
        <f t="shared" si="38"/>
        <v>2065406.1119999997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4131</v>
      </c>
      <c r="I162" s="152"/>
      <c r="J162" s="157"/>
      <c r="K162" s="157">
        <v>5800360300</v>
      </c>
      <c r="L162" s="227">
        <v>13554.718637988219</v>
      </c>
      <c r="M162" s="157" t="s">
        <v>4150</v>
      </c>
      <c r="N162" s="152">
        <f>G57+N161-I162-L162</f>
        <v>30302.512362011694</v>
      </c>
      <c r="O162" s="152">
        <f t="shared" ref="O162:O164" si="40">O161+G162-I162-L162</f>
        <v>2051851.3933620115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4131</v>
      </c>
      <c r="I163" s="152"/>
      <c r="J163" s="157"/>
      <c r="K163" s="157">
        <v>5800360300</v>
      </c>
      <c r="L163" s="227">
        <v>17662.370999999999</v>
      </c>
      <c r="M163" s="157" t="s">
        <v>4150</v>
      </c>
      <c r="N163" s="152">
        <f t="shared" ref="N163:N164" si="41">+N162-I163-L163</f>
        <v>12640.141362011695</v>
      </c>
      <c r="O163" s="152">
        <f t="shared" si="40"/>
        <v>2034189.0223620115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4131</v>
      </c>
      <c r="I164" s="152"/>
      <c r="J164" s="157"/>
      <c r="K164" s="157">
        <v>5800360300</v>
      </c>
      <c r="L164" s="227">
        <v>12640.141362011695</v>
      </c>
      <c r="M164" s="157" t="s">
        <v>4150</v>
      </c>
      <c r="N164" s="152">
        <f t="shared" si="41"/>
        <v>0</v>
      </c>
      <c r="O164" s="152">
        <f t="shared" si="40"/>
        <v>2021548.8809999998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4131</v>
      </c>
      <c r="I165" s="152"/>
      <c r="J165" s="157"/>
      <c r="K165" s="157">
        <v>5800362608</v>
      </c>
      <c r="L165" s="227">
        <f>12916.928-L164</f>
        <v>276.7866379883053</v>
      </c>
      <c r="M165" s="157" t="s">
        <v>4151</v>
      </c>
      <c r="N165" s="152">
        <f>G58+N164-I165-L165</f>
        <v>219351.42436201178</v>
      </c>
      <c r="O165" s="152">
        <f t="shared" ref="O165:O168" si="42">O164+G165-I165-L165</f>
        <v>2021272.0943620114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4131</v>
      </c>
      <c r="I166" s="152"/>
      <c r="J166" s="157"/>
      <c r="K166" s="157">
        <v>5800362608</v>
      </c>
      <c r="L166" s="227">
        <v>7821.3779999999997</v>
      </c>
      <c r="M166" s="157" t="s">
        <v>4151</v>
      </c>
      <c r="N166" s="152">
        <f t="shared" ref="N166:N168" si="43">+N165-I166-L166</f>
        <v>211530.04636201178</v>
      </c>
      <c r="O166" s="152">
        <f t="shared" si="42"/>
        <v>2013450.7163620114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4131</v>
      </c>
      <c r="I167" s="152"/>
      <c r="J167" s="157"/>
      <c r="K167" s="157">
        <v>5800362608</v>
      </c>
      <c r="L167" s="227">
        <v>72822.142999999996</v>
      </c>
      <c r="M167" s="157" t="s">
        <v>4151</v>
      </c>
      <c r="N167" s="152">
        <f t="shared" si="43"/>
        <v>138707.90336201177</v>
      </c>
      <c r="O167" s="152">
        <f t="shared" si="42"/>
        <v>1940628.5733620115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4131</v>
      </c>
      <c r="I168" s="152"/>
      <c r="J168" s="157"/>
      <c r="K168" s="157">
        <v>5800362608</v>
      </c>
      <c r="L168" s="227">
        <v>77022.421000000002</v>
      </c>
      <c r="M168" s="157" t="s">
        <v>4151</v>
      </c>
      <c r="N168" s="152">
        <f t="shared" si="43"/>
        <v>61685.482362011768</v>
      </c>
      <c r="O168" s="152">
        <f t="shared" si="42"/>
        <v>1863606.1523620114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4131</v>
      </c>
      <c r="I169" s="152"/>
      <c r="J169" s="157"/>
      <c r="K169" s="157">
        <v>5800362608</v>
      </c>
      <c r="L169" s="227">
        <v>8330.5329999999994</v>
      </c>
      <c r="M169" s="157" t="s">
        <v>4151</v>
      </c>
      <c r="N169" s="152">
        <f t="shared" ref="N169:N173" si="44">+N168-I169-L169</f>
        <v>53354.949362011772</v>
      </c>
      <c r="O169" s="152">
        <f t="shared" ref="O169:O173" si="45">O168+G169-I169-L169</f>
        <v>1855275.6193620113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4131</v>
      </c>
      <c r="I170" s="152"/>
      <c r="J170" s="157"/>
      <c r="K170" s="157">
        <v>5800362608</v>
      </c>
      <c r="L170" s="227">
        <v>14070.718999999999</v>
      </c>
      <c r="M170" s="157" t="s">
        <v>4151</v>
      </c>
      <c r="N170" s="152">
        <f t="shared" si="44"/>
        <v>39284.230362011775</v>
      </c>
      <c r="O170" s="152">
        <f t="shared" si="45"/>
        <v>1841204.9003620113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4131</v>
      </c>
      <c r="I171" s="152"/>
      <c r="J171" s="157"/>
      <c r="K171" s="157">
        <v>5800362608</v>
      </c>
      <c r="L171" s="227">
        <v>8441.4320000000007</v>
      </c>
      <c r="M171" s="157" t="s">
        <v>4151</v>
      </c>
      <c r="N171" s="152">
        <f t="shared" si="44"/>
        <v>30842.798362011774</v>
      </c>
      <c r="O171" s="152">
        <f t="shared" si="45"/>
        <v>1832763.4683620112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4131</v>
      </c>
      <c r="I172" s="152"/>
      <c r="J172" s="157"/>
      <c r="K172" s="157">
        <v>5800362608</v>
      </c>
      <c r="L172" s="227">
        <v>12457.21</v>
      </c>
      <c r="M172" s="157" t="s">
        <v>4151</v>
      </c>
      <c r="N172" s="152">
        <f t="shared" si="44"/>
        <v>18385.588362011775</v>
      </c>
      <c r="O172" s="152">
        <f t="shared" si="45"/>
        <v>1820306.2583620113</v>
      </c>
    </row>
    <row r="173" spans="1:15" x14ac:dyDescent="0.15">
      <c r="A173" s="154"/>
      <c r="B173" s="151"/>
      <c r="C173" s="152"/>
      <c r="D173" s="323" t="s">
        <v>4132</v>
      </c>
      <c r="E173" s="154" t="s">
        <v>72</v>
      </c>
      <c r="F173" s="157" t="s">
        <v>4157</v>
      </c>
      <c r="G173" s="152">
        <v>52420.624999999971</v>
      </c>
      <c r="H173" s="323" t="s">
        <v>4132</v>
      </c>
      <c r="I173" s="152">
        <v>16727.177</v>
      </c>
      <c r="J173" s="157" t="s">
        <v>4151</v>
      </c>
      <c r="K173" s="157">
        <v>5800362608</v>
      </c>
      <c r="L173" s="227">
        <f>N172-I173</f>
        <v>1658.4113620117751</v>
      </c>
      <c r="M173" s="157" t="s">
        <v>4151</v>
      </c>
      <c r="N173" s="152">
        <f t="shared" si="44"/>
        <v>0</v>
      </c>
      <c r="O173" s="152">
        <f t="shared" si="45"/>
        <v>1854341.2949999997</v>
      </c>
    </row>
    <row r="174" spans="1:15" x14ac:dyDescent="0.15">
      <c r="A174" s="154"/>
      <c r="B174" s="151"/>
      <c r="C174" s="152"/>
      <c r="D174" s="323" t="s">
        <v>4132</v>
      </c>
      <c r="E174" s="154" t="s">
        <v>72</v>
      </c>
      <c r="F174" s="157" t="s">
        <v>4158</v>
      </c>
      <c r="G174" s="152">
        <v>123370.80000000002</v>
      </c>
      <c r="H174" s="323" t="s">
        <v>4132</v>
      </c>
      <c r="I174" s="152"/>
      <c r="J174" s="157"/>
      <c r="K174" s="157">
        <v>5800362608</v>
      </c>
      <c r="L174" s="227">
        <f>13489.789-L173</f>
        <v>11831.377637988226</v>
      </c>
      <c r="M174" s="157" t="s">
        <v>4151</v>
      </c>
      <c r="N174" s="152">
        <f>G66+N173-I174-L174</f>
        <v>32119.534362011727</v>
      </c>
      <c r="O174" s="152">
        <f t="shared" ref="O174:O177" si="46">O173+G174-I174-L174</f>
        <v>1965880.7173620115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4132</v>
      </c>
      <c r="I175" s="152"/>
      <c r="J175" s="157"/>
      <c r="K175" s="157">
        <v>5800362608</v>
      </c>
      <c r="L175" s="227">
        <v>11773.833000000001</v>
      </c>
      <c r="M175" s="157" t="s">
        <v>4151</v>
      </c>
      <c r="N175" s="152">
        <f t="shared" ref="N175:N177" si="47">+N174-I175-L175</f>
        <v>20345.701362011729</v>
      </c>
      <c r="O175" s="152">
        <f t="shared" si="46"/>
        <v>1954106.8843620114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4132</v>
      </c>
      <c r="I176" s="152"/>
      <c r="J176" s="157"/>
      <c r="K176" s="157">
        <v>5800362608</v>
      </c>
      <c r="L176" s="227">
        <v>13057.052</v>
      </c>
      <c r="M176" s="157" t="s">
        <v>4151</v>
      </c>
      <c r="N176" s="152">
        <f t="shared" si="47"/>
        <v>7288.649362011729</v>
      </c>
      <c r="O176" s="152">
        <f t="shared" si="46"/>
        <v>1941049.8323620115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4132</v>
      </c>
      <c r="I177" s="152"/>
      <c r="J177" s="157"/>
      <c r="K177" s="157">
        <v>5800362608</v>
      </c>
      <c r="L177" s="227">
        <v>7288.649362011729</v>
      </c>
      <c r="M177" s="157" t="s">
        <v>4151</v>
      </c>
      <c r="N177" s="152">
        <f t="shared" si="47"/>
        <v>0</v>
      </c>
      <c r="O177" s="152">
        <f t="shared" si="46"/>
        <v>1933761.1829999997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4132</v>
      </c>
      <c r="I178" s="152"/>
      <c r="J178" s="157"/>
      <c r="K178" s="157">
        <v>5800361781</v>
      </c>
      <c r="L178" s="227">
        <f>11661.901-L177</f>
        <v>4373.2516379882709</v>
      </c>
      <c r="M178" s="157" t="s">
        <v>4152</v>
      </c>
      <c r="N178" s="152">
        <f>G67+N177-I178-L178</f>
        <v>215336.96636201179</v>
      </c>
      <c r="O178" s="152">
        <f t="shared" ref="O178:O184" si="48">O177+G178-I178-L178</f>
        <v>1929387.9313620115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4132</v>
      </c>
      <c r="I179" s="152"/>
      <c r="J179" s="154"/>
      <c r="K179" s="157">
        <v>5800361781</v>
      </c>
      <c r="L179" s="227">
        <v>7791.2569999999996</v>
      </c>
      <c r="M179" s="157" t="s">
        <v>4152</v>
      </c>
      <c r="N179" s="152">
        <f t="shared" ref="N179:N184" si="49">+N178-I179-L179</f>
        <v>207545.70936201178</v>
      </c>
      <c r="O179" s="152">
        <f t="shared" si="48"/>
        <v>1921596.6743620115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4132</v>
      </c>
      <c r="I180" s="152"/>
      <c r="J180" s="157"/>
      <c r="K180" s="157">
        <v>5800361781</v>
      </c>
      <c r="L180" s="227">
        <v>11642.913</v>
      </c>
      <c r="M180" s="157" t="s">
        <v>4152</v>
      </c>
      <c r="N180" s="152">
        <f t="shared" si="49"/>
        <v>195902.79636201178</v>
      </c>
      <c r="O180" s="152">
        <f t="shared" si="48"/>
        <v>1909953.7613620115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4132</v>
      </c>
      <c r="I181" s="152"/>
      <c r="J181" s="157"/>
      <c r="K181" s="157">
        <v>5800361781</v>
      </c>
      <c r="L181" s="227">
        <v>7093.9620000000004</v>
      </c>
      <c r="M181" s="157" t="s">
        <v>4152</v>
      </c>
      <c r="N181" s="152">
        <f t="shared" si="49"/>
        <v>188808.83436201178</v>
      </c>
      <c r="O181" s="152">
        <f t="shared" si="48"/>
        <v>1902859.7993620115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4132</v>
      </c>
      <c r="I182" s="152"/>
      <c r="J182" s="154"/>
      <c r="K182" s="157">
        <v>5800361781</v>
      </c>
      <c r="L182" s="227">
        <v>12366.217000000001</v>
      </c>
      <c r="M182" s="157" t="s">
        <v>4152</v>
      </c>
      <c r="N182" s="152">
        <f t="shared" si="49"/>
        <v>176442.61736201178</v>
      </c>
      <c r="O182" s="152">
        <f t="shared" si="48"/>
        <v>1890493.5823620115</v>
      </c>
    </row>
    <row r="183" spans="1:15" x14ac:dyDescent="0.15">
      <c r="A183" s="154"/>
      <c r="B183" s="151"/>
      <c r="C183" s="152"/>
      <c r="D183" s="323" t="s">
        <v>4133</v>
      </c>
      <c r="E183" s="154" t="s">
        <v>72</v>
      </c>
      <c r="F183" s="157" t="s">
        <v>4158</v>
      </c>
      <c r="G183" s="152">
        <v>87881.24399999989</v>
      </c>
      <c r="H183" s="323" t="s">
        <v>4133</v>
      </c>
      <c r="I183" s="152">
        <v>12913.187000000002</v>
      </c>
      <c r="J183" s="157" t="s">
        <v>4152</v>
      </c>
      <c r="K183" s="157">
        <v>5800361781</v>
      </c>
      <c r="L183" s="227">
        <v>11907.62</v>
      </c>
      <c r="M183" s="157" t="s">
        <v>4152</v>
      </c>
      <c r="N183" s="152">
        <f t="shared" si="49"/>
        <v>151621.81036201178</v>
      </c>
      <c r="O183" s="152">
        <f t="shared" si="48"/>
        <v>1953554.0193620115</v>
      </c>
    </row>
    <row r="184" spans="1:15" x14ac:dyDescent="0.15">
      <c r="A184" s="154"/>
      <c r="B184" s="151"/>
      <c r="C184" s="152"/>
      <c r="D184" s="323" t="s">
        <v>4133</v>
      </c>
      <c r="E184" s="154" t="s">
        <v>72</v>
      </c>
      <c r="F184" s="157" t="s">
        <v>4159</v>
      </c>
      <c r="G184" s="152">
        <v>87915.657000000123</v>
      </c>
      <c r="H184" s="323" t="s">
        <v>4133</v>
      </c>
      <c r="I184" s="152"/>
      <c r="J184" s="157"/>
      <c r="K184" s="157">
        <v>5800361781</v>
      </c>
      <c r="L184" s="227">
        <v>13295.041999999999</v>
      </c>
      <c r="M184" s="157" t="s">
        <v>4152</v>
      </c>
      <c r="N184" s="152">
        <f t="shared" si="49"/>
        <v>138326.76836201179</v>
      </c>
      <c r="O184" s="152">
        <f t="shared" si="48"/>
        <v>2028174.6343620117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4133</v>
      </c>
      <c r="I185" s="152"/>
      <c r="J185" s="157"/>
      <c r="K185" s="157">
        <v>5800361781</v>
      </c>
      <c r="L185" s="227">
        <v>13233.022999999999</v>
      </c>
      <c r="M185" s="157" t="s">
        <v>4152</v>
      </c>
      <c r="N185" s="152">
        <f t="shared" si="39"/>
        <v>125093.74536201179</v>
      </c>
      <c r="O185" s="152">
        <f t="shared" si="38"/>
        <v>2014941.6113620116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4133</v>
      </c>
      <c r="I186" s="152"/>
      <c r="J186" s="157"/>
      <c r="K186" s="157">
        <v>5800361781</v>
      </c>
      <c r="L186" s="227">
        <v>13294.040999999999</v>
      </c>
      <c r="M186" s="157" t="s">
        <v>4152</v>
      </c>
      <c r="N186" s="152">
        <f t="shared" si="39"/>
        <v>111799.70436201179</v>
      </c>
      <c r="O186" s="152">
        <f t="shared" si="38"/>
        <v>2001647.5703620117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4133</v>
      </c>
      <c r="I187" s="152"/>
      <c r="J187" s="157"/>
      <c r="K187" s="157">
        <v>5800361781</v>
      </c>
      <c r="L187" s="227">
        <v>17005.169000000002</v>
      </c>
      <c r="M187" s="157" t="s">
        <v>4152</v>
      </c>
      <c r="N187" s="152">
        <f t="shared" si="39"/>
        <v>94794.535362011782</v>
      </c>
      <c r="O187" s="152">
        <f t="shared" si="38"/>
        <v>1984642.4013620117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4133</v>
      </c>
      <c r="I188" s="152"/>
      <c r="J188" s="157"/>
      <c r="K188" s="157">
        <v>5800361781</v>
      </c>
      <c r="L188" s="227">
        <v>12981.946</v>
      </c>
      <c r="M188" s="157" t="s">
        <v>4152</v>
      </c>
      <c r="N188" s="152">
        <f>+N187-I188-L188</f>
        <v>81812.589362011786</v>
      </c>
      <c r="O188" s="152">
        <f t="shared" si="38"/>
        <v>1971660.4553620117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4133</v>
      </c>
      <c r="I189" s="152"/>
      <c r="J189" s="157"/>
      <c r="K189" s="157">
        <v>5800361781</v>
      </c>
      <c r="L189" s="227">
        <v>8022.4390000000003</v>
      </c>
      <c r="M189" s="157" t="s">
        <v>4152</v>
      </c>
      <c r="N189" s="152">
        <f>+N188-I189-L189</f>
        <v>73790.150362011787</v>
      </c>
      <c r="O189" s="152">
        <f t="shared" ref="O189" si="50">O188+G189-I189-L189</f>
        <v>1963638.0163620117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4133</v>
      </c>
      <c r="I190" s="152"/>
      <c r="J190" s="157"/>
      <c r="K190" s="157">
        <v>5800361781</v>
      </c>
      <c r="L190" s="227">
        <v>13544.117</v>
      </c>
      <c r="M190" s="157" t="s">
        <v>4152</v>
      </c>
      <c r="N190" s="152">
        <f t="shared" ref="N190:N194" si="51">+N189-I190-L190</f>
        <v>60246.033362011789</v>
      </c>
      <c r="O190" s="152">
        <f t="shared" ref="O190:O192" si="52">O189+G190-I190-L190</f>
        <v>1950093.8993620116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4133</v>
      </c>
      <c r="I191" s="152"/>
      <c r="J191" s="157"/>
      <c r="K191" s="157">
        <v>5800361781</v>
      </c>
      <c r="L191" s="227">
        <v>14862.518</v>
      </c>
      <c r="M191" s="157" t="s">
        <v>4152</v>
      </c>
      <c r="N191" s="152">
        <f t="shared" si="51"/>
        <v>45383.515362011793</v>
      </c>
      <c r="O191" s="152">
        <f t="shared" si="52"/>
        <v>1935231.3813620117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4133</v>
      </c>
      <c r="I192" s="152"/>
      <c r="J192" s="157"/>
      <c r="K192" s="157">
        <v>5800361781</v>
      </c>
      <c r="L192" s="227">
        <v>6973.8789999999999</v>
      </c>
      <c r="M192" s="157" t="s">
        <v>4152</v>
      </c>
      <c r="N192" s="152">
        <f t="shared" si="51"/>
        <v>38409.636362011792</v>
      </c>
      <c r="O192" s="152">
        <f t="shared" si="52"/>
        <v>1928257.5023620117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4133</v>
      </c>
      <c r="I193" s="152"/>
      <c r="J193" s="157"/>
      <c r="K193" s="157">
        <v>5800361781</v>
      </c>
      <c r="L193" s="227">
        <v>34633.464999999997</v>
      </c>
      <c r="M193" s="157" t="s">
        <v>4152</v>
      </c>
      <c r="N193" s="152">
        <f t="shared" si="51"/>
        <v>3776.1713620117953</v>
      </c>
      <c r="O193" s="152">
        <f>O192+G193-I193-L193</f>
        <v>1893624.0373620116</v>
      </c>
    </row>
    <row r="194" spans="1:15" x14ac:dyDescent="0.15">
      <c r="A194" s="154"/>
      <c r="B194" s="151"/>
      <c r="C194" s="152"/>
      <c r="D194" s="323" t="s">
        <v>4134</v>
      </c>
      <c r="E194" s="154" t="s">
        <v>72</v>
      </c>
      <c r="F194" s="157" t="s">
        <v>4159</v>
      </c>
      <c r="G194" s="152">
        <v>87801.025999999867</v>
      </c>
      <c r="H194" s="323" t="s">
        <v>4134</v>
      </c>
      <c r="I194" s="152">
        <v>3776.1713620117953</v>
      </c>
      <c r="J194" s="157" t="s">
        <v>4152</v>
      </c>
      <c r="K194" s="157"/>
      <c r="L194" s="227"/>
      <c r="M194" s="157"/>
      <c r="N194" s="152">
        <f t="shared" si="51"/>
        <v>0</v>
      </c>
      <c r="O194" s="152">
        <f>O193+G194-I194-L194</f>
        <v>1977648.8919999998</v>
      </c>
    </row>
    <row r="195" spans="1:15" x14ac:dyDescent="0.15">
      <c r="A195" s="154"/>
      <c r="B195" s="151"/>
      <c r="C195" s="152"/>
      <c r="D195" s="323" t="s">
        <v>4134</v>
      </c>
      <c r="E195" s="154" t="s">
        <v>72</v>
      </c>
      <c r="F195" s="157" t="s">
        <v>4160</v>
      </c>
      <c r="G195" s="152">
        <v>87852.815000000119</v>
      </c>
      <c r="H195" s="323" t="s">
        <v>4172</v>
      </c>
      <c r="I195" s="152">
        <f>14010.322-I194</f>
        <v>10234.150637988205</v>
      </c>
      <c r="J195" s="157" t="s">
        <v>4152</v>
      </c>
      <c r="K195" s="157">
        <v>5800361781</v>
      </c>
      <c r="L195" s="227">
        <v>11199.674999999999</v>
      </c>
      <c r="M195" s="157" t="s">
        <v>4152</v>
      </c>
      <c r="N195" s="152">
        <f>G79+N194-I195-L195</f>
        <v>22475.523362011725</v>
      </c>
      <c r="O195" s="152">
        <f>O194+G195-I195-L195</f>
        <v>2044067.8813620117</v>
      </c>
    </row>
    <row r="196" spans="1:15" x14ac:dyDescent="0.15">
      <c r="A196" s="154"/>
      <c r="B196" s="151"/>
      <c r="C196" s="152"/>
      <c r="D196" s="134"/>
      <c r="E196" s="134"/>
      <c r="G196" s="134"/>
      <c r="H196" s="323" t="s">
        <v>4134</v>
      </c>
      <c r="I196" s="152"/>
      <c r="J196" s="157"/>
      <c r="K196" s="157">
        <v>5800361781</v>
      </c>
      <c r="L196" s="227">
        <v>18895.574000000001</v>
      </c>
      <c r="M196" s="157" t="s">
        <v>4152</v>
      </c>
      <c r="N196" s="152">
        <f t="shared" ref="N196:N200" si="53">+N195-I196-L196</f>
        <v>3579.9493620117246</v>
      </c>
      <c r="O196" s="152">
        <f t="shared" ref="O196:O200" si="54">O195+G196-I196-L196</f>
        <v>2025172.3073620116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4134</v>
      </c>
      <c r="I197" s="152"/>
      <c r="J197" s="157"/>
      <c r="K197" s="157">
        <v>5800361781</v>
      </c>
      <c r="L197" s="227">
        <v>3579.9493620117246</v>
      </c>
      <c r="M197" s="157" t="s">
        <v>4152</v>
      </c>
      <c r="N197" s="152">
        <f t="shared" si="53"/>
        <v>0</v>
      </c>
      <c r="O197" s="152">
        <f t="shared" si="54"/>
        <v>2021592.358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4134</v>
      </c>
      <c r="I198" s="152"/>
      <c r="J198" s="157"/>
      <c r="K198" s="157">
        <v>5800362608</v>
      </c>
      <c r="L198" s="227">
        <f>11917.038-L197</f>
        <v>8337.0886379882759</v>
      </c>
      <c r="M198" s="157" t="s">
        <v>4153</v>
      </c>
      <c r="N198" s="152">
        <f>G80+N197-I198-L198</f>
        <v>123419.62336201179</v>
      </c>
      <c r="O198" s="152">
        <f t="shared" ref="O198:O199" si="55">O197+G198-I198-L198</f>
        <v>2013255.2693620117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4134</v>
      </c>
      <c r="I199" s="152"/>
      <c r="J199" s="157"/>
      <c r="K199" s="157">
        <v>5800362608</v>
      </c>
      <c r="L199" s="227">
        <v>7027.5609999999997</v>
      </c>
      <c r="M199" s="157" t="s">
        <v>4153</v>
      </c>
      <c r="N199" s="152">
        <f t="shared" ref="N199" si="56">+N198-I199-L199</f>
        <v>116392.06236201178</v>
      </c>
      <c r="O199" s="152">
        <f t="shared" si="55"/>
        <v>2006227.7083620117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4134</v>
      </c>
      <c r="I200" s="152"/>
      <c r="J200" s="157"/>
      <c r="K200" s="157">
        <v>5800362608</v>
      </c>
      <c r="L200" s="227">
        <v>12947.56</v>
      </c>
      <c r="M200" s="157" t="s">
        <v>4153</v>
      </c>
      <c r="N200" s="152">
        <f t="shared" si="53"/>
        <v>103444.50236201179</v>
      </c>
      <c r="O200" s="152">
        <f t="shared" si="54"/>
        <v>1993280.1483620116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4134</v>
      </c>
      <c r="I201" s="152"/>
      <c r="J201" s="157"/>
      <c r="K201" s="157">
        <v>5800362608</v>
      </c>
      <c r="L201" s="227">
        <v>74381.687999999995</v>
      </c>
      <c r="M201" s="157" t="s">
        <v>4153</v>
      </c>
      <c r="N201" s="152">
        <f t="shared" si="39"/>
        <v>29062.814362011792</v>
      </c>
      <c r="O201" s="152">
        <f t="shared" si="38"/>
        <v>1918898.4603620116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4134</v>
      </c>
      <c r="I202" s="152"/>
      <c r="J202" s="157"/>
      <c r="K202" s="157">
        <v>5800362608</v>
      </c>
      <c r="L202" s="227">
        <v>29062.814362011792</v>
      </c>
      <c r="M202" s="157" t="s">
        <v>4153</v>
      </c>
      <c r="N202" s="152">
        <f t="shared" si="39"/>
        <v>0</v>
      </c>
      <c r="O202" s="152">
        <f t="shared" si="38"/>
        <v>1889835.6459999997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4134</v>
      </c>
      <c r="I203" s="152"/>
      <c r="J203" s="157"/>
      <c r="K203" s="157">
        <v>5800362608</v>
      </c>
      <c r="L203" s="227">
        <f>83815.468-L202</f>
        <v>54752.653637988202</v>
      </c>
      <c r="M203" s="157" t="s">
        <v>4153</v>
      </c>
      <c r="N203" s="152">
        <f>G90+N202-I203-L203</f>
        <v>164884.7973620118</v>
      </c>
      <c r="O203" s="152">
        <f t="shared" ref="O203:O206" si="57">O202+G203-I203-L203</f>
        <v>1835082.9923620115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4134</v>
      </c>
      <c r="I204" s="152"/>
      <c r="J204" s="157"/>
      <c r="K204" s="157">
        <v>5800362608</v>
      </c>
      <c r="L204" s="227">
        <v>61451.303</v>
      </c>
      <c r="M204" s="157" t="s">
        <v>4153</v>
      </c>
      <c r="N204" s="152">
        <f t="shared" ref="N204:N206" si="58">+N203-I204-L204</f>
        <v>103433.4943620118</v>
      </c>
      <c r="O204" s="152">
        <f t="shared" si="57"/>
        <v>1773631.6893620114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4134</v>
      </c>
      <c r="I205" s="152"/>
      <c r="J205" s="157"/>
      <c r="K205" s="157">
        <v>5800362608</v>
      </c>
      <c r="L205" s="227">
        <v>57513.500999999997</v>
      </c>
      <c r="M205" s="157" t="s">
        <v>4153</v>
      </c>
      <c r="N205" s="152">
        <f t="shared" si="58"/>
        <v>45919.993362011803</v>
      </c>
      <c r="O205" s="152">
        <f t="shared" si="57"/>
        <v>1716118.1883620115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4134</v>
      </c>
      <c r="I206" s="152"/>
      <c r="J206" s="157"/>
      <c r="K206" s="157">
        <v>5800362608</v>
      </c>
      <c r="L206" s="227">
        <v>18081.499</v>
      </c>
      <c r="M206" s="157" t="s">
        <v>4153</v>
      </c>
      <c r="N206" s="152">
        <f t="shared" si="58"/>
        <v>27838.494362011803</v>
      </c>
      <c r="O206" s="152">
        <f t="shared" si="57"/>
        <v>1698036.6893620114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4134</v>
      </c>
      <c r="I207" s="152"/>
      <c r="J207" s="157"/>
      <c r="K207" s="157">
        <v>5800362608</v>
      </c>
      <c r="L207" s="227">
        <v>13784.806</v>
      </c>
      <c r="M207" s="157" t="s">
        <v>4153</v>
      </c>
      <c r="N207" s="152">
        <f t="shared" si="39"/>
        <v>14053.688362011802</v>
      </c>
      <c r="O207" s="152">
        <f t="shared" si="38"/>
        <v>1684251.8833620113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4134</v>
      </c>
      <c r="I208" s="152"/>
      <c r="J208" s="157"/>
      <c r="K208" s="157">
        <v>5800362608</v>
      </c>
      <c r="L208" s="227">
        <v>7059.8519999999999</v>
      </c>
      <c r="M208" s="157" t="s">
        <v>4153</v>
      </c>
      <c r="N208" s="152">
        <f t="shared" si="39"/>
        <v>6993.8363620118025</v>
      </c>
      <c r="O208" s="152">
        <f t="shared" si="38"/>
        <v>1677192.0313620113</v>
      </c>
    </row>
    <row r="209" spans="1:15" ht="12" customHeight="1" x14ac:dyDescent="0.15">
      <c r="A209" s="154"/>
      <c r="B209" s="151"/>
      <c r="C209" s="152"/>
      <c r="D209" s="323"/>
      <c r="E209" s="154"/>
      <c r="F209" s="157"/>
      <c r="G209" s="152"/>
      <c r="H209" s="323" t="s">
        <v>4134</v>
      </c>
      <c r="I209" s="152"/>
      <c r="J209" s="157"/>
      <c r="K209" s="157">
        <v>5800362608</v>
      </c>
      <c r="L209" s="227">
        <v>6993.8363620118025</v>
      </c>
      <c r="M209" s="157" t="s">
        <v>4153</v>
      </c>
      <c r="N209" s="152">
        <f t="shared" si="39"/>
        <v>0</v>
      </c>
      <c r="O209" s="152">
        <f t="shared" si="38"/>
        <v>1670198.1949999996</v>
      </c>
    </row>
    <row r="210" spans="1:15" ht="12" customHeight="1" x14ac:dyDescent="0.15">
      <c r="A210" s="154"/>
      <c r="B210" s="151"/>
      <c r="C210" s="152"/>
      <c r="D210" s="323"/>
      <c r="E210" s="154"/>
      <c r="F210" s="157"/>
      <c r="G210" s="152"/>
      <c r="H210" s="323" t="s">
        <v>4134</v>
      </c>
      <c r="I210" s="152"/>
      <c r="J210" s="157"/>
      <c r="K210" s="157">
        <v>5800362608</v>
      </c>
      <c r="L210" s="227">
        <f>13284.958-L209</f>
        <v>6291.121637988198</v>
      </c>
      <c r="M210" s="157" t="s">
        <v>4153</v>
      </c>
      <c r="N210" s="152">
        <f>G99+N209-I210-L210</f>
        <v>125625.91436201177</v>
      </c>
      <c r="O210" s="152">
        <f t="shared" ref="O210:O214" si="59">O209+G210-I210-L210</f>
        <v>1663907.0733620115</v>
      </c>
    </row>
    <row r="211" spans="1:15" x14ac:dyDescent="0.15">
      <c r="A211" s="154"/>
      <c r="B211" s="151"/>
      <c r="C211" s="152"/>
      <c r="D211" s="323" t="s">
        <v>4135</v>
      </c>
      <c r="E211" s="154" t="s">
        <v>72</v>
      </c>
      <c r="F211" s="157" t="s">
        <v>4160</v>
      </c>
      <c r="G211" s="152">
        <v>175687.2</v>
      </c>
      <c r="H211" s="323" t="s">
        <v>4135</v>
      </c>
      <c r="I211" s="152">
        <v>14821</v>
      </c>
      <c r="J211" s="157" t="s">
        <v>4153</v>
      </c>
      <c r="K211" s="157">
        <v>5800362608</v>
      </c>
      <c r="L211" s="227">
        <v>13591</v>
      </c>
      <c r="M211" s="157" t="s">
        <v>4153</v>
      </c>
      <c r="N211" s="152">
        <f t="shared" ref="N211:N214" si="60">+N210-I211-L211</f>
        <v>97213.914362011768</v>
      </c>
      <c r="O211" s="152">
        <f t="shared" si="59"/>
        <v>1811182.2733620114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4135</v>
      </c>
      <c r="I212" s="152"/>
      <c r="J212" s="157"/>
      <c r="K212" s="157">
        <v>5800362608</v>
      </c>
      <c r="L212" s="227">
        <v>12987</v>
      </c>
      <c r="M212" s="157" t="s">
        <v>4153</v>
      </c>
      <c r="N212" s="152">
        <f t="shared" si="60"/>
        <v>84226.914362011768</v>
      </c>
      <c r="O212" s="152">
        <f t="shared" si="59"/>
        <v>1798195.2733620114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4135</v>
      </c>
      <c r="I213" s="152"/>
      <c r="J213" s="157"/>
      <c r="K213" s="157">
        <v>5800362608</v>
      </c>
      <c r="L213" s="227">
        <v>13386</v>
      </c>
      <c r="M213" s="157" t="s">
        <v>4153</v>
      </c>
      <c r="N213" s="152">
        <f t="shared" si="60"/>
        <v>70840.914362011768</v>
      </c>
      <c r="O213" s="152">
        <f t="shared" si="59"/>
        <v>1784809.2733620114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4135</v>
      </c>
      <c r="I214" s="152"/>
      <c r="J214" s="157"/>
      <c r="K214" s="157">
        <v>5800362608</v>
      </c>
      <c r="L214" s="227">
        <v>13560</v>
      </c>
      <c r="M214" s="157" t="s">
        <v>4153</v>
      </c>
      <c r="N214" s="152">
        <f t="shared" si="60"/>
        <v>57280.914362011768</v>
      </c>
      <c r="O214" s="152">
        <f t="shared" si="59"/>
        <v>1771249.2733620114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4135</v>
      </c>
      <c r="I215" s="152"/>
      <c r="J215" s="157"/>
      <c r="K215" s="157">
        <v>5800362608</v>
      </c>
      <c r="L215" s="227">
        <v>8191</v>
      </c>
      <c r="M215" s="157" t="s">
        <v>4153</v>
      </c>
      <c r="N215" s="152">
        <f t="shared" si="39"/>
        <v>49089.914362011768</v>
      </c>
      <c r="O215" s="152">
        <f t="shared" si="38"/>
        <v>1763058.2733620114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4135</v>
      </c>
      <c r="I216" s="152"/>
      <c r="J216" s="157"/>
      <c r="K216" s="157">
        <v>5800362608</v>
      </c>
      <c r="L216" s="227">
        <v>14040</v>
      </c>
      <c r="M216" s="157" t="s">
        <v>4153</v>
      </c>
      <c r="N216" s="152">
        <f t="shared" si="39"/>
        <v>35049.914362011768</v>
      </c>
      <c r="O216" s="152">
        <f t="shared" si="38"/>
        <v>1749018.2733620114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4135</v>
      </c>
      <c r="I217" s="152"/>
      <c r="J217" s="157"/>
      <c r="K217" s="157">
        <v>5800362608</v>
      </c>
      <c r="L217" s="227">
        <v>16886</v>
      </c>
      <c r="M217" s="157" t="s">
        <v>4153</v>
      </c>
      <c r="N217" s="152">
        <f t="shared" si="39"/>
        <v>18163.914362011768</v>
      </c>
      <c r="O217" s="152">
        <f t="shared" si="38"/>
        <v>1732132.2733620114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4135</v>
      </c>
      <c r="I218" s="152"/>
      <c r="J218" s="157"/>
      <c r="K218" s="157">
        <v>5800362608</v>
      </c>
      <c r="L218" s="227">
        <v>18163.914362011768</v>
      </c>
      <c r="M218" s="157" t="s">
        <v>4153</v>
      </c>
      <c r="N218" s="152">
        <f>G83+N217-I218-L218</f>
        <v>0</v>
      </c>
      <c r="O218" s="152">
        <f t="shared" ref="O218" si="61">O217+G218-I218-L218</f>
        <v>1713968.3589999997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4135</v>
      </c>
      <c r="I219" s="152"/>
      <c r="J219" s="157"/>
      <c r="K219" s="157">
        <v>5800362608</v>
      </c>
      <c r="L219" s="227">
        <f>72686-L218</f>
        <v>54522.085637988232</v>
      </c>
      <c r="M219" s="157" t="s">
        <v>4154</v>
      </c>
      <c r="N219" s="152">
        <f>G100+N218-I219-L219</f>
        <v>77334.607362011797</v>
      </c>
      <c r="O219" s="152">
        <f t="shared" ref="O219:O220" si="62">O218+G219-I219-L219</f>
        <v>1659446.2733620114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4135</v>
      </c>
      <c r="I220" s="152"/>
      <c r="J220" s="157"/>
      <c r="K220" s="157">
        <v>5800362608</v>
      </c>
      <c r="L220" s="227">
        <v>77334.607362011797</v>
      </c>
      <c r="M220" s="157" t="s">
        <v>4154</v>
      </c>
      <c r="N220" s="152">
        <f t="shared" ref="N220" si="63">G85+N219-I220-L220</f>
        <v>0</v>
      </c>
      <c r="O220" s="152">
        <f t="shared" si="62"/>
        <v>1582111.6659999997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4135</v>
      </c>
      <c r="I221" s="152"/>
      <c r="J221" s="157"/>
      <c r="K221" s="157">
        <v>5800362608</v>
      </c>
      <c r="L221" s="227">
        <f>87689-L220</f>
        <v>10354.392637988203</v>
      </c>
      <c r="M221" s="157" t="s">
        <v>4154</v>
      </c>
      <c r="N221" s="152">
        <f>G111+N220-I221-L221</f>
        <v>33599.253362011776</v>
      </c>
      <c r="O221" s="152">
        <f t="shared" ref="O221:O228" si="64">O220+G221-I221-L221</f>
        <v>1571757.2733620116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4135</v>
      </c>
      <c r="I222" s="152"/>
      <c r="J222" s="157"/>
      <c r="K222" s="157">
        <v>5800362608</v>
      </c>
      <c r="L222" s="227">
        <v>14544</v>
      </c>
      <c r="M222" s="157" t="s">
        <v>4154</v>
      </c>
      <c r="N222" s="152">
        <f>+N221-I222-L222</f>
        <v>19055.253362011776</v>
      </c>
      <c r="O222" s="152">
        <f t="shared" si="64"/>
        <v>1557213.2733620116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4135</v>
      </c>
      <c r="I223" s="152"/>
      <c r="J223" s="157"/>
      <c r="K223" s="157">
        <v>5800362608</v>
      </c>
      <c r="L223" s="227">
        <v>7916</v>
      </c>
      <c r="M223" s="157" t="s">
        <v>4154</v>
      </c>
      <c r="N223" s="152">
        <f>+N222-I223-L223</f>
        <v>11139.253362011776</v>
      </c>
      <c r="O223" s="152">
        <f t="shared" si="64"/>
        <v>1549297.2733620116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4135</v>
      </c>
      <c r="I224" s="152"/>
      <c r="J224" s="157"/>
      <c r="K224" s="157">
        <v>5800362608</v>
      </c>
      <c r="L224" s="227">
        <v>11139.253362011776</v>
      </c>
      <c r="M224" s="157" t="s">
        <v>4154</v>
      </c>
      <c r="N224" s="152">
        <f>+N223-I224-L224</f>
        <v>0</v>
      </c>
      <c r="O224" s="152">
        <f t="shared" si="64"/>
        <v>1538158.0199999998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4135</v>
      </c>
      <c r="I225" s="152"/>
      <c r="J225" s="157"/>
      <c r="K225" s="157">
        <v>5800361781</v>
      </c>
      <c r="L225" s="227">
        <f>35273-L224</f>
        <v>24133.746637988224</v>
      </c>
      <c r="M225" s="157" t="s">
        <v>4155</v>
      </c>
      <c r="N225" s="152">
        <f>G113+N224-I225-L225</f>
        <v>107758.73936201181</v>
      </c>
      <c r="O225" s="152">
        <f t="shared" ref="O225:O227" si="65">O224+G225-I225-L225</f>
        <v>1514024.2733620116</v>
      </c>
    </row>
    <row r="226" spans="1:15" x14ac:dyDescent="0.15">
      <c r="A226" s="154"/>
      <c r="B226" s="151"/>
      <c r="C226" s="152"/>
      <c r="D226" s="323" t="s">
        <v>4136</v>
      </c>
      <c r="E226" s="154" t="s">
        <v>72</v>
      </c>
      <c r="F226" s="157" t="s">
        <v>4160</v>
      </c>
      <c r="G226" s="152">
        <v>24136.047000000079</v>
      </c>
      <c r="H226" s="323" t="s">
        <v>4136</v>
      </c>
      <c r="I226" s="152">
        <v>14740.55</v>
      </c>
      <c r="J226" s="157" t="s">
        <v>4155</v>
      </c>
      <c r="K226" s="157">
        <v>5800361781</v>
      </c>
      <c r="L226" s="227">
        <v>14724.492</v>
      </c>
      <c r="M226" s="157" t="s">
        <v>4155</v>
      </c>
      <c r="N226" s="152">
        <f t="shared" ref="N226:N227" si="66">G91+N225-I226-L226</f>
        <v>78293.697362011808</v>
      </c>
      <c r="O226" s="152">
        <f t="shared" si="65"/>
        <v>1508695.2783620115</v>
      </c>
    </row>
    <row r="227" spans="1:15" x14ac:dyDescent="0.15">
      <c r="A227" s="154"/>
      <c r="B227" s="151"/>
      <c r="C227" s="152"/>
      <c r="D227" s="323" t="s">
        <v>4136</v>
      </c>
      <c r="E227" s="154" t="s">
        <v>72</v>
      </c>
      <c r="F227" s="157" t="s">
        <v>4161</v>
      </c>
      <c r="G227" s="152">
        <v>195623.55999999991</v>
      </c>
      <c r="H227" s="323" t="s">
        <v>4136</v>
      </c>
      <c r="I227" s="152"/>
      <c r="J227" s="157"/>
      <c r="K227" s="157">
        <v>5800361781</v>
      </c>
      <c r="L227" s="227">
        <v>18313.856</v>
      </c>
      <c r="M227" s="157" t="s">
        <v>4155</v>
      </c>
      <c r="N227" s="152">
        <f t="shared" si="66"/>
        <v>59979.841362011808</v>
      </c>
      <c r="O227" s="152">
        <f t="shared" si="65"/>
        <v>1686004.9823620114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4136</v>
      </c>
      <c r="I228" s="152"/>
      <c r="J228" s="157"/>
      <c r="K228" s="157">
        <v>5800361781</v>
      </c>
      <c r="L228" s="227">
        <v>11017.117</v>
      </c>
      <c r="M228" s="157" t="s">
        <v>4155</v>
      </c>
      <c r="N228" s="152">
        <f>G92+N227-I228-L228</f>
        <v>48962.72436201181</v>
      </c>
      <c r="O228" s="152">
        <f t="shared" si="64"/>
        <v>1674987.8653620114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4136</v>
      </c>
      <c r="I229" s="152"/>
      <c r="J229" s="157"/>
      <c r="K229" s="157">
        <v>5800361781</v>
      </c>
      <c r="L229" s="227">
        <v>6854.6949999999997</v>
      </c>
      <c r="M229" s="157" t="s">
        <v>4155</v>
      </c>
      <c r="N229" s="152">
        <f t="shared" si="39"/>
        <v>42108.02936201181</v>
      </c>
      <c r="O229" s="152">
        <f t="shared" si="38"/>
        <v>1668133.1703620113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4136</v>
      </c>
      <c r="I230" s="152"/>
      <c r="J230" s="157"/>
      <c r="K230" s="157">
        <v>5800361781</v>
      </c>
      <c r="L230" s="227">
        <v>13868.406000000001</v>
      </c>
      <c r="M230" s="157" t="s">
        <v>4155</v>
      </c>
      <c r="N230" s="152">
        <f t="shared" si="39"/>
        <v>28239.623362011807</v>
      </c>
      <c r="O230" s="152">
        <f t="shared" si="38"/>
        <v>1654264.7643620113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4136</v>
      </c>
      <c r="I231" s="152"/>
      <c r="J231" s="157"/>
      <c r="K231" s="157">
        <v>5800361781</v>
      </c>
      <c r="L231" s="227">
        <v>8147.8680000000004</v>
      </c>
      <c r="M231" s="157" t="s">
        <v>4155</v>
      </c>
      <c r="N231" s="152">
        <f t="shared" si="39"/>
        <v>20091.755362011805</v>
      </c>
      <c r="O231" s="152">
        <f t="shared" si="38"/>
        <v>1646116.8963620113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4136</v>
      </c>
      <c r="I232" s="152"/>
      <c r="J232" s="157"/>
      <c r="K232" s="157">
        <v>5800361781</v>
      </c>
      <c r="L232" s="227">
        <v>20091.755362011805</v>
      </c>
      <c r="M232" s="157" t="s">
        <v>4155</v>
      </c>
      <c r="N232" s="152">
        <f t="shared" si="39"/>
        <v>0</v>
      </c>
      <c r="O232" s="152">
        <f t="shared" si="38"/>
        <v>1626025.1409999996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4136</v>
      </c>
      <c r="I233" s="152"/>
      <c r="J233" s="157"/>
      <c r="K233" s="157">
        <v>5800361781</v>
      </c>
      <c r="L233" s="227">
        <f>32763.386-L232</f>
        <v>12671.630637988193</v>
      </c>
      <c r="M233" s="157" t="s">
        <v>4155</v>
      </c>
      <c r="N233" s="152">
        <f>G125+N232-I233-L233</f>
        <v>163231.53236201181</v>
      </c>
      <c r="O233" s="152">
        <f t="shared" ref="O233:O240" si="67">O232+G233-I233-L233</f>
        <v>1613353.5103620114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4136</v>
      </c>
      <c r="I234" s="152"/>
      <c r="J234" s="157"/>
      <c r="K234" s="157">
        <v>5800361781</v>
      </c>
      <c r="L234" s="227">
        <v>13869.967000000001</v>
      </c>
      <c r="M234" s="157" t="s">
        <v>4155</v>
      </c>
      <c r="N234" s="152">
        <f t="shared" ref="N234:N240" si="68">+N233-I234-L234</f>
        <v>149361.56536201181</v>
      </c>
      <c r="O234" s="152">
        <f t="shared" si="67"/>
        <v>1599483.5433620114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4136</v>
      </c>
      <c r="I235" s="152"/>
      <c r="J235" s="157"/>
      <c r="K235" s="157">
        <v>5800361781</v>
      </c>
      <c r="L235" s="227">
        <v>5103.4120000000003</v>
      </c>
      <c r="M235" s="157" t="s">
        <v>4155</v>
      </c>
      <c r="N235" s="152">
        <f t="shared" si="68"/>
        <v>144258.1533620118</v>
      </c>
      <c r="O235" s="152">
        <f t="shared" si="67"/>
        <v>1594380.1313620114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4136</v>
      </c>
      <c r="I236" s="152"/>
      <c r="J236" s="157"/>
      <c r="K236" s="157">
        <v>5800361781</v>
      </c>
      <c r="L236" s="227">
        <v>12093.867</v>
      </c>
      <c r="M236" s="157" t="s">
        <v>4155</v>
      </c>
      <c r="N236" s="152">
        <f t="shared" si="68"/>
        <v>132164.2863620118</v>
      </c>
      <c r="O236" s="152">
        <f t="shared" si="67"/>
        <v>1582286.2643620113</v>
      </c>
    </row>
    <row r="237" spans="1:15" x14ac:dyDescent="0.15">
      <c r="A237" s="154"/>
      <c r="B237" s="151"/>
      <c r="C237" s="152"/>
      <c r="D237" s="323" t="s">
        <v>4137</v>
      </c>
      <c r="E237" s="154" t="s">
        <v>72</v>
      </c>
      <c r="F237" s="157" t="s">
        <v>4161</v>
      </c>
      <c r="G237" s="152">
        <v>87886.500999999902</v>
      </c>
      <c r="H237" s="323" t="s">
        <v>4137</v>
      </c>
      <c r="I237" s="152">
        <v>15438.435000000001</v>
      </c>
      <c r="J237" s="157" t="s">
        <v>4155</v>
      </c>
      <c r="K237" s="157">
        <v>5800361781</v>
      </c>
      <c r="L237" s="227">
        <v>15723.406000000001</v>
      </c>
      <c r="M237" s="157" t="s">
        <v>4155</v>
      </c>
      <c r="N237" s="152">
        <f t="shared" si="68"/>
        <v>101002.4453620118</v>
      </c>
      <c r="O237" s="152">
        <f t="shared" si="67"/>
        <v>1639010.9243620113</v>
      </c>
    </row>
    <row r="238" spans="1:15" x14ac:dyDescent="0.15">
      <c r="A238" s="154"/>
      <c r="B238" s="151"/>
      <c r="C238" s="152"/>
      <c r="D238" s="323" t="s">
        <v>4137</v>
      </c>
      <c r="E238" s="154" t="s">
        <v>72</v>
      </c>
      <c r="F238" s="157" t="s">
        <v>4162</v>
      </c>
      <c r="G238" s="152">
        <v>131882.9360000001</v>
      </c>
      <c r="H238" s="323" t="s">
        <v>4137</v>
      </c>
      <c r="I238" s="152"/>
      <c r="J238" s="157"/>
      <c r="K238" s="157">
        <v>5800361781</v>
      </c>
      <c r="L238" s="227">
        <v>12530.73</v>
      </c>
      <c r="M238" s="157" t="s">
        <v>4155</v>
      </c>
      <c r="N238" s="152">
        <f t="shared" si="68"/>
        <v>88471.715362011804</v>
      </c>
      <c r="O238" s="152">
        <f t="shared" si="67"/>
        <v>1758363.1303620115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4137</v>
      </c>
      <c r="I239" s="152"/>
      <c r="J239" s="157"/>
      <c r="K239" s="157">
        <v>5800361781</v>
      </c>
      <c r="L239" s="227">
        <v>15595.419</v>
      </c>
      <c r="M239" s="157" t="s">
        <v>4155</v>
      </c>
      <c r="N239" s="152">
        <f t="shared" si="68"/>
        <v>72876.29636201181</v>
      </c>
      <c r="O239" s="152">
        <f t="shared" si="67"/>
        <v>1742767.7113620115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4137</v>
      </c>
      <c r="I240" s="152"/>
      <c r="J240" s="157"/>
      <c r="K240" s="157">
        <v>5800361781</v>
      </c>
      <c r="L240" s="227">
        <v>12866.696</v>
      </c>
      <c r="M240" s="157" t="s">
        <v>4155</v>
      </c>
      <c r="N240" s="152">
        <f t="shared" si="68"/>
        <v>60009.600362011814</v>
      </c>
      <c r="O240" s="152">
        <f t="shared" si="67"/>
        <v>1729901.0153620115</v>
      </c>
    </row>
    <row r="241" spans="1:15" x14ac:dyDescent="0.15">
      <c r="A241" s="154"/>
      <c r="B241" s="151"/>
      <c r="C241" s="152"/>
      <c r="D241" s="323"/>
      <c r="E241" s="154"/>
      <c r="F241" s="157"/>
      <c r="G241" s="152"/>
      <c r="H241" s="323" t="s">
        <v>4137</v>
      </c>
      <c r="I241" s="152"/>
      <c r="J241" s="157"/>
      <c r="K241" s="157">
        <v>5800361781</v>
      </c>
      <c r="L241" s="227">
        <v>7057.2849999999999</v>
      </c>
      <c r="M241" s="157" t="s">
        <v>4155</v>
      </c>
      <c r="N241" s="152">
        <f t="shared" ref="N241:N282" si="69">+N240-I241-L241</f>
        <v>52952.31536201181</v>
      </c>
      <c r="O241" s="152">
        <f t="shared" ref="O241:O282" si="70">O240+G241-I241-L241</f>
        <v>1722843.7303620116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4137</v>
      </c>
      <c r="I242" s="152"/>
      <c r="J242" s="157"/>
      <c r="K242" s="157">
        <v>5800361781</v>
      </c>
      <c r="L242" s="227">
        <v>14184.562</v>
      </c>
      <c r="M242" s="157" t="s">
        <v>4155</v>
      </c>
      <c r="N242" s="152">
        <f t="shared" si="69"/>
        <v>38767.753362011812</v>
      </c>
      <c r="O242" s="152">
        <f t="shared" si="70"/>
        <v>1708659.1683620117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4137</v>
      </c>
      <c r="I243" s="152"/>
      <c r="J243" s="157"/>
      <c r="K243" s="157">
        <v>5800361781</v>
      </c>
      <c r="L243" s="227">
        <v>15484.43</v>
      </c>
      <c r="M243" s="157" t="s">
        <v>4155</v>
      </c>
      <c r="N243" s="152">
        <f>+N242-I243-L243</f>
        <v>23283.323362011812</v>
      </c>
      <c r="O243" s="152">
        <f t="shared" si="70"/>
        <v>1693174.7383620117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4137</v>
      </c>
      <c r="I244" s="152"/>
      <c r="J244" s="157"/>
      <c r="K244" s="157">
        <v>5800361781</v>
      </c>
      <c r="L244" s="227">
        <v>23283.323362011812</v>
      </c>
      <c r="M244" s="157" t="s">
        <v>4155</v>
      </c>
      <c r="N244" s="152">
        <f>G104+N243-I244-L244</f>
        <v>0</v>
      </c>
      <c r="O244" s="152">
        <f t="shared" ref="O244" si="71">O243+G244-I244-L244</f>
        <v>1669891.415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4137</v>
      </c>
      <c r="I245" s="152"/>
      <c r="J245" s="157"/>
      <c r="K245" s="157">
        <v>5800361781</v>
      </c>
      <c r="L245" s="227">
        <f>70226.88-L244</f>
        <v>46943.556637988193</v>
      </c>
      <c r="M245" s="157" t="s">
        <v>4155</v>
      </c>
      <c r="N245" s="152">
        <f>G138+N244-I245-L245</f>
        <v>40962.850362011755</v>
      </c>
      <c r="O245" s="152">
        <f t="shared" ref="O245" si="72">O244+G245-I245-L245</f>
        <v>1622947.8583620118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4137</v>
      </c>
      <c r="I246" s="152"/>
      <c r="J246" s="157"/>
      <c r="K246" s="157">
        <v>5800361781</v>
      </c>
      <c r="L246" s="227">
        <v>6049.3869999999997</v>
      </c>
      <c r="M246" s="157" t="s">
        <v>4155</v>
      </c>
      <c r="N246" s="152">
        <f t="shared" ref="N246:N248" si="73">+N245-I246-L246</f>
        <v>34913.463362011753</v>
      </c>
      <c r="O246" s="152">
        <f t="shared" ref="O246:O248" si="74">O245+G246-I246-L246</f>
        <v>1616898.4713620117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4137</v>
      </c>
      <c r="I247" s="152"/>
      <c r="J247" s="157"/>
      <c r="K247" s="157">
        <v>5800361781</v>
      </c>
      <c r="L247" s="227">
        <v>11325.852000000001</v>
      </c>
      <c r="M247" s="157" t="s">
        <v>4155</v>
      </c>
      <c r="N247" s="152">
        <f t="shared" si="73"/>
        <v>23587.611362011754</v>
      </c>
      <c r="O247" s="152">
        <f t="shared" si="74"/>
        <v>1605572.6193620118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4137</v>
      </c>
      <c r="I248" s="152"/>
      <c r="J248" s="157"/>
      <c r="K248" s="157">
        <v>5800361781</v>
      </c>
      <c r="L248" s="227">
        <v>23587.611362011754</v>
      </c>
      <c r="M248" s="157" t="s">
        <v>4155</v>
      </c>
      <c r="N248" s="152">
        <f t="shared" si="73"/>
        <v>0</v>
      </c>
      <c r="O248" s="152">
        <f t="shared" si="74"/>
        <v>1581985.0079999999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4137</v>
      </c>
      <c r="I249" s="152"/>
      <c r="J249" s="157"/>
      <c r="K249" s="157">
        <v>5800361781</v>
      </c>
      <c r="L249" s="227">
        <f>34585.493-L248</f>
        <v>10997.881637988248</v>
      </c>
      <c r="M249" s="157" t="s">
        <v>4156</v>
      </c>
      <c r="N249" s="152">
        <f>G139+N248-I249-L249</f>
        <v>77047.095362011794</v>
      </c>
      <c r="O249" s="152">
        <f t="shared" ref="O249:O252" si="75">O248+G249-I249-L249</f>
        <v>1570987.1263620118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4137</v>
      </c>
      <c r="I250" s="152"/>
      <c r="J250" s="157"/>
      <c r="K250" s="157">
        <v>5800361781</v>
      </c>
      <c r="L250" s="227">
        <v>14657.513999999999</v>
      </c>
      <c r="M250" s="157" t="s">
        <v>4156</v>
      </c>
      <c r="N250" s="152">
        <f t="shared" ref="N250:N252" si="76">+N249-I250-L250</f>
        <v>62389.581362011799</v>
      </c>
      <c r="O250" s="152">
        <f t="shared" si="75"/>
        <v>1556329.6123620118</v>
      </c>
    </row>
    <row r="251" spans="1:15" x14ac:dyDescent="0.15">
      <c r="A251" s="154"/>
      <c r="B251" s="151"/>
      <c r="C251" s="152"/>
      <c r="D251" s="323" t="s">
        <v>4138</v>
      </c>
      <c r="E251" s="154" t="s">
        <v>72</v>
      </c>
      <c r="F251" s="157" t="s">
        <v>4162</v>
      </c>
      <c r="G251" s="152">
        <v>175814.65599999999</v>
      </c>
      <c r="H251" s="323" t="s">
        <v>4138</v>
      </c>
      <c r="I251" s="152">
        <v>13554.687</v>
      </c>
      <c r="J251" s="157" t="s">
        <v>4156</v>
      </c>
      <c r="K251" s="157">
        <v>5800361781</v>
      </c>
      <c r="L251" s="227">
        <v>13605.136</v>
      </c>
      <c r="M251" s="157" t="s">
        <v>4156</v>
      </c>
      <c r="N251" s="152">
        <f t="shared" si="76"/>
        <v>35229.758362011802</v>
      </c>
      <c r="O251" s="152">
        <f t="shared" si="75"/>
        <v>1704984.4453620119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4138</v>
      </c>
      <c r="I252" s="152"/>
      <c r="J252" s="157"/>
      <c r="K252" s="157">
        <v>5800361781</v>
      </c>
      <c r="L252" s="227">
        <v>19454.914000000001</v>
      </c>
      <c r="M252" s="157" t="s">
        <v>4156</v>
      </c>
      <c r="N252" s="152">
        <f t="shared" si="76"/>
        <v>15774.844362011801</v>
      </c>
      <c r="O252" s="152">
        <f t="shared" si="75"/>
        <v>1685529.5313620118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4138</v>
      </c>
      <c r="I253" s="152"/>
      <c r="J253" s="157"/>
      <c r="K253" s="157">
        <v>5800361781</v>
      </c>
      <c r="L253" s="227">
        <v>12181.703</v>
      </c>
      <c r="M253" s="157" t="s">
        <v>4156</v>
      </c>
      <c r="N253" s="152">
        <f t="shared" ref="N253:N254" si="77">+N252-I253-L253</f>
        <v>3593.1413620118019</v>
      </c>
      <c r="O253" s="152">
        <f t="shared" ref="O253:O254" si="78">O252+G253-I253-L253</f>
        <v>1673347.8283620118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4138</v>
      </c>
      <c r="I254" s="152"/>
      <c r="J254" s="157"/>
      <c r="K254" s="157">
        <v>5800361781</v>
      </c>
      <c r="L254" s="227">
        <v>3593.1413620118019</v>
      </c>
      <c r="M254" s="157" t="s">
        <v>4156</v>
      </c>
      <c r="N254" s="152">
        <f t="shared" si="77"/>
        <v>0</v>
      </c>
      <c r="O254" s="152">
        <f t="shared" si="78"/>
        <v>1669754.6869999999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4138</v>
      </c>
      <c r="I255" s="152"/>
      <c r="J255" s="157"/>
      <c r="K255" s="157">
        <v>5800361781</v>
      </c>
      <c r="L255" s="227">
        <f>6980.122-L254</f>
        <v>3386.9806379881984</v>
      </c>
      <c r="M255" s="157" t="s">
        <v>4156</v>
      </c>
      <c r="N255" s="152">
        <f>G149+N254-I255-L255</f>
        <v>40538.904362011752</v>
      </c>
      <c r="O255" s="152">
        <f t="shared" ref="O255:O256" si="79">O254+G255-I255-L255</f>
        <v>1666367.7063620116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4138</v>
      </c>
      <c r="I256" s="152"/>
      <c r="J256" s="157"/>
      <c r="K256" s="157">
        <v>5800361781</v>
      </c>
      <c r="L256" s="227">
        <v>40538.904362011752</v>
      </c>
      <c r="M256" s="157" t="s">
        <v>4156</v>
      </c>
      <c r="N256" s="152">
        <f t="shared" ref="N256" si="80">+N255-I256-L256</f>
        <v>0</v>
      </c>
      <c r="O256" s="152">
        <f t="shared" si="79"/>
        <v>1625828.8019999999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4138</v>
      </c>
      <c r="I257" s="152"/>
      <c r="J257" s="157"/>
      <c r="K257" s="157">
        <v>5800362608</v>
      </c>
      <c r="L257" s="227">
        <f>70600.461-L256</f>
        <v>30061.556637988244</v>
      </c>
      <c r="M257" s="157" t="s">
        <v>4157</v>
      </c>
      <c r="N257" s="152">
        <f>G150+N256-I257-L257</f>
        <v>101782.45936201181</v>
      </c>
      <c r="O257" s="152">
        <f t="shared" ref="O257:O259" si="81">O256+G257-I257-L257</f>
        <v>1595767.2453620117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4138</v>
      </c>
      <c r="I258" s="152"/>
      <c r="J258" s="157"/>
      <c r="K258" s="157">
        <v>5800362608</v>
      </c>
      <c r="L258" s="227">
        <v>31209.487000000001</v>
      </c>
      <c r="M258" s="157" t="s">
        <v>4157</v>
      </c>
      <c r="N258" s="152">
        <f t="shared" ref="N258:N259" si="82">+N257-I258-L258</f>
        <v>70572.972362011817</v>
      </c>
      <c r="O258" s="152">
        <f t="shared" si="81"/>
        <v>1564557.7583620118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4138</v>
      </c>
      <c r="I259" s="152"/>
      <c r="J259" s="157"/>
      <c r="K259" s="157">
        <v>5800362608</v>
      </c>
      <c r="L259" s="227">
        <v>70572.972362011817</v>
      </c>
      <c r="M259" s="157" t="s">
        <v>4157</v>
      </c>
      <c r="N259" s="152">
        <f t="shared" si="82"/>
        <v>0</v>
      </c>
      <c r="O259" s="152">
        <f t="shared" si="81"/>
        <v>1493984.7859999998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4138</v>
      </c>
      <c r="I260" s="152"/>
      <c r="J260" s="157"/>
      <c r="K260" s="157">
        <v>5800362608</v>
      </c>
      <c r="L260" s="227">
        <f>86026.15-L259</f>
        <v>15453.177637988178</v>
      </c>
      <c r="M260" s="157" t="s">
        <v>4157</v>
      </c>
      <c r="N260" s="152">
        <f>G161+N259-I260-L260</f>
        <v>160258.54136201183</v>
      </c>
      <c r="O260" s="152">
        <f t="shared" ref="O260:O264" si="83">O259+G260-I260-L260</f>
        <v>1478531.6083620116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4138</v>
      </c>
      <c r="I261" s="152"/>
      <c r="J261" s="157"/>
      <c r="K261" s="157">
        <v>5800362608</v>
      </c>
      <c r="L261" s="227">
        <v>83291.555999999997</v>
      </c>
      <c r="M261" s="157" t="s">
        <v>4157</v>
      </c>
      <c r="N261" s="152">
        <f t="shared" ref="N261:N264" si="84">+N260-I261-L261</f>
        <v>76966.985362011837</v>
      </c>
      <c r="O261" s="152">
        <f t="shared" si="83"/>
        <v>1395240.0523620115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4138</v>
      </c>
      <c r="I262" s="152"/>
      <c r="J262" s="157"/>
      <c r="K262" s="157">
        <v>5800362608</v>
      </c>
      <c r="L262" s="227">
        <v>14783.501</v>
      </c>
      <c r="M262" s="157" t="s">
        <v>4157</v>
      </c>
      <c r="N262" s="152">
        <f t="shared" si="84"/>
        <v>62183.484362011834</v>
      </c>
      <c r="O262" s="152">
        <f t="shared" si="83"/>
        <v>1380456.5513620116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4138</v>
      </c>
      <c r="I263" s="152"/>
      <c r="J263" s="157"/>
      <c r="K263" s="157">
        <v>5800362608</v>
      </c>
      <c r="L263" s="227">
        <v>6267.3649999999998</v>
      </c>
      <c r="M263" s="157" t="s">
        <v>4157</v>
      </c>
      <c r="N263" s="152">
        <f t="shared" si="84"/>
        <v>55916.119362011836</v>
      </c>
      <c r="O263" s="152">
        <f t="shared" si="83"/>
        <v>1374189.1863620116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4138</v>
      </c>
      <c r="I264" s="152"/>
      <c r="J264" s="157"/>
      <c r="K264" s="157">
        <v>5800362608</v>
      </c>
      <c r="L264" s="227">
        <v>12758.707</v>
      </c>
      <c r="M264" s="157" t="s">
        <v>4157</v>
      </c>
      <c r="N264" s="152">
        <f t="shared" si="84"/>
        <v>43157.412362011833</v>
      </c>
      <c r="O264" s="152">
        <f t="shared" si="83"/>
        <v>1361430.4793620117</v>
      </c>
    </row>
    <row r="265" spans="1:15" x14ac:dyDescent="0.15">
      <c r="A265" s="154"/>
      <c r="B265" s="151"/>
      <c r="C265" s="152"/>
      <c r="D265" s="323" t="s">
        <v>4139</v>
      </c>
      <c r="E265" s="154" t="s">
        <v>72</v>
      </c>
      <c r="F265" s="157" t="s">
        <v>4163</v>
      </c>
      <c r="G265" s="152">
        <v>263913.87900000002</v>
      </c>
      <c r="H265" s="323" t="s">
        <v>4139</v>
      </c>
      <c r="I265" s="152">
        <v>15120.580000000002</v>
      </c>
      <c r="J265" s="157" t="s">
        <v>4157</v>
      </c>
      <c r="K265" s="157">
        <v>5800362608</v>
      </c>
      <c r="L265" s="227">
        <v>13910.23</v>
      </c>
      <c r="M265" s="157" t="s">
        <v>4157</v>
      </c>
      <c r="N265" s="152">
        <f t="shared" ref="N265:N266" si="85">+N264-I265-L265</f>
        <v>14126.602362011832</v>
      </c>
      <c r="O265" s="152">
        <f t="shared" ref="O265:O266" si="86">O264+G265-I265-L265</f>
        <v>1596313.5483620116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4139</v>
      </c>
      <c r="I266" s="152"/>
      <c r="J266" s="157"/>
      <c r="K266" s="157">
        <v>5800362608</v>
      </c>
      <c r="L266" s="227">
        <v>13885.222</v>
      </c>
      <c r="M266" s="157" t="s">
        <v>4157</v>
      </c>
      <c r="N266" s="152">
        <f t="shared" si="85"/>
        <v>241.3803620118324</v>
      </c>
      <c r="O266" s="152">
        <f t="shared" si="86"/>
        <v>1582428.3263620115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4139</v>
      </c>
      <c r="I267" s="152"/>
      <c r="J267" s="157"/>
      <c r="K267" s="157">
        <v>5800362608</v>
      </c>
      <c r="L267" s="227">
        <v>241.3803620118324</v>
      </c>
      <c r="M267" s="157" t="s">
        <v>4157</v>
      </c>
      <c r="N267" s="152">
        <f t="shared" si="69"/>
        <v>0</v>
      </c>
      <c r="O267" s="152">
        <f t="shared" si="70"/>
        <v>1582186.9459999998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4139</v>
      </c>
      <c r="I268" s="152"/>
      <c r="J268" s="157"/>
      <c r="K268" s="157">
        <v>5800362608</v>
      </c>
      <c r="L268" s="227">
        <f>12116.684-L267</f>
        <v>11875.303637988167</v>
      </c>
      <c r="M268" s="157" t="s">
        <v>4157</v>
      </c>
      <c r="N268" s="152">
        <f>G173+N267-I268-L268</f>
        <v>40545.321362011804</v>
      </c>
      <c r="O268" s="152">
        <f t="shared" ref="O268:O270" si="87">O267+G268-I268-L268</f>
        <v>1570311.6423620116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4139</v>
      </c>
      <c r="I269" s="152"/>
      <c r="J269" s="157"/>
      <c r="K269" s="157">
        <v>5800362608</v>
      </c>
      <c r="L269" s="227">
        <v>13416.08</v>
      </c>
      <c r="M269" s="157" t="s">
        <v>4157</v>
      </c>
      <c r="N269" s="152">
        <f t="shared" ref="N269:N270" si="88">+N268-I269-L269</f>
        <v>27129.241362011802</v>
      </c>
      <c r="O269" s="152">
        <f t="shared" si="87"/>
        <v>1556895.5623620115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4139</v>
      </c>
      <c r="I270" s="152"/>
      <c r="J270" s="157"/>
      <c r="K270" s="157">
        <v>5800362608</v>
      </c>
      <c r="L270" s="227">
        <v>8114.4669999999996</v>
      </c>
      <c r="M270" s="157" t="s">
        <v>4157</v>
      </c>
      <c r="N270" s="152">
        <f t="shared" si="88"/>
        <v>19014.774362011802</v>
      </c>
      <c r="O270" s="152">
        <f t="shared" si="87"/>
        <v>1548781.0953620116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4139</v>
      </c>
      <c r="I271" s="152"/>
      <c r="J271" s="157"/>
      <c r="K271" s="157">
        <v>5800362608</v>
      </c>
      <c r="L271" s="227">
        <v>12481.795</v>
      </c>
      <c r="M271" s="157" t="s">
        <v>4157</v>
      </c>
      <c r="N271" s="152">
        <f t="shared" si="69"/>
        <v>6532.9793620118016</v>
      </c>
      <c r="O271" s="152">
        <f t="shared" si="70"/>
        <v>1536299.3003620117</v>
      </c>
    </row>
    <row r="272" spans="1:15" x14ac:dyDescent="0.15">
      <c r="A272" s="154"/>
      <c r="B272" s="151"/>
      <c r="C272" s="152"/>
      <c r="D272" s="323"/>
      <c r="E272" s="154"/>
      <c r="F272" s="157"/>
      <c r="G272" s="152"/>
      <c r="H272" s="323" t="s">
        <v>4139</v>
      </c>
      <c r="I272" s="152"/>
      <c r="J272" s="157"/>
      <c r="K272" s="157">
        <v>5800362608</v>
      </c>
      <c r="L272" s="227">
        <v>703.21400000000006</v>
      </c>
      <c r="M272" s="157" t="s">
        <v>4157</v>
      </c>
      <c r="N272" s="152">
        <f t="shared" si="69"/>
        <v>5829.7653620118017</v>
      </c>
      <c r="O272" s="152">
        <f t="shared" si="70"/>
        <v>1535596.0863620117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4139</v>
      </c>
      <c r="I273" s="152"/>
      <c r="J273" s="157"/>
      <c r="K273" s="157">
        <v>5800362608</v>
      </c>
      <c r="L273" s="227">
        <v>5829.7653620118017</v>
      </c>
      <c r="M273" s="157" t="s">
        <v>4157</v>
      </c>
      <c r="N273" s="152">
        <f t="shared" si="69"/>
        <v>0</v>
      </c>
      <c r="O273" s="152">
        <f t="shared" si="70"/>
        <v>1529766.321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4139</v>
      </c>
      <c r="I274" s="152"/>
      <c r="J274" s="157"/>
      <c r="K274" s="157">
        <v>5800361781</v>
      </c>
      <c r="L274" s="227">
        <f>18605.339-L273</f>
        <v>12775.573637988198</v>
      </c>
      <c r="M274" s="157" t="s">
        <v>4158</v>
      </c>
      <c r="N274" s="152">
        <f>G174+N273-I274-L274</f>
        <v>110595.22636201182</v>
      </c>
      <c r="O274" s="152">
        <f t="shared" ref="O274:O276" si="89">O273+G274-I274-L274</f>
        <v>1516990.7473620118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4139</v>
      </c>
      <c r="I275" s="152"/>
      <c r="J275" s="157"/>
      <c r="K275" s="157">
        <v>5800361781</v>
      </c>
      <c r="L275" s="227">
        <v>4670.5789999999997</v>
      </c>
      <c r="M275" s="157" t="s">
        <v>4158</v>
      </c>
      <c r="N275" s="152">
        <f t="shared" ref="N275:N276" si="90">+N274-I275-L275</f>
        <v>105924.64736201182</v>
      </c>
      <c r="O275" s="152">
        <f t="shared" si="89"/>
        <v>1512320.1683620119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4139</v>
      </c>
      <c r="I276" s="152"/>
      <c r="J276" s="157"/>
      <c r="K276" s="157">
        <v>5800361781</v>
      </c>
      <c r="L276" s="227">
        <v>12472.205</v>
      </c>
      <c r="M276" s="157" t="s">
        <v>4158</v>
      </c>
      <c r="N276" s="152">
        <f t="shared" si="90"/>
        <v>93452.442362011818</v>
      </c>
      <c r="O276" s="152">
        <f t="shared" si="89"/>
        <v>1499847.9633620118</v>
      </c>
    </row>
    <row r="277" spans="1:15" x14ac:dyDescent="0.15">
      <c r="A277" s="154"/>
      <c r="B277" s="151"/>
      <c r="C277" s="152"/>
      <c r="D277" s="323" t="s">
        <v>4140</v>
      </c>
      <c r="E277" s="154" t="s">
        <v>72</v>
      </c>
      <c r="F277" s="157" t="s">
        <v>4163</v>
      </c>
      <c r="G277" s="152">
        <v>263713.67600000004</v>
      </c>
      <c r="H277" s="323" t="s">
        <v>4140</v>
      </c>
      <c r="I277" s="152">
        <v>15335.141</v>
      </c>
      <c r="J277" s="157" t="s">
        <v>4158</v>
      </c>
      <c r="K277" s="157">
        <v>5800361781</v>
      </c>
      <c r="L277" s="227">
        <v>14024.264999999999</v>
      </c>
      <c r="M277" s="157" t="s">
        <v>4158</v>
      </c>
      <c r="N277" s="152">
        <f t="shared" ref="N277:N281" si="91">+N276-I277-L277</f>
        <v>64093.036362011815</v>
      </c>
      <c r="O277" s="152">
        <f t="shared" ref="O277:O281" si="92">O276+G277-I277-L277</f>
        <v>1734202.2333620118</v>
      </c>
    </row>
    <row r="278" spans="1:15" x14ac:dyDescent="0.15">
      <c r="A278" s="154"/>
      <c r="B278" s="151"/>
      <c r="C278" s="152"/>
      <c r="D278" s="323" t="s">
        <v>4140</v>
      </c>
      <c r="E278" s="154" t="s">
        <v>72</v>
      </c>
      <c r="F278" s="157" t="s">
        <v>4165</v>
      </c>
      <c r="G278" s="152">
        <v>87937.513999999966</v>
      </c>
      <c r="H278" s="323" t="s">
        <v>4140</v>
      </c>
      <c r="I278" s="152"/>
      <c r="J278" s="157"/>
      <c r="K278" s="157">
        <v>5800361781</v>
      </c>
      <c r="L278" s="227">
        <v>14669.460999999999</v>
      </c>
      <c r="M278" s="157" t="s">
        <v>4158</v>
      </c>
      <c r="N278" s="152">
        <f t="shared" si="91"/>
        <v>49423.575362011819</v>
      </c>
      <c r="O278" s="152">
        <f t="shared" si="92"/>
        <v>1807470.2863620119</v>
      </c>
    </row>
    <row r="279" spans="1:15" x14ac:dyDescent="0.15">
      <c r="A279" s="154"/>
      <c r="B279" s="151"/>
      <c r="C279" s="152"/>
      <c r="D279" s="323"/>
      <c r="E279" s="154"/>
      <c r="F279" s="157"/>
      <c r="G279" s="152"/>
      <c r="H279" s="323" t="s">
        <v>4140</v>
      </c>
      <c r="I279" s="152"/>
      <c r="J279" s="157"/>
      <c r="K279" s="157">
        <v>5800361781</v>
      </c>
      <c r="L279" s="227">
        <v>12853.909</v>
      </c>
      <c r="M279" s="157" t="s">
        <v>4158</v>
      </c>
      <c r="N279" s="152">
        <f t="shared" si="91"/>
        <v>36569.66636201182</v>
      </c>
      <c r="O279" s="152">
        <f t="shared" si="92"/>
        <v>1794616.3773620119</v>
      </c>
    </row>
    <row r="280" spans="1:15" x14ac:dyDescent="0.15">
      <c r="A280" s="154"/>
      <c r="B280" s="151"/>
      <c r="C280" s="152"/>
      <c r="D280" s="323"/>
      <c r="E280" s="154"/>
      <c r="F280" s="157"/>
      <c r="G280" s="152"/>
      <c r="H280" s="323" t="s">
        <v>4140</v>
      </c>
      <c r="I280" s="152"/>
      <c r="J280" s="157"/>
      <c r="K280" s="157">
        <v>5800361781</v>
      </c>
      <c r="L280" s="227">
        <v>18605.657999999999</v>
      </c>
      <c r="M280" s="157" t="s">
        <v>4158</v>
      </c>
      <c r="N280" s="152">
        <f t="shared" si="91"/>
        <v>17964.00836201182</v>
      </c>
      <c r="O280" s="152">
        <f t="shared" si="92"/>
        <v>1776010.7193620119</v>
      </c>
    </row>
    <row r="281" spans="1:15" x14ac:dyDescent="0.15">
      <c r="A281" s="154"/>
      <c r="B281" s="151"/>
      <c r="C281" s="152"/>
      <c r="D281" s="323"/>
      <c r="E281" s="154"/>
      <c r="F281" s="157"/>
      <c r="G281" s="152"/>
      <c r="H281" s="323" t="s">
        <v>4140</v>
      </c>
      <c r="I281" s="152"/>
      <c r="J281" s="157"/>
      <c r="K281" s="157">
        <v>5800361781</v>
      </c>
      <c r="L281" s="227">
        <v>11313.441000000001</v>
      </c>
      <c r="M281" s="157" t="s">
        <v>4158</v>
      </c>
      <c r="N281" s="152">
        <f t="shared" si="91"/>
        <v>6650.5673620118196</v>
      </c>
      <c r="O281" s="152">
        <f t="shared" si="92"/>
        <v>1764697.2783620118</v>
      </c>
    </row>
    <row r="282" spans="1:15" x14ac:dyDescent="0.15">
      <c r="A282" s="154"/>
      <c r="B282" s="151"/>
      <c r="C282" s="152"/>
      <c r="D282" s="323"/>
      <c r="E282" s="154"/>
      <c r="F282" s="157"/>
      <c r="G282" s="152"/>
      <c r="H282" s="323" t="s">
        <v>4140</v>
      </c>
      <c r="I282" s="152"/>
      <c r="J282" s="157"/>
      <c r="K282" s="157">
        <v>5800361781</v>
      </c>
      <c r="L282" s="227">
        <v>6650.5673620118196</v>
      </c>
      <c r="M282" s="157" t="s">
        <v>4158</v>
      </c>
      <c r="N282" s="152">
        <f t="shared" si="69"/>
        <v>0</v>
      </c>
      <c r="O282" s="152">
        <f t="shared" si="70"/>
        <v>1758046.7109999999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4140</v>
      </c>
      <c r="I283" s="152"/>
      <c r="J283" s="157"/>
      <c r="K283" s="157">
        <v>5800361781</v>
      </c>
      <c r="L283" s="227">
        <f>14236.329-L282</f>
        <v>7585.7616379881802</v>
      </c>
      <c r="M283" s="157" t="s">
        <v>4158</v>
      </c>
      <c r="N283" s="152">
        <f>G183+N282-I283-L283</f>
        <v>80295.482362011709</v>
      </c>
      <c r="O283" s="152">
        <f t="shared" ref="O283:O295" si="93">O282+G283-I283-L283</f>
        <v>1750460.9493620116</v>
      </c>
    </row>
    <row r="284" spans="1:15" x14ac:dyDescent="0.15">
      <c r="A284" s="154"/>
      <c r="B284" s="151"/>
      <c r="C284" s="152"/>
      <c r="D284" s="323"/>
      <c r="E284" s="154"/>
      <c r="F284" s="157"/>
      <c r="G284" s="152"/>
      <c r="H284" s="323" t="s">
        <v>4140</v>
      </c>
      <c r="I284" s="152"/>
      <c r="J284" s="157"/>
      <c r="K284" s="157">
        <v>5800361781</v>
      </c>
      <c r="L284" s="227">
        <v>6802.0690000000004</v>
      </c>
      <c r="M284" s="157" t="s">
        <v>4158</v>
      </c>
      <c r="N284" s="152">
        <f t="shared" ref="N284:N294" si="94">+N283-I284-L284</f>
        <v>73493.413362011706</v>
      </c>
      <c r="O284" s="152">
        <f t="shared" si="93"/>
        <v>1743658.8803620117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4140</v>
      </c>
      <c r="I285" s="152"/>
      <c r="J285" s="157"/>
      <c r="K285" s="157">
        <v>5800361781</v>
      </c>
      <c r="L285" s="227">
        <v>13874.218999999999</v>
      </c>
      <c r="M285" s="157" t="s">
        <v>4158</v>
      </c>
      <c r="N285" s="152">
        <f t="shared" si="94"/>
        <v>59619.194362011709</v>
      </c>
      <c r="O285" s="152">
        <f t="shared" si="93"/>
        <v>1729784.6613620117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4140</v>
      </c>
      <c r="I286" s="152"/>
      <c r="J286" s="157"/>
      <c r="K286" s="157">
        <v>5800361781</v>
      </c>
      <c r="L286" s="227">
        <v>17085.196</v>
      </c>
      <c r="M286" s="157" t="s">
        <v>4158</v>
      </c>
      <c r="N286" s="152">
        <f t="shared" si="94"/>
        <v>42533.998362011713</v>
      </c>
      <c r="O286" s="152">
        <f t="shared" si="93"/>
        <v>1712699.4653620117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4140</v>
      </c>
      <c r="I287" s="152"/>
      <c r="J287" s="157"/>
      <c r="K287" s="157">
        <v>5800361781</v>
      </c>
      <c r="L287" s="227">
        <v>14505.171</v>
      </c>
      <c r="M287" s="157" t="s">
        <v>4158</v>
      </c>
      <c r="N287" s="152">
        <f t="shared" si="94"/>
        <v>28028.827362011711</v>
      </c>
      <c r="O287" s="152">
        <f t="shared" si="93"/>
        <v>1698194.2943620116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4140</v>
      </c>
      <c r="I288" s="152"/>
      <c r="J288" s="157"/>
      <c r="K288" s="157">
        <v>5800361781</v>
      </c>
      <c r="L288" s="227">
        <v>5594.5950000000003</v>
      </c>
      <c r="M288" s="157" t="s">
        <v>4158</v>
      </c>
      <c r="N288" s="152">
        <f t="shared" si="94"/>
        <v>22434.232362011709</v>
      </c>
      <c r="O288" s="152">
        <f t="shared" si="93"/>
        <v>1692599.6993620116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4140</v>
      </c>
      <c r="I289" s="152"/>
      <c r="J289" s="157"/>
      <c r="K289" s="157">
        <v>5800361781</v>
      </c>
      <c r="L289" s="227">
        <v>14603.111000000001</v>
      </c>
      <c r="M289" s="157" t="s">
        <v>4158</v>
      </c>
      <c r="N289" s="152">
        <f t="shared" si="94"/>
        <v>7831.1213620117087</v>
      </c>
      <c r="O289" s="152">
        <f t="shared" si="93"/>
        <v>1677996.5883620116</v>
      </c>
    </row>
    <row r="290" spans="1:15" x14ac:dyDescent="0.15">
      <c r="A290" s="154"/>
      <c r="B290" s="151"/>
      <c r="C290" s="152"/>
      <c r="D290" s="323"/>
      <c r="E290" s="154"/>
      <c r="F290" s="157"/>
      <c r="G290" s="152"/>
      <c r="H290" s="323" t="s">
        <v>4140</v>
      </c>
      <c r="I290" s="152"/>
      <c r="J290" s="157"/>
      <c r="K290" s="157">
        <v>5800361781</v>
      </c>
      <c r="L290" s="227">
        <v>7831.1213620117087</v>
      </c>
      <c r="M290" s="157" t="s">
        <v>4158</v>
      </c>
      <c r="N290" s="152">
        <f t="shared" si="94"/>
        <v>0</v>
      </c>
      <c r="O290" s="152">
        <f t="shared" si="93"/>
        <v>1670165.4669999999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4140</v>
      </c>
      <c r="I291" s="152"/>
      <c r="J291" s="157"/>
      <c r="K291" s="157">
        <v>5800362608</v>
      </c>
      <c r="L291" s="227">
        <f>34894.759-L290</f>
        <v>27063.637637988289</v>
      </c>
      <c r="M291" s="157" t="s">
        <v>4159</v>
      </c>
      <c r="N291" s="152">
        <f>G184+N290-I291-L291</f>
        <v>60852.019362011837</v>
      </c>
      <c r="O291" s="152">
        <f t="shared" si="93"/>
        <v>1643101.8293620117</v>
      </c>
    </row>
    <row r="292" spans="1:15" x14ac:dyDescent="0.15">
      <c r="A292" s="154"/>
      <c r="B292" s="151"/>
      <c r="C292" s="152"/>
      <c r="D292" s="323" t="s">
        <v>4141</v>
      </c>
      <c r="E292" s="154" t="s">
        <v>72</v>
      </c>
      <c r="F292" s="157" t="s">
        <v>4165</v>
      </c>
      <c r="G292" s="152">
        <v>43994.611999999994</v>
      </c>
      <c r="H292" s="323" t="s">
        <v>4141</v>
      </c>
      <c r="I292" s="152">
        <v>15736</v>
      </c>
      <c r="J292" s="157" t="s">
        <v>4159</v>
      </c>
      <c r="K292" s="157">
        <v>5800362608</v>
      </c>
      <c r="L292" s="227">
        <v>14047</v>
      </c>
      <c r="M292" s="157" t="s">
        <v>4159</v>
      </c>
      <c r="N292" s="152">
        <f t="shared" si="94"/>
        <v>31069.019362011837</v>
      </c>
      <c r="O292" s="152">
        <f t="shared" si="93"/>
        <v>1657313.4413620117</v>
      </c>
    </row>
    <row r="293" spans="1:15" x14ac:dyDescent="0.15">
      <c r="A293" s="154"/>
      <c r="B293" s="151"/>
      <c r="C293" s="152"/>
      <c r="D293" s="323" t="s">
        <v>4141</v>
      </c>
      <c r="E293" s="154" t="s">
        <v>72</v>
      </c>
      <c r="F293" s="157" t="s">
        <v>4164</v>
      </c>
      <c r="G293" s="152">
        <v>308151.97899999999</v>
      </c>
      <c r="H293" s="323" t="s">
        <v>4141</v>
      </c>
      <c r="I293" s="152"/>
      <c r="J293" s="157"/>
      <c r="K293" s="157">
        <v>5800362608</v>
      </c>
      <c r="L293" s="227">
        <v>18687</v>
      </c>
      <c r="M293" s="157" t="s">
        <v>4159</v>
      </c>
      <c r="N293" s="152">
        <f t="shared" si="94"/>
        <v>12382.019362011837</v>
      </c>
      <c r="O293" s="152">
        <f t="shared" si="93"/>
        <v>1946778.4203620118</v>
      </c>
    </row>
    <row r="294" spans="1:15" x14ac:dyDescent="0.15">
      <c r="A294" s="154"/>
      <c r="B294" s="151"/>
      <c r="C294" s="152"/>
      <c r="D294" s="323"/>
      <c r="E294" s="154"/>
      <c r="F294" s="157"/>
      <c r="G294" s="152"/>
      <c r="H294" s="323" t="s">
        <v>4141</v>
      </c>
      <c r="I294" s="152"/>
      <c r="J294" s="157"/>
      <c r="K294" s="157">
        <v>5800362608</v>
      </c>
      <c r="L294" s="227">
        <v>12382.019362011837</v>
      </c>
      <c r="M294" s="157" t="s">
        <v>4159</v>
      </c>
      <c r="N294" s="152">
        <f t="shared" si="94"/>
        <v>0</v>
      </c>
      <c r="O294" s="152">
        <f t="shared" si="93"/>
        <v>1934396.4009999998</v>
      </c>
    </row>
    <row r="295" spans="1:15" x14ac:dyDescent="0.15">
      <c r="A295" s="154"/>
      <c r="B295" s="151"/>
      <c r="C295" s="152"/>
      <c r="D295" s="323"/>
      <c r="E295" s="154"/>
      <c r="F295" s="157"/>
      <c r="G295" s="152"/>
      <c r="H295" s="323" t="s">
        <v>4141</v>
      </c>
      <c r="I295" s="152"/>
      <c r="J295" s="157"/>
      <c r="K295" s="157">
        <v>5800362608</v>
      </c>
      <c r="L295" s="227">
        <f>12651-L294</f>
        <v>268.98063798816293</v>
      </c>
      <c r="M295" s="157" t="s">
        <v>4159</v>
      </c>
      <c r="N295" s="152">
        <f>G194+N294-I295-L295</f>
        <v>87532.045362011704</v>
      </c>
      <c r="O295" s="152">
        <f t="shared" si="93"/>
        <v>1934127.4203620118</v>
      </c>
    </row>
    <row r="296" spans="1:15" x14ac:dyDescent="0.15">
      <c r="A296" s="154"/>
      <c r="B296" s="151"/>
      <c r="C296" s="152"/>
      <c r="D296" s="323"/>
      <c r="E296" s="154"/>
      <c r="F296" s="157"/>
      <c r="G296" s="152"/>
      <c r="H296" s="323" t="s">
        <v>4141</v>
      </c>
      <c r="I296" s="152"/>
      <c r="J296" s="157"/>
      <c r="K296" s="157">
        <v>5800362608</v>
      </c>
      <c r="L296" s="227">
        <v>7857</v>
      </c>
      <c r="M296" s="157" t="s">
        <v>4159</v>
      </c>
      <c r="N296" s="152">
        <f t="shared" ref="N296:N315" si="95">+N295-I296-L296</f>
        <v>79675.045362011704</v>
      </c>
      <c r="O296" s="152">
        <f t="shared" ref="O296:O315" si="96">O295+G296-I296-L296</f>
        <v>1926270.4203620118</v>
      </c>
    </row>
    <row r="297" spans="1:15" x14ac:dyDescent="0.15">
      <c r="A297" s="154"/>
      <c r="B297" s="151"/>
      <c r="C297" s="152"/>
      <c r="D297" s="323"/>
      <c r="E297" s="154"/>
      <c r="F297" s="157"/>
      <c r="G297" s="152"/>
      <c r="H297" s="323" t="s">
        <v>4141</v>
      </c>
      <c r="I297" s="152"/>
      <c r="J297" s="157"/>
      <c r="K297" s="157">
        <v>5800362608</v>
      </c>
      <c r="L297" s="227">
        <v>72500</v>
      </c>
      <c r="M297" s="157" t="s">
        <v>4159</v>
      </c>
      <c r="N297" s="152">
        <f t="shared" si="95"/>
        <v>7175.0453620117041</v>
      </c>
      <c r="O297" s="152">
        <f t="shared" si="96"/>
        <v>1853770.4203620118</v>
      </c>
    </row>
    <row r="298" spans="1:15" x14ac:dyDescent="0.15">
      <c r="A298" s="154"/>
      <c r="B298" s="151"/>
      <c r="C298" s="152"/>
      <c r="D298" s="323"/>
      <c r="E298" s="154"/>
      <c r="F298" s="157"/>
      <c r="G298" s="152"/>
      <c r="H298" s="323" t="s">
        <v>4141</v>
      </c>
      <c r="I298" s="152"/>
      <c r="J298" s="157"/>
      <c r="K298" s="157">
        <v>5800362608</v>
      </c>
      <c r="L298" s="227">
        <v>7175.0453620117041</v>
      </c>
      <c r="M298" s="157" t="s">
        <v>4159</v>
      </c>
      <c r="N298" s="152">
        <f t="shared" si="95"/>
        <v>0</v>
      </c>
      <c r="O298" s="152">
        <f t="shared" si="96"/>
        <v>1846595.375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4141</v>
      </c>
      <c r="I299" s="152"/>
      <c r="J299" s="157"/>
      <c r="K299" s="157">
        <v>5800362608</v>
      </c>
      <c r="L299" s="227">
        <f>14866-L298</f>
        <v>7690.9546379882959</v>
      </c>
      <c r="M299" s="157" t="s">
        <v>4160</v>
      </c>
      <c r="N299" s="152">
        <f>G195+N298-I299-L299</f>
        <v>80161.860362011823</v>
      </c>
      <c r="O299" s="152">
        <f t="shared" si="96"/>
        <v>1838904.4203620118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4141</v>
      </c>
      <c r="I300" s="152"/>
      <c r="J300" s="157"/>
      <c r="K300" s="157">
        <v>5800362608</v>
      </c>
      <c r="L300" s="227">
        <v>71950</v>
      </c>
      <c r="M300" s="157" t="s">
        <v>4160</v>
      </c>
      <c r="N300" s="152">
        <f t="shared" si="95"/>
        <v>8211.8603620118229</v>
      </c>
      <c r="O300" s="152">
        <f t="shared" si="96"/>
        <v>1766954.4203620118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4141</v>
      </c>
      <c r="I301" s="152"/>
      <c r="J301" s="157"/>
      <c r="K301" s="157">
        <v>5800362608</v>
      </c>
      <c r="L301" s="227">
        <v>8211.8603620118229</v>
      </c>
      <c r="M301" s="157" t="s">
        <v>4160</v>
      </c>
      <c r="N301" s="152">
        <f t="shared" si="95"/>
        <v>0</v>
      </c>
      <c r="O301" s="152">
        <f t="shared" si="96"/>
        <v>1758742.56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4141</v>
      </c>
      <c r="I302" s="152"/>
      <c r="J302" s="157"/>
      <c r="K302" s="157">
        <v>5800362608</v>
      </c>
      <c r="L302" s="227">
        <f>79400-L301</f>
        <v>71188.139637988177</v>
      </c>
      <c r="M302" s="157" t="s">
        <v>4160</v>
      </c>
      <c r="N302" s="152">
        <f>G211+N301-I302-L302</f>
        <v>104499.06036201183</v>
      </c>
      <c r="O302" s="152">
        <f t="shared" si="96"/>
        <v>1687554.420362012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4141</v>
      </c>
      <c r="I303" s="152"/>
      <c r="J303" s="157"/>
      <c r="K303" s="157">
        <v>5800362608</v>
      </c>
      <c r="L303" s="227">
        <v>59530</v>
      </c>
      <c r="M303" s="157" t="s">
        <v>4160</v>
      </c>
      <c r="N303" s="152">
        <f t="shared" si="95"/>
        <v>44969.060362011835</v>
      </c>
      <c r="O303" s="152">
        <f t="shared" si="96"/>
        <v>1628024.420362012</v>
      </c>
    </row>
    <row r="304" spans="1:15" x14ac:dyDescent="0.15">
      <c r="A304" s="154"/>
      <c r="B304" s="151"/>
      <c r="C304" s="152"/>
      <c r="D304" s="323"/>
      <c r="E304" s="154"/>
      <c r="F304" s="157"/>
      <c r="G304" s="152"/>
      <c r="H304" s="323" t="s">
        <v>4141</v>
      </c>
      <c r="I304" s="152"/>
      <c r="J304" s="157"/>
      <c r="K304" s="157">
        <v>5800362608</v>
      </c>
      <c r="L304" s="227">
        <v>44969.060362011835</v>
      </c>
      <c r="M304" s="157" t="s">
        <v>4160</v>
      </c>
      <c r="N304" s="152">
        <f t="shared" si="95"/>
        <v>0</v>
      </c>
      <c r="O304" s="152">
        <f t="shared" si="96"/>
        <v>1583055.36</v>
      </c>
    </row>
    <row r="305" spans="1:15" x14ac:dyDescent="0.15">
      <c r="A305" s="154"/>
      <c r="B305" s="151"/>
      <c r="C305" s="152"/>
      <c r="D305" s="323"/>
      <c r="E305" s="154"/>
      <c r="F305" s="157"/>
      <c r="G305" s="152"/>
      <c r="H305" s="323" t="s">
        <v>4141</v>
      </c>
      <c r="I305" s="152"/>
      <c r="J305" s="157"/>
      <c r="K305" s="157">
        <v>5800362608</v>
      </c>
      <c r="L305" s="227">
        <v>24136.047000000079</v>
      </c>
      <c r="M305" s="157" t="s">
        <v>4160</v>
      </c>
      <c r="N305" s="152">
        <f>G226+N304-I305-L305</f>
        <v>0</v>
      </c>
      <c r="O305" s="152">
        <f t="shared" si="96"/>
        <v>1558919.3130000001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4141</v>
      </c>
      <c r="I306" s="152"/>
      <c r="J306" s="157"/>
      <c r="K306" s="157">
        <v>5800361781</v>
      </c>
      <c r="L306" s="227">
        <f>37182.9396379882-L305</f>
        <v>13046.892637988123</v>
      </c>
      <c r="M306" s="157" t="s">
        <v>4161</v>
      </c>
      <c r="N306" s="152">
        <f>G227+N305-I306-L306</f>
        <v>182576.66736201179</v>
      </c>
      <c r="O306" s="152">
        <f t="shared" si="96"/>
        <v>1545872.420362012</v>
      </c>
    </row>
    <row r="307" spans="1:15" x14ac:dyDescent="0.15">
      <c r="A307" s="154"/>
      <c r="B307" s="151"/>
      <c r="C307" s="152"/>
      <c r="D307" s="323"/>
      <c r="E307" s="154"/>
      <c r="F307" s="157"/>
      <c r="G307" s="152"/>
      <c r="H307" s="323" t="s">
        <v>4141</v>
      </c>
      <c r="I307" s="152"/>
      <c r="J307" s="157"/>
      <c r="K307" s="157">
        <v>5800361781</v>
      </c>
      <c r="L307" s="227">
        <v>628</v>
      </c>
      <c r="M307" s="157" t="s">
        <v>4161</v>
      </c>
      <c r="N307" s="152">
        <f t="shared" si="95"/>
        <v>181948.66736201179</v>
      </c>
      <c r="O307" s="152">
        <f t="shared" si="96"/>
        <v>1545244.420362012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4141</v>
      </c>
      <c r="I308" s="152"/>
      <c r="J308" s="157"/>
      <c r="K308" s="157">
        <v>5800361781</v>
      </c>
      <c r="L308" s="227">
        <v>8872</v>
      </c>
      <c r="M308" s="157" t="s">
        <v>4161</v>
      </c>
      <c r="N308" s="152">
        <f t="shared" si="95"/>
        <v>173076.66736201179</v>
      </c>
      <c r="O308" s="152">
        <f t="shared" si="96"/>
        <v>1536372.420362012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4141</v>
      </c>
      <c r="I309" s="152"/>
      <c r="J309" s="154"/>
      <c r="K309" s="157">
        <v>5800361781</v>
      </c>
      <c r="L309" s="227">
        <v>34140</v>
      </c>
      <c r="M309" s="157" t="s">
        <v>4161</v>
      </c>
      <c r="N309" s="152">
        <f t="shared" si="95"/>
        <v>138936.66736201179</v>
      </c>
      <c r="O309" s="152">
        <f t="shared" si="96"/>
        <v>1502232.420362012</v>
      </c>
    </row>
    <row r="310" spans="1:15" x14ac:dyDescent="0.15">
      <c r="A310" s="154"/>
      <c r="B310" s="151"/>
      <c r="C310" s="152"/>
      <c r="D310" s="323"/>
      <c r="E310" s="154"/>
      <c r="F310" s="157"/>
      <c r="G310" s="152"/>
      <c r="H310" s="323" t="s">
        <v>4141</v>
      </c>
      <c r="I310" s="152"/>
      <c r="J310" s="157"/>
      <c r="K310" s="157">
        <v>5800361781</v>
      </c>
      <c r="L310" s="227">
        <v>12912</v>
      </c>
      <c r="M310" s="157" t="s">
        <v>4161</v>
      </c>
      <c r="N310" s="152">
        <f t="shared" si="95"/>
        <v>126024.66736201179</v>
      </c>
      <c r="O310" s="152">
        <f t="shared" si="96"/>
        <v>1489320.420362012</v>
      </c>
    </row>
    <row r="311" spans="1:15" x14ac:dyDescent="0.15">
      <c r="A311" s="154"/>
      <c r="B311" s="151"/>
      <c r="C311" s="152"/>
      <c r="D311" s="323"/>
      <c r="E311" s="154"/>
      <c r="F311" s="157"/>
      <c r="G311" s="152"/>
      <c r="H311" s="323" t="s">
        <v>4141</v>
      </c>
      <c r="I311" s="152"/>
      <c r="J311" s="157"/>
      <c r="K311" s="157">
        <v>5800361781</v>
      </c>
      <c r="L311" s="227">
        <v>7322</v>
      </c>
      <c r="M311" s="157" t="s">
        <v>4161</v>
      </c>
      <c r="N311" s="152">
        <f t="shared" si="95"/>
        <v>118702.66736201179</v>
      </c>
      <c r="O311" s="152">
        <f t="shared" si="96"/>
        <v>1481998.420362012</v>
      </c>
    </row>
    <row r="312" spans="1:15" x14ac:dyDescent="0.15">
      <c r="A312" s="154"/>
      <c r="B312" s="151"/>
      <c r="C312" s="152"/>
      <c r="D312" s="323"/>
      <c r="E312" s="154"/>
      <c r="F312" s="157"/>
      <c r="G312" s="152"/>
      <c r="H312" s="323" t="s">
        <v>4141</v>
      </c>
      <c r="I312" s="152"/>
      <c r="J312" s="157"/>
      <c r="K312" s="157">
        <v>5800361781</v>
      </c>
      <c r="L312" s="227">
        <v>13699</v>
      </c>
      <c r="M312" s="157" t="s">
        <v>4161</v>
      </c>
      <c r="N312" s="152">
        <f t="shared" si="95"/>
        <v>105003.66736201179</v>
      </c>
      <c r="O312" s="152">
        <f t="shared" si="96"/>
        <v>1468299.420362012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4141</v>
      </c>
      <c r="I313" s="152"/>
      <c r="J313" s="157"/>
      <c r="K313" s="157">
        <v>5800361781</v>
      </c>
      <c r="L313" s="227">
        <v>16366</v>
      </c>
      <c r="M313" s="157" t="s">
        <v>4161</v>
      </c>
      <c r="N313" s="152">
        <f t="shared" si="95"/>
        <v>88637.667362011794</v>
      </c>
      <c r="O313" s="152">
        <f t="shared" si="96"/>
        <v>1451933.420362012</v>
      </c>
    </row>
    <row r="314" spans="1:15" x14ac:dyDescent="0.15">
      <c r="A314" s="154"/>
      <c r="B314" s="151"/>
      <c r="C314" s="152"/>
      <c r="D314" s="323"/>
      <c r="E314" s="154"/>
      <c r="F314" s="157"/>
      <c r="G314" s="152"/>
      <c r="H314" s="323" t="s">
        <v>4142</v>
      </c>
      <c r="I314" s="152">
        <v>13973.95</v>
      </c>
      <c r="J314" s="157" t="s">
        <v>4161</v>
      </c>
      <c r="K314" s="157">
        <v>5800361781</v>
      </c>
      <c r="L314" s="227">
        <v>17050.638999999999</v>
      </c>
      <c r="M314" s="157" t="s">
        <v>4161</v>
      </c>
      <c r="N314" s="152">
        <f t="shared" si="95"/>
        <v>57613.078362011802</v>
      </c>
      <c r="O314" s="152">
        <f t="shared" si="96"/>
        <v>1420908.8313620121</v>
      </c>
    </row>
    <row r="315" spans="1:15" x14ac:dyDescent="0.15">
      <c r="A315" s="154"/>
      <c r="B315" s="151"/>
      <c r="C315" s="152"/>
      <c r="D315" s="323"/>
      <c r="E315" s="154"/>
      <c r="F315" s="157"/>
      <c r="G315" s="152"/>
      <c r="H315" s="323" t="s">
        <v>4142</v>
      </c>
      <c r="I315" s="152"/>
      <c r="J315" s="157"/>
      <c r="K315" s="157">
        <v>5800361781</v>
      </c>
      <c r="L315" s="227">
        <v>14370.281000000001</v>
      </c>
      <c r="M315" s="157" t="s">
        <v>4161</v>
      </c>
      <c r="N315" s="152">
        <f t="shared" si="95"/>
        <v>43242.797362011799</v>
      </c>
      <c r="O315" s="152">
        <f t="shared" si="96"/>
        <v>1406538.5503620121</v>
      </c>
    </row>
    <row r="316" spans="1:15" x14ac:dyDescent="0.15">
      <c r="A316" s="154"/>
      <c r="B316" s="151"/>
      <c r="C316" s="152"/>
      <c r="D316" s="323"/>
      <c r="E316" s="154"/>
      <c r="F316" s="157"/>
      <c r="G316" s="152"/>
      <c r="H316" s="323" t="s">
        <v>4142</v>
      </c>
      <c r="I316" s="152"/>
      <c r="J316" s="157"/>
      <c r="K316" s="157">
        <v>5800361781</v>
      </c>
      <c r="L316" s="227">
        <v>9517.8230000000003</v>
      </c>
      <c r="M316" s="157" t="s">
        <v>4161</v>
      </c>
      <c r="N316" s="152">
        <f t="shared" ref="N316:N380" si="97">+N315-I316-L316</f>
        <v>33724.974362011795</v>
      </c>
      <c r="O316" s="152">
        <f t="shared" ref="O316:O380" si="98">O315+G316-I316-L316</f>
        <v>1397020.727362012</v>
      </c>
    </row>
    <row r="317" spans="1:15" x14ac:dyDescent="0.15">
      <c r="A317" s="154"/>
      <c r="B317" s="151"/>
      <c r="C317" s="152"/>
      <c r="D317" s="323"/>
      <c r="E317" s="154"/>
      <c r="F317" s="157"/>
      <c r="G317" s="152"/>
      <c r="H317" s="323" t="s">
        <v>4142</v>
      </c>
      <c r="I317" s="152"/>
      <c r="J317" s="157"/>
      <c r="K317" s="157">
        <v>5800361781</v>
      </c>
      <c r="L317" s="227">
        <v>9338.732</v>
      </c>
      <c r="M317" s="157" t="s">
        <v>4161</v>
      </c>
      <c r="N317" s="152">
        <f t="shared" si="97"/>
        <v>24386.242362011795</v>
      </c>
      <c r="O317" s="152">
        <f t="shared" si="98"/>
        <v>1387681.9953620119</v>
      </c>
    </row>
    <row r="318" spans="1:15" x14ac:dyDescent="0.15">
      <c r="A318" s="154"/>
      <c r="B318" s="151"/>
      <c r="C318" s="152"/>
      <c r="D318" s="323"/>
      <c r="E318" s="154"/>
      <c r="F318" s="157"/>
      <c r="G318" s="152"/>
      <c r="H318" s="323" t="s">
        <v>4142</v>
      </c>
      <c r="I318" s="152"/>
      <c r="J318" s="157"/>
      <c r="K318" s="157">
        <v>5800361781</v>
      </c>
      <c r="L318" s="227">
        <v>14961.581</v>
      </c>
      <c r="M318" s="157" t="s">
        <v>4161</v>
      </c>
      <c r="N318" s="152">
        <f t="shared" si="97"/>
        <v>9424.6613620117951</v>
      </c>
      <c r="O318" s="152">
        <f t="shared" si="98"/>
        <v>1372720.4143620119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4142</v>
      </c>
      <c r="I319" s="152"/>
      <c r="J319" s="157"/>
      <c r="K319" s="157">
        <v>5800361781</v>
      </c>
      <c r="L319" s="227">
        <v>9424.6613620117951</v>
      </c>
      <c r="M319" s="157" t="s">
        <v>4161</v>
      </c>
      <c r="N319" s="152">
        <f t="shared" si="97"/>
        <v>0</v>
      </c>
      <c r="O319" s="152">
        <f t="shared" si="98"/>
        <v>1363295.7530000003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4142</v>
      </c>
      <c r="I320" s="152"/>
      <c r="J320" s="157"/>
      <c r="K320" s="157">
        <v>5800361781</v>
      </c>
      <c r="L320" s="227">
        <f>16879.553-L319</f>
        <v>7454.8916379882048</v>
      </c>
      <c r="M320" s="157" t="s">
        <v>4161</v>
      </c>
      <c r="N320" s="152">
        <f>G237+N319-I320-L320</f>
        <v>80431.609362011703</v>
      </c>
      <c r="O320" s="152">
        <f t="shared" si="98"/>
        <v>1355840.8613620121</v>
      </c>
    </row>
    <row r="321" spans="1:15" x14ac:dyDescent="0.15">
      <c r="A321" s="154"/>
      <c r="B321" s="151"/>
      <c r="C321" s="152"/>
      <c r="D321" s="323"/>
      <c r="E321" s="154"/>
      <c r="F321" s="157"/>
      <c r="G321" s="152"/>
      <c r="H321" s="323" t="s">
        <v>4142</v>
      </c>
      <c r="I321" s="152"/>
      <c r="J321" s="157"/>
      <c r="K321" s="157">
        <v>5800361781</v>
      </c>
      <c r="L321" s="227">
        <v>75679.346000000005</v>
      </c>
      <c r="M321" s="157" t="s">
        <v>4161</v>
      </c>
      <c r="N321" s="152">
        <f t="shared" si="97"/>
        <v>4752.2633620116976</v>
      </c>
      <c r="O321" s="152">
        <f t="shared" si="98"/>
        <v>1280161.5153620122</v>
      </c>
    </row>
    <row r="322" spans="1:15" x14ac:dyDescent="0.15">
      <c r="A322" s="154"/>
      <c r="B322" s="151"/>
      <c r="C322" s="152"/>
      <c r="D322" s="323"/>
      <c r="E322" s="154"/>
      <c r="F322" s="157"/>
      <c r="G322" s="152"/>
      <c r="H322" s="323" t="s">
        <v>4142</v>
      </c>
      <c r="I322" s="152"/>
      <c r="J322" s="157"/>
      <c r="K322" s="157">
        <v>5800361781</v>
      </c>
      <c r="L322" s="227">
        <v>4752.2633620116976</v>
      </c>
      <c r="M322" s="157" t="s">
        <v>4161</v>
      </c>
      <c r="N322" s="152">
        <f t="shared" si="97"/>
        <v>0</v>
      </c>
      <c r="O322" s="152">
        <f t="shared" si="98"/>
        <v>1275409.2520000006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4142</v>
      </c>
      <c r="I323" s="152"/>
      <c r="J323" s="157"/>
      <c r="K323" s="157">
        <v>5800362608</v>
      </c>
      <c r="L323" s="227">
        <f>63478.164-L322</f>
        <v>58725.900637988299</v>
      </c>
      <c r="M323" s="157" t="s">
        <v>4162</v>
      </c>
      <c r="N323" s="152">
        <f>G238+N322-I323-L323</f>
        <v>73157.035362011811</v>
      </c>
      <c r="O323" s="152">
        <f t="shared" si="98"/>
        <v>1216683.3513620123</v>
      </c>
    </row>
    <row r="324" spans="1:15" x14ac:dyDescent="0.15">
      <c r="A324" s="154"/>
      <c r="B324" s="151"/>
      <c r="C324" s="152"/>
      <c r="D324" s="323"/>
      <c r="E324" s="154"/>
      <c r="F324" s="157"/>
      <c r="G324" s="152"/>
      <c r="H324" s="323" t="s">
        <v>4142</v>
      </c>
      <c r="I324" s="152"/>
      <c r="J324" s="157"/>
      <c r="K324" s="157">
        <v>5800362608</v>
      </c>
      <c r="L324" s="227">
        <v>5348.7439999999997</v>
      </c>
      <c r="M324" s="157" t="s">
        <v>4162</v>
      </c>
      <c r="N324" s="152">
        <f t="shared" si="97"/>
        <v>67808.291362011805</v>
      </c>
      <c r="O324" s="152">
        <f t="shared" si="98"/>
        <v>1211334.6073620124</v>
      </c>
    </row>
    <row r="325" spans="1:15" x14ac:dyDescent="0.15">
      <c r="A325" s="154"/>
      <c r="B325" s="151"/>
      <c r="C325" s="152"/>
      <c r="D325" s="323"/>
      <c r="E325" s="154"/>
      <c r="F325" s="157"/>
      <c r="G325" s="152"/>
      <c r="H325" s="323" t="s">
        <v>4142</v>
      </c>
      <c r="I325" s="152"/>
      <c r="J325" s="157"/>
      <c r="K325" s="157">
        <v>5800362608</v>
      </c>
      <c r="L325" s="227">
        <v>13836.578</v>
      </c>
      <c r="M325" s="157" t="s">
        <v>4162</v>
      </c>
      <c r="N325" s="152">
        <f t="shared" si="97"/>
        <v>53971.713362011804</v>
      </c>
      <c r="O325" s="152">
        <f t="shared" si="98"/>
        <v>1197498.0293620124</v>
      </c>
    </row>
    <row r="326" spans="1:15" x14ac:dyDescent="0.15">
      <c r="A326" s="154"/>
      <c r="B326" s="151"/>
      <c r="C326" s="152"/>
      <c r="D326" s="323"/>
      <c r="E326" s="154"/>
      <c r="F326" s="157"/>
      <c r="G326" s="152"/>
      <c r="H326" s="323" t="s">
        <v>4142</v>
      </c>
      <c r="I326" s="152"/>
      <c r="J326" s="157"/>
      <c r="K326" s="157">
        <v>5800362608</v>
      </c>
      <c r="L326" s="227">
        <v>39339.053999999996</v>
      </c>
      <c r="M326" s="157" t="s">
        <v>4162</v>
      </c>
      <c r="N326" s="152">
        <f t="shared" si="97"/>
        <v>14632.659362011807</v>
      </c>
      <c r="O326" s="152">
        <f t="shared" si="98"/>
        <v>1158158.9753620124</v>
      </c>
    </row>
    <row r="327" spans="1:15" x14ac:dyDescent="0.15">
      <c r="A327" s="154"/>
      <c r="B327" s="151"/>
      <c r="C327" s="152"/>
      <c r="D327" s="323"/>
      <c r="E327" s="154"/>
      <c r="F327" s="157"/>
      <c r="G327" s="152"/>
      <c r="H327" s="323" t="s">
        <v>4142</v>
      </c>
      <c r="I327" s="152"/>
      <c r="J327" s="157"/>
      <c r="K327" s="157">
        <v>5800362608</v>
      </c>
      <c r="L327" s="227">
        <v>14632.659362011807</v>
      </c>
      <c r="M327" s="157" t="s">
        <v>4162</v>
      </c>
      <c r="N327" s="152">
        <f t="shared" si="97"/>
        <v>0</v>
      </c>
      <c r="O327" s="152">
        <f t="shared" si="98"/>
        <v>1143526.3160000006</v>
      </c>
    </row>
    <row r="328" spans="1:15" x14ac:dyDescent="0.15">
      <c r="A328" s="154"/>
      <c r="B328" s="151"/>
      <c r="C328" s="152"/>
      <c r="D328" s="323"/>
      <c r="E328" s="154"/>
      <c r="F328" s="157"/>
      <c r="G328" s="152"/>
      <c r="H328" s="323" t="s">
        <v>4142</v>
      </c>
      <c r="I328" s="152"/>
      <c r="J328" s="157"/>
      <c r="K328" s="157">
        <v>5800362608</v>
      </c>
      <c r="L328" s="227">
        <f>14701.051-L327</f>
        <v>68.391637988192088</v>
      </c>
      <c r="M328" s="157" t="s">
        <v>4162</v>
      </c>
      <c r="N328" s="152">
        <f>G251+N327-I328-L328</f>
        <v>175746.2643620118</v>
      </c>
      <c r="O328" s="152">
        <f t="shared" si="98"/>
        <v>1143457.9243620124</v>
      </c>
    </row>
    <row r="329" spans="1:15" x14ac:dyDescent="0.15">
      <c r="A329" s="154"/>
      <c r="B329" s="151"/>
      <c r="C329" s="152"/>
      <c r="D329" s="323" t="s">
        <v>4143</v>
      </c>
      <c r="E329" s="154" t="s">
        <v>72</v>
      </c>
      <c r="F329" s="157" t="s">
        <v>4166</v>
      </c>
      <c r="G329" s="152">
        <v>264016.74300000002</v>
      </c>
      <c r="H329" s="323" t="s">
        <v>4143</v>
      </c>
      <c r="I329" s="152">
        <v>13974.275999999998</v>
      </c>
      <c r="J329" s="157" t="s">
        <v>4162</v>
      </c>
      <c r="K329" s="157">
        <v>5800362608</v>
      </c>
      <c r="L329" s="227">
        <v>12903.526</v>
      </c>
      <c r="M329" s="157" t="s">
        <v>4162</v>
      </c>
      <c r="N329" s="152">
        <f t="shared" si="97"/>
        <v>148868.46236201178</v>
      </c>
      <c r="O329" s="152">
        <f t="shared" si="98"/>
        <v>1380596.8653620123</v>
      </c>
    </row>
    <row r="330" spans="1:15" x14ac:dyDescent="0.15">
      <c r="A330" s="154"/>
      <c r="B330" s="151"/>
      <c r="C330" s="152"/>
      <c r="D330" s="323"/>
      <c r="E330" s="154"/>
      <c r="F330" s="157"/>
      <c r="G330" s="152"/>
      <c r="H330" s="323" t="s">
        <v>4143</v>
      </c>
      <c r="I330" s="152"/>
      <c r="J330" s="157"/>
      <c r="K330" s="157">
        <v>5800362608</v>
      </c>
      <c r="L330" s="227">
        <v>18556.937999999998</v>
      </c>
      <c r="M330" s="157" t="s">
        <v>4162</v>
      </c>
      <c r="N330" s="152">
        <f t="shared" si="97"/>
        <v>130311.52436201178</v>
      </c>
      <c r="O330" s="152">
        <f t="shared" si="98"/>
        <v>1362039.9273620122</v>
      </c>
    </row>
    <row r="331" spans="1:15" x14ac:dyDescent="0.15">
      <c r="A331" s="154"/>
      <c r="B331" s="151"/>
      <c r="C331" s="152"/>
      <c r="D331" s="323"/>
      <c r="E331" s="154"/>
      <c r="F331" s="157"/>
      <c r="G331" s="152"/>
      <c r="H331" s="323" t="s">
        <v>4143</v>
      </c>
      <c r="I331" s="152"/>
      <c r="J331" s="157"/>
      <c r="K331" s="157">
        <v>5800362608</v>
      </c>
      <c r="L331" s="227">
        <v>8178.3620000000001</v>
      </c>
      <c r="M331" s="157" t="s">
        <v>4162</v>
      </c>
      <c r="N331" s="152">
        <f t="shared" si="97"/>
        <v>122133.16236201179</v>
      </c>
      <c r="O331" s="152">
        <f t="shared" si="98"/>
        <v>1353861.5653620122</v>
      </c>
    </row>
    <row r="332" spans="1:15" x14ac:dyDescent="0.15">
      <c r="A332" s="154"/>
      <c r="B332" s="151"/>
      <c r="C332" s="152"/>
      <c r="D332" s="323"/>
      <c r="E332" s="154"/>
      <c r="F332" s="157"/>
      <c r="G332" s="152"/>
      <c r="H332" s="323" t="s">
        <v>4143</v>
      </c>
      <c r="I332" s="152"/>
      <c r="J332" s="157"/>
      <c r="K332" s="157">
        <v>5800362608</v>
      </c>
      <c r="L332" s="227">
        <v>11684.516</v>
      </c>
      <c r="M332" s="157" t="s">
        <v>4162</v>
      </c>
      <c r="N332" s="152">
        <f t="shared" si="97"/>
        <v>110448.64636201179</v>
      </c>
      <c r="O332" s="152">
        <f t="shared" si="98"/>
        <v>1342177.0493620122</v>
      </c>
    </row>
    <row r="333" spans="1:15" x14ac:dyDescent="0.15">
      <c r="A333" s="154"/>
      <c r="B333" s="151"/>
      <c r="C333" s="152"/>
      <c r="D333" s="323"/>
      <c r="E333" s="154"/>
      <c r="F333" s="157"/>
      <c r="G333" s="152"/>
      <c r="H333" s="323" t="s">
        <v>4143</v>
      </c>
      <c r="I333" s="152"/>
      <c r="J333" s="157"/>
      <c r="K333" s="157">
        <v>5800362608</v>
      </c>
      <c r="L333" s="227">
        <v>12382.949000000001</v>
      </c>
      <c r="M333" s="157" t="s">
        <v>4162</v>
      </c>
      <c r="N333" s="152">
        <f t="shared" si="97"/>
        <v>98065.697362011793</v>
      </c>
      <c r="O333" s="152">
        <f t="shared" si="98"/>
        <v>1329794.1003620122</v>
      </c>
    </row>
    <row r="334" spans="1:15" x14ac:dyDescent="0.15">
      <c r="A334" s="154"/>
      <c r="B334" s="151"/>
      <c r="C334" s="152"/>
      <c r="D334" s="323"/>
      <c r="E334" s="154"/>
      <c r="F334" s="157"/>
      <c r="G334" s="152"/>
      <c r="H334" s="323" t="s">
        <v>4143</v>
      </c>
      <c r="I334" s="152"/>
      <c r="J334" s="157"/>
      <c r="K334" s="157">
        <v>5800362608</v>
      </c>
      <c r="L334" s="227">
        <v>56330.277000000002</v>
      </c>
      <c r="M334" s="157" t="s">
        <v>4162</v>
      </c>
      <c r="N334" s="152">
        <f t="shared" si="97"/>
        <v>41735.420362011791</v>
      </c>
      <c r="O334" s="152">
        <f t="shared" si="98"/>
        <v>1273463.8233620122</v>
      </c>
    </row>
    <row r="335" spans="1:15" x14ac:dyDescent="0.15">
      <c r="A335" s="154"/>
      <c r="B335" s="151"/>
      <c r="C335" s="152"/>
      <c r="D335" s="323"/>
      <c r="E335" s="154"/>
      <c r="F335" s="157"/>
      <c r="G335" s="152"/>
      <c r="H335" s="323" t="s">
        <v>4143</v>
      </c>
      <c r="I335" s="152"/>
      <c r="J335" s="157"/>
      <c r="K335" s="157">
        <v>5800362608</v>
      </c>
      <c r="L335" s="227">
        <v>15182.218000000001</v>
      </c>
      <c r="M335" s="157" t="s">
        <v>4162</v>
      </c>
      <c r="N335" s="152">
        <f t="shared" si="97"/>
        <v>26553.202362011791</v>
      </c>
      <c r="O335" s="152">
        <f t="shared" si="98"/>
        <v>1258281.6053620121</v>
      </c>
    </row>
    <row r="336" spans="1:15" x14ac:dyDescent="0.15">
      <c r="A336" s="154"/>
      <c r="B336" s="151"/>
      <c r="C336" s="152"/>
      <c r="D336" s="323"/>
      <c r="E336" s="154"/>
      <c r="F336" s="157"/>
      <c r="G336" s="152"/>
      <c r="H336" s="323" t="s">
        <v>4143</v>
      </c>
      <c r="I336" s="152"/>
      <c r="J336" s="157"/>
      <c r="K336" s="157">
        <v>5800362608</v>
      </c>
      <c r="L336" s="227">
        <v>12259.294</v>
      </c>
      <c r="M336" s="157" t="s">
        <v>4162</v>
      </c>
      <c r="N336" s="152">
        <f t="shared" si="97"/>
        <v>14293.908362011791</v>
      </c>
      <c r="O336" s="152">
        <f t="shared" si="98"/>
        <v>1246022.3113620121</v>
      </c>
    </row>
    <row r="337" spans="1:15" x14ac:dyDescent="0.15">
      <c r="A337" s="154"/>
      <c r="B337" s="151"/>
      <c r="C337" s="152"/>
      <c r="D337" s="323"/>
      <c r="E337" s="154"/>
      <c r="F337" s="157"/>
      <c r="G337" s="152"/>
      <c r="H337" s="323" t="s">
        <v>4143</v>
      </c>
      <c r="I337" s="152"/>
      <c r="J337" s="157"/>
      <c r="K337" s="157">
        <v>5800362608</v>
      </c>
      <c r="L337" s="227">
        <v>5152.3410000000003</v>
      </c>
      <c r="M337" s="157" t="s">
        <v>4162</v>
      </c>
      <c r="N337" s="152">
        <f t="shared" si="97"/>
        <v>9141.5673620117905</v>
      </c>
      <c r="O337" s="152">
        <f t="shared" si="98"/>
        <v>1240869.970362012</v>
      </c>
    </row>
    <row r="338" spans="1:15" x14ac:dyDescent="0.15">
      <c r="A338" s="154"/>
      <c r="B338" s="151"/>
      <c r="C338" s="152"/>
      <c r="D338" s="323"/>
      <c r="E338" s="154"/>
      <c r="F338" s="157"/>
      <c r="G338" s="152"/>
      <c r="H338" s="323" t="s">
        <v>4143</v>
      </c>
      <c r="I338" s="152"/>
      <c r="J338" s="157"/>
      <c r="K338" s="157">
        <v>5800362608</v>
      </c>
      <c r="L338" s="227">
        <v>9141.5673620117905</v>
      </c>
      <c r="M338" s="157" t="s">
        <v>4162</v>
      </c>
      <c r="N338" s="152">
        <f t="shared" si="97"/>
        <v>0</v>
      </c>
      <c r="O338" s="152">
        <f t="shared" si="98"/>
        <v>1231728.4030000002</v>
      </c>
    </row>
    <row r="339" spans="1:15" x14ac:dyDescent="0.15">
      <c r="A339" s="154"/>
      <c r="B339" s="151"/>
      <c r="C339" s="152"/>
      <c r="D339" s="323"/>
      <c r="E339" s="154"/>
      <c r="F339" s="157"/>
      <c r="G339" s="152"/>
      <c r="H339" s="323" t="s">
        <v>4143</v>
      </c>
      <c r="I339" s="152"/>
      <c r="J339" s="157"/>
      <c r="K339" s="157">
        <v>5800362608</v>
      </c>
      <c r="L339" s="227">
        <f>12872.858-L338</f>
        <v>3731.2906379882097</v>
      </c>
      <c r="M339" s="157" t="s">
        <v>4163</v>
      </c>
      <c r="N339" s="152">
        <f>G265+N338-I339-L339</f>
        <v>260182.5883620118</v>
      </c>
      <c r="O339" s="152">
        <f t="shared" si="98"/>
        <v>1227997.112362012</v>
      </c>
    </row>
    <row r="340" spans="1:15" x14ac:dyDescent="0.15">
      <c r="A340" s="154"/>
      <c r="B340" s="151"/>
      <c r="C340" s="152"/>
      <c r="D340" s="323"/>
      <c r="E340" s="154"/>
      <c r="F340" s="157"/>
      <c r="G340" s="152"/>
      <c r="H340" s="323" t="s">
        <v>4143</v>
      </c>
      <c r="I340" s="152"/>
      <c r="J340" s="157"/>
      <c r="K340" s="157">
        <v>5800362608</v>
      </c>
      <c r="L340" s="227">
        <v>15055.308000000001</v>
      </c>
      <c r="M340" s="157" t="s">
        <v>4163</v>
      </c>
      <c r="N340" s="152">
        <f t="shared" si="97"/>
        <v>245127.28036201181</v>
      </c>
      <c r="O340" s="152">
        <f t="shared" si="98"/>
        <v>1212941.8043620121</v>
      </c>
    </row>
    <row r="341" spans="1:15" x14ac:dyDescent="0.15">
      <c r="A341" s="154"/>
      <c r="B341" s="151"/>
      <c r="C341" s="152"/>
      <c r="D341" s="323" t="s">
        <v>4144</v>
      </c>
      <c r="E341" s="154" t="s">
        <v>72</v>
      </c>
      <c r="F341" s="157" t="s">
        <v>4166</v>
      </c>
      <c r="G341" s="152">
        <v>169313.62599999999</v>
      </c>
      <c r="H341" s="323" t="s">
        <v>4144</v>
      </c>
      <c r="I341" s="152">
        <v>12138.035</v>
      </c>
      <c r="J341" s="157" t="s">
        <v>4163</v>
      </c>
      <c r="K341" s="157">
        <v>5800362608</v>
      </c>
      <c r="L341" s="227">
        <v>13872.557000000001</v>
      </c>
      <c r="M341" s="157" t="s">
        <v>4163</v>
      </c>
      <c r="N341" s="152">
        <f t="shared" si="97"/>
        <v>219116.6883620118</v>
      </c>
      <c r="O341" s="152">
        <f t="shared" si="98"/>
        <v>1356244.8383620121</v>
      </c>
    </row>
    <row r="342" spans="1:15" x14ac:dyDescent="0.15">
      <c r="A342" s="154"/>
      <c r="B342" s="151"/>
      <c r="C342" s="152"/>
      <c r="D342" s="323" t="s">
        <v>4144</v>
      </c>
      <c r="E342" s="154" t="s">
        <v>72</v>
      </c>
      <c r="F342" s="157" t="s">
        <v>4167</v>
      </c>
      <c r="G342" s="152">
        <v>94562.315000000293</v>
      </c>
      <c r="H342" s="323" t="s">
        <v>4144</v>
      </c>
      <c r="I342" s="152"/>
      <c r="J342" s="157"/>
      <c r="K342" s="157">
        <v>5800362608</v>
      </c>
      <c r="L342" s="227">
        <v>11777.832</v>
      </c>
      <c r="M342" s="157" t="s">
        <v>4163</v>
      </c>
      <c r="N342" s="152">
        <f t="shared" si="97"/>
        <v>207338.85636201181</v>
      </c>
      <c r="O342" s="152">
        <f t="shared" si="98"/>
        <v>1439029.3213620125</v>
      </c>
    </row>
    <row r="343" spans="1:15" x14ac:dyDescent="0.15">
      <c r="A343" s="154"/>
      <c r="B343" s="151"/>
      <c r="C343" s="152"/>
      <c r="D343" s="323"/>
      <c r="E343" s="154"/>
      <c r="F343" s="157"/>
      <c r="G343" s="152"/>
      <c r="H343" s="323" t="s">
        <v>4144</v>
      </c>
      <c r="I343" s="152"/>
      <c r="J343" s="157"/>
      <c r="K343" s="157">
        <v>5800362608</v>
      </c>
      <c r="L343" s="227">
        <v>10645.521000000001</v>
      </c>
      <c r="M343" s="157" t="s">
        <v>4163</v>
      </c>
      <c r="N343" s="152">
        <f t="shared" si="97"/>
        <v>196693.3353620118</v>
      </c>
      <c r="O343" s="152">
        <f t="shared" si="98"/>
        <v>1428383.8003620126</v>
      </c>
    </row>
    <row r="344" spans="1:15" x14ac:dyDescent="0.15">
      <c r="A344" s="154"/>
      <c r="B344" s="151"/>
      <c r="C344" s="152"/>
      <c r="D344" s="323"/>
      <c r="E344" s="154"/>
      <c r="F344" s="157"/>
      <c r="G344" s="152"/>
      <c r="H344" s="323" t="s">
        <v>4144</v>
      </c>
      <c r="I344" s="152"/>
      <c r="J344" s="157"/>
      <c r="K344" s="157">
        <v>5800362608</v>
      </c>
      <c r="L344" s="227">
        <v>7373.5119999999997</v>
      </c>
      <c r="M344" s="157" t="s">
        <v>4163</v>
      </c>
      <c r="N344" s="152">
        <f t="shared" si="97"/>
        <v>189319.82336201181</v>
      </c>
      <c r="O344" s="152">
        <f t="shared" si="98"/>
        <v>1421010.2883620125</v>
      </c>
    </row>
    <row r="345" spans="1:15" x14ac:dyDescent="0.15">
      <c r="A345" s="154"/>
      <c r="B345" s="151"/>
      <c r="C345" s="152"/>
      <c r="D345" s="323"/>
      <c r="E345" s="154"/>
      <c r="F345" s="157"/>
      <c r="G345" s="152"/>
      <c r="H345" s="323" t="s">
        <v>4144</v>
      </c>
      <c r="I345" s="152"/>
      <c r="J345" s="157"/>
      <c r="K345" s="157">
        <v>5800362608</v>
      </c>
      <c r="L345" s="227">
        <v>14317.286</v>
      </c>
      <c r="M345" s="157" t="s">
        <v>4163</v>
      </c>
      <c r="N345" s="152">
        <f t="shared" si="97"/>
        <v>175002.53736201182</v>
      </c>
      <c r="O345" s="152">
        <f t="shared" si="98"/>
        <v>1406693.0023620124</v>
      </c>
    </row>
    <row r="346" spans="1:15" x14ac:dyDescent="0.15">
      <c r="A346" s="154"/>
      <c r="B346" s="151"/>
      <c r="C346" s="152"/>
      <c r="D346" s="323"/>
      <c r="E346" s="154"/>
      <c r="F346" s="157"/>
      <c r="G346" s="152"/>
      <c r="H346" s="323" t="s">
        <v>4144</v>
      </c>
      <c r="I346" s="152"/>
      <c r="J346" s="157"/>
      <c r="K346" s="157">
        <v>5800362608</v>
      </c>
      <c r="L346" s="227">
        <v>15580.517</v>
      </c>
      <c r="M346" s="157" t="s">
        <v>4163</v>
      </c>
      <c r="N346" s="152">
        <f t="shared" si="97"/>
        <v>159422.02036201183</v>
      </c>
      <c r="O346" s="152">
        <f t="shared" si="98"/>
        <v>1391112.4853620124</v>
      </c>
    </row>
    <row r="347" spans="1:15" x14ac:dyDescent="0.15">
      <c r="A347" s="154"/>
      <c r="B347" s="151"/>
      <c r="C347" s="152"/>
      <c r="D347" s="323"/>
      <c r="E347" s="154"/>
      <c r="F347" s="157"/>
      <c r="G347" s="152"/>
      <c r="H347" s="323" t="s">
        <v>4144</v>
      </c>
      <c r="I347" s="152"/>
      <c r="J347" s="157"/>
      <c r="K347" s="157">
        <v>5800362608</v>
      </c>
      <c r="L347" s="227">
        <v>43707.398000000001</v>
      </c>
      <c r="M347" s="157" t="s">
        <v>4163</v>
      </c>
      <c r="N347" s="152">
        <f t="shared" si="97"/>
        <v>115714.62236201183</v>
      </c>
      <c r="O347" s="152">
        <f t="shared" si="98"/>
        <v>1347405.0873620124</v>
      </c>
    </row>
    <row r="348" spans="1:15" x14ac:dyDescent="0.15">
      <c r="A348" s="154"/>
      <c r="B348" s="151"/>
      <c r="C348" s="152"/>
      <c r="D348" s="323"/>
      <c r="E348" s="154"/>
      <c r="F348" s="157"/>
      <c r="G348" s="152"/>
      <c r="H348" s="323" t="s">
        <v>4144</v>
      </c>
      <c r="I348" s="152"/>
      <c r="J348" s="157"/>
      <c r="K348" s="157">
        <v>5800362608</v>
      </c>
      <c r="L348" s="227">
        <v>61242.724999999999</v>
      </c>
      <c r="M348" s="157" t="s">
        <v>4163</v>
      </c>
      <c r="N348" s="152">
        <f t="shared" si="97"/>
        <v>54471.897362011827</v>
      </c>
      <c r="O348" s="152">
        <f t="shared" si="98"/>
        <v>1286162.3623620123</v>
      </c>
    </row>
    <row r="349" spans="1:15" x14ac:dyDescent="0.15">
      <c r="A349" s="154"/>
      <c r="B349" s="151"/>
      <c r="C349" s="152"/>
      <c r="D349" s="323"/>
      <c r="E349" s="154"/>
      <c r="F349" s="157"/>
      <c r="G349" s="152"/>
      <c r="H349" s="323" t="s">
        <v>4144</v>
      </c>
      <c r="I349" s="152"/>
      <c r="J349" s="157"/>
      <c r="K349" s="157">
        <v>5800362608</v>
      </c>
      <c r="L349" s="227">
        <v>32896.637999999999</v>
      </c>
      <c r="M349" s="157" t="s">
        <v>4163</v>
      </c>
      <c r="N349" s="152">
        <f t="shared" si="97"/>
        <v>21575.259362011828</v>
      </c>
      <c r="O349" s="152">
        <f t="shared" si="98"/>
        <v>1253265.7243620122</v>
      </c>
    </row>
    <row r="350" spans="1:15" x14ac:dyDescent="0.15">
      <c r="A350" s="154"/>
      <c r="B350" s="151"/>
      <c r="C350" s="152"/>
      <c r="D350" s="323"/>
      <c r="E350" s="154"/>
      <c r="F350" s="157"/>
      <c r="G350" s="152"/>
      <c r="H350" s="323" t="s">
        <v>4144</v>
      </c>
      <c r="I350" s="152"/>
      <c r="J350" s="157"/>
      <c r="K350" s="157">
        <v>5800362608</v>
      </c>
      <c r="L350" s="227">
        <v>13176.643</v>
      </c>
      <c r="M350" s="157" t="s">
        <v>4163</v>
      </c>
      <c r="N350" s="152">
        <f t="shared" si="97"/>
        <v>8398.6163620118277</v>
      </c>
      <c r="O350" s="152">
        <f t="shared" si="98"/>
        <v>1240089.0813620123</v>
      </c>
    </row>
    <row r="351" spans="1:15" x14ac:dyDescent="0.15">
      <c r="A351" s="154"/>
      <c r="B351" s="151"/>
      <c r="C351" s="152"/>
      <c r="D351" s="323"/>
      <c r="E351" s="154"/>
      <c r="F351" s="157"/>
      <c r="G351" s="152"/>
      <c r="H351" s="323" t="s">
        <v>4144</v>
      </c>
      <c r="I351" s="152"/>
      <c r="J351" s="157"/>
      <c r="K351" s="157">
        <v>5800362608</v>
      </c>
      <c r="L351" s="227">
        <v>3819.288</v>
      </c>
      <c r="M351" s="157" t="s">
        <v>4163</v>
      </c>
      <c r="N351" s="152">
        <f t="shared" si="97"/>
        <v>4579.3283620118273</v>
      </c>
      <c r="O351" s="152">
        <f t="shared" si="98"/>
        <v>1236269.7933620124</v>
      </c>
    </row>
    <row r="352" spans="1:15" x14ac:dyDescent="0.15">
      <c r="A352" s="154"/>
      <c r="B352" s="151"/>
      <c r="C352" s="152"/>
      <c r="D352" s="323"/>
      <c r="E352" s="154"/>
      <c r="F352" s="157"/>
      <c r="G352" s="152"/>
      <c r="H352" s="323" t="s">
        <v>4144</v>
      </c>
      <c r="I352" s="152"/>
      <c r="J352" s="157"/>
      <c r="K352" s="157">
        <v>5800362608</v>
      </c>
      <c r="L352" s="227">
        <v>4579.3283620118273</v>
      </c>
      <c r="M352" s="157" t="s">
        <v>4163</v>
      </c>
      <c r="N352" s="152">
        <f t="shared" si="97"/>
        <v>0</v>
      </c>
      <c r="O352" s="152">
        <f t="shared" si="98"/>
        <v>1231690.4650000005</v>
      </c>
    </row>
    <row r="353" spans="1:15" x14ac:dyDescent="0.15">
      <c r="A353" s="154"/>
      <c r="B353" s="151"/>
      <c r="C353" s="152"/>
      <c r="D353" s="323"/>
      <c r="E353" s="154"/>
      <c r="F353" s="157"/>
      <c r="G353" s="152"/>
      <c r="H353" s="323" t="s">
        <v>4144</v>
      </c>
      <c r="I353" s="152"/>
      <c r="J353" s="157"/>
      <c r="K353" s="157">
        <v>5800362608</v>
      </c>
      <c r="L353" s="227">
        <f>13923.112-L352</f>
        <v>9343.7836379881719</v>
      </c>
      <c r="M353" s="157" t="s">
        <v>4163</v>
      </c>
      <c r="N353" s="152">
        <f>G277+N352-I353-L353</f>
        <v>254369.89236201186</v>
      </c>
      <c r="O353" s="152">
        <f t="shared" si="98"/>
        <v>1222346.6813620124</v>
      </c>
    </row>
    <row r="354" spans="1:15" x14ac:dyDescent="0.15">
      <c r="A354" s="154"/>
      <c r="B354" s="151"/>
      <c r="C354" s="152"/>
      <c r="D354" s="323"/>
      <c r="E354" s="154"/>
      <c r="F354" s="157"/>
      <c r="G354" s="152"/>
      <c r="H354" s="323" t="s">
        <v>4144</v>
      </c>
      <c r="I354" s="152"/>
      <c r="J354" s="157"/>
      <c r="K354" s="157">
        <v>5800362608</v>
      </c>
      <c r="L354" s="227">
        <v>32120.19</v>
      </c>
      <c r="M354" s="157" t="s">
        <v>4163</v>
      </c>
      <c r="N354" s="152">
        <f t="shared" si="97"/>
        <v>222249.70236201186</v>
      </c>
      <c r="O354" s="152">
        <f t="shared" si="98"/>
        <v>1190226.4913620125</v>
      </c>
    </row>
    <row r="355" spans="1:15" x14ac:dyDescent="0.15">
      <c r="A355" s="154"/>
      <c r="B355" s="151"/>
      <c r="C355" s="152"/>
      <c r="D355" s="323" t="s">
        <v>4145</v>
      </c>
      <c r="E355" s="154" t="s">
        <v>72</v>
      </c>
      <c r="F355" s="157" t="s">
        <v>4167</v>
      </c>
      <c r="G355" s="152">
        <v>87926.096000000107</v>
      </c>
      <c r="H355" s="323" t="s">
        <v>4145</v>
      </c>
      <c r="I355" s="152">
        <v>16576.470999999998</v>
      </c>
      <c r="J355" s="157" t="s">
        <v>4163</v>
      </c>
      <c r="K355" s="157">
        <v>5800362608</v>
      </c>
      <c r="L355" s="227">
        <v>15679.768</v>
      </c>
      <c r="M355" s="157" t="s">
        <v>4163</v>
      </c>
      <c r="N355" s="152">
        <f t="shared" si="97"/>
        <v>189993.46336201185</v>
      </c>
      <c r="O355" s="152">
        <f t="shared" si="98"/>
        <v>1245896.3483620128</v>
      </c>
    </row>
    <row r="356" spans="1:15" x14ac:dyDescent="0.15">
      <c r="A356" s="154"/>
      <c r="B356" s="151"/>
      <c r="C356" s="152"/>
      <c r="D356" s="323" t="s">
        <v>4145</v>
      </c>
      <c r="E356" s="154" t="s">
        <v>72</v>
      </c>
      <c r="F356" s="157" t="s">
        <v>4168</v>
      </c>
      <c r="G356" s="152">
        <v>87989.629999999888</v>
      </c>
      <c r="H356" s="323" t="s">
        <v>4145</v>
      </c>
      <c r="I356" s="152"/>
      <c r="J356" s="157"/>
      <c r="K356" s="157">
        <v>5800362608</v>
      </c>
      <c r="L356" s="227">
        <v>14762.489</v>
      </c>
      <c r="M356" s="157" t="s">
        <v>4163</v>
      </c>
      <c r="N356" s="152">
        <f t="shared" si="97"/>
        <v>175230.97436201185</v>
      </c>
      <c r="O356" s="152">
        <f t="shared" si="98"/>
        <v>1319123.4893620126</v>
      </c>
    </row>
    <row r="357" spans="1:15" x14ac:dyDescent="0.15">
      <c r="A357" s="154"/>
      <c r="B357" s="151"/>
      <c r="C357" s="152"/>
      <c r="D357" s="323"/>
      <c r="E357" s="154"/>
      <c r="F357" s="157"/>
      <c r="G357" s="152"/>
      <c r="H357" s="323" t="s">
        <v>4145</v>
      </c>
      <c r="I357" s="152"/>
      <c r="J357" s="157"/>
      <c r="K357" s="157">
        <v>5800362608</v>
      </c>
      <c r="L357" s="227">
        <v>7856.3890000000001</v>
      </c>
      <c r="M357" s="157" t="s">
        <v>4163</v>
      </c>
      <c r="N357" s="152">
        <f t="shared" si="97"/>
        <v>167374.58536201186</v>
      </c>
      <c r="O357" s="152">
        <f t="shared" si="98"/>
        <v>1311267.1003620126</v>
      </c>
    </row>
    <row r="358" spans="1:15" x14ac:dyDescent="0.15">
      <c r="A358" s="154"/>
      <c r="B358" s="151"/>
      <c r="C358" s="152"/>
      <c r="D358" s="323"/>
      <c r="E358" s="154"/>
      <c r="F358" s="157"/>
      <c r="G358" s="152"/>
      <c r="H358" s="323" t="s">
        <v>4145</v>
      </c>
      <c r="I358" s="152"/>
      <c r="J358" s="157"/>
      <c r="K358" s="157">
        <v>5800362608</v>
      </c>
      <c r="L358" s="227">
        <v>12224.717000000001</v>
      </c>
      <c r="M358" s="157" t="s">
        <v>4163</v>
      </c>
      <c r="N358" s="152">
        <f t="shared" si="97"/>
        <v>155149.86836201185</v>
      </c>
      <c r="O358" s="152">
        <f t="shared" si="98"/>
        <v>1299042.3833620127</v>
      </c>
    </row>
    <row r="359" spans="1:15" x14ac:dyDescent="0.15">
      <c r="A359" s="154"/>
      <c r="B359" s="151"/>
      <c r="C359" s="152"/>
      <c r="D359" s="323"/>
      <c r="E359" s="154"/>
      <c r="F359" s="157"/>
      <c r="G359" s="152"/>
      <c r="H359" s="323" t="s">
        <v>4145</v>
      </c>
      <c r="I359" s="152"/>
      <c r="J359" s="157"/>
      <c r="K359" s="157">
        <v>5800362608</v>
      </c>
      <c r="L359" s="227">
        <v>17381.285</v>
      </c>
      <c r="M359" s="157" t="s">
        <v>4163</v>
      </c>
      <c r="N359" s="152">
        <f t="shared" si="97"/>
        <v>137768.58336201185</v>
      </c>
      <c r="O359" s="152">
        <f t="shared" si="98"/>
        <v>1281661.0983620128</v>
      </c>
    </row>
    <row r="360" spans="1:15" x14ac:dyDescent="0.15">
      <c r="A360" s="154"/>
      <c r="B360" s="151"/>
      <c r="C360" s="152"/>
      <c r="D360" s="323"/>
      <c r="E360" s="154"/>
      <c r="F360" s="157"/>
      <c r="G360" s="152"/>
      <c r="H360" s="323" t="s">
        <v>4145</v>
      </c>
      <c r="I360" s="152"/>
      <c r="J360" s="157"/>
      <c r="K360" s="157">
        <v>5800362608</v>
      </c>
      <c r="L360" s="227">
        <v>65419.892999999996</v>
      </c>
      <c r="M360" s="157" t="s">
        <v>4163</v>
      </c>
      <c r="N360" s="152">
        <f t="shared" si="97"/>
        <v>72348.690362011854</v>
      </c>
      <c r="O360" s="152">
        <f t="shared" si="98"/>
        <v>1216241.2053620128</v>
      </c>
    </row>
    <row r="361" spans="1:15" x14ac:dyDescent="0.15">
      <c r="A361" s="154"/>
      <c r="B361" s="151"/>
      <c r="C361" s="152"/>
      <c r="D361" s="323"/>
      <c r="E361" s="154"/>
      <c r="F361" s="157"/>
      <c r="G361" s="152"/>
      <c r="H361" s="323" t="s">
        <v>4145</v>
      </c>
      <c r="I361" s="152"/>
      <c r="J361" s="157"/>
      <c r="K361" s="157">
        <v>5800362608</v>
      </c>
      <c r="L361" s="227">
        <v>8240.5059999999994</v>
      </c>
      <c r="M361" s="157" t="s">
        <v>4163</v>
      </c>
      <c r="N361" s="152">
        <f t="shared" si="97"/>
        <v>64108.184362011852</v>
      </c>
      <c r="O361" s="152">
        <f t="shared" si="98"/>
        <v>1208000.6993620128</v>
      </c>
    </row>
    <row r="362" spans="1:15" x14ac:dyDescent="0.15">
      <c r="A362" s="154"/>
      <c r="B362" s="151"/>
      <c r="C362" s="152"/>
      <c r="D362" s="323"/>
      <c r="E362" s="154"/>
      <c r="F362" s="157"/>
      <c r="G362" s="152"/>
      <c r="H362" s="323" t="s">
        <v>4145</v>
      </c>
      <c r="I362" s="152"/>
      <c r="J362" s="157"/>
      <c r="K362" s="157">
        <v>5800362608</v>
      </c>
      <c r="L362" s="227">
        <v>64108.184362011852</v>
      </c>
      <c r="M362" s="157" t="s">
        <v>4163</v>
      </c>
      <c r="N362" s="152">
        <f t="shared" si="97"/>
        <v>0</v>
      </c>
      <c r="O362" s="152">
        <f t="shared" si="98"/>
        <v>1143892.5150000008</v>
      </c>
    </row>
    <row r="363" spans="1:15" x14ac:dyDescent="0.15">
      <c r="A363" s="154"/>
      <c r="B363" s="151"/>
      <c r="C363" s="152"/>
      <c r="D363" s="323"/>
      <c r="E363" s="154"/>
      <c r="F363" s="157"/>
      <c r="G363" s="152"/>
      <c r="H363" s="323" t="s">
        <v>4145</v>
      </c>
      <c r="I363" s="152"/>
      <c r="J363" s="157"/>
      <c r="K363" s="157">
        <v>5800361781</v>
      </c>
      <c r="L363" s="227">
        <f>81957.921-L362</f>
        <v>17849.73663798815</v>
      </c>
      <c r="M363" s="157" t="s">
        <v>4165</v>
      </c>
      <c r="N363" s="152">
        <f>G278+N362-I363-L363</f>
        <v>70087.77736201181</v>
      </c>
      <c r="O363" s="152">
        <f t="shared" si="98"/>
        <v>1126042.7783620127</v>
      </c>
    </row>
    <row r="364" spans="1:15" x14ac:dyDescent="0.15">
      <c r="A364" s="154"/>
      <c r="B364" s="151"/>
      <c r="C364" s="152"/>
      <c r="D364" s="323"/>
      <c r="E364" s="154"/>
      <c r="F364" s="157"/>
      <c r="G364" s="152"/>
      <c r="H364" s="323" t="s">
        <v>4145</v>
      </c>
      <c r="I364" s="152"/>
      <c r="J364" s="157"/>
      <c r="K364" s="157">
        <v>5800361781</v>
      </c>
      <c r="L364" s="227">
        <v>70087.77736201181</v>
      </c>
      <c r="M364" s="157" t="s">
        <v>4165</v>
      </c>
      <c r="N364" s="152">
        <f t="shared" si="97"/>
        <v>0</v>
      </c>
      <c r="O364" s="152">
        <f t="shared" si="98"/>
        <v>1055955.0010000009</v>
      </c>
    </row>
    <row r="365" spans="1:15" x14ac:dyDescent="0.15">
      <c r="A365" s="154"/>
      <c r="B365" s="151"/>
      <c r="C365" s="152"/>
      <c r="D365" s="323"/>
      <c r="E365" s="154"/>
      <c r="F365" s="157"/>
      <c r="G365" s="152"/>
      <c r="H365" s="323" t="s">
        <v>4145</v>
      </c>
      <c r="I365" s="152"/>
      <c r="J365" s="157"/>
      <c r="K365" s="157">
        <v>5800361781</v>
      </c>
      <c r="L365" s="227">
        <f>80724.546-L364</f>
        <v>10636.768637988192</v>
      </c>
      <c r="M365" s="157" t="s">
        <v>4165</v>
      </c>
      <c r="N365" s="152">
        <f>G292+N364-I365-L365</f>
        <v>33357.843362011801</v>
      </c>
      <c r="O365" s="152">
        <f t="shared" si="98"/>
        <v>1045318.2323620126</v>
      </c>
    </row>
    <row r="366" spans="1:15" x14ac:dyDescent="0.15">
      <c r="A366" s="154"/>
      <c r="B366" s="151"/>
      <c r="C366" s="152"/>
      <c r="D366" s="323"/>
      <c r="E366" s="154"/>
      <c r="F366" s="157"/>
      <c r="G366" s="152"/>
      <c r="H366" s="323" t="s">
        <v>4145</v>
      </c>
      <c r="I366" s="152"/>
      <c r="J366" s="157"/>
      <c r="K366" s="157">
        <v>5800361781</v>
      </c>
      <c r="L366" s="227">
        <v>13944.512000000001</v>
      </c>
      <c r="M366" s="157" t="s">
        <v>4165</v>
      </c>
      <c r="N366" s="152">
        <f t="shared" si="97"/>
        <v>19413.331362011799</v>
      </c>
      <c r="O366" s="152">
        <f t="shared" si="98"/>
        <v>1031373.7203620126</v>
      </c>
    </row>
    <row r="367" spans="1:15" x14ac:dyDescent="0.15">
      <c r="A367" s="154"/>
      <c r="B367" s="151"/>
      <c r="C367" s="152"/>
      <c r="D367" s="323"/>
      <c r="E367" s="154"/>
      <c r="F367" s="157"/>
      <c r="G367" s="152"/>
      <c r="H367" s="323" t="s">
        <v>4145</v>
      </c>
      <c r="I367" s="152"/>
      <c r="J367" s="157"/>
      <c r="K367" s="157">
        <v>5800361781</v>
      </c>
      <c r="L367" s="227">
        <v>4038.5419999999999</v>
      </c>
      <c r="M367" s="157" t="s">
        <v>4165</v>
      </c>
      <c r="N367" s="152">
        <f t="shared" si="97"/>
        <v>15374.789362011799</v>
      </c>
      <c r="O367" s="152">
        <f t="shared" si="98"/>
        <v>1027335.1783620126</v>
      </c>
    </row>
    <row r="368" spans="1:15" x14ac:dyDescent="0.15">
      <c r="A368" s="154"/>
      <c r="B368" s="151"/>
      <c r="C368" s="152"/>
      <c r="D368" s="323" t="s">
        <v>4146</v>
      </c>
      <c r="E368" s="154" t="s">
        <v>72</v>
      </c>
      <c r="F368" s="157" t="s">
        <v>4168</v>
      </c>
      <c r="G368" s="152">
        <v>87941.347000000125</v>
      </c>
      <c r="H368" s="323" t="s">
        <v>4146</v>
      </c>
      <c r="I368" s="152">
        <v>15374.789362011799</v>
      </c>
      <c r="J368" s="157" t="s">
        <v>4165</v>
      </c>
      <c r="K368" s="157"/>
      <c r="L368" s="227"/>
      <c r="M368" s="157"/>
      <c r="N368" s="152">
        <f t="shared" si="97"/>
        <v>0</v>
      </c>
      <c r="O368" s="152">
        <f t="shared" si="98"/>
        <v>1099901.736000001</v>
      </c>
    </row>
    <row r="369" spans="1:15" x14ac:dyDescent="0.15">
      <c r="A369" s="154"/>
      <c r="B369" s="151"/>
      <c r="C369" s="152"/>
      <c r="D369" s="323" t="s">
        <v>4146</v>
      </c>
      <c r="E369" s="154" t="s">
        <v>72</v>
      </c>
      <c r="F369" s="157" t="s">
        <v>4169</v>
      </c>
      <c r="G369" s="152">
        <v>87969.341999999888</v>
      </c>
      <c r="H369" s="323" t="s">
        <v>4146</v>
      </c>
      <c r="I369" s="152">
        <f>21567.409-I368</f>
        <v>6192.6196379882003</v>
      </c>
      <c r="J369" s="157" t="s">
        <v>4164</v>
      </c>
      <c r="K369" s="157">
        <v>5800362608</v>
      </c>
      <c r="L369" s="227">
        <v>11765.191999999999</v>
      </c>
      <c r="M369" s="157" t="s">
        <v>4164</v>
      </c>
      <c r="N369" s="152">
        <f>G293+N368-I369-L369</f>
        <v>290194.16736201179</v>
      </c>
      <c r="O369" s="152">
        <f t="shared" ref="O369:O371" si="99">O368+G369-I369-L369</f>
        <v>1169913.2663620126</v>
      </c>
    </row>
    <row r="370" spans="1:15" x14ac:dyDescent="0.15">
      <c r="A370" s="154"/>
      <c r="B370" s="151"/>
      <c r="C370" s="152"/>
      <c r="D370" s="323"/>
      <c r="E370" s="154"/>
      <c r="F370" s="157"/>
      <c r="G370" s="152"/>
      <c r="H370" s="323" t="s">
        <v>4146</v>
      </c>
      <c r="I370" s="152"/>
      <c r="J370" s="157"/>
      <c r="K370" s="157">
        <v>5800362608</v>
      </c>
      <c r="L370" s="227">
        <v>12144.231</v>
      </c>
      <c r="M370" s="157" t="s">
        <v>4164</v>
      </c>
      <c r="N370" s="152">
        <f t="shared" ref="N370:N371" si="100">+N369-I370-L370</f>
        <v>278049.93636201182</v>
      </c>
      <c r="O370" s="152">
        <f t="shared" si="99"/>
        <v>1157769.0353620127</v>
      </c>
    </row>
    <row r="371" spans="1:15" x14ac:dyDescent="0.15">
      <c r="A371" s="154"/>
      <c r="B371" s="151"/>
      <c r="C371" s="152"/>
      <c r="D371" s="323"/>
      <c r="E371" s="154"/>
      <c r="F371" s="157"/>
      <c r="G371" s="152"/>
      <c r="H371" s="323" t="s">
        <v>4146</v>
      </c>
      <c r="I371" s="152"/>
      <c r="J371" s="157"/>
      <c r="K371" s="157">
        <v>5800362608</v>
      </c>
      <c r="L371" s="227">
        <v>11907.207</v>
      </c>
      <c r="M371" s="157" t="s">
        <v>4164</v>
      </c>
      <c r="N371" s="152">
        <f t="shared" si="100"/>
        <v>266142.72936201183</v>
      </c>
      <c r="O371" s="152">
        <f t="shared" si="99"/>
        <v>1145861.8283620127</v>
      </c>
    </row>
    <row r="372" spans="1:15" x14ac:dyDescent="0.15">
      <c r="A372" s="154"/>
      <c r="B372" s="151"/>
      <c r="C372" s="152"/>
      <c r="D372" s="323"/>
      <c r="E372" s="154"/>
      <c r="F372" s="157"/>
      <c r="G372" s="152"/>
      <c r="H372" s="323" t="s">
        <v>4146</v>
      </c>
      <c r="I372" s="152"/>
      <c r="J372" s="157"/>
      <c r="K372" s="157">
        <v>5800362608</v>
      </c>
      <c r="L372" s="227">
        <v>12300.246999999999</v>
      </c>
      <c r="M372" s="157" t="s">
        <v>4164</v>
      </c>
      <c r="N372" s="152">
        <f t="shared" si="97"/>
        <v>253842.48236201183</v>
      </c>
      <c r="O372" s="152">
        <f t="shared" si="98"/>
        <v>1133561.5813620128</v>
      </c>
    </row>
    <row r="373" spans="1:15" x14ac:dyDescent="0.15">
      <c r="A373" s="154"/>
      <c r="B373" s="151"/>
      <c r="C373" s="152"/>
      <c r="D373" s="323"/>
      <c r="E373" s="154"/>
      <c r="F373" s="157"/>
      <c r="G373" s="152"/>
      <c r="H373" s="323" t="s">
        <v>4146</v>
      </c>
      <c r="I373" s="152"/>
      <c r="J373" s="157"/>
      <c r="K373" s="157">
        <v>5800362608</v>
      </c>
      <c r="L373" s="227">
        <v>1356.1369999999999</v>
      </c>
      <c r="M373" s="157" t="s">
        <v>4164</v>
      </c>
      <c r="N373" s="152">
        <f t="shared" si="97"/>
        <v>252486.34536201184</v>
      </c>
      <c r="O373" s="152">
        <f t="shared" si="98"/>
        <v>1132205.4443620127</v>
      </c>
    </row>
    <row r="374" spans="1:15" x14ac:dyDescent="0.15">
      <c r="A374" s="154"/>
      <c r="B374" s="151"/>
      <c r="C374" s="152"/>
      <c r="D374" s="323"/>
      <c r="E374" s="154"/>
      <c r="F374" s="157"/>
      <c r="G374" s="152"/>
      <c r="H374" s="323" t="s">
        <v>4146</v>
      </c>
      <c r="I374" s="152"/>
      <c r="J374" s="157"/>
      <c r="K374" s="157">
        <v>5800362608</v>
      </c>
      <c r="L374" s="227">
        <v>12762.293</v>
      </c>
      <c r="M374" s="157" t="s">
        <v>4164</v>
      </c>
      <c r="N374" s="152">
        <f t="shared" si="97"/>
        <v>239724.05236201183</v>
      </c>
      <c r="O374" s="152">
        <f t="shared" si="98"/>
        <v>1119443.1513620126</v>
      </c>
    </row>
    <row r="375" spans="1:15" x14ac:dyDescent="0.15">
      <c r="A375" s="154"/>
      <c r="B375" s="151"/>
      <c r="C375" s="152"/>
      <c r="D375" s="323"/>
      <c r="E375" s="154"/>
      <c r="F375" s="157"/>
      <c r="G375" s="152"/>
      <c r="H375" s="323" t="s">
        <v>4146</v>
      </c>
      <c r="I375" s="152"/>
      <c r="J375" s="157"/>
      <c r="K375" s="157">
        <v>5800362608</v>
      </c>
      <c r="L375" s="227">
        <v>4161.3119999999999</v>
      </c>
      <c r="M375" s="157" t="s">
        <v>4164</v>
      </c>
      <c r="N375" s="152">
        <f t="shared" si="97"/>
        <v>235562.74036201183</v>
      </c>
      <c r="O375" s="152">
        <f t="shared" si="98"/>
        <v>1115281.8393620127</v>
      </c>
    </row>
    <row r="376" spans="1:15" x14ac:dyDescent="0.15">
      <c r="A376" s="154"/>
      <c r="B376" s="151"/>
      <c r="C376" s="152"/>
      <c r="D376" s="323"/>
      <c r="E376" s="154"/>
      <c r="F376" s="157"/>
      <c r="G376" s="152"/>
      <c r="H376" s="323" t="s">
        <v>4146</v>
      </c>
      <c r="I376" s="152"/>
      <c r="J376" s="157"/>
      <c r="K376" s="157">
        <v>5800362608</v>
      </c>
      <c r="L376" s="227">
        <v>13248.626</v>
      </c>
      <c r="M376" s="157" t="s">
        <v>4164</v>
      </c>
      <c r="N376" s="152">
        <f t="shared" si="97"/>
        <v>222314.11436201184</v>
      </c>
      <c r="O376" s="152">
        <f t="shared" si="98"/>
        <v>1102033.2133620128</v>
      </c>
    </row>
    <row r="377" spans="1:15" x14ac:dyDescent="0.15">
      <c r="A377" s="154"/>
      <c r="B377" s="151"/>
      <c r="C377" s="152"/>
      <c r="D377" s="323"/>
      <c r="E377" s="154"/>
      <c r="F377" s="157"/>
      <c r="G377" s="152"/>
      <c r="H377" s="323" t="s">
        <v>4146</v>
      </c>
      <c r="I377" s="152"/>
      <c r="J377" s="157"/>
      <c r="K377" s="157">
        <v>5800362608</v>
      </c>
      <c r="L377" s="227">
        <v>12918.76</v>
      </c>
      <c r="M377" s="157" t="s">
        <v>4164</v>
      </c>
      <c r="N377" s="152">
        <f t="shared" si="97"/>
        <v>209395.35436201183</v>
      </c>
      <c r="O377" s="152">
        <f t="shared" si="98"/>
        <v>1089114.4533620127</v>
      </c>
    </row>
    <row r="378" spans="1:15" ht="12" customHeight="1" x14ac:dyDescent="0.15">
      <c r="A378" s="154"/>
      <c r="B378" s="151"/>
      <c r="C378" s="152"/>
      <c r="D378" s="323" t="s">
        <v>4147</v>
      </c>
      <c r="E378" s="154" t="s">
        <v>72</v>
      </c>
      <c r="F378" s="157" t="s">
        <v>4169</v>
      </c>
      <c r="G378" s="152">
        <v>351521.08399999997</v>
      </c>
      <c r="H378" s="323" t="s">
        <v>4147</v>
      </c>
      <c r="I378" s="152">
        <v>12783.681</v>
      </c>
      <c r="J378" s="157" t="s">
        <v>4164</v>
      </c>
      <c r="K378" s="157">
        <v>5800362608</v>
      </c>
      <c r="L378" s="227">
        <v>13496.368</v>
      </c>
      <c r="M378" s="157" t="s">
        <v>4164</v>
      </c>
      <c r="N378" s="152">
        <f>+N377-I378-L378</f>
        <v>183115.30536201183</v>
      </c>
      <c r="O378" s="152">
        <f t="shared" si="98"/>
        <v>1414355.4883620127</v>
      </c>
    </row>
    <row r="379" spans="1:15" x14ac:dyDescent="0.15">
      <c r="A379" s="154"/>
      <c r="B379" s="151"/>
      <c r="C379" s="152"/>
      <c r="D379" s="323"/>
      <c r="E379" s="154"/>
      <c r="F379" s="157"/>
      <c r="G379" s="152"/>
      <c r="H379" s="323" t="s">
        <v>4147</v>
      </c>
      <c r="I379" s="152"/>
      <c r="J379" s="157"/>
      <c r="K379" s="157">
        <v>5800362608</v>
      </c>
      <c r="L379" s="227">
        <v>12471.263999999999</v>
      </c>
      <c r="M379" s="157" t="s">
        <v>4164</v>
      </c>
      <c r="N379" s="152">
        <f t="shared" si="97"/>
        <v>170644.04136201183</v>
      </c>
      <c r="O379" s="152">
        <f t="shared" si="98"/>
        <v>1401884.2243620127</v>
      </c>
    </row>
    <row r="380" spans="1:15" x14ac:dyDescent="0.15">
      <c r="A380" s="154"/>
      <c r="B380" s="151"/>
      <c r="C380" s="152"/>
      <c r="D380" s="323"/>
      <c r="E380" s="154"/>
      <c r="F380" s="157"/>
      <c r="G380" s="152"/>
      <c r="H380" s="323" t="s">
        <v>4147</v>
      </c>
      <c r="I380" s="152"/>
      <c r="J380" s="157"/>
      <c r="K380" s="157">
        <v>5800362608</v>
      </c>
      <c r="L380" s="227">
        <v>10728.087</v>
      </c>
      <c r="M380" s="157" t="s">
        <v>4164</v>
      </c>
      <c r="N380" s="152">
        <f t="shared" si="97"/>
        <v>159915.95436201183</v>
      </c>
      <c r="O380" s="152">
        <f t="shared" si="98"/>
        <v>1391156.1373620126</v>
      </c>
    </row>
    <row r="381" spans="1:15" x14ac:dyDescent="0.15">
      <c r="A381" s="154"/>
      <c r="B381" s="151"/>
      <c r="C381" s="152"/>
      <c r="D381" s="323"/>
      <c r="E381" s="154"/>
      <c r="F381" s="157"/>
      <c r="G381" s="152"/>
      <c r="H381" s="323" t="s">
        <v>4147</v>
      </c>
      <c r="I381" s="152"/>
      <c r="J381" s="157"/>
      <c r="K381" s="157">
        <v>5800362608</v>
      </c>
      <c r="L381" s="227">
        <v>9230.0253620118565</v>
      </c>
      <c r="M381" s="157" t="s">
        <v>4164</v>
      </c>
      <c r="N381" s="152">
        <f t="shared" ref="N381:N422" si="101">+N380-I381-L381</f>
        <v>150685.92899999997</v>
      </c>
      <c r="O381" s="152">
        <f t="shared" ref="O381:O422" si="102">O380+G381-I381-L381</f>
        <v>1381926.1120000009</v>
      </c>
    </row>
    <row r="382" spans="1:15" x14ac:dyDescent="0.15">
      <c r="A382" s="154"/>
      <c r="B382" s="151"/>
      <c r="C382" s="152"/>
      <c r="D382" s="323"/>
      <c r="E382" s="154"/>
      <c r="F382" s="157"/>
      <c r="G382" s="152"/>
      <c r="H382" s="323" t="s">
        <v>4147</v>
      </c>
      <c r="I382" s="152"/>
      <c r="J382" s="157"/>
      <c r="K382" s="157">
        <v>5800362608</v>
      </c>
      <c r="L382" s="227">
        <f>17628.787-L381</f>
        <v>8398.7616379881438</v>
      </c>
      <c r="M382" s="157" t="s">
        <v>4164</v>
      </c>
      <c r="N382" s="152">
        <f t="shared" si="101"/>
        <v>142287.16736201182</v>
      </c>
      <c r="O382" s="152">
        <f t="shared" si="102"/>
        <v>1373527.3503620129</v>
      </c>
    </row>
    <row r="383" spans="1:15" x14ac:dyDescent="0.15">
      <c r="A383" s="154"/>
      <c r="B383" s="151"/>
      <c r="C383" s="152"/>
      <c r="D383" s="323"/>
      <c r="E383" s="154"/>
      <c r="F383" s="157"/>
      <c r="G383" s="152"/>
      <c r="H383" s="323" t="s">
        <v>4147</v>
      </c>
      <c r="I383" s="152"/>
      <c r="J383" s="157"/>
      <c r="K383" s="157">
        <v>5800362608</v>
      </c>
      <c r="L383" s="227">
        <v>1380.14</v>
      </c>
      <c r="M383" s="157" t="s">
        <v>4164</v>
      </c>
      <c r="N383" s="152">
        <f t="shared" si="101"/>
        <v>140907.02736201181</v>
      </c>
      <c r="O383" s="152">
        <f t="shared" si="102"/>
        <v>1372147.210362013</v>
      </c>
    </row>
    <row r="384" spans="1:15" x14ac:dyDescent="0.15">
      <c r="A384" s="154"/>
      <c r="B384" s="151"/>
      <c r="C384" s="152"/>
      <c r="D384" s="323"/>
      <c r="E384" s="154"/>
      <c r="F384" s="157"/>
      <c r="G384" s="152"/>
      <c r="H384" s="323" t="s">
        <v>4147</v>
      </c>
      <c r="I384" s="152"/>
      <c r="J384" s="157"/>
      <c r="K384" s="157">
        <v>5800362608</v>
      </c>
      <c r="L384" s="227">
        <v>14447.464</v>
      </c>
      <c r="M384" s="157" t="s">
        <v>4164</v>
      </c>
      <c r="N384" s="152">
        <f t="shared" si="101"/>
        <v>126459.5633620118</v>
      </c>
      <c r="O384" s="152">
        <f t="shared" si="102"/>
        <v>1357699.746362013</v>
      </c>
    </row>
    <row r="385" spans="1:15" x14ac:dyDescent="0.15">
      <c r="A385" s="154"/>
      <c r="B385" s="151"/>
      <c r="C385" s="152"/>
      <c r="D385" s="323"/>
      <c r="E385" s="154"/>
      <c r="F385" s="157"/>
      <c r="G385" s="152"/>
      <c r="H385" s="323" t="s">
        <v>4147</v>
      </c>
      <c r="I385" s="152"/>
      <c r="J385" s="157"/>
      <c r="K385" s="157">
        <v>5800362608</v>
      </c>
      <c r="L385" s="227">
        <v>15911.612999999999</v>
      </c>
      <c r="M385" s="157" t="s">
        <v>4164</v>
      </c>
      <c r="N385" s="152">
        <f t="shared" si="101"/>
        <v>110547.9503620118</v>
      </c>
      <c r="O385" s="152">
        <f t="shared" si="102"/>
        <v>1341788.1333620131</v>
      </c>
    </row>
    <row r="386" spans="1:15" x14ac:dyDescent="0.15">
      <c r="A386" s="154"/>
      <c r="B386" s="151"/>
      <c r="C386" s="152"/>
      <c r="D386" s="323"/>
      <c r="E386" s="154"/>
      <c r="F386" s="157"/>
      <c r="G386" s="152"/>
      <c r="H386" s="323" t="s">
        <v>4147</v>
      </c>
      <c r="I386" s="152"/>
      <c r="J386" s="157"/>
      <c r="K386" s="157">
        <v>5800362608</v>
      </c>
      <c r="L386" s="227">
        <v>34684.514999999999</v>
      </c>
      <c r="M386" s="157" t="s">
        <v>4164</v>
      </c>
      <c r="N386" s="152">
        <f t="shared" si="101"/>
        <v>75863.435362011805</v>
      </c>
      <c r="O386" s="152">
        <f t="shared" si="102"/>
        <v>1307103.6183620133</v>
      </c>
    </row>
    <row r="387" spans="1:15" x14ac:dyDescent="0.15">
      <c r="A387" s="154"/>
      <c r="B387" s="151"/>
      <c r="C387" s="152"/>
      <c r="D387" s="323"/>
      <c r="E387" s="154"/>
      <c r="F387" s="157"/>
      <c r="G387" s="152"/>
      <c r="H387" s="323" t="s">
        <v>4147</v>
      </c>
      <c r="I387" s="152"/>
      <c r="J387" s="157"/>
      <c r="K387" s="157">
        <v>5800362608</v>
      </c>
      <c r="L387" s="227">
        <v>641.67499999999995</v>
      </c>
      <c r="M387" s="157" t="s">
        <v>4164</v>
      </c>
      <c r="N387" s="152">
        <f t="shared" si="101"/>
        <v>75221.760362011802</v>
      </c>
      <c r="O387" s="152">
        <f t="shared" si="102"/>
        <v>1306461.9433620132</v>
      </c>
    </row>
    <row r="388" spans="1:15" x14ac:dyDescent="0.15">
      <c r="A388" s="154"/>
      <c r="B388" s="151"/>
      <c r="C388" s="152"/>
      <c r="D388" s="323"/>
      <c r="E388" s="154"/>
      <c r="F388" s="157"/>
      <c r="G388" s="152"/>
      <c r="H388" s="323" t="s">
        <v>4147</v>
      </c>
      <c r="I388" s="152"/>
      <c r="J388" s="157"/>
      <c r="K388" s="157">
        <v>5800362608</v>
      </c>
      <c r="L388" s="227">
        <v>13077.369000000001</v>
      </c>
      <c r="M388" s="157" t="s">
        <v>4164</v>
      </c>
      <c r="N388" s="152">
        <f t="shared" si="101"/>
        <v>62144.391362011804</v>
      </c>
      <c r="O388" s="152">
        <f t="shared" si="102"/>
        <v>1293384.5743620133</v>
      </c>
    </row>
    <row r="389" spans="1:15" x14ac:dyDescent="0.15">
      <c r="A389" s="154"/>
      <c r="B389" s="151"/>
      <c r="C389" s="152"/>
      <c r="D389" s="323"/>
      <c r="E389" s="154"/>
      <c r="F389" s="157"/>
      <c r="G389" s="152"/>
      <c r="H389" s="323" t="s">
        <v>4147</v>
      </c>
      <c r="I389" s="152"/>
      <c r="J389" s="157"/>
      <c r="K389" s="157">
        <v>5800362608</v>
      </c>
      <c r="L389" s="227">
        <v>35182.159</v>
      </c>
      <c r="M389" s="157" t="s">
        <v>4164</v>
      </c>
      <c r="N389" s="152">
        <f t="shared" si="101"/>
        <v>26962.232362011804</v>
      </c>
      <c r="O389" s="152">
        <f t="shared" si="102"/>
        <v>1258202.4153620133</v>
      </c>
    </row>
    <row r="390" spans="1:15" x14ac:dyDescent="0.15">
      <c r="A390" s="154"/>
      <c r="B390" s="151"/>
      <c r="C390" s="152"/>
      <c r="D390" s="323" t="s">
        <v>4148</v>
      </c>
      <c r="E390" s="154" t="s">
        <v>72</v>
      </c>
      <c r="F390" s="157" t="s">
        <v>4169</v>
      </c>
      <c r="G390" s="152">
        <v>87845.145000000135</v>
      </c>
      <c r="H390" s="323" t="s">
        <v>4148</v>
      </c>
      <c r="I390" s="152">
        <v>19855.449000000001</v>
      </c>
      <c r="J390" s="157" t="s">
        <v>4164</v>
      </c>
      <c r="K390" s="157">
        <v>5800362608</v>
      </c>
      <c r="L390" s="227">
        <f>N389-I390</f>
        <v>7106.7833620118035</v>
      </c>
      <c r="M390" s="157" t="s">
        <v>4164</v>
      </c>
      <c r="N390" s="152">
        <f>+N389-I390-L390</f>
        <v>0</v>
      </c>
      <c r="O390" s="152">
        <f t="shared" ref="O390" si="103">O389+G390-I390-L390</f>
        <v>1319085.3280000016</v>
      </c>
    </row>
    <row r="391" spans="1:15" x14ac:dyDescent="0.15">
      <c r="A391" s="154"/>
      <c r="B391" s="151"/>
      <c r="C391" s="152"/>
      <c r="D391" s="323" t="s">
        <v>4148</v>
      </c>
      <c r="E391" s="154" t="s">
        <v>72</v>
      </c>
      <c r="F391" s="157" t="s">
        <v>4170</v>
      </c>
      <c r="G391" s="152">
        <v>87889.051999999851</v>
      </c>
      <c r="H391" s="323" t="s">
        <v>4148</v>
      </c>
      <c r="I391" s="152"/>
      <c r="J391" s="157"/>
      <c r="K391" s="157">
        <v>5800361781</v>
      </c>
      <c r="L391" s="227">
        <f>15032.524-L390</f>
        <v>7925.7406379881959</v>
      </c>
      <c r="M391" s="157" t="s">
        <v>4166</v>
      </c>
      <c r="N391" s="152">
        <f>G329+N390-I391-L391</f>
        <v>256091.00236201182</v>
      </c>
      <c r="O391" s="152">
        <f t="shared" ref="O391:O394" si="104">O390+G391-I391-L391</f>
        <v>1399048.6393620134</v>
      </c>
    </row>
    <row r="392" spans="1:15" x14ac:dyDescent="0.15">
      <c r="A392" s="154"/>
      <c r="B392" s="151"/>
      <c r="C392" s="152"/>
      <c r="D392" s="323"/>
      <c r="E392" s="154"/>
      <c r="F392" s="157"/>
      <c r="G392" s="152"/>
      <c r="H392" s="323" t="s">
        <v>4173</v>
      </c>
      <c r="I392" s="152"/>
      <c r="J392" s="157"/>
      <c r="K392" s="157">
        <v>5800361781</v>
      </c>
      <c r="L392" s="227">
        <v>16930.716</v>
      </c>
      <c r="M392" s="157" t="s">
        <v>4166</v>
      </c>
      <c r="N392" s="152">
        <f t="shared" ref="N392:N394" si="105">+N391-I392-L392</f>
        <v>239160.2863620118</v>
      </c>
      <c r="O392" s="152">
        <f t="shared" si="104"/>
        <v>1382117.9233620134</v>
      </c>
    </row>
    <row r="393" spans="1:15" x14ac:dyDescent="0.15">
      <c r="A393" s="154"/>
      <c r="B393" s="151"/>
      <c r="C393" s="152"/>
      <c r="D393" s="323"/>
      <c r="E393" s="154"/>
      <c r="F393" s="157"/>
      <c r="G393" s="152"/>
      <c r="H393" s="323" t="s">
        <v>4148</v>
      </c>
      <c r="I393" s="152"/>
      <c r="J393" s="157"/>
      <c r="K393" s="157">
        <v>5800361781</v>
      </c>
      <c r="L393" s="227">
        <v>13264.344999999999</v>
      </c>
      <c r="M393" s="157" t="s">
        <v>4166</v>
      </c>
      <c r="N393" s="152">
        <f t="shared" si="105"/>
        <v>225895.9413620118</v>
      </c>
      <c r="O393" s="152">
        <f t="shared" si="104"/>
        <v>1368853.5783620134</v>
      </c>
    </row>
    <row r="394" spans="1:15" x14ac:dyDescent="0.15">
      <c r="A394" s="154"/>
      <c r="B394" s="151"/>
      <c r="C394" s="152"/>
      <c r="D394" s="323"/>
      <c r="E394" s="154"/>
      <c r="F394" s="157"/>
      <c r="G394" s="152"/>
      <c r="H394" s="323" t="s">
        <v>4148</v>
      </c>
      <c r="I394" s="152"/>
      <c r="J394" s="157"/>
      <c r="K394" s="157">
        <v>5800361781</v>
      </c>
      <c r="L394" s="227">
        <v>10844.099</v>
      </c>
      <c r="M394" s="157" t="s">
        <v>4166</v>
      </c>
      <c r="N394" s="152">
        <f t="shared" si="105"/>
        <v>215051.84236201181</v>
      </c>
      <c r="O394" s="152">
        <f t="shared" si="104"/>
        <v>1358009.4793620135</v>
      </c>
    </row>
    <row r="395" spans="1:15" x14ac:dyDescent="0.15">
      <c r="A395" s="154"/>
      <c r="B395" s="151"/>
      <c r="C395" s="152"/>
      <c r="D395" s="323"/>
      <c r="E395" s="154"/>
      <c r="F395" s="157"/>
      <c r="G395" s="152"/>
      <c r="H395" s="323" t="s">
        <v>4148</v>
      </c>
      <c r="I395" s="152"/>
      <c r="J395" s="157"/>
      <c r="K395" s="157">
        <v>5800361781</v>
      </c>
      <c r="L395" s="227">
        <v>8466.8580000000002</v>
      </c>
      <c r="M395" s="157" t="s">
        <v>4166</v>
      </c>
      <c r="N395" s="152">
        <f t="shared" ref="N395:N399" si="106">+N394-I395-L395</f>
        <v>206584.9843620118</v>
      </c>
      <c r="O395" s="152">
        <f t="shared" ref="O395:O399" si="107">O394+G395-I395-L395</f>
        <v>1349542.6213620135</v>
      </c>
    </row>
    <row r="396" spans="1:15" x14ac:dyDescent="0.15">
      <c r="A396" s="154"/>
      <c r="B396" s="151"/>
      <c r="C396" s="152"/>
      <c r="D396" s="323"/>
      <c r="E396" s="154"/>
      <c r="F396" s="157"/>
      <c r="G396" s="152"/>
      <c r="H396" s="323" t="s">
        <v>4148</v>
      </c>
      <c r="I396" s="152"/>
      <c r="J396" s="157"/>
      <c r="K396" s="157">
        <v>5800361781</v>
      </c>
      <c r="L396" s="227">
        <v>30155.057000000001</v>
      </c>
      <c r="M396" s="157" t="s">
        <v>4166</v>
      </c>
      <c r="N396" s="152">
        <f t="shared" si="106"/>
        <v>176429.9273620118</v>
      </c>
      <c r="O396" s="152">
        <f t="shared" si="107"/>
        <v>1319387.5643620135</v>
      </c>
    </row>
    <row r="397" spans="1:15" x14ac:dyDescent="0.15">
      <c r="A397" s="154"/>
      <c r="B397" s="151"/>
      <c r="C397" s="152"/>
      <c r="D397" s="323"/>
      <c r="E397" s="154"/>
      <c r="F397" s="157"/>
      <c r="G397" s="152"/>
      <c r="H397" s="323" t="s">
        <v>4148</v>
      </c>
      <c r="I397" s="152"/>
      <c r="J397" s="157"/>
      <c r="K397" s="157">
        <v>5800361781</v>
      </c>
      <c r="L397" s="227">
        <v>11366.152</v>
      </c>
      <c r="M397" s="157" t="s">
        <v>4166</v>
      </c>
      <c r="N397" s="152">
        <f t="shared" si="106"/>
        <v>165063.7753620118</v>
      </c>
      <c r="O397" s="152">
        <f t="shared" si="107"/>
        <v>1308021.4123620135</v>
      </c>
    </row>
    <row r="398" spans="1:15" x14ac:dyDescent="0.15">
      <c r="A398" s="154"/>
      <c r="B398" s="151"/>
      <c r="C398" s="152"/>
      <c r="D398" s="323"/>
      <c r="E398" s="154"/>
      <c r="F398" s="157"/>
      <c r="G398" s="152"/>
      <c r="H398" s="323" t="s">
        <v>4148</v>
      </c>
      <c r="I398" s="152"/>
      <c r="J398" s="157"/>
      <c r="K398" s="157">
        <v>5800361781</v>
      </c>
      <c r="L398" s="227">
        <v>80076.115999999995</v>
      </c>
      <c r="M398" s="157" t="s">
        <v>4166</v>
      </c>
      <c r="N398" s="152">
        <f t="shared" si="106"/>
        <v>84987.659362011807</v>
      </c>
      <c r="O398" s="152">
        <f t="shared" si="107"/>
        <v>1227945.2963620136</v>
      </c>
    </row>
    <row r="399" spans="1:15" x14ac:dyDescent="0.15">
      <c r="A399" s="154"/>
      <c r="B399" s="151"/>
      <c r="C399" s="152"/>
      <c r="D399" s="323"/>
      <c r="E399" s="154"/>
      <c r="F399" s="157"/>
      <c r="G399" s="152"/>
      <c r="H399" s="323" t="s">
        <v>4148</v>
      </c>
      <c r="I399" s="152"/>
      <c r="J399" s="157"/>
      <c r="K399" s="157">
        <v>5800361781</v>
      </c>
      <c r="L399" s="227">
        <v>14025.422</v>
      </c>
      <c r="M399" s="157" t="s">
        <v>4166</v>
      </c>
      <c r="N399" s="152">
        <f t="shared" si="106"/>
        <v>70962.237362011801</v>
      </c>
      <c r="O399" s="152">
        <f t="shared" si="107"/>
        <v>1213919.8743620135</v>
      </c>
    </row>
    <row r="400" spans="1:15" x14ac:dyDescent="0.15">
      <c r="A400" s="154"/>
      <c r="B400" s="151"/>
      <c r="C400" s="152"/>
      <c r="D400" s="323"/>
      <c r="E400" s="154"/>
      <c r="F400" s="157"/>
      <c r="G400" s="152"/>
      <c r="H400" s="323" t="s">
        <v>4148</v>
      </c>
      <c r="I400" s="152"/>
      <c r="J400" s="157"/>
      <c r="K400" s="157">
        <v>5800361781</v>
      </c>
      <c r="L400" s="227">
        <v>70962.237362011801</v>
      </c>
      <c r="M400" s="157" t="s">
        <v>4166</v>
      </c>
      <c r="N400" s="152">
        <f t="shared" si="101"/>
        <v>0</v>
      </c>
      <c r="O400" s="152">
        <f t="shared" si="102"/>
        <v>1142957.6370000017</v>
      </c>
    </row>
    <row r="401" spans="1:15" x14ac:dyDescent="0.15">
      <c r="A401" s="154"/>
      <c r="B401" s="151"/>
      <c r="C401" s="152"/>
      <c r="D401" s="323"/>
      <c r="E401" s="154"/>
      <c r="F401" s="157"/>
      <c r="G401" s="152"/>
      <c r="H401" s="323" t="s">
        <v>4148</v>
      </c>
      <c r="I401" s="152"/>
      <c r="J401" s="157"/>
      <c r="K401" s="157">
        <v>5800361781</v>
      </c>
      <c r="L401" s="227">
        <f>71107.207-L400</f>
        <v>144.96963798819343</v>
      </c>
      <c r="M401" s="157" t="s">
        <v>4166</v>
      </c>
      <c r="N401" s="152">
        <f>G341+N400-I401-L401</f>
        <v>169168.6563620118</v>
      </c>
      <c r="O401" s="152">
        <f t="shared" si="102"/>
        <v>1142812.6673620136</v>
      </c>
    </row>
    <row r="402" spans="1:15" x14ac:dyDescent="0.15">
      <c r="A402" s="154"/>
      <c r="B402" s="151"/>
      <c r="C402" s="152"/>
      <c r="D402" s="323"/>
      <c r="E402" s="154"/>
      <c r="F402" s="157"/>
      <c r="G402" s="152"/>
      <c r="H402" s="323" t="s">
        <v>4148</v>
      </c>
      <c r="I402" s="152"/>
      <c r="J402" s="157"/>
      <c r="K402" s="157">
        <v>5800361781</v>
      </c>
      <c r="L402" s="227">
        <v>83568.47</v>
      </c>
      <c r="M402" s="157" t="s">
        <v>4166</v>
      </c>
      <c r="N402" s="152">
        <f t="shared" si="101"/>
        <v>85600.186362011795</v>
      </c>
      <c r="O402" s="152">
        <f t="shared" si="102"/>
        <v>1059244.1973620136</v>
      </c>
    </row>
    <row r="403" spans="1:15" x14ac:dyDescent="0.15">
      <c r="A403" s="154"/>
      <c r="B403" s="151"/>
      <c r="C403" s="152"/>
      <c r="D403" s="323"/>
      <c r="E403" s="154"/>
      <c r="F403" s="157"/>
      <c r="G403" s="152"/>
      <c r="H403" s="323" t="s">
        <v>4148</v>
      </c>
      <c r="I403" s="152"/>
      <c r="J403" s="157"/>
      <c r="K403" s="157">
        <v>5800361781</v>
      </c>
      <c r="L403" s="227">
        <v>14652.108</v>
      </c>
      <c r="M403" s="157" t="s">
        <v>4166</v>
      </c>
      <c r="N403" s="152">
        <f t="shared" si="101"/>
        <v>70948.078362011787</v>
      </c>
      <c r="O403" s="152">
        <f t="shared" si="102"/>
        <v>1044592.0893620136</v>
      </c>
    </row>
    <row r="404" spans="1:15" x14ac:dyDescent="0.15">
      <c r="A404" s="154"/>
      <c r="B404" s="151"/>
      <c r="C404" s="152"/>
      <c r="D404" s="323"/>
      <c r="E404" s="154"/>
      <c r="F404" s="157"/>
      <c r="G404" s="152"/>
      <c r="H404" s="323" t="s">
        <v>4148</v>
      </c>
      <c r="I404" s="152"/>
      <c r="J404" s="157"/>
      <c r="K404" s="157">
        <v>5800361781</v>
      </c>
      <c r="L404" s="227">
        <v>14149.516</v>
      </c>
      <c r="M404" s="157" t="s">
        <v>4166</v>
      </c>
      <c r="N404" s="152">
        <f t="shared" si="101"/>
        <v>56798.562362011784</v>
      </c>
      <c r="O404" s="152">
        <f t="shared" si="102"/>
        <v>1030442.5733620137</v>
      </c>
    </row>
    <row r="405" spans="1:15" x14ac:dyDescent="0.15">
      <c r="A405" s="154"/>
      <c r="B405" s="151"/>
      <c r="C405" s="152"/>
      <c r="D405" s="323"/>
      <c r="E405" s="154"/>
      <c r="F405" s="157"/>
      <c r="G405" s="152"/>
      <c r="H405" s="323" t="s">
        <v>4148</v>
      </c>
      <c r="I405" s="152"/>
      <c r="J405" s="157"/>
      <c r="K405" s="157">
        <v>5800361781</v>
      </c>
      <c r="L405" s="227">
        <v>56798.562362011493</v>
      </c>
      <c r="M405" s="157" t="s">
        <v>4166</v>
      </c>
      <c r="N405" s="152">
        <f t="shared" si="101"/>
        <v>2.9103830456733704E-10</v>
      </c>
      <c r="O405" s="152">
        <f t="shared" si="102"/>
        <v>973644.01100000215</v>
      </c>
    </row>
    <row r="406" spans="1:15" x14ac:dyDescent="0.15">
      <c r="A406" s="154"/>
      <c r="B406" s="151"/>
      <c r="C406" s="152"/>
      <c r="D406" s="323"/>
      <c r="E406" s="154"/>
      <c r="F406" s="157"/>
      <c r="G406" s="152"/>
      <c r="H406" s="323" t="s">
        <v>4148</v>
      </c>
      <c r="I406" s="152"/>
      <c r="J406" s="157"/>
      <c r="K406" s="157">
        <v>5800362608</v>
      </c>
      <c r="L406" s="227">
        <f>59093.04-L405</f>
        <v>2294.4776379885079</v>
      </c>
      <c r="M406" s="157" t="s">
        <v>4167</v>
      </c>
      <c r="N406" s="152">
        <f>G342+N405-I406-L406</f>
        <v>92267.837362012069</v>
      </c>
      <c r="O406" s="152">
        <f t="shared" si="102"/>
        <v>971349.53336201364</v>
      </c>
    </row>
    <row r="407" spans="1:15" x14ac:dyDescent="0.15">
      <c r="A407" s="154"/>
      <c r="B407" s="151"/>
      <c r="C407" s="152"/>
      <c r="D407" s="323"/>
      <c r="E407" s="154"/>
      <c r="F407" s="157"/>
      <c r="G407" s="152"/>
      <c r="H407" s="323" t="s">
        <v>4148</v>
      </c>
      <c r="I407" s="152"/>
      <c r="J407" s="157"/>
      <c r="K407" s="157">
        <v>5800362608</v>
      </c>
      <c r="L407" s="227">
        <v>2057.33</v>
      </c>
      <c r="M407" s="157" t="s">
        <v>4167</v>
      </c>
      <c r="N407" s="152">
        <f t="shared" si="101"/>
        <v>90210.507362012067</v>
      </c>
      <c r="O407" s="152">
        <f t="shared" si="102"/>
        <v>969292.20336201368</v>
      </c>
    </row>
    <row r="408" spans="1:15" x14ac:dyDescent="0.15">
      <c r="A408" s="154"/>
      <c r="B408" s="151"/>
      <c r="C408" s="152"/>
      <c r="D408" s="323"/>
      <c r="E408" s="154"/>
      <c r="F408" s="157"/>
      <c r="G408" s="152"/>
      <c r="H408" s="323" t="s">
        <v>4148</v>
      </c>
      <c r="I408" s="152"/>
      <c r="J408" s="157"/>
      <c r="K408" s="157">
        <v>5800362608</v>
      </c>
      <c r="L408" s="227">
        <v>12617.759</v>
      </c>
      <c r="M408" s="157" t="s">
        <v>4167</v>
      </c>
      <c r="N408" s="152">
        <f t="shared" si="101"/>
        <v>77592.748362012062</v>
      </c>
      <c r="O408" s="152">
        <f t="shared" si="102"/>
        <v>956674.44436201372</v>
      </c>
    </row>
    <row r="409" spans="1:15" x14ac:dyDescent="0.15">
      <c r="A409" s="154"/>
      <c r="B409" s="151"/>
      <c r="C409" s="152"/>
      <c r="D409" s="323" t="s">
        <v>4149</v>
      </c>
      <c r="E409" s="154" t="s">
        <v>72</v>
      </c>
      <c r="F409" s="157" t="s">
        <v>4170</v>
      </c>
      <c r="G409" s="152">
        <v>87925.066000000137</v>
      </c>
      <c r="H409" s="323" t="s">
        <v>4149</v>
      </c>
      <c r="I409" s="152">
        <v>7120.3890000000001</v>
      </c>
      <c r="J409" s="157" t="s">
        <v>4167</v>
      </c>
      <c r="K409" s="157">
        <v>5800362608</v>
      </c>
      <c r="L409" s="227">
        <v>14355.72</v>
      </c>
      <c r="M409" s="157" t="s">
        <v>4167</v>
      </c>
      <c r="N409" s="152">
        <f t="shared" si="101"/>
        <v>56116.639362012065</v>
      </c>
      <c r="O409" s="152">
        <f t="shared" si="102"/>
        <v>1023123.4013620139</v>
      </c>
    </row>
    <row r="410" spans="1:15" x14ac:dyDescent="0.15">
      <c r="A410" s="154"/>
      <c r="B410" s="151"/>
      <c r="C410" s="152"/>
      <c r="D410" s="323" t="s">
        <v>4149</v>
      </c>
      <c r="E410" s="154" t="s">
        <v>72</v>
      </c>
      <c r="F410" s="157" t="s">
        <v>4171</v>
      </c>
      <c r="G410" s="152">
        <v>175972.08499999988</v>
      </c>
      <c r="H410" s="323" t="s">
        <v>4149</v>
      </c>
      <c r="I410" s="152"/>
      <c r="J410" s="157"/>
      <c r="K410" s="157">
        <v>5800362608</v>
      </c>
      <c r="L410" s="227">
        <v>11563.136</v>
      </c>
      <c r="M410" s="157" t="s">
        <v>4167</v>
      </c>
      <c r="N410" s="152">
        <f t="shared" si="101"/>
        <v>44553.503362012067</v>
      </c>
      <c r="O410" s="152">
        <f t="shared" si="102"/>
        <v>1187532.3503620138</v>
      </c>
    </row>
    <row r="411" spans="1:15" x14ac:dyDescent="0.15">
      <c r="A411" s="154"/>
      <c r="B411" s="151"/>
      <c r="C411" s="152"/>
      <c r="D411" s="323"/>
      <c r="E411" s="154"/>
      <c r="F411" s="157"/>
      <c r="G411" s="152"/>
      <c r="H411" s="323" t="s">
        <v>4149</v>
      </c>
      <c r="I411" s="152"/>
      <c r="J411" s="157"/>
      <c r="K411" s="157">
        <v>5800362608</v>
      </c>
      <c r="L411" s="227">
        <v>14609.591</v>
      </c>
      <c r="M411" s="157" t="s">
        <v>4167</v>
      </c>
      <c r="N411" s="152">
        <f t="shared" si="101"/>
        <v>29943.912362012066</v>
      </c>
      <c r="O411" s="152">
        <f t="shared" si="102"/>
        <v>1172922.7593620138</v>
      </c>
    </row>
    <row r="412" spans="1:15" x14ac:dyDescent="0.15">
      <c r="A412" s="154"/>
      <c r="B412" s="151"/>
      <c r="C412" s="152"/>
      <c r="D412" s="323"/>
      <c r="E412" s="154"/>
      <c r="F412" s="157"/>
      <c r="G412" s="152"/>
      <c r="H412" s="323" t="s">
        <v>4149</v>
      </c>
      <c r="I412" s="152"/>
      <c r="J412" s="157"/>
      <c r="K412" s="157">
        <v>5800362608</v>
      </c>
      <c r="L412" s="227">
        <v>11290.273999999999</v>
      </c>
      <c r="M412" s="157" t="s">
        <v>4167</v>
      </c>
      <c r="N412" s="152">
        <f t="shared" si="101"/>
        <v>18653.638362012069</v>
      </c>
      <c r="O412" s="152">
        <f t="shared" si="102"/>
        <v>1161632.4853620138</v>
      </c>
    </row>
    <row r="413" spans="1:15" x14ac:dyDescent="0.15">
      <c r="A413" s="154"/>
      <c r="B413" s="151"/>
      <c r="C413" s="152"/>
      <c r="D413" s="323"/>
      <c r="E413" s="154"/>
      <c r="F413" s="157"/>
      <c r="G413" s="152"/>
      <c r="H413" s="323" t="s">
        <v>4149</v>
      </c>
      <c r="I413" s="152"/>
      <c r="J413" s="157"/>
      <c r="K413" s="157">
        <v>5800362608</v>
      </c>
      <c r="L413" s="227">
        <v>1309.336</v>
      </c>
      <c r="M413" s="157" t="s">
        <v>4167</v>
      </c>
      <c r="N413" s="152">
        <f t="shared" si="101"/>
        <v>17344.302362012069</v>
      </c>
      <c r="O413" s="152">
        <f t="shared" si="102"/>
        <v>1160323.1493620139</v>
      </c>
    </row>
    <row r="414" spans="1:15" x14ac:dyDescent="0.15">
      <c r="A414" s="154"/>
      <c r="B414" s="151"/>
      <c r="C414" s="152"/>
      <c r="D414" s="323"/>
      <c r="E414" s="154"/>
      <c r="F414" s="157"/>
      <c r="G414" s="152"/>
      <c r="H414" s="323" t="s">
        <v>4149</v>
      </c>
      <c r="I414" s="152"/>
      <c r="J414" s="157"/>
      <c r="K414" s="157">
        <v>5800362608</v>
      </c>
      <c r="L414" s="227">
        <v>15694.040999999999</v>
      </c>
      <c r="M414" s="157" t="s">
        <v>4167</v>
      </c>
      <c r="N414" s="152">
        <f t="shared" si="101"/>
        <v>1650.2613620120701</v>
      </c>
      <c r="O414" s="152">
        <f t="shared" si="102"/>
        <v>1144629.1083620139</v>
      </c>
    </row>
    <row r="415" spans="1:15" x14ac:dyDescent="0.15">
      <c r="A415" s="154"/>
      <c r="B415" s="151"/>
      <c r="C415" s="152"/>
      <c r="D415" s="323"/>
      <c r="E415" s="154"/>
      <c r="F415" s="157"/>
      <c r="G415" s="152"/>
      <c r="H415" s="323" t="s">
        <v>4149</v>
      </c>
      <c r="I415" s="152"/>
      <c r="J415" s="157"/>
      <c r="K415" s="157">
        <v>5800362608</v>
      </c>
      <c r="L415" s="227">
        <v>1650.2613620120701</v>
      </c>
      <c r="M415" s="157" t="s">
        <v>4167</v>
      </c>
      <c r="N415" s="152">
        <f t="shared" si="101"/>
        <v>0</v>
      </c>
      <c r="O415" s="152">
        <f t="shared" si="102"/>
        <v>1142978.8470000019</v>
      </c>
    </row>
    <row r="416" spans="1:15" x14ac:dyDescent="0.15">
      <c r="A416" s="154"/>
      <c r="B416" s="151"/>
      <c r="C416" s="152"/>
      <c r="D416" s="323"/>
      <c r="E416" s="154"/>
      <c r="F416" s="157"/>
      <c r="G416" s="152"/>
      <c r="H416" s="323" t="s">
        <v>4149</v>
      </c>
      <c r="I416" s="152"/>
      <c r="J416" s="157"/>
      <c r="K416" s="157">
        <v>5800362608</v>
      </c>
      <c r="L416" s="227">
        <f>16946.406-L415</f>
        <v>15296.144637987929</v>
      </c>
      <c r="M416" s="157" t="s">
        <v>4167</v>
      </c>
      <c r="N416" s="152">
        <f>G355+N415-I416-L416</f>
        <v>72629.951362012172</v>
      </c>
      <c r="O416" s="152">
        <f t="shared" si="102"/>
        <v>1127682.702362014</v>
      </c>
    </row>
    <row r="417" spans="1:15" x14ac:dyDescent="0.15">
      <c r="A417" s="154"/>
      <c r="B417" s="151"/>
      <c r="C417" s="152"/>
      <c r="D417" s="323"/>
      <c r="E417" s="154"/>
      <c r="F417" s="157"/>
      <c r="G417" s="152"/>
      <c r="H417" s="323" t="s">
        <v>4149</v>
      </c>
      <c r="I417" s="152"/>
      <c r="J417" s="157"/>
      <c r="K417" s="157">
        <v>5800362608</v>
      </c>
      <c r="L417" s="227">
        <v>72629.951362012172</v>
      </c>
      <c r="M417" s="157" t="s">
        <v>4167</v>
      </c>
      <c r="N417" s="152">
        <f t="shared" si="101"/>
        <v>0</v>
      </c>
      <c r="O417" s="152">
        <f t="shared" si="102"/>
        <v>1055052.7510000018</v>
      </c>
    </row>
    <row r="418" spans="1:15" x14ac:dyDescent="0.15">
      <c r="A418" s="154"/>
      <c r="B418" s="151"/>
      <c r="C418" s="152"/>
      <c r="D418" s="323"/>
      <c r="E418" s="154"/>
      <c r="F418" s="157"/>
      <c r="G418" s="152"/>
      <c r="H418" s="323" t="s">
        <v>4149</v>
      </c>
      <c r="I418" s="152"/>
      <c r="J418" s="157"/>
      <c r="K418" s="157">
        <v>5800362608</v>
      </c>
      <c r="L418" s="227">
        <f>78260.31-L417</f>
        <v>5630.3586379878252</v>
      </c>
      <c r="M418" s="157" t="s">
        <v>4168</v>
      </c>
      <c r="N418" s="152">
        <f>G356+N417-I418-L418</f>
        <v>82359.271362012063</v>
      </c>
      <c r="O418" s="152">
        <f t="shared" si="102"/>
        <v>1049422.3923620139</v>
      </c>
    </row>
    <row r="419" spans="1:15" x14ac:dyDescent="0.15">
      <c r="A419" s="154"/>
      <c r="B419" s="151"/>
      <c r="C419" s="152"/>
      <c r="D419" s="323"/>
      <c r="E419" s="154"/>
      <c r="F419" s="157"/>
      <c r="G419" s="152"/>
      <c r="H419" s="323" t="s">
        <v>4149</v>
      </c>
      <c r="I419" s="152"/>
      <c r="J419" s="157"/>
      <c r="K419" s="157">
        <v>5800362608</v>
      </c>
      <c r="L419" s="227">
        <v>81358.739000000001</v>
      </c>
      <c r="M419" s="157" t="s">
        <v>4168</v>
      </c>
      <c r="N419" s="152">
        <f t="shared" si="101"/>
        <v>1000.5323620120616</v>
      </c>
      <c r="O419" s="152">
        <f t="shared" si="102"/>
        <v>968063.65336201387</v>
      </c>
    </row>
    <row r="420" spans="1:15" x14ac:dyDescent="0.15">
      <c r="A420" s="154"/>
      <c r="B420" s="151"/>
      <c r="C420" s="152"/>
      <c r="D420" s="323"/>
      <c r="E420" s="154"/>
      <c r="F420" s="157"/>
      <c r="G420" s="152"/>
      <c r="H420" s="323" t="s">
        <v>4149</v>
      </c>
      <c r="I420" s="152"/>
      <c r="J420" s="157"/>
      <c r="K420" s="157">
        <v>5800362608</v>
      </c>
      <c r="L420" s="227">
        <v>1000.5323620120616</v>
      </c>
      <c r="M420" s="157" t="s">
        <v>4168</v>
      </c>
      <c r="N420" s="152">
        <f t="shared" si="101"/>
        <v>0</v>
      </c>
      <c r="O420" s="152">
        <f t="shared" si="102"/>
        <v>967063.12100000179</v>
      </c>
    </row>
    <row r="421" spans="1:15" x14ac:dyDescent="0.15">
      <c r="A421" s="154"/>
      <c r="B421" s="151"/>
      <c r="C421" s="152"/>
      <c r="D421" s="323"/>
      <c r="E421" s="154"/>
      <c r="F421" s="157"/>
      <c r="G421" s="152"/>
      <c r="H421" s="323" t="s">
        <v>4149</v>
      </c>
      <c r="I421" s="152"/>
      <c r="J421" s="157"/>
      <c r="K421" s="157">
        <v>5800362608</v>
      </c>
      <c r="L421" s="227">
        <f>12398.712-L420</f>
        <v>11398.179637987938</v>
      </c>
      <c r="M421" s="157" t="s">
        <v>4168</v>
      </c>
      <c r="N421" s="152">
        <f>G368+N420-I421-L421</f>
        <v>76543.167362012187</v>
      </c>
      <c r="O421" s="152">
        <f t="shared" si="102"/>
        <v>955664.94136201381</v>
      </c>
    </row>
    <row r="422" spans="1:15" x14ac:dyDescent="0.15">
      <c r="A422" s="154"/>
      <c r="B422" s="151"/>
      <c r="C422" s="152"/>
      <c r="D422" s="323"/>
      <c r="E422" s="154"/>
      <c r="F422" s="157"/>
      <c r="G422" s="152"/>
      <c r="H422" s="323" t="s">
        <v>4149</v>
      </c>
      <c r="I422" s="152"/>
      <c r="J422" s="157"/>
      <c r="K422" s="157">
        <v>5800362608</v>
      </c>
      <c r="L422" s="227">
        <v>1382.299</v>
      </c>
      <c r="M422" s="157" t="s">
        <v>4168</v>
      </c>
      <c r="N422" s="152">
        <f t="shared" si="101"/>
        <v>75160.868362012188</v>
      </c>
      <c r="O422" s="152">
        <f t="shared" si="102"/>
        <v>954282.64236201381</v>
      </c>
    </row>
    <row r="423" spans="1:15" x14ac:dyDescent="0.15">
      <c r="A423" s="154"/>
      <c r="B423" s="151"/>
      <c r="C423" s="152"/>
      <c r="D423" s="323"/>
      <c r="E423" s="154"/>
      <c r="F423" s="157"/>
      <c r="G423" s="152"/>
      <c r="H423" s="323" t="s">
        <v>4149</v>
      </c>
      <c r="I423" s="152"/>
      <c r="J423" s="157"/>
      <c r="K423" s="157">
        <v>5800362608</v>
      </c>
      <c r="L423" s="227">
        <v>13710.047</v>
      </c>
      <c r="M423" s="157" t="s">
        <v>4168</v>
      </c>
      <c r="N423" s="152">
        <f t="shared" ref="N423:N450" si="108">+N422-I423-L423</f>
        <v>61450.82136201219</v>
      </c>
      <c r="O423" s="152">
        <f t="shared" ref="O423:O450" si="109">O422+G423-I423-L423</f>
        <v>940572.59536201379</v>
      </c>
    </row>
    <row r="424" spans="1:15" x14ac:dyDescent="0.15">
      <c r="A424" s="154"/>
      <c r="B424" s="151"/>
      <c r="C424" s="152"/>
      <c r="D424" s="323"/>
      <c r="E424" s="154"/>
      <c r="F424" s="157"/>
      <c r="G424" s="152"/>
      <c r="H424" s="323"/>
      <c r="I424" s="152"/>
      <c r="J424" s="157"/>
      <c r="K424" s="157"/>
      <c r="L424" s="227"/>
      <c r="M424" s="157"/>
      <c r="N424" s="152">
        <f t="shared" si="108"/>
        <v>61450.82136201219</v>
      </c>
      <c r="O424" s="152">
        <f t="shared" si="109"/>
        <v>940572.59536201379</v>
      </c>
    </row>
    <row r="425" spans="1:15" hidden="1" x14ac:dyDescent="0.15">
      <c r="A425" s="154"/>
      <c r="B425" s="151"/>
      <c r="C425" s="152"/>
      <c r="D425" s="323"/>
      <c r="E425" s="154"/>
      <c r="F425" s="157"/>
      <c r="G425" s="152"/>
      <c r="H425" s="323"/>
      <c r="I425" s="152"/>
      <c r="J425" s="157"/>
      <c r="K425" s="157"/>
      <c r="L425" s="227"/>
      <c r="M425" s="157"/>
      <c r="N425" s="152">
        <f t="shared" si="108"/>
        <v>61450.82136201219</v>
      </c>
      <c r="O425" s="152">
        <f t="shared" si="109"/>
        <v>940572.59536201379</v>
      </c>
    </row>
    <row r="426" spans="1:15" hidden="1" x14ac:dyDescent="0.15">
      <c r="A426" s="154"/>
      <c r="B426" s="151"/>
      <c r="C426" s="152"/>
      <c r="D426" s="323"/>
      <c r="E426" s="154"/>
      <c r="F426" s="157"/>
      <c r="G426" s="152"/>
      <c r="H426" s="323"/>
      <c r="I426" s="152"/>
      <c r="J426" s="157"/>
      <c r="K426" s="157"/>
      <c r="L426" s="227"/>
      <c r="M426" s="157"/>
      <c r="N426" s="152">
        <f t="shared" si="108"/>
        <v>61450.82136201219</v>
      </c>
      <c r="O426" s="152">
        <f t="shared" si="109"/>
        <v>940572.59536201379</v>
      </c>
    </row>
    <row r="427" spans="1:15" hidden="1" x14ac:dyDescent="0.15">
      <c r="A427" s="154"/>
      <c r="B427" s="151"/>
      <c r="C427" s="152"/>
      <c r="D427" s="323"/>
      <c r="E427" s="154"/>
      <c r="F427" s="157"/>
      <c r="G427" s="152"/>
      <c r="H427" s="323"/>
      <c r="I427" s="152"/>
      <c r="J427" s="157"/>
      <c r="K427" s="157"/>
      <c r="L427" s="227"/>
      <c r="M427" s="157"/>
      <c r="N427" s="152">
        <f t="shared" si="108"/>
        <v>61450.82136201219</v>
      </c>
      <c r="O427" s="152">
        <f t="shared" si="109"/>
        <v>940572.59536201379</v>
      </c>
    </row>
    <row r="428" spans="1:15" hidden="1" x14ac:dyDescent="0.15">
      <c r="A428" s="154"/>
      <c r="B428" s="151"/>
      <c r="C428" s="152"/>
      <c r="D428" s="323"/>
      <c r="E428" s="154"/>
      <c r="F428" s="157"/>
      <c r="G428" s="152"/>
      <c r="H428" s="323"/>
      <c r="I428" s="152"/>
      <c r="J428" s="157"/>
      <c r="K428" s="157"/>
      <c r="L428" s="227"/>
      <c r="M428" s="157"/>
      <c r="N428" s="152">
        <f t="shared" si="108"/>
        <v>61450.82136201219</v>
      </c>
      <c r="O428" s="152">
        <f t="shared" si="109"/>
        <v>940572.59536201379</v>
      </c>
    </row>
    <row r="429" spans="1:15" hidden="1" x14ac:dyDescent="0.15">
      <c r="A429" s="154"/>
      <c r="B429" s="151"/>
      <c r="C429" s="152"/>
      <c r="D429" s="323"/>
      <c r="E429" s="154"/>
      <c r="F429" s="157"/>
      <c r="G429" s="152"/>
      <c r="H429" s="323"/>
      <c r="I429" s="152"/>
      <c r="J429" s="157"/>
      <c r="K429" s="157"/>
      <c r="L429" s="227"/>
      <c r="M429" s="157"/>
      <c r="N429" s="152">
        <f t="shared" si="108"/>
        <v>61450.82136201219</v>
      </c>
      <c r="O429" s="152">
        <f t="shared" si="109"/>
        <v>940572.59536201379</v>
      </c>
    </row>
    <row r="430" spans="1:15" hidden="1" x14ac:dyDescent="0.15">
      <c r="A430" s="154"/>
      <c r="B430" s="151"/>
      <c r="C430" s="152"/>
      <c r="D430" s="323"/>
      <c r="E430" s="154"/>
      <c r="F430" s="157"/>
      <c r="G430" s="152"/>
      <c r="H430" s="323"/>
      <c r="I430" s="152"/>
      <c r="J430" s="157"/>
      <c r="K430" s="157"/>
      <c r="L430" s="227"/>
      <c r="M430" s="157"/>
      <c r="N430" s="152">
        <f t="shared" si="108"/>
        <v>61450.82136201219</v>
      </c>
      <c r="O430" s="152">
        <f t="shared" si="109"/>
        <v>940572.59536201379</v>
      </c>
    </row>
    <row r="431" spans="1:15" hidden="1" x14ac:dyDescent="0.15">
      <c r="A431" s="154"/>
      <c r="B431" s="151"/>
      <c r="C431" s="152"/>
      <c r="D431" s="323"/>
      <c r="E431" s="154"/>
      <c r="F431" s="157"/>
      <c r="G431" s="152"/>
      <c r="H431" s="323"/>
      <c r="I431" s="152"/>
      <c r="J431" s="157"/>
      <c r="K431" s="157"/>
      <c r="L431" s="227"/>
      <c r="M431" s="157"/>
      <c r="N431" s="152">
        <f t="shared" si="108"/>
        <v>61450.82136201219</v>
      </c>
      <c r="O431" s="152">
        <f t="shared" si="109"/>
        <v>940572.59536201379</v>
      </c>
    </row>
    <row r="432" spans="1:15" hidden="1" x14ac:dyDescent="0.15">
      <c r="A432" s="154"/>
      <c r="B432" s="151"/>
      <c r="C432" s="152"/>
      <c r="D432" s="323"/>
      <c r="E432" s="154"/>
      <c r="F432" s="157"/>
      <c r="G432" s="152"/>
      <c r="H432" s="323"/>
      <c r="I432" s="152"/>
      <c r="J432" s="157"/>
      <c r="K432" s="157"/>
      <c r="L432" s="227"/>
      <c r="M432" s="157"/>
      <c r="N432" s="152">
        <f t="shared" si="108"/>
        <v>61450.82136201219</v>
      </c>
      <c r="O432" s="152">
        <f t="shared" si="109"/>
        <v>940572.59536201379</v>
      </c>
    </row>
    <row r="433" spans="1:15" hidden="1" x14ac:dyDescent="0.15">
      <c r="A433" s="154"/>
      <c r="B433" s="151"/>
      <c r="C433" s="152"/>
      <c r="D433" s="323"/>
      <c r="E433" s="154"/>
      <c r="F433" s="157"/>
      <c r="G433" s="152"/>
      <c r="H433" s="323"/>
      <c r="I433" s="152"/>
      <c r="J433" s="157"/>
      <c r="K433" s="157"/>
      <c r="L433" s="227"/>
      <c r="M433" s="157"/>
      <c r="N433" s="152">
        <f t="shared" si="108"/>
        <v>61450.82136201219</v>
      </c>
      <c r="O433" s="152">
        <f t="shared" si="109"/>
        <v>940572.59536201379</v>
      </c>
    </row>
    <row r="434" spans="1:15" hidden="1" x14ac:dyDescent="0.15">
      <c r="A434" s="154"/>
      <c r="B434" s="151"/>
      <c r="C434" s="152"/>
      <c r="D434" s="323"/>
      <c r="E434" s="154"/>
      <c r="F434" s="157"/>
      <c r="G434" s="152"/>
      <c r="H434" s="323"/>
      <c r="I434" s="152"/>
      <c r="J434" s="157"/>
      <c r="K434" s="157"/>
      <c r="L434" s="227"/>
      <c r="M434" s="157"/>
      <c r="N434" s="152">
        <f t="shared" si="108"/>
        <v>61450.82136201219</v>
      </c>
      <c r="O434" s="152">
        <f t="shared" si="109"/>
        <v>940572.59536201379</v>
      </c>
    </row>
    <row r="435" spans="1:15" hidden="1" x14ac:dyDescent="0.15">
      <c r="A435" s="154"/>
      <c r="B435" s="151"/>
      <c r="C435" s="152"/>
      <c r="D435" s="323"/>
      <c r="E435" s="154"/>
      <c r="F435" s="157"/>
      <c r="G435" s="152"/>
      <c r="H435" s="323"/>
      <c r="I435" s="152"/>
      <c r="J435" s="157"/>
      <c r="K435" s="157"/>
      <c r="L435" s="227"/>
      <c r="M435" s="157"/>
      <c r="N435" s="152">
        <f t="shared" si="108"/>
        <v>61450.82136201219</v>
      </c>
      <c r="O435" s="152">
        <f t="shared" si="109"/>
        <v>940572.59536201379</v>
      </c>
    </row>
    <row r="436" spans="1:15" hidden="1" x14ac:dyDescent="0.15">
      <c r="A436" s="154"/>
      <c r="B436" s="151"/>
      <c r="C436" s="152"/>
      <c r="D436" s="323"/>
      <c r="E436" s="154"/>
      <c r="F436" s="157"/>
      <c r="G436" s="152"/>
      <c r="H436" s="323"/>
      <c r="I436" s="152"/>
      <c r="J436" s="157"/>
      <c r="K436" s="157"/>
      <c r="L436" s="227"/>
      <c r="M436" s="157"/>
      <c r="N436" s="152">
        <f t="shared" si="108"/>
        <v>61450.82136201219</v>
      </c>
      <c r="O436" s="152">
        <f t="shared" si="109"/>
        <v>940572.59536201379</v>
      </c>
    </row>
    <row r="437" spans="1:15" hidden="1" x14ac:dyDescent="0.15">
      <c r="A437" s="154"/>
      <c r="B437" s="151"/>
      <c r="C437" s="152"/>
      <c r="D437" s="323"/>
      <c r="E437" s="154"/>
      <c r="F437" s="157"/>
      <c r="G437" s="152"/>
      <c r="H437" s="323"/>
      <c r="I437" s="152"/>
      <c r="J437" s="157"/>
      <c r="K437" s="157"/>
      <c r="L437" s="227"/>
      <c r="M437" s="157"/>
      <c r="N437" s="152">
        <f t="shared" si="108"/>
        <v>61450.82136201219</v>
      </c>
      <c r="O437" s="152">
        <f t="shared" si="109"/>
        <v>940572.59536201379</v>
      </c>
    </row>
    <row r="438" spans="1:15" hidden="1" x14ac:dyDescent="0.15">
      <c r="A438" s="154"/>
      <c r="B438" s="151"/>
      <c r="C438" s="152"/>
      <c r="D438" s="323"/>
      <c r="E438" s="154"/>
      <c r="F438" s="157"/>
      <c r="G438" s="152"/>
      <c r="H438" s="323"/>
      <c r="I438" s="152"/>
      <c r="J438" s="157"/>
      <c r="K438" s="157"/>
      <c r="L438" s="227"/>
      <c r="M438" s="157"/>
      <c r="N438" s="152">
        <f t="shared" si="108"/>
        <v>61450.82136201219</v>
      </c>
      <c r="O438" s="152">
        <f t="shared" si="109"/>
        <v>940572.59536201379</v>
      </c>
    </row>
    <row r="439" spans="1:15" hidden="1" x14ac:dyDescent="0.15">
      <c r="A439" s="154"/>
      <c r="B439" s="151"/>
      <c r="C439" s="152"/>
      <c r="D439" s="323"/>
      <c r="E439" s="154"/>
      <c r="F439" s="157"/>
      <c r="G439" s="152"/>
      <c r="H439" s="323"/>
      <c r="I439" s="152"/>
      <c r="J439" s="157"/>
      <c r="K439" s="157"/>
      <c r="L439" s="227"/>
      <c r="M439" s="157"/>
      <c r="N439" s="152">
        <f t="shared" si="108"/>
        <v>61450.82136201219</v>
      </c>
      <c r="O439" s="152">
        <f t="shared" si="109"/>
        <v>940572.59536201379</v>
      </c>
    </row>
    <row r="440" spans="1:15" hidden="1" x14ac:dyDescent="0.15">
      <c r="A440" s="154"/>
      <c r="B440" s="151"/>
      <c r="C440" s="152"/>
      <c r="D440" s="323"/>
      <c r="E440" s="154"/>
      <c r="F440" s="157"/>
      <c r="G440" s="152"/>
      <c r="H440" s="323"/>
      <c r="I440" s="152"/>
      <c r="J440" s="157"/>
      <c r="K440" s="157"/>
      <c r="L440" s="227"/>
      <c r="M440" s="157"/>
      <c r="N440" s="152">
        <f t="shared" si="108"/>
        <v>61450.82136201219</v>
      </c>
      <c r="O440" s="152">
        <f t="shared" si="109"/>
        <v>940572.59536201379</v>
      </c>
    </row>
    <row r="441" spans="1:15" hidden="1" x14ac:dyDescent="0.15">
      <c r="A441" s="154"/>
      <c r="B441" s="151"/>
      <c r="C441" s="152"/>
      <c r="D441" s="323"/>
      <c r="E441" s="154"/>
      <c r="F441" s="157"/>
      <c r="G441" s="152"/>
      <c r="H441" s="323"/>
      <c r="I441" s="152"/>
      <c r="J441" s="157"/>
      <c r="K441" s="157"/>
      <c r="L441" s="227"/>
      <c r="M441" s="157"/>
      <c r="N441" s="152">
        <f t="shared" si="108"/>
        <v>61450.82136201219</v>
      </c>
      <c r="O441" s="152">
        <f t="shared" si="109"/>
        <v>940572.59536201379</v>
      </c>
    </row>
    <row r="442" spans="1:15" hidden="1" x14ac:dyDescent="0.15">
      <c r="A442" s="154"/>
      <c r="B442" s="151"/>
      <c r="C442" s="152"/>
      <c r="D442" s="323"/>
      <c r="E442" s="154"/>
      <c r="F442" s="157"/>
      <c r="G442" s="152"/>
      <c r="H442" s="323"/>
      <c r="I442" s="152"/>
      <c r="J442" s="157"/>
      <c r="K442" s="157"/>
      <c r="L442" s="227"/>
      <c r="M442" s="157"/>
      <c r="N442" s="152">
        <f t="shared" si="108"/>
        <v>61450.82136201219</v>
      </c>
      <c r="O442" s="152">
        <f t="shared" si="109"/>
        <v>940572.59536201379</v>
      </c>
    </row>
    <row r="443" spans="1:15" hidden="1" x14ac:dyDescent="0.15">
      <c r="A443" s="154"/>
      <c r="B443" s="151"/>
      <c r="C443" s="152"/>
      <c r="D443" s="323"/>
      <c r="E443" s="154"/>
      <c r="F443" s="157"/>
      <c r="G443" s="152"/>
      <c r="H443" s="323"/>
      <c r="I443" s="152"/>
      <c r="J443" s="157"/>
      <c r="K443" s="157"/>
      <c r="L443" s="227"/>
      <c r="M443" s="157"/>
      <c r="N443" s="152">
        <f t="shared" si="108"/>
        <v>61450.82136201219</v>
      </c>
      <c r="O443" s="152">
        <f t="shared" si="109"/>
        <v>940572.59536201379</v>
      </c>
    </row>
    <row r="444" spans="1:15" hidden="1" x14ac:dyDescent="0.15">
      <c r="A444" s="154"/>
      <c r="B444" s="151"/>
      <c r="C444" s="152"/>
      <c r="D444" s="323"/>
      <c r="E444" s="154"/>
      <c r="F444" s="157"/>
      <c r="G444" s="152"/>
      <c r="H444" s="323"/>
      <c r="I444" s="152"/>
      <c r="J444" s="157"/>
      <c r="K444" s="157"/>
      <c r="L444" s="227"/>
      <c r="M444" s="157"/>
      <c r="N444" s="152">
        <f t="shared" si="108"/>
        <v>61450.82136201219</v>
      </c>
      <c r="O444" s="152">
        <f t="shared" si="109"/>
        <v>940572.59536201379</v>
      </c>
    </row>
    <row r="445" spans="1:15" hidden="1" x14ac:dyDescent="0.15">
      <c r="A445" s="154"/>
      <c r="B445" s="151"/>
      <c r="C445" s="152"/>
      <c r="D445" s="323"/>
      <c r="E445" s="154"/>
      <c r="F445" s="157"/>
      <c r="G445" s="152"/>
      <c r="H445" s="323"/>
      <c r="I445" s="152"/>
      <c r="J445" s="157"/>
      <c r="K445" s="157"/>
      <c r="L445" s="227"/>
      <c r="M445" s="157"/>
      <c r="N445" s="152">
        <f t="shared" si="108"/>
        <v>61450.82136201219</v>
      </c>
      <c r="O445" s="152">
        <f t="shared" si="109"/>
        <v>940572.59536201379</v>
      </c>
    </row>
    <row r="446" spans="1:15" hidden="1" x14ac:dyDescent="0.15">
      <c r="A446" s="154"/>
      <c r="B446" s="151"/>
      <c r="C446" s="152"/>
      <c r="D446" s="323"/>
      <c r="E446" s="154"/>
      <c r="F446" s="157"/>
      <c r="G446" s="152"/>
      <c r="H446" s="323"/>
      <c r="I446" s="152"/>
      <c r="J446" s="157"/>
      <c r="K446" s="157"/>
      <c r="L446" s="227"/>
      <c r="M446" s="157"/>
      <c r="N446" s="152">
        <f t="shared" si="108"/>
        <v>61450.82136201219</v>
      </c>
      <c r="O446" s="152">
        <f t="shared" si="109"/>
        <v>940572.59536201379</v>
      </c>
    </row>
    <row r="447" spans="1:15" hidden="1" x14ac:dyDescent="0.15">
      <c r="A447" s="154"/>
      <c r="B447" s="151"/>
      <c r="C447" s="151"/>
      <c r="D447" s="323"/>
      <c r="E447" s="154"/>
      <c r="F447" s="157"/>
      <c r="G447" s="152"/>
      <c r="H447" s="323"/>
      <c r="I447" s="152"/>
      <c r="J447" s="154"/>
      <c r="K447" s="154"/>
      <c r="L447" s="227"/>
      <c r="M447" s="157"/>
      <c r="N447" s="152">
        <f t="shared" si="108"/>
        <v>61450.82136201219</v>
      </c>
      <c r="O447" s="152">
        <f t="shared" si="109"/>
        <v>940572.59536201379</v>
      </c>
    </row>
    <row r="448" spans="1:15" hidden="1" x14ac:dyDescent="0.15">
      <c r="A448" s="154"/>
      <c r="B448" s="151"/>
      <c r="C448" s="151"/>
      <c r="D448" s="323"/>
      <c r="E448" s="155"/>
      <c r="F448" s="157"/>
      <c r="G448" s="152"/>
      <c r="H448" s="323"/>
      <c r="I448" s="152"/>
      <c r="J448" s="154"/>
      <c r="K448" s="154"/>
      <c r="L448" s="227"/>
      <c r="M448" s="157"/>
      <c r="N448" s="152">
        <f t="shared" si="108"/>
        <v>61450.82136201219</v>
      </c>
      <c r="O448" s="152">
        <f t="shared" si="109"/>
        <v>940572.59536201379</v>
      </c>
    </row>
    <row r="449" spans="1:15" hidden="1" x14ac:dyDescent="0.15">
      <c r="A449" s="154"/>
      <c r="B449" s="151"/>
      <c r="C449" s="151"/>
      <c r="D449" s="323"/>
      <c r="E449" s="154"/>
      <c r="F449" s="160"/>
      <c r="G449" s="152"/>
      <c r="H449" s="323"/>
      <c r="I449" s="152"/>
      <c r="J449" s="157"/>
      <c r="K449" s="154"/>
      <c r="L449" s="227"/>
      <c r="M449" s="157"/>
      <c r="N449" s="152">
        <f t="shared" si="108"/>
        <v>61450.82136201219</v>
      </c>
      <c r="O449" s="152">
        <f t="shared" si="109"/>
        <v>940572.59536201379</v>
      </c>
    </row>
    <row r="450" spans="1:15" hidden="1" x14ac:dyDescent="0.15">
      <c r="A450" s="154"/>
      <c r="B450" s="151"/>
      <c r="C450" s="151"/>
      <c r="D450" s="323"/>
      <c r="E450" s="154"/>
      <c r="F450" s="160"/>
      <c r="G450" s="152"/>
      <c r="H450" s="323"/>
      <c r="I450" s="152"/>
      <c r="J450" s="150"/>
      <c r="K450" s="154"/>
      <c r="L450" s="227"/>
      <c r="M450" s="157"/>
      <c r="N450" s="152">
        <f t="shared" si="108"/>
        <v>61450.82136201219</v>
      </c>
      <c r="O450" s="152">
        <f t="shared" si="109"/>
        <v>940572.59536201379</v>
      </c>
    </row>
    <row r="451" spans="1:15" hidden="1" x14ac:dyDescent="0.15">
      <c r="A451" s="173"/>
      <c r="B451" s="173"/>
      <c r="C451" s="174"/>
      <c r="D451" s="323"/>
      <c r="E451" s="173"/>
      <c r="F451" s="173"/>
      <c r="G451" s="174"/>
      <c r="H451" s="323"/>
      <c r="I451" s="174"/>
      <c r="J451" s="173"/>
      <c r="K451" s="154"/>
      <c r="L451" s="228"/>
      <c r="M451" s="173"/>
      <c r="N451" s="152">
        <f t="shared" ref="N451" si="110">+N450-I451-L451</f>
        <v>61450.82136201219</v>
      </c>
      <c r="O451" s="152">
        <f t="shared" ref="O451" si="111">O450+G451-I451-L451</f>
        <v>940572.59536201379</v>
      </c>
    </row>
    <row r="452" spans="1:15" x14ac:dyDescent="0.15">
      <c r="A452" s="177"/>
      <c r="B452" s="177"/>
      <c r="C452" s="178">
        <f>SUM(C7:C450)</f>
        <v>1791397.7213620122</v>
      </c>
      <c r="D452" s="177"/>
      <c r="E452" s="177"/>
      <c r="F452" s="177"/>
      <c r="G452" s="178">
        <f>SUM(G7:G451)</f>
        <v>6813575.2370000016</v>
      </c>
      <c r="H452" s="179"/>
      <c r="I452" s="178">
        <f>SUM(I7:I451)</f>
        <v>447831.72300000011</v>
      </c>
      <c r="J452" s="177"/>
      <c r="K452" s="177"/>
      <c r="L452" s="178">
        <f>SUM(L7:L451)</f>
        <v>7216568.6400000053</v>
      </c>
      <c r="M452" s="177"/>
      <c r="N452" s="180"/>
      <c r="O452" s="181">
        <f>C452+G452-I452-L452</f>
        <v>940572.59536200762</v>
      </c>
    </row>
    <row r="453" spans="1:15" x14ac:dyDescent="0.15">
      <c r="A453" s="182"/>
      <c r="B453" s="465"/>
      <c r="C453" s="465"/>
      <c r="D453" s="465"/>
      <c r="E453" s="183"/>
      <c r="F453" s="284"/>
      <c r="G453" s="185">
        <f>G452-[1]รับ1215!$K$163</f>
        <v>0</v>
      </c>
      <c r="H453" s="186"/>
      <c r="I453" s="187"/>
      <c r="J453" s="188"/>
      <c r="K453" s="189" t="s">
        <v>139</v>
      </c>
      <c r="L453" s="190">
        <f>+L452+I452</f>
        <v>7664400.3630000055</v>
      </c>
      <c r="M453" s="197">
        <f>L453-[2]กระบี่!$O$835</f>
        <v>0</v>
      </c>
      <c r="N453" s="230">
        <f>+N451</f>
        <v>61450.82136201219</v>
      </c>
      <c r="O453" s="195" t="s">
        <v>4168</v>
      </c>
    </row>
    <row r="454" spans="1:15" x14ac:dyDescent="0.15">
      <c r="A454" s="188"/>
      <c r="E454" s="183"/>
      <c r="F454" s="461"/>
      <c r="G454" s="219"/>
      <c r="H454" s="186"/>
      <c r="I454" s="187"/>
      <c r="J454" s="210"/>
      <c r="N454" s="230">
        <v>87969.341999999888</v>
      </c>
      <c r="O454" s="334" t="s">
        <v>4169</v>
      </c>
    </row>
    <row r="455" spans="1:15" x14ac:dyDescent="0.15">
      <c r="A455" s="133"/>
      <c r="B455" s="462" t="s">
        <v>9</v>
      </c>
      <c r="C455" s="462" t="s">
        <v>2311</v>
      </c>
      <c r="D455" s="462" t="s">
        <v>570</v>
      </c>
      <c r="E455" s="183" t="s">
        <v>571</v>
      </c>
      <c r="F455" s="463" t="s">
        <v>16</v>
      </c>
      <c r="G455" s="219"/>
      <c r="H455" s="186"/>
      <c r="I455" s="187"/>
      <c r="J455" s="210"/>
      <c r="K455" s="193"/>
      <c r="N455" s="230">
        <v>351521.08399999997</v>
      </c>
      <c r="O455" s="334" t="s">
        <v>4169</v>
      </c>
    </row>
    <row r="456" spans="1:15" x14ac:dyDescent="0.15">
      <c r="A456" s="215" t="s">
        <v>4091</v>
      </c>
      <c r="B456" s="210">
        <v>208898.03899999999</v>
      </c>
      <c r="C456" s="221">
        <v>0.2</v>
      </c>
      <c r="D456" s="267">
        <f>B456*C456</f>
        <v>41779.607799999998</v>
      </c>
      <c r="E456" s="267">
        <f>D456*0.1</f>
        <v>4177.9607800000003</v>
      </c>
      <c r="F456" s="267">
        <f>D456+E456</f>
        <v>45957.568579999999</v>
      </c>
      <c r="G456" s="219"/>
      <c r="H456" s="186"/>
      <c r="I456" s="187"/>
      <c r="J456" s="210"/>
      <c r="K456" s="193"/>
      <c r="N456" s="230">
        <v>87845.145000000135</v>
      </c>
      <c r="O456" s="334" t="s">
        <v>4169</v>
      </c>
    </row>
    <row r="457" spans="1:15" x14ac:dyDescent="0.15">
      <c r="A457" s="188" t="s">
        <v>4093</v>
      </c>
      <c r="B457" s="210">
        <v>157235.96599999996</v>
      </c>
      <c r="C457" s="221">
        <v>0.2</v>
      </c>
      <c r="D457" s="267">
        <f t="shared" ref="D457:D465" si="112">B457*C457</f>
        <v>31447.193199999994</v>
      </c>
      <c r="E457" s="267">
        <f t="shared" ref="E457:E465" si="113">D457*0.1</f>
        <v>3144.7193199999997</v>
      </c>
      <c r="F457" s="267">
        <f t="shared" ref="F457:F465" si="114">D457+E457</f>
        <v>34591.912519999991</v>
      </c>
      <c r="G457" s="134"/>
      <c r="H457" s="134"/>
      <c r="I457" s="187"/>
      <c r="J457" s="210"/>
      <c r="K457" s="193"/>
      <c r="N457" s="230">
        <v>87889.051999999851</v>
      </c>
      <c r="O457" s="334" t="s">
        <v>4170</v>
      </c>
    </row>
    <row r="458" spans="1:15" x14ac:dyDescent="0.15">
      <c r="A458" s="188" t="s">
        <v>4097</v>
      </c>
      <c r="B458" s="210">
        <v>245784.38363798807</v>
      </c>
      <c r="C458" s="221">
        <v>0.2</v>
      </c>
      <c r="D458" s="267">
        <f t="shared" si="112"/>
        <v>49156.876727597613</v>
      </c>
      <c r="E458" s="267">
        <f t="shared" si="113"/>
        <v>4915.6876727597619</v>
      </c>
      <c r="F458" s="267">
        <f t="shared" si="114"/>
        <v>54072.564400357376</v>
      </c>
      <c r="G458" s="134"/>
      <c r="H458" s="134"/>
      <c r="J458" s="205"/>
      <c r="K458" s="193"/>
      <c r="N458" s="230">
        <v>87925.066000000137</v>
      </c>
      <c r="O458" s="334" t="s">
        <v>4170</v>
      </c>
    </row>
    <row r="459" spans="1:15" x14ac:dyDescent="0.15">
      <c r="A459" s="188" t="s">
        <v>4152</v>
      </c>
      <c r="B459" s="210">
        <v>236696.05799999996</v>
      </c>
      <c r="C459" s="221">
        <v>0.2</v>
      </c>
      <c r="D459" s="267">
        <f t="shared" si="112"/>
        <v>47339.211599999995</v>
      </c>
      <c r="E459" s="267">
        <f t="shared" si="113"/>
        <v>4733.9211599999999</v>
      </c>
      <c r="F459" s="267">
        <f t="shared" si="114"/>
        <v>52073.132759999993</v>
      </c>
      <c r="G459" s="186"/>
      <c r="J459" s="205"/>
      <c r="K459" s="193"/>
      <c r="N459" s="230">
        <v>175972.08499999988</v>
      </c>
      <c r="O459" s="195" t="s">
        <v>4171</v>
      </c>
    </row>
    <row r="460" spans="1:15" x14ac:dyDescent="0.15">
      <c r="A460" s="188" t="s">
        <v>4155</v>
      </c>
      <c r="B460" s="210">
        <v>365523.071</v>
      </c>
      <c r="C460" s="221">
        <v>0.2</v>
      </c>
      <c r="D460" s="267">
        <f t="shared" si="112"/>
        <v>73104.614199999996</v>
      </c>
      <c r="E460" s="267">
        <f t="shared" si="113"/>
        <v>7310.4614199999996</v>
      </c>
      <c r="F460" s="267">
        <f t="shared" si="114"/>
        <v>80415.075619999989</v>
      </c>
      <c r="G460" s="133"/>
      <c r="J460" s="205"/>
      <c r="K460" s="193"/>
      <c r="N460" s="230"/>
      <c r="O460" s="195"/>
    </row>
    <row r="461" spans="1:15" x14ac:dyDescent="0.15">
      <c r="A461" s="188" t="s">
        <v>4156</v>
      </c>
      <c r="B461" s="210">
        <v>118416.17499999999</v>
      </c>
      <c r="C461" s="221">
        <v>0.2</v>
      </c>
      <c r="D461" s="267">
        <f t="shared" si="112"/>
        <v>23683.235000000001</v>
      </c>
      <c r="E461" s="267">
        <f t="shared" si="113"/>
        <v>2368.3235</v>
      </c>
      <c r="F461" s="267">
        <f t="shared" si="114"/>
        <v>26051.558499999999</v>
      </c>
      <c r="G461" s="134"/>
      <c r="H461" s="134"/>
      <c r="J461" s="205"/>
      <c r="K461" s="193"/>
      <c r="N461" s="230"/>
      <c r="O461" s="195"/>
    </row>
    <row r="462" spans="1:15" x14ac:dyDescent="0.15">
      <c r="A462" s="188" t="s">
        <v>4158</v>
      </c>
      <c r="B462" s="210">
        <v>195916.9029999999</v>
      </c>
      <c r="C462" s="221">
        <v>0.2</v>
      </c>
      <c r="D462" s="267">
        <f t="shared" si="112"/>
        <v>39183.380599999982</v>
      </c>
      <c r="E462" s="267">
        <f t="shared" si="113"/>
        <v>3918.3380599999982</v>
      </c>
      <c r="F462" s="267">
        <f t="shared" si="114"/>
        <v>43101.718659999984</v>
      </c>
      <c r="G462" s="186"/>
      <c r="H462" s="186"/>
      <c r="J462" s="205"/>
      <c r="N462" s="230"/>
      <c r="O462" s="195"/>
    </row>
    <row r="463" spans="1:15" x14ac:dyDescent="0.15">
      <c r="A463" s="188" t="s">
        <v>4161</v>
      </c>
      <c r="B463" s="210">
        <v>269536.1109999998</v>
      </c>
      <c r="C463" s="221">
        <v>0.2</v>
      </c>
      <c r="D463" s="267">
        <f t="shared" si="112"/>
        <v>53907.22219999996</v>
      </c>
      <c r="E463" s="267">
        <f t="shared" si="113"/>
        <v>5390.722219999996</v>
      </c>
      <c r="F463" s="267">
        <f t="shared" si="114"/>
        <v>59297.944419999956</v>
      </c>
      <c r="G463" s="186"/>
      <c r="H463" s="186"/>
      <c r="J463" s="205"/>
      <c r="N463" s="206" t="s">
        <v>33</v>
      </c>
      <c r="O463" s="207">
        <f>SUM(N453:N462)</f>
        <v>940572.59536201193</v>
      </c>
    </row>
    <row r="464" spans="1:15" x14ac:dyDescent="0.15">
      <c r="A464" s="188" t="s">
        <v>4165</v>
      </c>
      <c r="B464" s="210">
        <v>116557.33663798816</v>
      </c>
      <c r="C464" s="221">
        <v>0.2</v>
      </c>
      <c r="D464" s="267">
        <f t="shared" si="112"/>
        <v>23311.467327597635</v>
      </c>
      <c r="E464" s="267">
        <f t="shared" si="113"/>
        <v>2331.1467327597634</v>
      </c>
      <c r="F464" s="267">
        <f t="shared" si="114"/>
        <v>25642.614060357399</v>
      </c>
      <c r="G464" s="186"/>
      <c r="H464" s="186"/>
      <c r="O464" s="459">
        <f>O463-O452</f>
        <v>4.3073669075965881E-9</v>
      </c>
    </row>
    <row r="465" spans="1:15" s="132" customFormat="1" x14ac:dyDescent="0.15">
      <c r="A465" s="215" t="s">
        <v>4166</v>
      </c>
      <c r="B465" s="210">
        <v>433330.36899999972</v>
      </c>
      <c r="C465" s="221">
        <v>0.2</v>
      </c>
      <c r="D465" s="267">
        <f t="shared" si="112"/>
        <v>86666.073799999955</v>
      </c>
      <c r="E465" s="267">
        <f t="shared" si="113"/>
        <v>8666.6073799999958</v>
      </c>
      <c r="F465" s="267">
        <f t="shared" si="114"/>
        <v>95332.681179999956</v>
      </c>
      <c r="G465" s="186"/>
      <c r="H465" s="186"/>
      <c r="J465" s="134"/>
      <c r="K465" s="133"/>
      <c r="M465" s="134"/>
    </row>
    <row r="466" spans="1:15" s="132" customFormat="1" ht="12" thickBot="1" x14ac:dyDescent="0.2">
      <c r="A466" s="193"/>
      <c r="B466" s="211">
        <f>SUM(B456:B465)</f>
        <v>2347894.4122759756</v>
      </c>
      <c r="C466" s="221"/>
      <c r="D466" s="242">
        <f>SUM(D456:D465)</f>
        <v>469578.88245519507</v>
      </c>
      <c r="E466" s="242">
        <f t="shared" ref="E466" si="115">SUM(E456:E465)</f>
        <v>46957.888245519505</v>
      </c>
      <c r="F466" s="242">
        <f t="shared" ref="F466" si="116">SUM(F456:F465)</f>
        <v>516536.77070071461</v>
      </c>
      <c r="G466" s="186"/>
      <c r="H466" s="186"/>
      <c r="J466" s="134"/>
      <c r="K466" s="133"/>
      <c r="M466" s="134"/>
    </row>
    <row r="467" spans="1:15" s="132" customFormat="1" ht="12" thickTop="1" x14ac:dyDescent="0.15">
      <c r="A467" s="193" t="s">
        <v>4150</v>
      </c>
      <c r="B467" s="210">
        <v>319208.61599999981</v>
      </c>
      <c r="C467" s="221">
        <v>0.2</v>
      </c>
      <c r="D467" s="267">
        <f>B467*C467</f>
        <v>63841.723199999964</v>
      </c>
      <c r="E467" s="267">
        <f>D467*0.1</f>
        <v>6384.1723199999969</v>
      </c>
      <c r="F467" s="268">
        <f>SUM(D467:E467)</f>
        <v>70225.895519999962</v>
      </c>
      <c r="G467" s="186"/>
      <c r="H467" s="186"/>
      <c r="J467" s="134"/>
      <c r="K467" s="133"/>
      <c r="M467" s="134"/>
    </row>
    <row r="468" spans="1:15" s="132" customFormat="1" ht="12" thickBot="1" x14ac:dyDescent="0.2">
      <c r="A468" s="193"/>
      <c r="B468" s="211">
        <f>SUM(B467)</f>
        <v>319208.61599999981</v>
      </c>
      <c r="C468" s="221"/>
      <c r="D468" s="242">
        <f>SUM(D467)</f>
        <v>63841.723199999964</v>
      </c>
      <c r="E468" s="242">
        <f t="shared" ref="E468" si="117">SUM(E467)</f>
        <v>6384.1723199999969</v>
      </c>
      <c r="F468" s="242">
        <f t="shared" ref="F468" si="118">SUM(F467)</f>
        <v>70225.895519999962</v>
      </c>
      <c r="G468" s="219"/>
      <c r="H468" s="186"/>
      <c r="J468" s="210"/>
      <c r="K468" s="133"/>
      <c r="M468" s="134"/>
    </row>
    <row r="469" spans="1:15" s="132" customFormat="1" ht="12" thickTop="1" x14ac:dyDescent="0.15">
      <c r="A469" s="193" t="s">
        <v>4090</v>
      </c>
      <c r="B469" s="210">
        <v>108773.318362012</v>
      </c>
      <c r="C469" s="221">
        <v>0.2</v>
      </c>
      <c r="D469" s="267">
        <f>B469*C469</f>
        <v>21754.663672402399</v>
      </c>
      <c r="E469" s="267">
        <f>D469*0.1</f>
        <v>2175.4663672402398</v>
      </c>
      <c r="F469" s="268">
        <f>SUM(D469:E469)</f>
        <v>23930.130039642638</v>
      </c>
      <c r="H469" s="186"/>
      <c r="J469" s="134"/>
      <c r="K469" s="133"/>
      <c r="M469" s="134"/>
    </row>
    <row r="470" spans="1:15" s="132" customFormat="1" x14ac:dyDescent="0.15">
      <c r="A470" s="193" t="s">
        <v>4092</v>
      </c>
      <c r="B470" s="210">
        <v>131852.285</v>
      </c>
      <c r="C470" s="221">
        <v>0.2</v>
      </c>
      <c r="D470" s="267">
        <f t="shared" ref="D470:D485" si="119">B470*C470</f>
        <v>26370.457000000002</v>
      </c>
      <c r="E470" s="267">
        <f t="shared" ref="E470:E485" si="120">D470*0.1</f>
        <v>2637.0457000000006</v>
      </c>
      <c r="F470" s="268">
        <f t="shared" ref="F470:F485" si="121">SUM(D470:E470)</f>
        <v>29007.502700000005</v>
      </c>
      <c r="H470" s="186"/>
      <c r="J470" s="134"/>
      <c r="K470" s="133"/>
      <c r="M470" s="134"/>
    </row>
    <row r="471" spans="1:15" s="132" customFormat="1" x14ac:dyDescent="0.15">
      <c r="A471" s="193" t="s">
        <v>4094</v>
      </c>
      <c r="B471" s="210">
        <v>80184.873000000109</v>
      </c>
      <c r="C471" s="221">
        <v>0.2</v>
      </c>
      <c r="D471" s="267">
        <f t="shared" si="119"/>
        <v>16036.974600000023</v>
      </c>
      <c r="E471" s="267">
        <f t="shared" si="120"/>
        <v>1603.6974600000024</v>
      </c>
      <c r="F471" s="268">
        <f t="shared" si="121"/>
        <v>17640.672060000026</v>
      </c>
      <c r="H471" s="186"/>
      <c r="J471" s="134"/>
      <c r="K471" s="133"/>
      <c r="M471" s="134"/>
    </row>
    <row r="472" spans="1:15" s="132" customFormat="1" x14ac:dyDescent="0.15">
      <c r="A472" s="193" t="s">
        <v>4095</v>
      </c>
      <c r="B472" s="210">
        <v>454151.15699999989</v>
      </c>
      <c r="C472" s="221">
        <v>0.2</v>
      </c>
      <c r="D472" s="267">
        <f t="shared" si="119"/>
        <v>90830.23139999999</v>
      </c>
      <c r="E472" s="267">
        <f t="shared" si="120"/>
        <v>9083.0231399999993</v>
      </c>
      <c r="F472" s="268">
        <f t="shared" si="121"/>
        <v>99913.254539999994</v>
      </c>
      <c r="H472" s="133"/>
      <c r="J472" s="134"/>
      <c r="K472" s="133"/>
      <c r="M472" s="134"/>
    </row>
    <row r="473" spans="1:15" s="132" customFormat="1" x14ac:dyDescent="0.15">
      <c r="A473" s="193" t="s">
        <v>4096</v>
      </c>
      <c r="B473" s="210">
        <v>163486.95499999999</v>
      </c>
      <c r="C473" s="221">
        <v>0.2</v>
      </c>
      <c r="D473" s="267">
        <f t="shared" si="119"/>
        <v>32697.391</v>
      </c>
      <c r="E473" s="267">
        <f t="shared" si="120"/>
        <v>3269.7391000000002</v>
      </c>
      <c r="F473" s="268">
        <f t="shared" si="121"/>
        <v>35967.130100000002</v>
      </c>
      <c r="H473" s="133"/>
      <c r="J473" s="134"/>
      <c r="K473" s="133"/>
      <c r="M473" s="134"/>
    </row>
    <row r="474" spans="1:15" s="133" customFormat="1" x14ac:dyDescent="0.15">
      <c r="A474" s="193" t="s">
        <v>4098</v>
      </c>
      <c r="B474" s="210">
        <v>575547.24236201181</v>
      </c>
      <c r="C474" s="221">
        <v>0.2</v>
      </c>
      <c r="D474" s="267">
        <f t="shared" si="119"/>
        <v>115109.44847240236</v>
      </c>
      <c r="E474" s="267">
        <f t="shared" si="120"/>
        <v>11510.944847240236</v>
      </c>
      <c r="F474" s="268">
        <f t="shared" si="121"/>
        <v>126620.39331964261</v>
      </c>
      <c r="G474" s="132"/>
      <c r="I474" s="132"/>
      <c r="J474" s="134"/>
      <c r="L474" s="132"/>
      <c r="M474" s="134"/>
      <c r="N474" s="132"/>
      <c r="O474" s="132"/>
    </row>
    <row r="475" spans="1:15" s="132" customFormat="1" x14ac:dyDescent="0.15">
      <c r="A475" s="193" t="s">
        <v>4151</v>
      </c>
      <c r="B475" s="210">
        <v>246851.94600000003</v>
      </c>
      <c r="C475" s="221">
        <v>0.2</v>
      </c>
      <c r="D475" s="267">
        <f t="shared" si="119"/>
        <v>49370.389200000005</v>
      </c>
      <c r="E475" s="267">
        <f t="shared" si="120"/>
        <v>4937.0389200000009</v>
      </c>
      <c r="F475" s="268">
        <f t="shared" si="121"/>
        <v>54307.428120000004</v>
      </c>
      <c r="H475" s="133"/>
      <c r="J475" s="134"/>
      <c r="K475" s="133"/>
      <c r="M475" s="134"/>
    </row>
    <row r="476" spans="1:15" s="132" customFormat="1" x14ac:dyDescent="0.15">
      <c r="A476" s="193" t="s">
        <v>4153</v>
      </c>
      <c r="B476" s="210">
        <v>468490.19900000002</v>
      </c>
      <c r="C476" s="221">
        <v>0.2</v>
      </c>
      <c r="D476" s="267">
        <f t="shared" si="119"/>
        <v>93698.039800000013</v>
      </c>
      <c r="E476" s="267">
        <f t="shared" si="120"/>
        <v>9369.8039800000024</v>
      </c>
      <c r="F476" s="268">
        <f t="shared" si="121"/>
        <v>103067.84378000001</v>
      </c>
      <c r="H476" s="133"/>
      <c r="J476" s="134"/>
      <c r="K476" s="133"/>
      <c r="M476" s="134"/>
    </row>
    <row r="477" spans="1:15" s="132" customFormat="1" x14ac:dyDescent="0.15">
      <c r="A477" s="215" t="s">
        <v>4154</v>
      </c>
      <c r="B477" s="210">
        <v>175810.33900000001</v>
      </c>
      <c r="C477" s="221">
        <v>0.2</v>
      </c>
      <c r="D477" s="267">
        <f t="shared" si="119"/>
        <v>35162.067800000004</v>
      </c>
      <c r="E477" s="267">
        <f t="shared" si="120"/>
        <v>3516.2067800000004</v>
      </c>
      <c r="F477" s="268">
        <f t="shared" si="121"/>
        <v>38678.274580000005</v>
      </c>
      <c r="H477" s="133"/>
      <c r="J477" s="134"/>
      <c r="K477" s="133"/>
      <c r="M477" s="134"/>
    </row>
    <row r="478" spans="1:15" s="132" customFormat="1" x14ac:dyDescent="0.15">
      <c r="A478" s="215" t="s">
        <v>4157</v>
      </c>
      <c r="B478" s="210">
        <v>344855.77999999997</v>
      </c>
      <c r="C478" s="221">
        <v>0.2</v>
      </c>
      <c r="D478" s="267">
        <f t="shared" si="119"/>
        <v>68971.156000000003</v>
      </c>
      <c r="E478" s="267">
        <f t="shared" si="120"/>
        <v>6897.115600000001</v>
      </c>
      <c r="F478" s="268">
        <f t="shared" si="121"/>
        <v>75868.271600000007</v>
      </c>
      <c r="H478" s="133"/>
      <c r="J478" s="134"/>
      <c r="K478" s="133"/>
      <c r="M478" s="134"/>
    </row>
    <row r="479" spans="1:15" s="132" customFormat="1" x14ac:dyDescent="0.15">
      <c r="A479" s="215" t="s">
        <v>4159</v>
      </c>
      <c r="B479" s="210">
        <v>159980.68299999999</v>
      </c>
      <c r="C479" s="221">
        <v>0.2</v>
      </c>
      <c r="D479" s="267">
        <f t="shared" si="119"/>
        <v>31996.136599999998</v>
      </c>
      <c r="E479" s="267">
        <f t="shared" si="120"/>
        <v>3199.61366</v>
      </c>
      <c r="F479" s="268">
        <f t="shared" si="121"/>
        <v>35195.750260000001</v>
      </c>
      <c r="H479" s="133"/>
      <c r="J479" s="134"/>
      <c r="K479" s="133"/>
      <c r="M479" s="134"/>
    </row>
    <row r="480" spans="1:15" s="132" customFormat="1" x14ac:dyDescent="0.15">
      <c r="A480" s="215" t="s">
        <v>4160</v>
      </c>
      <c r="B480" s="210">
        <v>287676.06200000021</v>
      </c>
      <c r="C480" s="221">
        <v>0.2</v>
      </c>
      <c r="D480" s="267">
        <f t="shared" si="119"/>
        <v>57535.212400000048</v>
      </c>
      <c r="E480" s="267">
        <f t="shared" si="120"/>
        <v>5753.5212400000055</v>
      </c>
      <c r="F480" s="268">
        <f t="shared" si="121"/>
        <v>63288.733640000049</v>
      </c>
      <c r="H480" s="133"/>
      <c r="J480" s="134"/>
      <c r="K480" s="133"/>
      <c r="M480" s="134"/>
    </row>
    <row r="481" spans="1:15" s="132" customFormat="1" x14ac:dyDescent="0.15">
      <c r="A481" s="215" t="s">
        <v>4162</v>
      </c>
      <c r="B481" s="210">
        <v>293723.31600000011</v>
      </c>
      <c r="C481" s="221">
        <v>0.2</v>
      </c>
      <c r="D481" s="267">
        <f t="shared" si="119"/>
        <v>58744.663200000025</v>
      </c>
      <c r="E481" s="267">
        <f t="shared" si="120"/>
        <v>5874.4663200000032</v>
      </c>
      <c r="F481" s="268">
        <f t="shared" si="121"/>
        <v>64619.129520000031</v>
      </c>
      <c r="H481" s="133"/>
      <c r="J481" s="134"/>
      <c r="K481" s="133"/>
      <c r="M481" s="134"/>
    </row>
    <row r="482" spans="1:15" s="132" customFormat="1" x14ac:dyDescent="0.15">
      <c r="A482" s="215" t="s">
        <v>4163</v>
      </c>
      <c r="B482" s="210">
        <v>498913.04900000006</v>
      </c>
      <c r="C482" s="221">
        <v>0.2</v>
      </c>
      <c r="D482" s="267">
        <f t="shared" si="119"/>
        <v>99782.60980000002</v>
      </c>
      <c r="E482" s="267">
        <f t="shared" si="120"/>
        <v>9978.2609800000027</v>
      </c>
      <c r="F482" s="268">
        <f t="shared" si="121"/>
        <v>109760.87078000003</v>
      </c>
      <c r="H482" s="133"/>
      <c r="J482" s="134"/>
      <c r="K482" s="133"/>
      <c r="M482" s="134"/>
    </row>
    <row r="483" spans="1:15" s="132" customFormat="1" x14ac:dyDescent="0.15">
      <c r="A483" s="215" t="s">
        <v>4164</v>
      </c>
      <c r="B483" s="210">
        <v>269320.22936201177</v>
      </c>
      <c r="C483" s="221">
        <v>0.2</v>
      </c>
      <c r="D483" s="267">
        <f t="shared" si="119"/>
        <v>53864.045872402356</v>
      </c>
      <c r="E483" s="267">
        <f t="shared" si="120"/>
        <v>5386.4045872402357</v>
      </c>
      <c r="F483" s="268">
        <f t="shared" si="121"/>
        <v>59250.45045964259</v>
      </c>
      <c r="H483" s="133"/>
      <c r="J483" s="134"/>
      <c r="K483" s="133"/>
      <c r="M483" s="134"/>
    </row>
    <row r="484" spans="1:15" s="132" customFormat="1" x14ac:dyDescent="0.15">
      <c r="A484" s="215" t="s">
        <v>4167</v>
      </c>
      <c r="B484" s="210">
        <v>175368.0220000007</v>
      </c>
      <c r="C484" s="221">
        <v>0.2</v>
      </c>
      <c r="D484" s="267">
        <f t="shared" si="119"/>
        <v>35073.604400000142</v>
      </c>
      <c r="E484" s="267">
        <f t="shared" si="120"/>
        <v>3507.3604400000145</v>
      </c>
      <c r="F484" s="268">
        <f t="shared" si="121"/>
        <v>38580.964840000153</v>
      </c>
      <c r="H484" s="133"/>
      <c r="J484" s="134"/>
      <c r="K484" s="133"/>
      <c r="M484" s="134"/>
    </row>
    <row r="485" spans="1:15" s="132" customFormat="1" x14ac:dyDescent="0.15">
      <c r="A485" s="215" t="s">
        <v>4168</v>
      </c>
      <c r="B485" s="210">
        <v>114480.15563798783</v>
      </c>
      <c r="C485" s="221">
        <v>0.2</v>
      </c>
      <c r="D485" s="267">
        <f t="shared" si="119"/>
        <v>22896.031127597569</v>
      </c>
      <c r="E485" s="267">
        <f t="shared" si="120"/>
        <v>2289.6031127597571</v>
      </c>
      <c r="F485" s="268">
        <f t="shared" si="121"/>
        <v>25185.634240357325</v>
      </c>
      <c r="H485" s="133"/>
      <c r="J485" s="134"/>
      <c r="K485" s="133"/>
      <c r="M485" s="134"/>
    </row>
    <row r="486" spans="1:15" s="132" customFormat="1" ht="12" thickBot="1" x14ac:dyDescent="0.2">
      <c r="A486" s="134"/>
      <c r="B486" s="233">
        <f>SUM(B469:B485)</f>
        <v>4549465.6117240246</v>
      </c>
      <c r="D486" s="234">
        <f>SUM(D469:D485)</f>
        <v>909893.12234480504</v>
      </c>
      <c r="E486" s="234">
        <f t="shared" ref="E486" si="122">SUM(E469:E485)</f>
        <v>90989.312234480502</v>
      </c>
      <c r="F486" s="234">
        <f t="shared" ref="F486" si="123">SUM(F469:F485)</f>
        <v>1000882.4345792854</v>
      </c>
      <c r="H486" s="133"/>
      <c r="J486" s="134"/>
      <c r="K486" s="133"/>
      <c r="M486" s="134"/>
    </row>
    <row r="487" spans="1:15" s="132" customFormat="1" ht="12" thickTop="1" x14ac:dyDescent="0.15">
      <c r="A487" s="134"/>
      <c r="B487" s="231"/>
      <c r="D487" s="133"/>
      <c r="E487" s="133"/>
      <c r="F487" s="134"/>
      <c r="H487" s="133"/>
      <c r="J487" s="134"/>
      <c r="K487" s="133"/>
      <c r="M487" s="134"/>
    </row>
    <row r="488" spans="1:15" s="132" customFormat="1" x14ac:dyDescent="0.15">
      <c r="A488" s="134"/>
      <c r="B488" s="131"/>
      <c r="D488" s="133"/>
      <c r="E488" s="133"/>
      <c r="F488" s="134"/>
      <c r="H488" s="133"/>
      <c r="J488" s="134"/>
      <c r="K488" s="133"/>
      <c r="M488" s="134"/>
    </row>
    <row r="489" spans="1:15" s="132" customFormat="1" x14ac:dyDescent="0.15">
      <c r="A489" s="134"/>
      <c r="B489" s="131"/>
      <c r="D489" s="133"/>
      <c r="E489" s="133"/>
      <c r="F489" s="134"/>
      <c r="H489" s="133"/>
      <c r="J489" s="134"/>
      <c r="K489" s="133"/>
      <c r="M489" s="134"/>
    </row>
    <row r="490" spans="1:15" s="133" customFormat="1" x14ac:dyDescent="0.15">
      <c r="A490" s="134"/>
      <c r="B490" s="131"/>
      <c r="C490" s="132"/>
      <c r="F490" s="134"/>
      <c r="G490" s="132"/>
      <c r="I490" s="132"/>
      <c r="J490" s="134"/>
      <c r="L490" s="132"/>
      <c r="M490" s="134"/>
      <c r="N490" s="132"/>
      <c r="O490" s="132"/>
    </row>
    <row r="491" spans="1:15" s="133" customFormat="1" x14ac:dyDescent="0.15">
      <c r="A491" s="134"/>
      <c r="B491" s="131"/>
      <c r="C491" s="132"/>
      <c r="F491" s="134"/>
      <c r="G491" s="132"/>
      <c r="I491" s="132"/>
      <c r="J491" s="134"/>
      <c r="L491" s="132"/>
      <c r="M491" s="134"/>
      <c r="N491" s="132"/>
      <c r="O491" s="132"/>
    </row>
    <row r="502" spans="1:13" s="132" customFormat="1" x14ac:dyDescent="0.15">
      <c r="A502" s="134"/>
      <c r="B502" s="131"/>
      <c r="D502" s="133"/>
      <c r="E502" s="133"/>
      <c r="F502" s="134"/>
      <c r="H502" s="133"/>
      <c r="J502" s="134"/>
      <c r="K502" s="133"/>
      <c r="M502" s="134"/>
    </row>
    <row r="503" spans="1:13" s="132" customFormat="1" x14ac:dyDescent="0.15">
      <c r="A503" s="134"/>
      <c r="B503" s="131"/>
      <c r="D503" s="133"/>
      <c r="E503" s="133"/>
      <c r="F503" s="134"/>
      <c r="H503" s="133"/>
      <c r="J503" s="134"/>
      <c r="K503" s="133"/>
      <c r="M503" s="134"/>
    </row>
  </sheetData>
  <mergeCells count="7">
    <mergeCell ref="B453:D45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66"/>
  <sheetViews>
    <sheetView zoomScale="115" zoomScaleNormal="115" workbookViewId="0">
      <pane ySplit="6" topLeftCell="A234" activePane="bottomLeft" state="frozen"/>
      <selection pane="bottomLeft" activeCell="A242" sqref="A242:H243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2017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2000</v>
      </c>
      <c r="B7" s="146"/>
      <c r="C7" s="152">
        <v>151712.65776201099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151712.65776201099</v>
      </c>
      <c r="O7" s="147">
        <f>+C226</f>
        <v>547284.97376201104</v>
      </c>
    </row>
    <row r="8" spans="1:15" x14ac:dyDescent="0.15">
      <c r="A8" s="154" t="s">
        <v>2001</v>
      </c>
      <c r="B8" s="151"/>
      <c r="C8" s="152">
        <v>134465.70099999994</v>
      </c>
      <c r="D8" s="323"/>
      <c r="E8" s="154"/>
      <c r="F8" s="154"/>
      <c r="G8" s="152"/>
      <c r="H8" s="323"/>
      <c r="I8" s="152"/>
      <c r="J8" s="157"/>
      <c r="K8" s="156"/>
      <c r="L8" s="227"/>
      <c r="M8" s="157"/>
      <c r="N8" s="227">
        <f>+N7-I8-L8</f>
        <v>151712.65776201099</v>
      </c>
      <c r="O8" s="152">
        <f t="shared" ref="O8:O9" si="0">O7+G8-I8-L8</f>
        <v>547284.97376201104</v>
      </c>
    </row>
    <row r="9" spans="1:15" x14ac:dyDescent="0.15">
      <c r="A9" s="157" t="s">
        <v>2002</v>
      </c>
      <c r="B9" s="151"/>
      <c r="C9" s="152">
        <v>261106.61500000011</v>
      </c>
      <c r="D9" s="323"/>
      <c r="E9" s="154"/>
      <c r="F9" s="157"/>
      <c r="G9" s="152"/>
      <c r="H9" s="323"/>
      <c r="I9" s="152"/>
      <c r="J9" s="157"/>
      <c r="K9" s="154"/>
      <c r="L9" s="227"/>
      <c r="M9" s="154"/>
      <c r="N9" s="227">
        <f t="shared" ref="N9" si="1">+N8-I9-L9</f>
        <v>151712.65776201099</v>
      </c>
      <c r="O9" s="152">
        <f t="shared" si="0"/>
        <v>547284.97376201104</v>
      </c>
    </row>
    <row r="10" spans="1:15" x14ac:dyDescent="0.15">
      <c r="A10" s="154"/>
      <c r="B10" s="151"/>
      <c r="C10" s="152"/>
      <c r="D10" s="323"/>
      <c r="E10" s="154"/>
      <c r="F10" s="157"/>
      <c r="G10" s="152"/>
      <c r="H10" s="323"/>
      <c r="I10" s="152"/>
      <c r="J10" s="157"/>
      <c r="K10" s="154"/>
      <c r="L10" s="227"/>
      <c r="M10" s="154"/>
      <c r="N10" s="227">
        <f t="shared" ref="N10:N77" si="2">+N9-I10-L10</f>
        <v>151712.65776201099</v>
      </c>
      <c r="O10" s="152">
        <f t="shared" ref="O10:O77" si="3">O9+G10-I10-L10</f>
        <v>547284.97376201104</v>
      </c>
    </row>
    <row r="11" spans="1:15" x14ac:dyDescent="0.15">
      <c r="A11" s="154"/>
      <c r="B11" s="151"/>
      <c r="C11" s="152"/>
      <c r="D11" s="323">
        <v>41913</v>
      </c>
      <c r="E11" s="154" t="s">
        <v>72</v>
      </c>
      <c r="F11" s="157" t="str">
        <f>+'[1]รับ 1014'!$F$95</f>
        <v>TOP 220914</v>
      </c>
      <c r="G11" s="152">
        <f>+'[1]รับ 1014'!$D$96</f>
        <v>43920.923999999883</v>
      </c>
      <c r="H11" s="323">
        <v>41913</v>
      </c>
      <c r="I11" s="152">
        <v>14498.12</v>
      </c>
      <c r="J11" s="154" t="s">
        <v>2000</v>
      </c>
      <c r="K11" s="154">
        <v>5700362441</v>
      </c>
      <c r="L11" s="227">
        <v>13856.37</v>
      </c>
      <c r="M11" s="154" t="s">
        <v>2000</v>
      </c>
      <c r="N11" s="227">
        <f t="shared" si="2"/>
        <v>123358.167762011</v>
      </c>
      <c r="O11" s="152">
        <f t="shared" si="3"/>
        <v>562851.40776201093</v>
      </c>
    </row>
    <row r="12" spans="1:15" x14ac:dyDescent="0.15">
      <c r="A12" s="154"/>
      <c r="B12" s="151"/>
      <c r="C12" s="152"/>
      <c r="D12" s="323">
        <v>41913</v>
      </c>
      <c r="E12" s="154" t="s">
        <v>72</v>
      </c>
      <c r="F12" s="157" t="str">
        <f>+'[1]รับ 1014'!$F$97</f>
        <v>TOP 240914</v>
      </c>
      <c r="G12" s="152">
        <f>+'[1]รับ 1014'!$D$97</f>
        <v>43931.366000000096</v>
      </c>
      <c r="H12" s="323">
        <v>41913</v>
      </c>
      <c r="I12" s="152"/>
      <c r="J12" s="157"/>
      <c r="K12" s="154">
        <v>5700362441</v>
      </c>
      <c r="L12" s="227">
        <v>11528.32</v>
      </c>
      <c r="M12" s="154" t="s">
        <v>2000</v>
      </c>
      <c r="N12" s="227">
        <f t="shared" si="2"/>
        <v>111829.84776201099</v>
      </c>
      <c r="O12" s="152">
        <f t="shared" si="3"/>
        <v>595254.45376201102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41913</v>
      </c>
      <c r="I13" s="152"/>
      <c r="J13" s="157"/>
      <c r="K13" s="154">
        <v>5700362441</v>
      </c>
      <c r="L13" s="227">
        <v>13051.7</v>
      </c>
      <c r="M13" s="154" t="s">
        <v>2000</v>
      </c>
      <c r="N13" s="227">
        <f t="shared" si="2"/>
        <v>98778.147762010994</v>
      </c>
      <c r="O13" s="152">
        <f t="shared" si="3"/>
        <v>582202.75376201107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>
        <v>41913</v>
      </c>
      <c r="I14" s="152"/>
      <c r="J14" s="157"/>
      <c r="K14" s="154">
        <v>5700362441</v>
      </c>
      <c r="L14" s="227">
        <v>9514.14</v>
      </c>
      <c r="M14" s="154" t="s">
        <v>2000</v>
      </c>
      <c r="N14" s="227">
        <f t="shared" si="2"/>
        <v>89264.007762010995</v>
      </c>
      <c r="O14" s="152">
        <f t="shared" si="3"/>
        <v>572688.61376201105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>
        <v>41913</v>
      </c>
      <c r="I15" s="152"/>
      <c r="J15" s="154"/>
      <c r="K15" s="154">
        <v>5700362441</v>
      </c>
      <c r="L15" s="227">
        <v>14134.26</v>
      </c>
      <c r="M15" s="154" t="s">
        <v>2000</v>
      </c>
      <c r="N15" s="227">
        <f t="shared" si="2"/>
        <v>75129.747762011</v>
      </c>
      <c r="O15" s="152">
        <f t="shared" si="3"/>
        <v>558554.35376201104</v>
      </c>
    </row>
    <row r="16" spans="1:15" x14ac:dyDescent="0.15">
      <c r="A16" s="154"/>
      <c r="B16" s="151"/>
      <c r="C16" s="152"/>
      <c r="D16" s="323">
        <v>41914</v>
      </c>
      <c r="E16" s="154" t="s">
        <v>72</v>
      </c>
      <c r="F16" s="157" t="str">
        <f>+'[1]รับ 1014'!$F$97</f>
        <v>TOP 240914</v>
      </c>
      <c r="G16" s="152">
        <f>+'[1]รับ 1014'!$D$98</f>
        <v>175348.25</v>
      </c>
      <c r="H16" s="323">
        <v>41914</v>
      </c>
      <c r="I16" s="152">
        <v>11630.66</v>
      </c>
      <c r="J16" s="154" t="s">
        <v>2000</v>
      </c>
      <c r="K16" s="154">
        <v>5700362441</v>
      </c>
      <c r="L16" s="227">
        <v>14610.88</v>
      </c>
      <c r="M16" s="154" t="s">
        <v>2000</v>
      </c>
      <c r="N16" s="227">
        <f t="shared" si="2"/>
        <v>48888.207762010999</v>
      </c>
      <c r="O16" s="152">
        <f t="shared" si="3"/>
        <v>707661.06376201101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>
        <v>41914</v>
      </c>
      <c r="I17" s="152"/>
      <c r="J17" s="157"/>
      <c r="K17" s="154">
        <v>5700362441</v>
      </c>
      <c r="L17" s="227">
        <v>12308.48</v>
      </c>
      <c r="M17" s="154" t="s">
        <v>2000</v>
      </c>
      <c r="N17" s="227">
        <f t="shared" si="2"/>
        <v>36579.727762010996</v>
      </c>
      <c r="O17" s="152">
        <f t="shared" si="3"/>
        <v>695352.58376201103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>
        <v>41914</v>
      </c>
      <c r="I18" s="152"/>
      <c r="J18" s="157"/>
      <c r="K18" s="154">
        <v>5700362441</v>
      </c>
      <c r="L18" s="227">
        <v>36579.727762010996</v>
      </c>
      <c r="M18" s="154" t="s">
        <v>2000</v>
      </c>
      <c r="N18" s="227">
        <f t="shared" ref="N18:N21" si="4">+N17-I18-L18</f>
        <v>0</v>
      </c>
      <c r="O18" s="152">
        <f t="shared" ref="O18:O21" si="5">O17+G18-I18-L18</f>
        <v>658772.85600000003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>
        <v>41914</v>
      </c>
      <c r="I19" s="152"/>
      <c r="J19" s="157"/>
      <c r="K19" s="154">
        <v>5700362421</v>
      </c>
      <c r="L19" s="227">
        <v>4935.5122379889999</v>
      </c>
      <c r="M19" s="154" t="s">
        <v>2001</v>
      </c>
      <c r="N19" s="227">
        <f>C8+N18-I19-L19</f>
        <v>129530.18876201095</v>
      </c>
      <c r="O19" s="152">
        <f t="shared" si="5"/>
        <v>653837.34376201103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>
        <v>41914</v>
      </c>
      <c r="I20" s="152"/>
      <c r="J20" s="154"/>
      <c r="K20" s="154">
        <v>5700362421</v>
      </c>
      <c r="L20" s="227">
        <v>13092.96</v>
      </c>
      <c r="M20" s="154" t="s">
        <v>2001</v>
      </c>
      <c r="N20" s="227">
        <f t="shared" si="4"/>
        <v>116437.22876201096</v>
      </c>
      <c r="O20" s="152">
        <f t="shared" si="5"/>
        <v>640744.38376201107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>
        <v>41914</v>
      </c>
      <c r="I21" s="152"/>
      <c r="J21" s="157"/>
      <c r="K21" s="154">
        <v>5700362421</v>
      </c>
      <c r="L21" s="227">
        <v>14246.66</v>
      </c>
      <c r="M21" s="154" t="s">
        <v>2001</v>
      </c>
      <c r="N21" s="227">
        <f t="shared" si="4"/>
        <v>102190.56876201095</v>
      </c>
      <c r="O21" s="152">
        <f t="shared" si="5"/>
        <v>626497.72376201104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41914</v>
      </c>
      <c r="I22" s="152"/>
      <c r="J22" s="154"/>
      <c r="K22" s="154">
        <v>5700362421</v>
      </c>
      <c r="L22" s="227">
        <v>31809.34</v>
      </c>
      <c r="M22" s="154" t="s">
        <v>2001</v>
      </c>
      <c r="N22" s="227">
        <f t="shared" si="2"/>
        <v>70381.228762010956</v>
      </c>
      <c r="O22" s="152">
        <f t="shared" si="3"/>
        <v>594688.38376201107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>
        <v>41914</v>
      </c>
      <c r="I23" s="152"/>
      <c r="J23" s="157"/>
      <c r="K23" s="154">
        <v>5700362421</v>
      </c>
      <c r="L23" s="227">
        <v>4819.07</v>
      </c>
      <c r="M23" s="154" t="s">
        <v>2001</v>
      </c>
      <c r="N23" s="227">
        <f t="shared" si="2"/>
        <v>65562.158762010949</v>
      </c>
      <c r="O23" s="152">
        <f t="shared" si="3"/>
        <v>589869.31376201112</v>
      </c>
    </row>
    <row r="24" spans="1:15" x14ac:dyDescent="0.15">
      <c r="A24" s="154"/>
      <c r="B24" s="151"/>
      <c r="C24" s="152"/>
      <c r="D24" s="323">
        <v>41915</v>
      </c>
      <c r="E24" s="154" t="s">
        <v>72</v>
      </c>
      <c r="F24" s="157" t="str">
        <f>+'[1]รับ 1014'!$F$97</f>
        <v>TOP 240914</v>
      </c>
      <c r="G24" s="152">
        <f>+'[1]รับ 1014'!$D$99</f>
        <v>43927.858999999997</v>
      </c>
      <c r="H24" s="323">
        <v>41915</v>
      </c>
      <c r="I24" s="152">
        <v>6649.65</v>
      </c>
      <c r="J24" s="154" t="s">
        <v>2001</v>
      </c>
      <c r="K24" s="154">
        <v>5700362421</v>
      </c>
      <c r="L24" s="227">
        <v>24095.11</v>
      </c>
      <c r="M24" s="154" t="s">
        <v>2001</v>
      </c>
      <c r="N24" s="227">
        <f t="shared" si="2"/>
        <v>34817.398762010947</v>
      </c>
      <c r="O24" s="152">
        <f t="shared" si="3"/>
        <v>603052.41276201117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41915</v>
      </c>
      <c r="I25" s="152"/>
      <c r="J25" s="157"/>
      <c r="K25" s="154">
        <v>5700362421</v>
      </c>
      <c r="L25" s="227">
        <v>10580.85</v>
      </c>
      <c r="M25" s="154" t="s">
        <v>2001</v>
      </c>
      <c r="N25" s="227">
        <f t="shared" si="2"/>
        <v>24236.548762010949</v>
      </c>
      <c r="O25" s="152">
        <f t="shared" si="3"/>
        <v>592471.56276201119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>
        <v>41915</v>
      </c>
      <c r="I26" s="152"/>
      <c r="J26" s="157"/>
      <c r="K26" s="154">
        <v>5700362421</v>
      </c>
      <c r="L26" s="227">
        <v>789.84</v>
      </c>
      <c r="M26" s="154" t="s">
        <v>2001</v>
      </c>
      <c r="N26" s="227">
        <f t="shared" si="2"/>
        <v>23446.708762010949</v>
      </c>
      <c r="O26" s="152">
        <f t="shared" si="3"/>
        <v>591681.72276201122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>
        <v>41915</v>
      </c>
      <c r="I27" s="152"/>
      <c r="J27" s="154"/>
      <c r="K27" s="154">
        <v>5700362421</v>
      </c>
      <c r="L27" s="227">
        <v>11875.59</v>
      </c>
      <c r="M27" s="154" t="s">
        <v>2001</v>
      </c>
      <c r="N27" s="227">
        <f t="shared" si="2"/>
        <v>11571.118762010949</v>
      </c>
      <c r="O27" s="152">
        <f t="shared" si="3"/>
        <v>579806.13276201126</v>
      </c>
    </row>
    <row r="28" spans="1:15" x14ac:dyDescent="0.15">
      <c r="A28" s="154"/>
      <c r="B28" s="151"/>
      <c r="C28" s="152"/>
      <c r="D28" s="323">
        <v>41916</v>
      </c>
      <c r="E28" s="154" t="s">
        <v>72</v>
      </c>
      <c r="F28" s="157" t="str">
        <f>+'[1]รับ 1014'!$F$100</f>
        <v>TOP 270914</v>
      </c>
      <c r="G28" s="152">
        <f>+'[1]รับ 1014'!$D$100</f>
        <v>43915.002</v>
      </c>
      <c r="H28" s="323">
        <v>41916</v>
      </c>
      <c r="I28" s="152">
        <v>11571.118762010949</v>
      </c>
      <c r="J28" s="154" t="s">
        <v>2001</v>
      </c>
      <c r="K28" s="154"/>
      <c r="L28" s="227"/>
      <c r="M28" s="154"/>
      <c r="N28" s="227">
        <f t="shared" si="2"/>
        <v>0</v>
      </c>
      <c r="O28" s="152">
        <f t="shared" si="3"/>
        <v>612150.01600000029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>
        <v>41916</v>
      </c>
      <c r="I29" s="152">
        <v>6204.2912379890504</v>
      </c>
      <c r="J29" s="157" t="s">
        <v>2002</v>
      </c>
      <c r="K29" s="154">
        <v>5700362421</v>
      </c>
      <c r="L29" s="227">
        <v>10905.32</v>
      </c>
      <c r="M29" s="157" t="s">
        <v>2002</v>
      </c>
      <c r="N29" s="227">
        <f>C9+G11+N28-I29-L29</f>
        <v>287917.92776201095</v>
      </c>
      <c r="O29" s="152">
        <f t="shared" ref="O29:O31" si="6">O28+G29-I29-L29</f>
        <v>595040.40476201125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>
        <v>41916</v>
      </c>
      <c r="I30" s="152"/>
      <c r="J30" s="157"/>
      <c r="K30" s="154">
        <v>5700362421</v>
      </c>
      <c r="L30" s="227">
        <v>12450.79</v>
      </c>
      <c r="M30" s="157" t="s">
        <v>2002</v>
      </c>
      <c r="N30" s="227">
        <f t="shared" ref="N30:N31" si="7">+N29-I30-L30</f>
        <v>275467.13776201097</v>
      </c>
      <c r="O30" s="152">
        <f t="shared" si="6"/>
        <v>582589.61476201122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>
        <v>41916</v>
      </c>
      <c r="I31" s="152"/>
      <c r="J31" s="157"/>
      <c r="K31" s="154">
        <v>5700362421</v>
      </c>
      <c r="L31" s="227">
        <v>12391.77</v>
      </c>
      <c r="M31" s="157" t="s">
        <v>2002</v>
      </c>
      <c r="N31" s="227">
        <f t="shared" si="7"/>
        <v>263075.36776201095</v>
      </c>
      <c r="O31" s="152">
        <f t="shared" si="6"/>
        <v>570197.8447620112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>
        <v>41916</v>
      </c>
      <c r="I32" s="152"/>
      <c r="J32" s="157"/>
      <c r="K32" s="154">
        <v>5700362421</v>
      </c>
      <c r="L32" s="227">
        <v>26563.08</v>
      </c>
      <c r="M32" s="157" t="s">
        <v>2002</v>
      </c>
      <c r="N32" s="227">
        <f t="shared" si="2"/>
        <v>236512.28776201094</v>
      </c>
      <c r="O32" s="152">
        <f t="shared" si="3"/>
        <v>543634.76476201124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>
        <v>41916</v>
      </c>
      <c r="I33" s="152"/>
      <c r="J33" s="157"/>
      <c r="K33" s="154">
        <v>5700362421</v>
      </c>
      <c r="L33" s="227">
        <v>1488.45</v>
      </c>
      <c r="M33" s="157" t="s">
        <v>2002</v>
      </c>
      <c r="N33" s="227">
        <f t="shared" si="2"/>
        <v>235023.83776201092</v>
      </c>
      <c r="O33" s="152">
        <f t="shared" si="3"/>
        <v>542146.31476201129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>
        <v>41916</v>
      </c>
      <c r="I34" s="152"/>
      <c r="J34" s="157"/>
      <c r="K34" s="154">
        <v>5700362421</v>
      </c>
      <c r="L34" s="227">
        <v>15587.74</v>
      </c>
      <c r="M34" s="157" t="s">
        <v>2002</v>
      </c>
      <c r="N34" s="227">
        <f t="shared" si="2"/>
        <v>219436.09776201093</v>
      </c>
      <c r="O34" s="152">
        <f t="shared" si="3"/>
        <v>526558.5747620113</v>
      </c>
    </row>
    <row r="35" spans="1:15" x14ac:dyDescent="0.15">
      <c r="A35" s="154"/>
      <c r="B35" s="151"/>
      <c r="C35" s="152"/>
      <c r="D35" s="323">
        <v>41917</v>
      </c>
      <c r="E35" s="154" t="s">
        <v>72</v>
      </c>
      <c r="F35" s="157" t="str">
        <f>+'[1]รับ 1014'!$F$100</f>
        <v>TOP 270914</v>
      </c>
      <c r="G35" s="152">
        <f>+'[1]รับ 1014'!$D$101</f>
        <v>132037.65</v>
      </c>
      <c r="H35" s="323">
        <v>41917</v>
      </c>
      <c r="I35" s="152">
        <v>15097.720000000001</v>
      </c>
      <c r="J35" s="157" t="s">
        <v>2002</v>
      </c>
      <c r="K35" s="154">
        <v>5700362421</v>
      </c>
      <c r="L35" s="227">
        <v>33984.120000000003</v>
      </c>
      <c r="M35" s="157" t="s">
        <v>2002</v>
      </c>
      <c r="N35" s="227">
        <f t="shared" si="2"/>
        <v>170354.25776201094</v>
      </c>
      <c r="O35" s="152">
        <f t="shared" si="3"/>
        <v>609514.38476201135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>
        <v>41917</v>
      </c>
      <c r="I36" s="152"/>
      <c r="J36" s="157"/>
      <c r="K36" s="154">
        <v>5700362421</v>
      </c>
      <c r="L36" s="227">
        <v>11257.99</v>
      </c>
      <c r="M36" s="157" t="s">
        <v>2002</v>
      </c>
      <c r="N36" s="227">
        <f t="shared" si="2"/>
        <v>159096.26776201095</v>
      </c>
      <c r="O36" s="152">
        <f t="shared" si="3"/>
        <v>598256.39476201136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>
        <v>41917</v>
      </c>
      <c r="I37" s="152"/>
      <c r="J37" s="157"/>
      <c r="K37" s="154">
        <v>5700362421</v>
      </c>
      <c r="L37" s="227">
        <v>11922.46</v>
      </c>
      <c r="M37" s="157" t="s">
        <v>2002</v>
      </c>
      <c r="N37" s="227">
        <f t="shared" si="2"/>
        <v>147173.80776201095</v>
      </c>
      <c r="O37" s="152">
        <f t="shared" si="3"/>
        <v>586333.9347620114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>
        <v>41917</v>
      </c>
      <c r="I38" s="152"/>
      <c r="J38" s="157"/>
      <c r="K38" s="154">
        <v>5700362421</v>
      </c>
      <c r="L38" s="227">
        <v>14202.08</v>
      </c>
      <c r="M38" s="157" t="s">
        <v>2002</v>
      </c>
      <c r="N38" s="227">
        <f t="shared" si="2"/>
        <v>132971.72776201097</v>
      </c>
      <c r="O38" s="152">
        <f t="shared" si="3"/>
        <v>572131.85476201144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>
        <v>41917</v>
      </c>
      <c r="I39" s="152"/>
      <c r="J39" s="157"/>
      <c r="K39" s="154">
        <v>5700362421</v>
      </c>
      <c r="L39" s="227">
        <v>9670.86</v>
      </c>
      <c r="M39" s="157" t="s">
        <v>2002</v>
      </c>
      <c r="N39" s="227">
        <f t="shared" si="2"/>
        <v>123300.86776201097</v>
      </c>
      <c r="O39" s="152">
        <f t="shared" si="3"/>
        <v>562460.99476201145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>
        <v>41917</v>
      </c>
      <c r="I40" s="152"/>
      <c r="J40" s="157"/>
      <c r="K40" s="154">
        <v>5700362421</v>
      </c>
      <c r="L40" s="227">
        <v>28330.1</v>
      </c>
      <c r="M40" s="157" t="s">
        <v>2002</v>
      </c>
      <c r="N40" s="227">
        <f t="shared" si="2"/>
        <v>94970.767762010975</v>
      </c>
      <c r="O40" s="152">
        <f t="shared" si="3"/>
        <v>534130.89476201148</v>
      </c>
    </row>
    <row r="41" spans="1:15" x14ac:dyDescent="0.15">
      <c r="A41" s="154"/>
      <c r="B41" s="151"/>
      <c r="C41" s="152"/>
      <c r="D41" s="323">
        <v>41918</v>
      </c>
      <c r="E41" s="154" t="s">
        <v>72</v>
      </c>
      <c r="F41" s="157" t="str">
        <f>+'[1]รับ 1014'!$F$100</f>
        <v>TOP 270914</v>
      </c>
      <c r="G41" s="152">
        <f>+'[1]รับ 1014'!$D$102</f>
        <v>95420.279999999795</v>
      </c>
      <c r="H41" s="323">
        <v>41918</v>
      </c>
      <c r="I41" s="152">
        <v>9564.7199999999993</v>
      </c>
      <c r="J41" s="157" t="s">
        <v>2002</v>
      </c>
      <c r="K41" s="154">
        <v>5700362421</v>
      </c>
      <c r="L41" s="227">
        <v>13544.86</v>
      </c>
      <c r="M41" s="157" t="s">
        <v>2002</v>
      </c>
      <c r="N41" s="227">
        <f t="shared" si="2"/>
        <v>71861.187762010974</v>
      </c>
      <c r="O41" s="152">
        <f t="shared" si="3"/>
        <v>606441.59476201131</v>
      </c>
    </row>
    <row r="42" spans="1:15" x14ac:dyDescent="0.15">
      <c r="A42" s="154"/>
      <c r="B42" s="151"/>
      <c r="C42" s="152"/>
      <c r="D42" s="323">
        <v>41918</v>
      </c>
      <c r="E42" s="154" t="s">
        <v>72</v>
      </c>
      <c r="F42" s="157" t="str">
        <f>+'[1]รับ 1014'!$F$103</f>
        <v>TOP 280914</v>
      </c>
      <c r="G42" s="152">
        <f>+'[1]รับ 1014'!$D$103</f>
        <v>36731.688000000198</v>
      </c>
      <c r="H42" s="323">
        <v>41918</v>
      </c>
      <c r="I42" s="152"/>
      <c r="J42" s="157"/>
      <c r="K42" s="154">
        <v>5700362421</v>
      </c>
      <c r="L42" s="227">
        <v>9179.65</v>
      </c>
      <c r="M42" s="157" t="s">
        <v>2002</v>
      </c>
      <c r="N42" s="227">
        <f t="shared" si="2"/>
        <v>62681.537762010972</v>
      </c>
      <c r="O42" s="152">
        <f t="shared" si="3"/>
        <v>633993.63276201149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>
        <v>41918</v>
      </c>
      <c r="I43" s="152"/>
      <c r="J43" s="157"/>
      <c r="K43" s="154">
        <v>5700362421</v>
      </c>
      <c r="L43" s="227">
        <v>12406.29</v>
      </c>
      <c r="M43" s="157" t="s">
        <v>2002</v>
      </c>
      <c r="N43" s="227">
        <f t="shared" si="2"/>
        <v>50275.247762010971</v>
      </c>
      <c r="O43" s="152">
        <f t="shared" si="3"/>
        <v>621587.34276201145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41918</v>
      </c>
      <c r="I44" s="152"/>
      <c r="J44" s="157"/>
      <c r="K44" s="154">
        <v>5700362421</v>
      </c>
      <c r="L44" s="227">
        <v>10642.39</v>
      </c>
      <c r="M44" s="157" t="s">
        <v>2002</v>
      </c>
      <c r="N44" s="227">
        <f t="shared" si="2"/>
        <v>39632.857762010972</v>
      </c>
      <c r="O44" s="152">
        <f t="shared" si="3"/>
        <v>610944.95276201144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>
        <v>41918</v>
      </c>
      <c r="I45" s="152"/>
      <c r="J45" s="157"/>
      <c r="K45" s="154">
        <v>5700362421</v>
      </c>
      <c r="L45" s="227">
        <v>567.29</v>
      </c>
      <c r="M45" s="157" t="s">
        <v>2002</v>
      </c>
      <c r="N45" s="227">
        <f t="shared" si="2"/>
        <v>39065.567762010971</v>
      </c>
      <c r="O45" s="152">
        <f t="shared" si="3"/>
        <v>610377.6627620114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41918</v>
      </c>
      <c r="I46" s="152"/>
      <c r="J46" s="157"/>
      <c r="K46" s="154">
        <v>5700362421</v>
      </c>
      <c r="L46" s="227">
        <v>11955.94</v>
      </c>
      <c r="M46" s="157" t="s">
        <v>2002</v>
      </c>
      <c r="N46" s="227">
        <f t="shared" si="2"/>
        <v>27109.627762010969</v>
      </c>
      <c r="O46" s="152">
        <f t="shared" si="3"/>
        <v>598421.72276201146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>
        <v>41918</v>
      </c>
      <c r="I47" s="152"/>
      <c r="J47" s="157"/>
      <c r="K47" s="154">
        <v>5700362421</v>
      </c>
      <c r="L47" s="227">
        <v>27109.627762010969</v>
      </c>
      <c r="M47" s="157" t="s">
        <v>2002</v>
      </c>
      <c r="N47" s="227">
        <f t="shared" ref="N47:N51" si="8">+N46-I47-L47</f>
        <v>0</v>
      </c>
      <c r="O47" s="152">
        <f t="shared" ref="O47:O51" si="9">O46+G47-I47-L47</f>
        <v>571312.09500000044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>
        <v>41918</v>
      </c>
      <c r="I48" s="152"/>
      <c r="J48" s="157"/>
      <c r="K48" s="154">
        <v>5700362421</v>
      </c>
      <c r="L48" s="227">
        <v>3474.8622379890298</v>
      </c>
      <c r="M48" s="157" t="str">
        <f>+'[1]รับ 1014'!$F$97</f>
        <v>TOP 240914</v>
      </c>
      <c r="N48" s="227">
        <f>G12+G16+G24+N47-I48-L48</f>
        <v>259732.61276201106</v>
      </c>
      <c r="O48" s="152">
        <f t="shared" si="9"/>
        <v>567837.23276201135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41918</v>
      </c>
      <c r="I49" s="152"/>
      <c r="J49" s="157"/>
      <c r="K49" s="154">
        <v>5700362421</v>
      </c>
      <c r="L49" s="227">
        <v>14908.44</v>
      </c>
      <c r="M49" s="157" t="str">
        <f>+'[1]รับ 1014'!$F$97</f>
        <v>TOP 240914</v>
      </c>
      <c r="N49" s="227">
        <f t="shared" si="8"/>
        <v>244824.17276201106</v>
      </c>
      <c r="O49" s="152">
        <f t="shared" si="9"/>
        <v>552928.79276201141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41918</v>
      </c>
      <c r="I50" s="152"/>
      <c r="J50" s="157"/>
      <c r="K50" s="154">
        <v>5700362421</v>
      </c>
      <c r="L50" s="227">
        <v>34302.6</v>
      </c>
      <c r="M50" s="157" t="str">
        <f>+'[1]รับ 1014'!$F$97</f>
        <v>TOP 240914</v>
      </c>
      <c r="N50" s="227">
        <f t="shared" si="8"/>
        <v>210521.57276201106</v>
      </c>
      <c r="O50" s="152">
        <f t="shared" si="9"/>
        <v>518626.19276201143</v>
      </c>
    </row>
    <row r="51" spans="1:15" x14ac:dyDescent="0.15">
      <c r="A51" s="154"/>
      <c r="B51" s="151"/>
      <c r="C51" s="152"/>
      <c r="D51" s="323">
        <v>41919</v>
      </c>
      <c r="E51" s="154" t="s">
        <v>72</v>
      </c>
      <c r="F51" s="157" t="str">
        <f>+'[1]รับ 1014'!$F$103</f>
        <v>TOP 280914</v>
      </c>
      <c r="G51" s="152">
        <f>+'[1]รับ 1014'!$D$104</f>
        <v>88030.603000000003</v>
      </c>
      <c r="H51" s="323">
        <v>41919</v>
      </c>
      <c r="I51" s="152">
        <v>11399.480000000001</v>
      </c>
      <c r="J51" s="157" t="str">
        <f>+'[1]รับ 1014'!$F$97</f>
        <v>TOP 240914</v>
      </c>
      <c r="K51" s="154">
        <v>5700362421</v>
      </c>
      <c r="L51" s="227">
        <v>13964.63</v>
      </c>
      <c r="M51" s="157" t="str">
        <f>+'[1]รับ 1014'!$F$97</f>
        <v>TOP 240914</v>
      </c>
      <c r="N51" s="227">
        <f t="shared" si="8"/>
        <v>185157.46276201104</v>
      </c>
      <c r="O51" s="152">
        <f t="shared" si="9"/>
        <v>581292.68576201145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>
        <v>41919</v>
      </c>
      <c r="I52" s="152"/>
      <c r="J52" s="157"/>
      <c r="K52" s="154">
        <v>5700362421</v>
      </c>
      <c r="L52" s="227">
        <v>12439.16</v>
      </c>
      <c r="M52" s="157" t="str">
        <f>+'[1]รับ 1014'!$F$97</f>
        <v>TOP 240914</v>
      </c>
      <c r="N52" s="227">
        <f t="shared" si="2"/>
        <v>172718.30276201104</v>
      </c>
      <c r="O52" s="152">
        <f t="shared" si="3"/>
        <v>568853.52576201141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>
        <v>41919</v>
      </c>
      <c r="I53" s="152"/>
      <c r="J53" s="157"/>
      <c r="K53" s="154">
        <v>5700362421</v>
      </c>
      <c r="L53" s="227">
        <v>6477.5</v>
      </c>
      <c r="M53" s="157" t="str">
        <f>+'[1]รับ 1014'!$F$97</f>
        <v>TOP 240914</v>
      </c>
      <c r="N53" s="227">
        <f t="shared" si="2"/>
        <v>166240.80276201104</v>
      </c>
      <c r="O53" s="152">
        <f t="shared" si="3"/>
        <v>562376.02576201141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>
        <v>41919</v>
      </c>
      <c r="I54" s="152"/>
      <c r="J54" s="154"/>
      <c r="K54" s="154">
        <v>5700362421</v>
      </c>
      <c r="L54" s="227">
        <v>3144.1</v>
      </c>
      <c r="M54" s="157" t="str">
        <f>+'[1]รับ 1014'!$F$97</f>
        <v>TOP 240914</v>
      </c>
      <c r="N54" s="227">
        <f t="shared" si="2"/>
        <v>163096.70276201103</v>
      </c>
      <c r="O54" s="152">
        <f t="shared" si="3"/>
        <v>559231.92576201144</v>
      </c>
    </row>
    <row r="55" spans="1:15" x14ac:dyDescent="0.15">
      <c r="A55" s="154"/>
      <c r="B55" s="151"/>
      <c r="C55" s="152"/>
      <c r="D55" s="323">
        <v>41920</v>
      </c>
      <c r="E55" s="154" t="s">
        <v>72</v>
      </c>
      <c r="F55" s="157" t="str">
        <f>+'[1]รับ 1014'!$F$103</f>
        <v>TOP 280914</v>
      </c>
      <c r="G55" s="152">
        <f>+'[1]รับ 1014'!$D$105</f>
        <v>88149.850999999995</v>
      </c>
      <c r="H55" s="323">
        <v>41920</v>
      </c>
      <c r="I55" s="152">
        <v>3189.66</v>
      </c>
      <c r="J55" s="157" t="str">
        <f>+'[1]รับ 1014'!$F$97</f>
        <v>TOP 240914</v>
      </c>
      <c r="K55" s="154">
        <v>5700362421</v>
      </c>
      <c r="L55" s="227">
        <v>11009.69</v>
      </c>
      <c r="M55" s="157" t="str">
        <f>+'[1]รับ 1014'!$F$97</f>
        <v>TOP 240914</v>
      </c>
      <c r="N55" s="227">
        <f t="shared" si="2"/>
        <v>148897.35276201103</v>
      </c>
      <c r="O55" s="152">
        <f t="shared" si="3"/>
        <v>633182.42676201148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41920</v>
      </c>
      <c r="I56" s="152"/>
      <c r="J56" s="157"/>
      <c r="K56" s="154">
        <v>5700362421</v>
      </c>
      <c r="L56" s="227">
        <v>12590.65</v>
      </c>
      <c r="M56" s="157" t="str">
        <f>+'[1]รับ 1014'!$F$97</f>
        <v>TOP 240914</v>
      </c>
      <c r="N56" s="227">
        <f t="shared" si="2"/>
        <v>136306.70276201103</v>
      </c>
      <c r="O56" s="152">
        <f t="shared" si="3"/>
        <v>620591.77676201146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41920</v>
      </c>
      <c r="I57" s="152"/>
      <c r="J57" s="157"/>
      <c r="K57" s="154">
        <v>5700362421</v>
      </c>
      <c r="L57" s="227">
        <v>14558.14</v>
      </c>
      <c r="M57" s="157" t="str">
        <f>+'[1]รับ 1014'!$F$97</f>
        <v>TOP 240914</v>
      </c>
      <c r="N57" s="227">
        <f t="shared" si="2"/>
        <v>121748.56276201103</v>
      </c>
      <c r="O57" s="152">
        <f t="shared" si="3"/>
        <v>606033.63676201145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>
        <v>41920</v>
      </c>
      <c r="I58" s="152"/>
      <c r="J58" s="154"/>
      <c r="K58" s="154">
        <v>5700362421</v>
      </c>
      <c r="L58" s="227">
        <v>951.42</v>
      </c>
      <c r="M58" s="157" t="str">
        <f>+'[1]รับ 1014'!$F$97</f>
        <v>TOP 240914</v>
      </c>
      <c r="N58" s="227">
        <f t="shared" si="2"/>
        <v>120797.14276201103</v>
      </c>
      <c r="O58" s="152">
        <f t="shared" si="3"/>
        <v>605082.21676201141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>
        <v>41920</v>
      </c>
      <c r="I59" s="152"/>
      <c r="J59" s="157"/>
      <c r="K59" s="154">
        <v>5700362421</v>
      </c>
      <c r="L59" s="227">
        <v>40235.51</v>
      </c>
      <c r="M59" s="157" t="str">
        <f>+'[1]รับ 1014'!$F$97</f>
        <v>TOP 240914</v>
      </c>
      <c r="N59" s="227">
        <f t="shared" si="2"/>
        <v>80561.632762011024</v>
      </c>
      <c r="O59" s="152">
        <f t="shared" si="3"/>
        <v>564846.7067620114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>
        <v>41920</v>
      </c>
      <c r="I60" s="152"/>
      <c r="J60" s="157"/>
      <c r="K60" s="154">
        <v>5700362421</v>
      </c>
      <c r="L60" s="227">
        <v>24105.33</v>
      </c>
      <c r="M60" s="157" t="str">
        <f>+'[1]รับ 1014'!$F$97</f>
        <v>TOP 240914</v>
      </c>
      <c r="N60" s="227">
        <f t="shared" si="2"/>
        <v>56456.302762011022</v>
      </c>
      <c r="O60" s="152">
        <f t="shared" si="3"/>
        <v>540741.37676201144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>
        <v>41920</v>
      </c>
      <c r="I61" s="152"/>
      <c r="J61" s="157"/>
      <c r="K61" s="154">
        <v>5700362421</v>
      </c>
      <c r="L61" s="227">
        <v>13732.64</v>
      </c>
      <c r="M61" s="157" t="str">
        <f>+'[1]รับ 1014'!$F$97</f>
        <v>TOP 240914</v>
      </c>
      <c r="N61" s="227">
        <f t="shared" si="2"/>
        <v>42723.662762011023</v>
      </c>
      <c r="O61" s="152">
        <f t="shared" si="3"/>
        <v>527008.73676201142</v>
      </c>
    </row>
    <row r="62" spans="1:15" x14ac:dyDescent="0.15">
      <c r="A62" s="154"/>
      <c r="B62" s="151"/>
      <c r="C62" s="152"/>
      <c r="D62" s="323">
        <v>41921</v>
      </c>
      <c r="E62" s="154" t="s">
        <v>72</v>
      </c>
      <c r="F62" s="157" t="str">
        <f>+'[1]รับ 1014'!$F$103</f>
        <v>TOP 280914</v>
      </c>
      <c r="G62" s="152">
        <f>+'[1]รับ 1014'!$D$106</f>
        <v>88052.207999999999</v>
      </c>
      <c r="H62" s="323">
        <v>41921</v>
      </c>
      <c r="I62" s="152">
        <v>4769.87</v>
      </c>
      <c r="J62" s="157" t="str">
        <f>+'[1]รับ 1014'!$F$97</f>
        <v>TOP 240914</v>
      </c>
      <c r="K62" s="154">
        <v>5700362421</v>
      </c>
      <c r="L62" s="227">
        <v>12350.02</v>
      </c>
      <c r="M62" s="157" t="str">
        <f>+'[1]รับ 1014'!$F$97</f>
        <v>TOP 240914</v>
      </c>
      <c r="N62" s="227">
        <f t="shared" si="2"/>
        <v>25603.77276201102</v>
      </c>
      <c r="O62" s="152">
        <f t="shared" si="3"/>
        <v>597941.05476201139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>
        <v>41921</v>
      </c>
      <c r="I63" s="152"/>
      <c r="J63" s="157"/>
      <c r="K63" s="154">
        <v>5700362421</v>
      </c>
      <c r="L63" s="227">
        <v>8819.15</v>
      </c>
      <c r="M63" s="157" t="str">
        <f>+'[1]รับ 1014'!$F$97</f>
        <v>TOP 240914</v>
      </c>
      <c r="N63" s="227">
        <f t="shared" si="2"/>
        <v>16784.622762011022</v>
      </c>
      <c r="O63" s="152">
        <f t="shared" si="3"/>
        <v>589121.90476201137</v>
      </c>
    </row>
    <row r="64" spans="1:15" x14ac:dyDescent="0.15">
      <c r="A64" s="154"/>
      <c r="B64" s="151"/>
      <c r="C64" s="152"/>
      <c r="D64" s="323">
        <v>41922</v>
      </c>
      <c r="E64" s="154" t="s">
        <v>72</v>
      </c>
      <c r="F64" s="157" t="str">
        <f>+'[1]รับ 1014'!$F$107</f>
        <v>TOP 011014</v>
      </c>
      <c r="G64" s="152">
        <f>+'[1]รับ 1014'!$D$107</f>
        <v>43986.531000000003</v>
      </c>
      <c r="H64" s="323">
        <v>41922</v>
      </c>
      <c r="I64" s="152">
        <v>10769.09</v>
      </c>
      <c r="J64" s="157" t="str">
        <f>+'[1]รับ 1014'!$F$97</f>
        <v>TOP 240914</v>
      </c>
      <c r="K64" s="154">
        <v>5700362421</v>
      </c>
      <c r="L64" s="227">
        <v>6015.532762011022</v>
      </c>
      <c r="M64" s="157" t="str">
        <f>+'[1]รับ 1014'!$F$97</f>
        <v>TOP 240914</v>
      </c>
      <c r="N64" s="227">
        <f t="shared" si="2"/>
        <v>0</v>
      </c>
      <c r="O64" s="152">
        <f t="shared" si="3"/>
        <v>616323.81300000031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>
        <v>41922</v>
      </c>
      <c r="I65" s="152"/>
      <c r="J65" s="157"/>
      <c r="K65" s="154">
        <v>5700362421</v>
      </c>
      <c r="L65" s="227">
        <v>4701.8972379889801</v>
      </c>
      <c r="M65" s="157" t="str">
        <f>+'[1]รับ 1014'!$F$100</f>
        <v>TOP 270914</v>
      </c>
      <c r="N65" s="227">
        <f>G28+G35+G41+N64-I65-L65</f>
        <v>266671.03476201079</v>
      </c>
      <c r="O65" s="152">
        <f t="shared" ref="O65:O69" si="10">O64+G65-I65-L65</f>
        <v>611621.91576201131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>
        <v>41922</v>
      </c>
      <c r="I66" s="152"/>
      <c r="J66" s="157"/>
      <c r="K66" s="154">
        <v>5700362421</v>
      </c>
      <c r="L66" s="227">
        <v>14102.15</v>
      </c>
      <c r="M66" s="157" t="str">
        <f>+'[1]รับ 1014'!$F$100</f>
        <v>TOP 270914</v>
      </c>
      <c r="N66" s="227">
        <f t="shared" ref="N66:N69" si="11">+N65-I66-L66</f>
        <v>252568.8847620108</v>
      </c>
      <c r="O66" s="152">
        <f t="shared" si="10"/>
        <v>597519.76576201129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>
        <v>41922</v>
      </c>
      <c r="I67" s="152"/>
      <c r="J67" s="157"/>
      <c r="K67" s="154">
        <v>5700362421</v>
      </c>
      <c r="L67" s="227">
        <v>1814.08</v>
      </c>
      <c r="M67" s="157" t="str">
        <f>+'[1]รับ 1014'!$F$100</f>
        <v>TOP 270914</v>
      </c>
      <c r="N67" s="227">
        <f t="shared" si="11"/>
        <v>250754.80476201081</v>
      </c>
      <c r="O67" s="152">
        <f t="shared" si="10"/>
        <v>595705.68576201133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>
        <v>41922</v>
      </c>
      <c r="I68" s="152"/>
      <c r="J68" s="157"/>
      <c r="K68" s="154">
        <v>5700362421</v>
      </c>
      <c r="L68" s="227">
        <v>34772.36</v>
      </c>
      <c r="M68" s="157" t="str">
        <f>+'[1]รับ 1014'!$F$100</f>
        <v>TOP 270914</v>
      </c>
      <c r="N68" s="227">
        <f t="shared" si="11"/>
        <v>215982.44476201083</v>
      </c>
      <c r="O68" s="152">
        <f t="shared" si="10"/>
        <v>560933.32576201134</v>
      </c>
    </row>
    <row r="69" spans="1:15" x14ac:dyDescent="0.15">
      <c r="A69" s="154"/>
      <c r="B69" s="151"/>
      <c r="C69" s="152"/>
      <c r="D69" s="323">
        <v>41923</v>
      </c>
      <c r="E69" s="154" t="s">
        <v>72</v>
      </c>
      <c r="F69" s="157" t="str">
        <f>+'[1]รับ 1014'!$F$107</f>
        <v>TOP 011014</v>
      </c>
      <c r="G69" s="152">
        <f>+'[1]รับ 1014'!$D$108</f>
        <v>43980.116999999998</v>
      </c>
      <c r="H69" s="323">
        <v>41923</v>
      </c>
      <c r="I69" s="152">
        <v>11481.07</v>
      </c>
      <c r="J69" s="157" t="str">
        <f>+'[1]รับ 1014'!$F$100</f>
        <v>TOP 270914</v>
      </c>
      <c r="K69" s="154">
        <v>5700362421</v>
      </c>
      <c r="L69" s="227">
        <v>12146.15</v>
      </c>
      <c r="M69" s="157" t="str">
        <f>+'[1]รับ 1014'!$F$100</f>
        <v>TOP 270914</v>
      </c>
      <c r="N69" s="227">
        <f t="shared" si="11"/>
        <v>192355.22476201082</v>
      </c>
      <c r="O69" s="152">
        <f t="shared" si="10"/>
        <v>581286.22276201134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>
        <v>41923</v>
      </c>
      <c r="I70" s="152"/>
      <c r="J70" s="157"/>
      <c r="K70" s="154">
        <v>5700362421</v>
      </c>
      <c r="L70" s="227">
        <v>13636.91</v>
      </c>
      <c r="M70" s="157" t="str">
        <f>+'[1]รับ 1014'!$F$100</f>
        <v>TOP 270914</v>
      </c>
      <c r="N70" s="227">
        <f t="shared" si="2"/>
        <v>178718.31476201082</v>
      </c>
      <c r="O70" s="152">
        <f t="shared" si="3"/>
        <v>567649.31276201131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>
        <v>41923</v>
      </c>
      <c r="I71" s="152"/>
      <c r="J71" s="157"/>
      <c r="K71" s="154">
        <v>5700362421</v>
      </c>
      <c r="L71" s="227">
        <v>13372.78</v>
      </c>
      <c r="M71" s="157" t="str">
        <f>+'[1]รับ 1014'!$F$100</f>
        <v>TOP 270914</v>
      </c>
      <c r="N71" s="227">
        <f t="shared" si="2"/>
        <v>165345.53476201082</v>
      </c>
      <c r="O71" s="152">
        <f t="shared" si="3"/>
        <v>554276.53276201128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>
        <v>41923</v>
      </c>
      <c r="I72" s="152"/>
      <c r="J72" s="157"/>
      <c r="K72" s="154">
        <v>5700362421</v>
      </c>
      <c r="L72" s="227">
        <v>9559.84</v>
      </c>
      <c r="M72" s="157" t="str">
        <f>+'[1]รับ 1014'!$F$100</f>
        <v>TOP 270914</v>
      </c>
      <c r="N72" s="227">
        <f t="shared" si="2"/>
        <v>155785.69476201083</v>
      </c>
      <c r="O72" s="152">
        <f t="shared" si="3"/>
        <v>544716.69276201131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>
        <v>41923</v>
      </c>
      <c r="I73" s="152"/>
      <c r="J73" s="157"/>
      <c r="K73" s="154">
        <v>5700362421</v>
      </c>
      <c r="L73" s="227">
        <v>31385.9</v>
      </c>
      <c r="M73" s="157" t="str">
        <f>+'[1]รับ 1014'!$F$100</f>
        <v>TOP 270914</v>
      </c>
      <c r="N73" s="227">
        <f t="shared" si="2"/>
        <v>124399.79476201083</v>
      </c>
      <c r="O73" s="152">
        <f t="shared" si="3"/>
        <v>513330.79276201129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>
        <v>41923</v>
      </c>
      <c r="I74" s="152"/>
      <c r="J74" s="157"/>
      <c r="K74" s="154">
        <v>5700362421</v>
      </c>
      <c r="L74" s="227">
        <v>5255.8</v>
      </c>
      <c r="M74" s="157" t="str">
        <f>+'[1]รับ 1014'!$F$100</f>
        <v>TOP 270914</v>
      </c>
      <c r="N74" s="227">
        <f t="shared" si="2"/>
        <v>119143.99476201083</v>
      </c>
      <c r="O74" s="152">
        <f t="shared" si="3"/>
        <v>508074.9927620113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>
        <v>41923</v>
      </c>
      <c r="I75" s="152"/>
      <c r="J75" s="157"/>
      <c r="K75" s="154">
        <v>5700362421</v>
      </c>
      <c r="L75" s="227">
        <v>15667.46</v>
      </c>
      <c r="M75" s="157" t="str">
        <f>+'[1]รับ 1014'!$F$100</f>
        <v>TOP 270914</v>
      </c>
      <c r="N75" s="227">
        <f t="shared" si="2"/>
        <v>103476.53476201082</v>
      </c>
      <c r="O75" s="152">
        <f t="shared" si="3"/>
        <v>492407.53276201128</v>
      </c>
    </row>
    <row r="76" spans="1:15" x14ac:dyDescent="0.15">
      <c r="A76" s="154"/>
      <c r="B76" s="151"/>
      <c r="C76" s="152"/>
      <c r="D76" s="323">
        <v>41924</v>
      </c>
      <c r="E76" s="154" t="s">
        <v>72</v>
      </c>
      <c r="F76" s="157" t="str">
        <f>+'[1]รับ 1014'!$F$107</f>
        <v>TOP 011014</v>
      </c>
      <c r="G76" s="152">
        <f>+'[1]รับ 1014'!$D$109</f>
        <v>43952.650999999998</v>
      </c>
      <c r="H76" s="323">
        <v>41924</v>
      </c>
      <c r="I76" s="152">
        <v>13087.6</v>
      </c>
      <c r="J76" s="157" t="str">
        <f>+'[1]รับ 1014'!$F$100</f>
        <v>TOP 270914</v>
      </c>
      <c r="K76" s="154">
        <v>5700362421</v>
      </c>
      <c r="L76" s="227">
        <v>31521.07</v>
      </c>
      <c r="M76" s="157" t="str">
        <f>+'[1]รับ 1014'!$F$100</f>
        <v>TOP 270914</v>
      </c>
      <c r="N76" s="227">
        <f t="shared" si="2"/>
        <v>58867.864762010817</v>
      </c>
      <c r="O76" s="152">
        <f t="shared" si="3"/>
        <v>491751.51376201125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>
        <v>41924</v>
      </c>
      <c r="I77" s="152"/>
      <c r="J77" s="157"/>
      <c r="K77" s="154">
        <v>5700362421</v>
      </c>
      <c r="L77" s="227">
        <v>10689.32</v>
      </c>
      <c r="M77" s="157" t="str">
        <f>+'[1]รับ 1014'!$F$100</f>
        <v>TOP 270914</v>
      </c>
      <c r="N77" s="227">
        <f t="shared" si="2"/>
        <v>48178.544762010817</v>
      </c>
      <c r="O77" s="152">
        <f t="shared" si="3"/>
        <v>481062.19376201124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>
        <v>41924</v>
      </c>
      <c r="I78" s="152"/>
      <c r="J78" s="157"/>
      <c r="K78" s="154">
        <v>5700362421</v>
      </c>
      <c r="L78" s="227">
        <v>13646.11</v>
      </c>
      <c r="M78" s="157" t="str">
        <f>+'[1]รับ 1014'!$F$100</f>
        <v>TOP 270914</v>
      </c>
      <c r="N78" s="227">
        <f t="shared" ref="N78:N142" si="12">+N77-I78-L78</f>
        <v>34532.434762010816</v>
      </c>
      <c r="O78" s="152">
        <f t="shared" ref="O78:O142" si="13">O77+G78-I78-L78</f>
        <v>467416.08376201126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>
        <v>41924</v>
      </c>
      <c r="I79" s="152"/>
      <c r="J79" s="157"/>
      <c r="K79" s="154">
        <v>5700362421</v>
      </c>
      <c r="L79" s="227">
        <v>12357.02</v>
      </c>
      <c r="M79" s="157" t="str">
        <f>+'[1]รับ 1014'!$F$100</f>
        <v>TOP 270914</v>
      </c>
      <c r="N79" s="227">
        <f t="shared" si="12"/>
        <v>22175.414762010816</v>
      </c>
      <c r="O79" s="152">
        <f t="shared" si="13"/>
        <v>455059.06376201124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>
        <v>41924</v>
      </c>
      <c r="I80" s="152"/>
      <c r="J80" s="157"/>
      <c r="K80" s="154">
        <v>5700362421</v>
      </c>
      <c r="L80" s="227">
        <v>6750.26</v>
      </c>
      <c r="M80" s="157" t="str">
        <f>+'[1]รับ 1014'!$F$100</f>
        <v>TOP 270914</v>
      </c>
      <c r="N80" s="227">
        <f t="shared" si="12"/>
        <v>15425.154762010816</v>
      </c>
      <c r="O80" s="152">
        <f t="shared" si="13"/>
        <v>448308.80376201123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>
        <v>41924</v>
      </c>
      <c r="I81" s="152"/>
      <c r="J81" s="157"/>
      <c r="K81" s="154">
        <v>5700362421</v>
      </c>
      <c r="L81" s="227">
        <v>15425.154762010816</v>
      </c>
      <c r="M81" s="157" t="str">
        <f>+'[1]รับ 1014'!$F$100</f>
        <v>TOP 270914</v>
      </c>
      <c r="N81" s="227">
        <f t="shared" ref="N81:N87" si="14">+N80-I81-L81</f>
        <v>0</v>
      </c>
      <c r="O81" s="152">
        <f t="shared" ref="O81:O87" si="15">O80+G81-I81-L81</f>
        <v>432883.64900000044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>
        <v>41924</v>
      </c>
      <c r="I82" s="152"/>
      <c r="J82" s="157"/>
      <c r="K82" s="154">
        <v>5700362421</v>
      </c>
      <c r="L82" s="227">
        <v>14890.9052379892</v>
      </c>
      <c r="M82" s="157" t="str">
        <f>+'[1]รับ 1014'!$F$103</f>
        <v>TOP 280914</v>
      </c>
      <c r="N82" s="227">
        <f>G42+G51+G55+G62+N81-I82-L82</f>
        <v>286073.444762011</v>
      </c>
      <c r="O82" s="152">
        <f t="shared" si="15"/>
        <v>417992.74376201123</v>
      </c>
    </row>
    <row r="83" spans="1:15" x14ac:dyDescent="0.15">
      <c r="A83" s="154"/>
      <c r="B83" s="151"/>
      <c r="C83" s="152"/>
      <c r="D83" s="323">
        <v>41925</v>
      </c>
      <c r="E83" s="154" t="s">
        <v>72</v>
      </c>
      <c r="F83" s="157" t="str">
        <f>+'[1]รับ 1014'!$F$110</f>
        <v>GC 041014</v>
      </c>
      <c r="G83" s="152">
        <f>+'[1]รับ 1014'!$D$110</f>
        <v>131977.924</v>
      </c>
      <c r="H83" s="323">
        <v>41925</v>
      </c>
      <c r="I83" s="152">
        <v>19940.3</v>
      </c>
      <c r="J83" s="157" t="str">
        <f>+'[1]รับ 1014'!$F$103</f>
        <v>TOP 280914</v>
      </c>
      <c r="K83" s="154">
        <v>5700362421</v>
      </c>
      <c r="L83" s="227">
        <v>12604.15</v>
      </c>
      <c r="M83" s="157" t="str">
        <f>+'[1]รับ 1014'!$F$103</f>
        <v>TOP 280914</v>
      </c>
      <c r="N83" s="227">
        <f t="shared" si="14"/>
        <v>253528.99476201102</v>
      </c>
      <c r="O83" s="152">
        <f t="shared" si="15"/>
        <v>517426.21776201122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>
        <v>41925</v>
      </c>
      <c r="I84" s="152"/>
      <c r="J84" s="157"/>
      <c r="K84" s="154">
        <v>5700362421</v>
      </c>
      <c r="L84" s="227">
        <v>790.2</v>
      </c>
      <c r="M84" s="157" t="str">
        <f>+'[1]รับ 1014'!$F$103</f>
        <v>TOP 280914</v>
      </c>
      <c r="N84" s="227">
        <f t="shared" si="14"/>
        <v>252738.79476201101</v>
      </c>
      <c r="O84" s="152">
        <f t="shared" si="15"/>
        <v>516636.01776201121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>
        <v>41925</v>
      </c>
      <c r="I85" s="152"/>
      <c r="J85" s="157"/>
      <c r="K85" s="154">
        <v>5700362421</v>
      </c>
      <c r="L85" s="227">
        <v>7949.08</v>
      </c>
      <c r="M85" s="157" t="str">
        <f>+'[1]รับ 1014'!$F$103</f>
        <v>TOP 280914</v>
      </c>
      <c r="N85" s="227">
        <f t="shared" si="14"/>
        <v>244789.71476201102</v>
      </c>
      <c r="O85" s="152">
        <f t="shared" si="15"/>
        <v>508686.93776201119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>
        <v>41925</v>
      </c>
      <c r="I86" s="152"/>
      <c r="J86" s="157"/>
      <c r="K86" s="154">
        <v>5700362421</v>
      </c>
      <c r="L86" s="227">
        <v>12450.92</v>
      </c>
      <c r="M86" s="157" t="str">
        <f>+'[1]รับ 1014'!$F$103</f>
        <v>TOP 280914</v>
      </c>
      <c r="N86" s="227">
        <f t="shared" si="14"/>
        <v>232338.79476201101</v>
      </c>
      <c r="O86" s="152">
        <f t="shared" si="15"/>
        <v>496236.01776201121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>
        <v>41925</v>
      </c>
      <c r="I87" s="152"/>
      <c r="J87" s="157"/>
      <c r="K87" s="154">
        <v>5700362421</v>
      </c>
      <c r="L87" s="227">
        <v>40711.86</v>
      </c>
      <c r="M87" s="157" t="str">
        <f>+'[1]รับ 1014'!$F$103</f>
        <v>TOP 280914</v>
      </c>
      <c r="N87" s="227">
        <f t="shared" si="14"/>
        <v>191626.93476201099</v>
      </c>
      <c r="O87" s="152">
        <f t="shared" si="15"/>
        <v>455524.15776201122</v>
      </c>
    </row>
    <row r="88" spans="1:15" x14ac:dyDescent="0.15">
      <c r="A88" s="154"/>
      <c r="B88" s="151"/>
      <c r="C88" s="152"/>
      <c r="D88" s="323">
        <v>41926</v>
      </c>
      <c r="E88" s="154" t="s">
        <v>72</v>
      </c>
      <c r="F88" s="157" t="str">
        <f>+'[1]รับ 1014'!$F$110</f>
        <v>GC 041014</v>
      </c>
      <c r="G88" s="152">
        <f>+'[1]รับ 1014'!$D$111</f>
        <v>131930.57999999999</v>
      </c>
      <c r="H88" s="323">
        <v>41926</v>
      </c>
      <c r="I88" s="152">
        <v>9594.7200000000012</v>
      </c>
      <c r="J88" s="157" t="str">
        <f>+'[1]รับ 1014'!$F$103</f>
        <v>TOP 280914</v>
      </c>
      <c r="K88" s="154">
        <v>5700362421</v>
      </c>
      <c r="L88" s="227">
        <v>13071.62</v>
      </c>
      <c r="M88" s="157" t="str">
        <f>+'[1]รับ 1014'!$F$103</f>
        <v>TOP 280914</v>
      </c>
      <c r="N88" s="227">
        <f t="shared" si="12"/>
        <v>168960.59476201099</v>
      </c>
      <c r="O88" s="152">
        <f t="shared" si="13"/>
        <v>564788.39776201127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>
        <v>41926</v>
      </c>
      <c r="I89" s="152"/>
      <c r="J89" s="157"/>
      <c r="K89" s="154">
        <v>5700362421</v>
      </c>
      <c r="L89" s="227">
        <v>552.28</v>
      </c>
      <c r="M89" s="157" t="str">
        <f>+'[1]รับ 1014'!$F$103</f>
        <v>TOP 280914</v>
      </c>
      <c r="N89" s="227">
        <f t="shared" si="12"/>
        <v>168408.314762011</v>
      </c>
      <c r="O89" s="152">
        <f t="shared" si="13"/>
        <v>564236.11776201124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>
        <v>41926</v>
      </c>
      <c r="I90" s="152"/>
      <c r="J90" s="157"/>
      <c r="K90" s="154">
        <v>5700362421</v>
      </c>
      <c r="L90" s="227">
        <v>10245.19</v>
      </c>
      <c r="M90" s="157" t="str">
        <f>+'[1]รับ 1014'!$F$103</f>
        <v>TOP 280914</v>
      </c>
      <c r="N90" s="227">
        <f t="shared" si="12"/>
        <v>158163.12476201099</v>
      </c>
      <c r="O90" s="152">
        <f t="shared" si="13"/>
        <v>553990.9277620113</v>
      </c>
    </row>
    <row r="91" spans="1:15" x14ac:dyDescent="0.15">
      <c r="A91" s="154"/>
      <c r="B91" s="151"/>
      <c r="C91" s="152"/>
      <c r="D91" s="323">
        <v>41927</v>
      </c>
      <c r="E91" s="154" t="s">
        <v>72</v>
      </c>
      <c r="F91" s="157" t="str">
        <f>+'[1]รับ 1014'!$F$110</f>
        <v>GC 041014</v>
      </c>
      <c r="G91" s="152">
        <f>+'[1]รับ 1014'!$D$112</f>
        <v>87951.463000000003</v>
      </c>
      <c r="H91" s="323">
        <v>41927</v>
      </c>
      <c r="I91" s="152">
        <v>12352.61</v>
      </c>
      <c r="J91" s="157" t="str">
        <f>+'[1]รับ 1014'!$F$103</f>
        <v>TOP 280914</v>
      </c>
      <c r="K91" s="154">
        <v>5700362421</v>
      </c>
      <c r="L91" s="227">
        <v>13866.07</v>
      </c>
      <c r="M91" s="157" t="str">
        <f>+'[1]รับ 1014'!$F$103</f>
        <v>TOP 280914</v>
      </c>
      <c r="N91" s="227">
        <f t="shared" si="12"/>
        <v>131944.444762011</v>
      </c>
      <c r="O91" s="152">
        <f t="shared" si="13"/>
        <v>615723.71076201135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>
        <v>41927</v>
      </c>
      <c r="I92" s="152"/>
      <c r="J92" s="157"/>
      <c r="K92" s="154">
        <v>5700362421</v>
      </c>
      <c r="L92" s="227">
        <v>11345.24</v>
      </c>
      <c r="M92" s="157" t="str">
        <f>+'[1]รับ 1014'!$F$103</f>
        <v>TOP 280914</v>
      </c>
      <c r="N92" s="227">
        <f t="shared" si="12"/>
        <v>120599.204762011</v>
      </c>
      <c r="O92" s="152">
        <f t="shared" si="13"/>
        <v>604378.47076201136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>
        <v>41927</v>
      </c>
      <c r="I93" s="152"/>
      <c r="J93" s="157"/>
      <c r="K93" s="154">
        <v>5700362421</v>
      </c>
      <c r="L93" s="227">
        <v>671.02</v>
      </c>
      <c r="M93" s="157" t="str">
        <f>+'[1]รับ 1014'!$F$103</f>
        <v>TOP 280914</v>
      </c>
      <c r="N93" s="227">
        <f t="shared" si="12"/>
        <v>119928.18476201099</v>
      </c>
      <c r="O93" s="152">
        <f t="shared" si="13"/>
        <v>603707.45076201134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>
        <v>41927</v>
      </c>
      <c r="I94" s="152"/>
      <c r="J94" s="157"/>
      <c r="K94" s="154">
        <v>5700362421</v>
      </c>
      <c r="L94" s="227">
        <v>10182.41</v>
      </c>
      <c r="M94" s="157" t="str">
        <f>+'[1]รับ 1014'!$F$103</f>
        <v>TOP 280914</v>
      </c>
      <c r="N94" s="227">
        <f t="shared" si="12"/>
        <v>109745.77476201099</v>
      </c>
      <c r="O94" s="152">
        <f t="shared" si="13"/>
        <v>593525.04076201131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>
        <v>41927</v>
      </c>
      <c r="I95" s="152"/>
      <c r="J95" s="157"/>
      <c r="K95" s="154">
        <v>5700362421</v>
      </c>
      <c r="L95" s="227">
        <v>33764.47</v>
      </c>
      <c r="M95" s="157" t="str">
        <f>+'[1]รับ 1014'!$F$103</f>
        <v>TOP 280914</v>
      </c>
      <c r="N95" s="227">
        <f t="shared" si="12"/>
        <v>75981.304762010986</v>
      </c>
      <c r="O95" s="152">
        <f t="shared" si="13"/>
        <v>559760.57076201134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>
        <v>41927</v>
      </c>
      <c r="I96" s="152"/>
      <c r="J96" s="157"/>
      <c r="K96" s="154">
        <v>5700362421</v>
      </c>
      <c r="L96" s="227">
        <v>15852.88</v>
      </c>
      <c r="M96" s="157" t="str">
        <f>+'[1]รับ 1014'!$F$103</f>
        <v>TOP 280914</v>
      </c>
      <c r="N96" s="227">
        <f t="shared" si="12"/>
        <v>60128.424762010989</v>
      </c>
      <c r="O96" s="152">
        <f t="shared" si="13"/>
        <v>543907.69076201133</v>
      </c>
    </row>
    <row r="97" spans="1:15" x14ac:dyDescent="0.15">
      <c r="A97" s="154"/>
      <c r="B97" s="151"/>
      <c r="C97" s="152"/>
      <c r="D97" s="323">
        <v>41928</v>
      </c>
      <c r="E97" s="154" t="s">
        <v>72</v>
      </c>
      <c r="F97" s="157" t="str">
        <f>+'[1]รับ 1014'!$F$113</f>
        <v>GC 081014</v>
      </c>
      <c r="G97" s="152">
        <f>+'[1]รับ 1014'!$D$113</f>
        <v>44006.184999999998</v>
      </c>
      <c r="H97" s="323">
        <v>41928</v>
      </c>
      <c r="I97" s="152">
        <v>11077.95</v>
      </c>
      <c r="J97" s="157" t="str">
        <f>+'[1]รับ 1014'!$F$103</f>
        <v>TOP 280914</v>
      </c>
      <c r="K97" s="154">
        <v>5700362421</v>
      </c>
      <c r="L97" s="227">
        <v>14553.37</v>
      </c>
      <c r="M97" s="157" t="str">
        <f>+'[1]รับ 1014'!$F$103</f>
        <v>TOP 280914</v>
      </c>
      <c r="N97" s="227">
        <f t="shared" si="12"/>
        <v>34497.104762010982</v>
      </c>
      <c r="O97" s="152">
        <f t="shared" si="13"/>
        <v>562282.55576201144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>
        <v>41928</v>
      </c>
      <c r="I98" s="152"/>
      <c r="J98" s="157"/>
      <c r="K98" s="154">
        <v>5700362421</v>
      </c>
      <c r="L98" s="227">
        <v>12081.12</v>
      </c>
      <c r="M98" s="157" t="str">
        <f>+'[1]รับ 1014'!$F$103</f>
        <v>TOP 280914</v>
      </c>
      <c r="N98" s="227">
        <f t="shared" si="12"/>
        <v>22415.984762010979</v>
      </c>
      <c r="O98" s="152">
        <f t="shared" si="13"/>
        <v>550201.43576201145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>
        <v>41928</v>
      </c>
      <c r="I99" s="152"/>
      <c r="J99" s="157"/>
      <c r="K99" s="154">
        <v>5700362421</v>
      </c>
      <c r="L99" s="227">
        <v>13701.94</v>
      </c>
      <c r="M99" s="157" t="str">
        <f>+'[1]รับ 1014'!$F$103</f>
        <v>TOP 280914</v>
      </c>
      <c r="N99" s="227">
        <f t="shared" si="12"/>
        <v>8714.044762010979</v>
      </c>
      <c r="O99" s="152">
        <f t="shared" si="13"/>
        <v>536499.4957620115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>
        <v>41928</v>
      </c>
      <c r="I100" s="152"/>
      <c r="J100" s="157"/>
      <c r="K100" s="154">
        <v>5700362421</v>
      </c>
      <c r="L100" s="227">
        <v>8714.044762010979</v>
      </c>
      <c r="M100" s="157" t="str">
        <f>+'[1]รับ 1014'!$F$103</f>
        <v>TOP 280914</v>
      </c>
      <c r="N100" s="227">
        <f t="shared" si="12"/>
        <v>0</v>
      </c>
      <c r="O100" s="152">
        <f t="shared" si="13"/>
        <v>527785.45100000047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>
        <v>41928</v>
      </c>
      <c r="I101" s="152"/>
      <c r="J101" s="157"/>
      <c r="K101" s="154">
        <v>5700362421</v>
      </c>
      <c r="L101" s="227">
        <v>1565.1652379890199</v>
      </c>
      <c r="M101" s="157" t="str">
        <f>+'[1]รับ 1014'!$F$107</f>
        <v>TOP 011014</v>
      </c>
      <c r="N101" s="227">
        <f>G64+G69+G76+N100-I101-L101</f>
        <v>130354.13376201098</v>
      </c>
      <c r="O101" s="152">
        <f t="shared" si="13"/>
        <v>526220.28576201142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>
        <v>41928</v>
      </c>
      <c r="I102" s="152"/>
      <c r="J102" s="157"/>
      <c r="K102" s="154">
        <v>5700362421</v>
      </c>
      <c r="L102" s="227">
        <v>3625.16</v>
      </c>
      <c r="M102" s="157" t="str">
        <f>+'[1]รับ 1014'!$F$107</f>
        <v>TOP 011014</v>
      </c>
      <c r="N102" s="227">
        <f t="shared" si="12"/>
        <v>126728.97376201098</v>
      </c>
      <c r="O102" s="152">
        <f t="shared" si="13"/>
        <v>522595.12576201145</v>
      </c>
    </row>
    <row r="103" spans="1:15" x14ac:dyDescent="0.15">
      <c r="A103" s="154"/>
      <c r="B103" s="151"/>
      <c r="C103" s="152"/>
      <c r="D103" s="323">
        <v>41929</v>
      </c>
      <c r="E103" s="154" t="s">
        <v>72</v>
      </c>
      <c r="F103" s="157" t="str">
        <f>+'[1]รับ 1014'!$F$113</f>
        <v>GC 081014</v>
      </c>
      <c r="G103" s="152">
        <f>+'[1]รับ 1014'!$D$114</f>
        <v>152029.201</v>
      </c>
      <c r="H103" s="323">
        <v>41929</v>
      </c>
      <c r="I103" s="152">
        <v>17518.38</v>
      </c>
      <c r="J103" s="157" t="str">
        <f>+'[1]รับ 1014'!$F$107</f>
        <v>TOP 011014</v>
      </c>
      <c r="K103" s="154">
        <v>5700362421</v>
      </c>
      <c r="L103" s="227">
        <v>39153.440000000002</v>
      </c>
      <c r="M103" s="157" t="str">
        <f>+'[1]รับ 1014'!$F$107</f>
        <v>TOP 011014</v>
      </c>
      <c r="N103" s="227">
        <f t="shared" si="12"/>
        <v>70057.153762010974</v>
      </c>
      <c r="O103" s="152">
        <f t="shared" si="13"/>
        <v>617952.50676201144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>
        <v>41929</v>
      </c>
      <c r="I104" s="152"/>
      <c r="J104" s="157"/>
      <c r="K104" s="154">
        <v>5700362421</v>
      </c>
      <c r="L104" s="227">
        <v>11741.02</v>
      </c>
      <c r="M104" s="157" t="str">
        <f>+'[1]รับ 1014'!$F$107</f>
        <v>TOP 011014</v>
      </c>
      <c r="N104" s="227">
        <f t="shared" si="12"/>
        <v>58316.13376201097</v>
      </c>
      <c r="O104" s="152">
        <f t="shared" si="13"/>
        <v>606211.48676201142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>
        <v>41929</v>
      </c>
      <c r="I105" s="152"/>
      <c r="J105" s="157"/>
      <c r="K105" s="154">
        <v>5700362421</v>
      </c>
      <c r="L105" s="227">
        <v>13733.25</v>
      </c>
      <c r="M105" s="157" t="str">
        <f>+'[1]รับ 1014'!$F$107</f>
        <v>TOP 011014</v>
      </c>
      <c r="N105" s="227">
        <f t="shared" si="12"/>
        <v>44582.88376201097</v>
      </c>
      <c r="O105" s="152">
        <f t="shared" si="13"/>
        <v>592478.23676201142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>
        <v>41929</v>
      </c>
      <c r="I106" s="152"/>
      <c r="J106" s="157"/>
      <c r="K106" s="154">
        <v>5700362421</v>
      </c>
      <c r="L106" s="227">
        <v>13557.97</v>
      </c>
      <c r="M106" s="157" t="str">
        <f>+'[1]รับ 1014'!$F$107</f>
        <v>TOP 011014</v>
      </c>
      <c r="N106" s="227">
        <f t="shared" si="12"/>
        <v>31024.913762010969</v>
      </c>
      <c r="O106" s="152">
        <f t="shared" si="13"/>
        <v>578920.26676201145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>
        <v>41929</v>
      </c>
      <c r="I107" s="152"/>
      <c r="J107" s="157"/>
      <c r="K107" s="154">
        <v>5700362421</v>
      </c>
      <c r="L107" s="227">
        <v>31024.913762010969</v>
      </c>
      <c r="M107" s="157" t="str">
        <f>+'[1]รับ 1014'!$F$107</f>
        <v>TOP 011014</v>
      </c>
      <c r="N107" s="227">
        <f t="shared" si="12"/>
        <v>0</v>
      </c>
      <c r="O107" s="152">
        <f t="shared" si="13"/>
        <v>547895.35300000047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>
        <v>41929</v>
      </c>
      <c r="I108" s="152"/>
      <c r="J108" s="157"/>
      <c r="K108" s="154">
        <v>5700362441</v>
      </c>
      <c r="L108" s="227">
        <v>3631.2362379890301</v>
      </c>
      <c r="M108" s="157" t="str">
        <f>+'[1]รับ 1014'!$F$110</f>
        <v>GC 041014</v>
      </c>
      <c r="N108" s="227">
        <f>G83+G88+G91+N107-I108-L108</f>
        <v>348228.73076201091</v>
      </c>
      <c r="O108" s="152">
        <f t="shared" si="13"/>
        <v>544264.11676201143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>
        <v>41929</v>
      </c>
      <c r="I109" s="152"/>
      <c r="J109" s="157"/>
      <c r="K109" s="154">
        <v>5700362441</v>
      </c>
      <c r="L109" s="227">
        <v>25962.07</v>
      </c>
      <c r="M109" s="157" t="str">
        <f>+'[1]รับ 1014'!$F$110</f>
        <v>GC 041014</v>
      </c>
      <c r="N109" s="227">
        <f t="shared" si="12"/>
        <v>322266.6607620109</v>
      </c>
      <c r="O109" s="152">
        <f t="shared" si="13"/>
        <v>518302.04676201142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>
        <v>41929</v>
      </c>
      <c r="I110" s="152"/>
      <c r="J110" s="157"/>
      <c r="K110" s="154">
        <v>5700362441</v>
      </c>
      <c r="L110" s="227">
        <v>7221.7</v>
      </c>
      <c r="M110" s="157" t="str">
        <f>+'[1]รับ 1014'!$F$110</f>
        <v>GC 041014</v>
      </c>
      <c r="N110" s="227">
        <f t="shared" si="12"/>
        <v>315044.96076201089</v>
      </c>
      <c r="O110" s="152">
        <f t="shared" si="13"/>
        <v>511080.34676201141</v>
      </c>
    </row>
    <row r="111" spans="1:15" x14ac:dyDescent="0.15">
      <c r="A111" s="154"/>
      <c r="B111" s="151"/>
      <c r="C111" s="152"/>
      <c r="D111" s="323">
        <v>41930</v>
      </c>
      <c r="E111" s="154" t="s">
        <v>72</v>
      </c>
      <c r="F111" s="157" t="str">
        <f>+'[1]รับ 1014'!$F$113</f>
        <v>GC 081014</v>
      </c>
      <c r="G111" s="152">
        <f>+'[1]รับ 1014'!$D$115</f>
        <v>59981.749999999767</v>
      </c>
      <c r="H111" s="323">
        <v>41930</v>
      </c>
      <c r="I111" s="152">
        <v>14753.010000000002</v>
      </c>
      <c r="J111" s="157" t="str">
        <f>+'[1]รับ 1014'!$F$110</f>
        <v>GC 041014</v>
      </c>
      <c r="K111" s="154">
        <v>5700362441</v>
      </c>
      <c r="L111" s="227">
        <v>29873.94</v>
      </c>
      <c r="M111" s="157" t="str">
        <f>+'[1]รับ 1014'!$F$110</f>
        <v>GC 041014</v>
      </c>
      <c r="N111" s="227">
        <f t="shared" si="12"/>
        <v>270418.01076201088</v>
      </c>
      <c r="O111" s="152">
        <f t="shared" si="13"/>
        <v>526435.14676201122</v>
      </c>
    </row>
    <row r="112" spans="1:15" x14ac:dyDescent="0.15">
      <c r="A112" s="154"/>
      <c r="B112" s="151"/>
      <c r="C112" s="152"/>
      <c r="D112" s="323">
        <v>41930</v>
      </c>
      <c r="E112" s="154" t="s">
        <v>72</v>
      </c>
      <c r="F112" s="157" t="str">
        <f>+'[1]รับ 1014'!$F$116</f>
        <v>TOP 121014</v>
      </c>
      <c r="G112" s="152">
        <f>+'[1]รับ 1014'!$D$116</f>
        <v>43956.403000000202</v>
      </c>
      <c r="H112" s="323">
        <v>41930</v>
      </c>
      <c r="I112" s="152"/>
      <c r="J112" s="157"/>
      <c r="K112" s="154">
        <v>5700362441</v>
      </c>
      <c r="L112" s="227">
        <v>12756.41</v>
      </c>
      <c r="M112" s="157" t="str">
        <f>+'[1]รับ 1014'!$F$110</f>
        <v>GC 041014</v>
      </c>
      <c r="N112" s="227">
        <f t="shared" si="12"/>
        <v>257661.60076201087</v>
      </c>
      <c r="O112" s="152">
        <f t="shared" si="13"/>
        <v>557635.13976201136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>
        <v>41930</v>
      </c>
      <c r="I113" s="152"/>
      <c r="J113" s="157"/>
      <c r="K113" s="154">
        <v>5700362441</v>
      </c>
      <c r="L113" s="227">
        <v>14671.02</v>
      </c>
      <c r="M113" s="157" t="str">
        <f>+'[1]รับ 1014'!$F$110</f>
        <v>GC 041014</v>
      </c>
      <c r="N113" s="227">
        <f t="shared" si="12"/>
        <v>242990.58076201088</v>
      </c>
      <c r="O113" s="152">
        <f t="shared" si="13"/>
        <v>542964.11976201134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>
        <v>41930</v>
      </c>
      <c r="I114" s="152"/>
      <c r="J114" s="157"/>
      <c r="K114" s="154">
        <v>5700362441</v>
      </c>
      <c r="L114" s="227">
        <v>14160.13</v>
      </c>
      <c r="M114" s="157" t="str">
        <f>+'[1]รับ 1014'!$F$110</f>
        <v>GC 041014</v>
      </c>
      <c r="N114" s="227">
        <f t="shared" si="12"/>
        <v>228830.45076201088</v>
      </c>
      <c r="O114" s="152">
        <f t="shared" si="13"/>
        <v>528803.98976201133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>
        <v>41930</v>
      </c>
      <c r="I115" s="152"/>
      <c r="J115" s="157"/>
      <c r="K115" s="154">
        <v>5700362441</v>
      </c>
      <c r="L115" s="227">
        <v>35572.78</v>
      </c>
      <c r="M115" s="157" t="str">
        <f>+'[1]รับ 1014'!$F$110</f>
        <v>GC 041014</v>
      </c>
      <c r="N115" s="227">
        <f t="shared" si="12"/>
        <v>193257.67076201088</v>
      </c>
      <c r="O115" s="152">
        <f t="shared" si="13"/>
        <v>493231.20976201131</v>
      </c>
    </row>
    <row r="116" spans="1:15" x14ac:dyDescent="0.15">
      <c r="A116" s="154"/>
      <c r="B116" s="151"/>
      <c r="C116" s="152"/>
      <c r="D116" s="323">
        <v>41931</v>
      </c>
      <c r="E116" s="154" t="s">
        <v>72</v>
      </c>
      <c r="F116" s="157" t="str">
        <f>+'[1]รับ 1014'!$F$116</f>
        <v>TOP 121014</v>
      </c>
      <c r="G116" s="152">
        <f>+'[1]รับ 1014'!$D$117</f>
        <v>87880.702000000005</v>
      </c>
      <c r="H116" s="323">
        <v>41931</v>
      </c>
      <c r="I116" s="152">
        <v>10967.779999999999</v>
      </c>
      <c r="J116" s="157" t="str">
        <f>+'[1]รับ 1014'!$F$110</f>
        <v>GC 041014</v>
      </c>
      <c r="K116" s="154">
        <v>5700362441</v>
      </c>
      <c r="L116" s="227">
        <v>11720.99</v>
      </c>
      <c r="M116" s="157" t="str">
        <f>+'[1]รับ 1014'!$F$110</f>
        <v>GC 041014</v>
      </c>
      <c r="N116" s="227">
        <f t="shared" si="12"/>
        <v>170568.90076201089</v>
      </c>
      <c r="O116" s="152">
        <f t="shared" si="13"/>
        <v>558423.14176201134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>
        <v>41931</v>
      </c>
      <c r="I117" s="152"/>
      <c r="J117" s="157"/>
      <c r="K117" s="154">
        <v>5700362441</v>
      </c>
      <c r="L117" s="227">
        <v>13185.37</v>
      </c>
      <c r="M117" s="157" t="str">
        <f>+'[1]รับ 1014'!$F$110</f>
        <v>GC 041014</v>
      </c>
      <c r="N117" s="227">
        <f t="shared" si="12"/>
        <v>157383.53076201089</v>
      </c>
      <c r="O117" s="152">
        <f t="shared" si="13"/>
        <v>545237.77176201134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>
        <v>41931</v>
      </c>
      <c r="I118" s="152"/>
      <c r="J118" s="157"/>
      <c r="K118" s="154">
        <v>5700362441</v>
      </c>
      <c r="L118" s="227">
        <v>9723.76</v>
      </c>
      <c r="M118" s="157" t="str">
        <f>+'[1]รับ 1014'!$F$110</f>
        <v>GC 041014</v>
      </c>
      <c r="N118" s="227">
        <f t="shared" si="12"/>
        <v>147659.77076201088</v>
      </c>
      <c r="O118" s="152">
        <f t="shared" si="13"/>
        <v>535514.01176201133</v>
      </c>
    </row>
    <row r="119" spans="1:15" x14ac:dyDescent="0.15">
      <c r="A119" s="154"/>
      <c r="B119" s="151"/>
      <c r="C119" s="152"/>
      <c r="D119" s="323">
        <v>41932</v>
      </c>
      <c r="E119" s="154" t="s">
        <v>72</v>
      </c>
      <c r="F119" s="157" t="str">
        <f>+'[1]รับ 1014'!$F$116</f>
        <v>TOP 121014</v>
      </c>
      <c r="G119" s="152">
        <f>+'[1]รับ 1014'!$D$118</f>
        <v>132099.99799999999</v>
      </c>
      <c r="H119" s="323">
        <v>41932</v>
      </c>
      <c r="I119" s="152">
        <v>14848.93</v>
      </c>
      <c r="J119" s="157" t="str">
        <f>+'[1]รับ 1014'!$F$110</f>
        <v>GC 041014</v>
      </c>
      <c r="K119" s="154">
        <v>5700362441</v>
      </c>
      <c r="L119" s="227">
        <v>12842</v>
      </c>
      <c r="M119" s="157" t="str">
        <f>+'[1]รับ 1014'!$F$110</f>
        <v>GC 041014</v>
      </c>
      <c r="N119" s="227">
        <f t="shared" si="12"/>
        <v>119968.84076201089</v>
      </c>
      <c r="O119" s="152">
        <f t="shared" si="13"/>
        <v>639923.0797620113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>
        <v>41932</v>
      </c>
      <c r="I120" s="152"/>
      <c r="J120" s="157"/>
      <c r="K120" s="154">
        <v>5700362441</v>
      </c>
      <c r="L120" s="227">
        <v>2510.54</v>
      </c>
      <c r="M120" s="157" t="str">
        <f>+'[1]รับ 1014'!$F$110</f>
        <v>GC 041014</v>
      </c>
      <c r="N120" s="227">
        <f t="shared" si="12"/>
        <v>117458.3007620109</v>
      </c>
      <c r="O120" s="152">
        <f t="shared" si="13"/>
        <v>637412.53976201126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>
        <v>41932</v>
      </c>
      <c r="I121" s="152"/>
      <c r="J121" s="157"/>
      <c r="K121" s="154">
        <v>5700362441</v>
      </c>
      <c r="L121" s="227">
        <v>727.74</v>
      </c>
      <c r="M121" s="157" t="str">
        <f>+'[1]รับ 1014'!$F$110</f>
        <v>GC 041014</v>
      </c>
      <c r="N121" s="227">
        <f t="shared" si="12"/>
        <v>116730.56076201089</v>
      </c>
      <c r="O121" s="152">
        <f t="shared" si="13"/>
        <v>636684.79976201127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>
        <v>41932</v>
      </c>
      <c r="I122" s="152"/>
      <c r="J122" s="157"/>
      <c r="K122" s="154">
        <v>5700362441</v>
      </c>
      <c r="L122" s="227">
        <v>5904</v>
      </c>
      <c r="M122" s="157" t="str">
        <f>+'[1]รับ 1014'!$F$110</f>
        <v>GC 041014</v>
      </c>
      <c r="N122" s="227">
        <f t="shared" si="12"/>
        <v>110826.56076201089</v>
      </c>
      <c r="O122" s="152">
        <f t="shared" si="13"/>
        <v>630780.79976201127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>
        <v>41932</v>
      </c>
      <c r="I123" s="152"/>
      <c r="J123" s="157"/>
      <c r="K123" s="154">
        <v>5700362441</v>
      </c>
      <c r="L123" s="227">
        <v>14378</v>
      </c>
      <c r="M123" s="157" t="str">
        <f>+'[1]รับ 1014'!$F$110</f>
        <v>GC 041014</v>
      </c>
      <c r="N123" s="227">
        <f t="shared" si="12"/>
        <v>96448.560762010893</v>
      </c>
      <c r="O123" s="152">
        <f t="shared" si="13"/>
        <v>616402.79976201127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>
        <v>41932</v>
      </c>
      <c r="I124" s="152"/>
      <c r="J124" s="157"/>
      <c r="K124" s="154">
        <v>5700362441</v>
      </c>
      <c r="L124" s="227">
        <v>38240</v>
      </c>
      <c r="M124" s="157" t="str">
        <f>+'[1]รับ 1014'!$F$110</f>
        <v>GC 041014</v>
      </c>
      <c r="N124" s="227">
        <f t="shared" si="12"/>
        <v>58208.560762010893</v>
      </c>
      <c r="O124" s="152">
        <f t="shared" si="13"/>
        <v>578162.79976201127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>
        <v>41932</v>
      </c>
      <c r="I125" s="152"/>
      <c r="J125" s="157"/>
      <c r="K125" s="154">
        <v>5700362441</v>
      </c>
      <c r="L125" s="227">
        <v>15835</v>
      </c>
      <c r="M125" s="157" t="str">
        <f>+'[1]รับ 1014'!$F$110</f>
        <v>GC 041014</v>
      </c>
      <c r="N125" s="227">
        <f t="shared" si="12"/>
        <v>42373.560762010893</v>
      </c>
      <c r="O125" s="152">
        <f t="shared" si="13"/>
        <v>562327.79976201127</v>
      </c>
    </row>
    <row r="126" spans="1:15" x14ac:dyDescent="0.15">
      <c r="A126" s="154"/>
      <c r="B126" s="151"/>
      <c r="C126" s="152"/>
      <c r="D126" s="323">
        <v>41933</v>
      </c>
      <c r="E126" s="154" t="s">
        <v>72</v>
      </c>
      <c r="F126" s="157" t="str">
        <f>+'[1]รับ 1014'!$F$119</f>
        <v>TOP 161014</v>
      </c>
      <c r="G126" s="152">
        <f>+'[1]รับ 1014'!$D$119</f>
        <v>87984.487999999998</v>
      </c>
      <c r="H126" s="323">
        <v>41933</v>
      </c>
      <c r="I126" s="152">
        <v>7511.2314000000006</v>
      </c>
      <c r="J126" s="157" t="str">
        <f>+'[1]รับ 1014'!$F$110</f>
        <v>GC 041014</v>
      </c>
      <c r="K126" s="154">
        <v>5700362441</v>
      </c>
      <c r="L126" s="227">
        <v>13731.91</v>
      </c>
      <c r="M126" s="157" t="str">
        <f>+'[1]รับ 1014'!$F$110</f>
        <v>GC 041014</v>
      </c>
      <c r="N126" s="227">
        <f t="shared" si="12"/>
        <v>21130.419362010889</v>
      </c>
      <c r="O126" s="152">
        <f t="shared" si="13"/>
        <v>629069.1463620112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>
        <v>41933</v>
      </c>
      <c r="I127" s="152"/>
      <c r="J127" s="157"/>
      <c r="K127" s="154">
        <v>5700362441</v>
      </c>
      <c r="L127" s="227">
        <v>13275.45</v>
      </c>
      <c r="M127" s="157" t="str">
        <f>+'[1]รับ 1014'!$F$110</f>
        <v>GC 041014</v>
      </c>
      <c r="N127" s="227">
        <f t="shared" si="12"/>
        <v>7854.9693620108883</v>
      </c>
      <c r="O127" s="152">
        <f t="shared" si="13"/>
        <v>615793.69636201125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>
        <v>41933</v>
      </c>
      <c r="I128" s="152"/>
      <c r="J128" s="157"/>
      <c r="K128" s="154">
        <v>5700362441</v>
      </c>
      <c r="L128" s="227">
        <v>1960.99</v>
      </c>
      <c r="M128" s="157" t="str">
        <f>+'[1]รับ 1014'!$F$110</f>
        <v>GC 041014</v>
      </c>
      <c r="N128" s="227">
        <f t="shared" si="12"/>
        <v>5893.9793620108885</v>
      </c>
      <c r="O128" s="152">
        <f t="shared" si="13"/>
        <v>613832.70636201126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>
        <v>41933</v>
      </c>
      <c r="I129" s="152"/>
      <c r="J129" s="157"/>
      <c r="K129" s="154">
        <v>5700362441</v>
      </c>
      <c r="L129" s="227">
        <v>5893.9793620108885</v>
      </c>
      <c r="M129" s="157" t="str">
        <f>+'[1]รับ 1014'!$F$110</f>
        <v>GC 041014</v>
      </c>
      <c r="N129" s="227">
        <f t="shared" si="12"/>
        <v>0</v>
      </c>
      <c r="O129" s="152">
        <f t="shared" si="13"/>
        <v>607938.72700000042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>
        <v>41933</v>
      </c>
      <c r="I130" s="152"/>
      <c r="J130" s="157"/>
      <c r="K130" s="154">
        <v>5700362441</v>
      </c>
      <c r="L130" s="227">
        <v>3873.91063798911</v>
      </c>
      <c r="M130" s="157" t="str">
        <f>+'[1]รับ 1014'!$F$113</f>
        <v>GC 081014</v>
      </c>
      <c r="N130" s="227">
        <f>G97+G103+G111+N129-I130-L130</f>
        <v>252143.22536201065</v>
      </c>
      <c r="O130" s="152">
        <f t="shared" si="13"/>
        <v>604064.81636201136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>
        <v>41933</v>
      </c>
      <c r="I131" s="152"/>
      <c r="J131" s="157"/>
      <c r="K131" s="154">
        <v>5700362441</v>
      </c>
      <c r="L131" s="227">
        <v>34310</v>
      </c>
      <c r="M131" s="157" t="str">
        <f>+'[1]รับ 1014'!$F$113</f>
        <v>GC 081014</v>
      </c>
      <c r="N131" s="227">
        <f t="shared" si="12"/>
        <v>217833.22536201065</v>
      </c>
      <c r="O131" s="152">
        <f t="shared" si="13"/>
        <v>569754.81636201136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>
        <v>41933</v>
      </c>
      <c r="I132" s="152"/>
      <c r="J132" s="157"/>
      <c r="K132" s="154">
        <v>5700362441</v>
      </c>
      <c r="L132" s="227">
        <v>6665</v>
      </c>
      <c r="M132" s="157" t="str">
        <f>+'[1]รับ 1014'!$F$113</f>
        <v>GC 081014</v>
      </c>
      <c r="N132" s="227">
        <f t="shared" si="12"/>
        <v>211168.22536201065</v>
      </c>
      <c r="O132" s="152">
        <f t="shared" si="13"/>
        <v>563089.81636201136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>
        <v>41933</v>
      </c>
      <c r="I133" s="152"/>
      <c r="J133" s="157"/>
      <c r="K133" s="154">
        <v>5700362441</v>
      </c>
      <c r="L133" s="227">
        <v>40210</v>
      </c>
      <c r="M133" s="157" t="str">
        <f>+'[1]รับ 1014'!$F$113</f>
        <v>GC 081014</v>
      </c>
      <c r="N133" s="227">
        <f t="shared" si="12"/>
        <v>170958.22536201065</v>
      </c>
      <c r="O133" s="152">
        <f t="shared" si="13"/>
        <v>522879.81636201136</v>
      </c>
    </row>
    <row r="134" spans="1:15" x14ac:dyDescent="0.15">
      <c r="A134" s="154"/>
      <c r="B134" s="151"/>
      <c r="C134" s="152"/>
      <c r="D134" s="323">
        <v>41934</v>
      </c>
      <c r="E134" s="154" t="s">
        <v>72</v>
      </c>
      <c r="F134" s="157" t="str">
        <f>+'[1]รับ 1014'!$F$119</f>
        <v>TOP 161014</v>
      </c>
      <c r="G134" s="152">
        <f>+'[1]รับ 1014'!$D$120</f>
        <v>132060.44099999999</v>
      </c>
      <c r="H134" s="323">
        <v>41934</v>
      </c>
      <c r="I134" s="152">
        <v>13130.33</v>
      </c>
      <c r="J134" s="157" t="str">
        <f>+'[1]รับ 1014'!$F$113</f>
        <v>GC 081014</v>
      </c>
      <c r="K134" s="154">
        <v>5700362441</v>
      </c>
      <c r="L134" s="227">
        <v>10178.129999999999</v>
      </c>
      <c r="M134" s="157" t="str">
        <f>+'[1]รับ 1014'!$F$113</f>
        <v>GC 081014</v>
      </c>
      <c r="N134" s="227">
        <f t="shared" si="12"/>
        <v>147649.76536201066</v>
      </c>
      <c r="O134" s="152">
        <f t="shared" si="13"/>
        <v>631631.79736201139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>
        <v>41934</v>
      </c>
      <c r="I135" s="152"/>
      <c r="J135" s="157"/>
      <c r="K135" s="154">
        <v>5700362441</v>
      </c>
      <c r="L135" s="227">
        <v>14208.76</v>
      </c>
      <c r="M135" s="157" t="str">
        <f>+'[1]รับ 1014'!$F$113</f>
        <v>GC 081014</v>
      </c>
      <c r="N135" s="227">
        <f t="shared" si="12"/>
        <v>133441.00536201065</v>
      </c>
      <c r="O135" s="152">
        <f t="shared" si="13"/>
        <v>617423.03736201138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>
        <v>41934</v>
      </c>
      <c r="I136" s="152"/>
      <c r="J136" s="157"/>
      <c r="K136" s="154">
        <v>5700362441</v>
      </c>
      <c r="L136" s="227">
        <v>13729.57</v>
      </c>
      <c r="M136" s="157" t="str">
        <f>+'[1]รับ 1014'!$F$113</f>
        <v>GC 081014</v>
      </c>
      <c r="N136" s="227">
        <f t="shared" si="12"/>
        <v>119711.43536201064</v>
      </c>
      <c r="O136" s="152">
        <f t="shared" si="13"/>
        <v>603693.46736201143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>
        <v>41934</v>
      </c>
      <c r="I137" s="152"/>
      <c r="J137" s="157"/>
      <c r="K137" s="154">
        <v>5700362441</v>
      </c>
      <c r="L137" s="227">
        <v>468.19</v>
      </c>
      <c r="M137" s="157" t="str">
        <f>+'[1]รับ 1014'!$F$113</f>
        <v>GC 081014</v>
      </c>
      <c r="N137" s="227">
        <f t="shared" si="12"/>
        <v>119243.24536201064</v>
      </c>
      <c r="O137" s="152">
        <f t="shared" si="13"/>
        <v>603225.27736201149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>
        <v>41934</v>
      </c>
      <c r="I138" s="152"/>
      <c r="J138" s="157"/>
      <c r="K138" s="154">
        <v>5700362441</v>
      </c>
      <c r="L138" s="227">
        <v>6906.8</v>
      </c>
      <c r="M138" s="157" t="str">
        <f>+'[1]รับ 1014'!$F$113</f>
        <v>GC 081014</v>
      </c>
      <c r="N138" s="227">
        <f t="shared" si="12"/>
        <v>112336.44536201064</v>
      </c>
      <c r="O138" s="152">
        <f t="shared" si="13"/>
        <v>596318.47736201144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>
        <v>41934</v>
      </c>
      <c r="I139" s="152"/>
      <c r="J139" s="157"/>
      <c r="K139" s="154">
        <v>5700362441</v>
      </c>
      <c r="L139" s="227">
        <v>14600.92</v>
      </c>
      <c r="M139" s="157" t="str">
        <f>+'[1]รับ 1014'!$F$113</f>
        <v>GC 081014</v>
      </c>
      <c r="N139" s="227">
        <f t="shared" si="12"/>
        <v>97735.525362010638</v>
      </c>
      <c r="O139" s="152">
        <f t="shared" si="13"/>
        <v>581717.5573620114</v>
      </c>
    </row>
    <row r="140" spans="1:15" x14ac:dyDescent="0.15">
      <c r="A140" s="154"/>
      <c r="B140" s="151"/>
      <c r="C140" s="152"/>
      <c r="D140" s="323">
        <v>41935</v>
      </c>
      <c r="E140" s="154" t="s">
        <v>72</v>
      </c>
      <c r="F140" s="157" t="str">
        <f>+'[1]รับ 1014'!$F$119</f>
        <v>TOP 161014</v>
      </c>
      <c r="G140" s="152">
        <f>+'[1]รับ 1014'!$D$121</f>
        <v>87857.97</v>
      </c>
      <c r="H140" s="323">
        <v>41935</v>
      </c>
      <c r="I140" s="152">
        <v>8728.16</v>
      </c>
      <c r="J140" s="157" t="str">
        <f>+'[1]รับ 1014'!$F$113</f>
        <v>GC 081014</v>
      </c>
      <c r="K140" s="154">
        <v>5700362441</v>
      </c>
      <c r="L140" s="227">
        <v>32080</v>
      </c>
      <c r="M140" s="157" t="str">
        <f>+'[1]รับ 1014'!$F$113</f>
        <v>GC 081014</v>
      </c>
      <c r="N140" s="227">
        <f t="shared" si="12"/>
        <v>56927.365362010634</v>
      </c>
      <c r="O140" s="152">
        <f t="shared" si="13"/>
        <v>628767.36736201134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>
        <v>41935</v>
      </c>
      <c r="I141" s="152"/>
      <c r="J141" s="157"/>
      <c r="K141" s="154">
        <v>5700362441</v>
      </c>
      <c r="L141" s="227">
        <v>14192.07</v>
      </c>
      <c r="M141" s="157" t="str">
        <f>+'[1]รับ 1014'!$F$113</f>
        <v>GC 081014</v>
      </c>
      <c r="N141" s="227">
        <f t="shared" si="12"/>
        <v>42735.295362010635</v>
      </c>
      <c r="O141" s="152">
        <f t="shared" si="13"/>
        <v>614575.29736201139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>
        <v>41935</v>
      </c>
      <c r="I142" s="152"/>
      <c r="J142" s="157"/>
      <c r="K142" s="154">
        <v>5700362441</v>
      </c>
      <c r="L142" s="227">
        <v>35789.11</v>
      </c>
      <c r="M142" s="157" t="str">
        <f>+'[1]รับ 1014'!$F$113</f>
        <v>GC 081014</v>
      </c>
      <c r="N142" s="227">
        <f t="shared" si="12"/>
        <v>6946.185362010634</v>
      </c>
      <c r="O142" s="152">
        <f t="shared" si="13"/>
        <v>578786.18736201141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>
        <v>41935</v>
      </c>
      <c r="I143" s="152"/>
      <c r="J143" s="157"/>
      <c r="K143" s="154">
        <v>5700362441</v>
      </c>
      <c r="L143" s="227">
        <v>1236.6199999999999</v>
      </c>
      <c r="M143" s="157" t="str">
        <f>+'[1]รับ 1014'!$F$113</f>
        <v>GC 081014</v>
      </c>
      <c r="N143" s="227">
        <f t="shared" ref="N143:N163" si="16">+N142-I143-L143</f>
        <v>5709.5653620106341</v>
      </c>
      <c r="O143" s="152">
        <f t="shared" ref="O143:O163" si="17">O142+G143-I143-L143</f>
        <v>577549.56736201141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>
        <v>41935</v>
      </c>
      <c r="I144" s="152"/>
      <c r="J144" s="157"/>
      <c r="K144" s="154">
        <v>5700362441</v>
      </c>
      <c r="L144" s="227">
        <v>5709.5653620106341</v>
      </c>
      <c r="M144" s="157" t="str">
        <f>+'[1]รับ 1014'!$F$113</f>
        <v>GC 081014</v>
      </c>
      <c r="N144" s="227">
        <f t="shared" si="16"/>
        <v>0</v>
      </c>
      <c r="O144" s="152">
        <f t="shared" si="17"/>
        <v>571840.00200000079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>
        <v>41935</v>
      </c>
      <c r="I145" s="152"/>
      <c r="J145" s="157"/>
      <c r="K145" s="154">
        <v>5700362421</v>
      </c>
      <c r="L145" s="227">
        <v>24451.254637989401</v>
      </c>
      <c r="M145" s="157" t="str">
        <f>+'[1]รับ 1014'!$F$116</f>
        <v>TOP 121014</v>
      </c>
      <c r="N145" s="227">
        <f>G112+G116+G119+N144-I145-L145</f>
        <v>239485.84836201085</v>
      </c>
      <c r="O145" s="152">
        <f t="shared" si="17"/>
        <v>547388.74736201135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>
        <v>41935</v>
      </c>
      <c r="I146" s="152"/>
      <c r="J146" s="157"/>
      <c r="K146" s="154">
        <v>5700362421</v>
      </c>
      <c r="L146" s="227">
        <v>3451.95</v>
      </c>
      <c r="M146" s="157" t="str">
        <f>+'[1]รับ 1014'!$F$116</f>
        <v>TOP 121014</v>
      </c>
      <c r="N146" s="227">
        <f t="shared" si="16"/>
        <v>236033.89836201083</v>
      </c>
      <c r="O146" s="152">
        <f t="shared" si="17"/>
        <v>543936.79736201139</v>
      </c>
    </row>
    <row r="147" spans="1:15" x14ac:dyDescent="0.15">
      <c r="A147" s="154"/>
      <c r="B147" s="151"/>
      <c r="C147" s="152"/>
      <c r="D147" s="323">
        <v>41936</v>
      </c>
      <c r="E147" s="154" t="s">
        <v>72</v>
      </c>
      <c r="F147" s="157" t="str">
        <f>+'[1]รับ 1014'!$F$119</f>
        <v>TOP 161014</v>
      </c>
      <c r="G147" s="152">
        <f>+'[1]รับ 1014'!$D$122</f>
        <v>132011.527</v>
      </c>
      <c r="H147" s="323">
        <v>41936</v>
      </c>
      <c r="I147" s="152">
        <v>12932.24</v>
      </c>
      <c r="J147" s="157" t="str">
        <f>+'[1]รับ 1014'!$F$116</f>
        <v>TOP 121014</v>
      </c>
      <c r="K147" s="154">
        <v>5700362421</v>
      </c>
      <c r="L147" s="227">
        <v>12111.91</v>
      </c>
      <c r="M147" s="157" t="str">
        <f>+'[1]รับ 1014'!$F$116</f>
        <v>TOP 121014</v>
      </c>
      <c r="N147" s="227">
        <f t="shared" si="16"/>
        <v>210989.74836201084</v>
      </c>
      <c r="O147" s="152">
        <f t="shared" si="17"/>
        <v>650904.17436201137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>
        <v>41936</v>
      </c>
      <c r="I148" s="152"/>
      <c r="J148" s="157"/>
      <c r="K148" s="154">
        <v>5700362421</v>
      </c>
      <c r="L148" s="227">
        <v>12207.95</v>
      </c>
      <c r="M148" s="157" t="str">
        <f>+'[1]รับ 1014'!$F$116</f>
        <v>TOP 121014</v>
      </c>
      <c r="N148" s="227">
        <f t="shared" si="16"/>
        <v>198781.79836201083</v>
      </c>
      <c r="O148" s="152">
        <f t="shared" si="17"/>
        <v>638696.22436201142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>
        <v>41936</v>
      </c>
      <c r="I149" s="152"/>
      <c r="J149" s="157"/>
      <c r="K149" s="154">
        <v>5700362421</v>
      </c>
      <c r="L149" s="227">
        <v>10179.129999999999</v>
      </c>
      <c r="M149" s="157" t="str">
        <f>+'[1]รับ 1014'!$F$116</f>
        <v>TOP 121014</v>
      </c>
      <c r="N149" s="227">
        <f t="shared" si="16"/>
        <v>188602.66836201082</v>
      </c>
      <c r="O149" s="152">
        <f t="shared" si="17"/>
        <v>628517.09436201141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>
        <v>41936</v>
      </c>
      <c r="I150" s="152"/>
      <c r="J150" s="157"/>
      <c r="K150" s="154">
        <v>5700362421</v>
      </c>
      <c r="L150" s="227">
        <v>31912.95</v>
      </c>
      <c r="M150" s="157" t="str">
        <f>+'[1]รับ 1014'!$F$116</f>
        <v>TOP 121014</v>
      </c>
      <c r="N150" s="227">
        <f t="shared" si="16"/>
        <v>156689.71836201081</v>
      </c>
      <c r="O150" s="152">
        <f t="shared" si="17"/>
        <v>596604.14436201146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>
        <v>41936</v>
      </c>
      <c r="I151" s="152"/>
      <c r="J151" s="157"/>
      <c r="K151" s="154">
        <v>5700362421</v>
      </c>
      <c r="L151" s="227">
        <v>30202.25</v>
      </c>
      <c r="M151" s="157" t="str">
        <f>+'[1]รับ 1014'!$F$116</f>
        <v>TOP 121014</v>
      </c>
      <c r="N151" s="227">
        <f t="shared" si="16"/>
        <v>126487.46836201081</v>
      </c>
      <c r="O151" s="152">
        <f t="shared" si="17"/>
        <v>566401.89436201146</v>
      </c>
    </row>
    <row r="152" spans="1:15" x14ac:dyDescent="0.15">
      <c r="A152" s="154"/>
      <c r="B152" s="151"/>
      <c r="C152" s="152"/>
      <c r="D152" s="323">
        <v>41937</v>
      </c>
      <c r="E152" s="154" t="s">
        <v>72</v>
      </c>
      <c r="F152" s="157" t="str">
        <f>+'[1]รับ 1014'!$F$119</f>
        <v>TOP 161014</v>
      </c>
      <c r="G152" s="152">
        <f>+'[1]รับ 1014'!$D$123</f>
        <v>43934.635000000002</v>
      </c>
      <c r="H152" s="323">
        <v>41937</v>
      </c>
      <c r="I152" s="152">
        <v>15812.599999999999</v>
      </c>
      <c r="J152" s="157" t="str">
        <f>+'[1]รับ 1014'!$F$116</f>
        <v>TOP 121014</v>
      </c>
      <c r="K152" s="154">
        <v>5700362421</v>
      </c>
      <c r="L152" s="227">
        <v>28693.27</v>
      </c>
      <c r="M152" s="157" t="str">
        <f>+'[1]รับ 1014'!$F$116</f>
        <v>TOP 121014</v>
      </c>
      <c r="N152" s="227">
        <f t="shared" si="16"/>
        <v>81981.598362010802</v>
      </c>
      <c r="O152" s="152">
        <f t="shared" si="17"/>
        <v>565830.65936201147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>
        <v>41937</v>
      </c>
      <c r="I153" s="152"/>
      <c r="J153" s="157"/>
      <c r="K153" s="154">
        <v>5700362421</v>
      </c>
      <c r="L153" s="227">
        <v>11809.58</v>
      </c>
      <c r="M153" s="157" t="str">
        <f>+'[1]รับ 1014'!$F$116</f>
        <v>TOP 121014</v>
      </c>
      <c r="N153" s="227">
        <f t="shared" si="16"/>
        <v>70172.0183620108</v>
      </c>
      <c r="O153" s="152">
        <f t="shared" si="17"/>
        <v>554021.07936201151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>
        <v>41937</v>
      </c>
      <c r="I154" s="152"/>
      <c r="J154" s="157"/>
      <c r="K154" s="154">
        <v>5700362421</v>
      </c>
      <c r="L154" s="227">
        <v>12766.35</v>
      </c>
      <c r="M154" s="157" t="str">
        <f>+'[1]รับ 1014'!$F$116</f>
        <v>TOP 121014</v>
      </c>
      <c r="N154" s="227">
        <f t="shared" si="16"/>
        <v>57405.668362010802</v>
      </c>
      <c r="O154" s="152">
        <f t="shared" si="17"/>
        <v>541254.72936201154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>
        <v>41937</v>
      </c>
      <c r="I155" s="152"/>
      <c r="J155" s="157"/>
      <c r="K155" s="154">
        <v>5700362421</v>
      </c>
      <c r="L155" s="227">
        <v>1401.14</v>
      </c>
      <c r="M155" s="157" t="str">
        <f>+'[1]รับ 1014'!$F$116</f>
        <v>TOP 121014</v>
      </c>
      <c r="N155" s="227">
        <f t="shared" si="16"/>
        <v>56004.528362010802</v>
      </c>
      <c r="O155" s="152">
        <f t="shared" si="17"/>
        <v>539853.58936201152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>
        <v>41937</v>
      </c>
      <c r="I156" s="152"/>
      <c r="J156" s="157"/>
      <c r="K156" s="154">
        <v>5700362421</v>
      </c>
      <c r="L156" s="227">
        <v>56004.528362010802</v>
      </c>
      <c r="M156" s="157" t="str">
        <f>+'[1]รับ 1014'!$F$116</f>
        <v>TOP 121014</v>
      </c>
      <c r="N156" s="227">
        <f t="shared" si="16"/>
        <v>0</v>
      </c>
      <c r="O156" s="152">
        <f t="shared" si="17"/>
        <v>483849.06100000074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>
        <v>41937</v>
      </c>
      <c r="I157" s="152"/>
      <c r="J157" s="157"/>
      <c r="K157" s="154">
        <v>5700362421</v>
      </c>
      <c r="L157" s="227">
        <v>1525.4716379892</v>
      </c>
      <c r="M157" s="157" t="str">
        <f>+'[1]รับ 1014'!$F$119</f>
        <v>TOP 161014</v>
      </c>
      <c r="N157" s="227">
        <f>G126+G134+G140+G147+G152+N156-I157-L157</f>
        <v>482323.58936201077</v>
      </c>
      <c r="O157" s="152">
        <f t="shared" si="17"/>
        <v>482323.58936201152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>
        <v>41937</v>
      </c>
      <c r="I158" s="152"/>
      <c r="J158" s="157"/>
      <c r="K158" s="154">
        <v>5700362421</v>
      </c>
      <c r="L158" s="227">
        <v>48700</v>
      </c>
      <c r="M158" s="157" t="str">
        <f>+'[1]รับ 1014'!$F$119</f>
        <v>TOP 161014</v>
      </c>
      <c r="N158" s="227">
        <f t="shared" si="16"/>
        <v>433623.58936201077</v>
      </c>
      <c r="O158" s="152">
        <f t="shared" si="17"/>
        <v>433623.58936201152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>
        <v>41937</v>
      </c>
      <c r="I159" s="152"/>
      <c r="J159" s="157"/>
      <c r="K159" s="154">
        <v>5700362421</v>
      </c>
      <c r="L159" s="227">
        <v>13733</v>
      </c>
      <c r="M159" s="157" t="str">
        <f>+'[1]รับ 1014'!$F$119</f>
        <v>TOP 161014</v>
      </c>
      <c r="N159" s="227">
        <f t="shared" si="16"/>
        <v>419890.58936201077</v>
      </c>
      <c r="O159" s="152">
        <f t="shared" si="17"/>
        <v>419890.58936201152</v>
      </c>
    </row>
    <row r="160" spans="1:15" x14ac:dyDescent="0.15">
      <c r="A160" s="154"/>
      <c r="B160" s="151"/>
      <c r="C160" s="152"/>
      <c r="D160" s="323">
        <v>41938</v>
      </c>
      <c r="E160" s="154" t="s">
        <v>72</v>
      </c>
      <c r="F160" s="157" t="str">
        <f>+'[1]รับ 1014'!$F$124</f>
        <v>TOP 191014</v>
      </c>
      <c r="G160" s="152">
        <f>+'[1]รับ 1014'!$D$124</f>
        <v>131861.73499999999</v>
      </c>
      <c r="H160" s="323">
        <v>41938</v>
      </c>
      <c r="I160" s="152">
        <v>8552.2999999999993</v>
      </c>
      <c r="J160" s="157" t="str">
        <f>+'[1]รับ 1014'!$F$119</f>
        <v>TOP 161014</v>
      </c>
      <c r="K160" s="154">
        <v>5700362421</v>
      </c>
      <c r="L160" s="227">
        <v>16354.63</v>
      </c>
      <c r="M160" s="157" t="str">
        <f>+'[1]รับ 1014'!$F$119</f>
        <v>TOP 161014</v>
      </c>
      <c r="N160" s="227">
        <f t="shared" si="16"/>
        <v>394983.65936201077</v>
      </c>
      <c r="O160" s="152">
        <f t="shared" si="17"/>
        <v>526845.39436201146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>
        <v>41938</v>
      </c>
      <c r="I161" s="152"/>
      <c r="J161" s="157"/>
      <c r="K161" s="154">
        <v>5700362421</v>
      </c>
      <c r="L161" s="227">
        <v>11697.75</v>
      </c>
      <c r="M161" s="157" t="str">
        <f>+'[1]รับ 1014'!$F$119</f>
        <v>TOP 161014</v>
      </c>
      <c r="N161" s="227">
        <f t="shared" si="16"/>
        <v>383285.90936201077</v>
      </c>
      <c r="O161" s="152">
        <f t="shared" si="17"/>
        <v>515147.64436201146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>
        <v>41938</v>
      </c>
      <c r="I162" s="152"/>
      <c r="J162" s="157"/>
      <c r="K162" s="154">
        <v>5700362421</v>
      </c>
      <c r="L162" s="227">
        <v>12798.19</v>
      </c>
      <c r="M162" s="157" t="str">
        <f>+'[1]รับ 1014'!$F$119</f>
        <v>TOP 161014</v>
      </c>
      <c r="N162" s="227">
        <f t="shared" si="16"/>
        <v>370487.71936201077</v>
      </c>
      <c r="O162" s="152">
        <f t="shared" si="17"/>
        <v>502349.45436201146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>
        <v>41938</v>
      </c>
      <c r="I163" s="152"/>
      <c r="J163" s="157"/>
      <c r="K163" s="154">
        <v>5700362421</v>
      </c>
      <c r="L163" s="227">
        <v>10883.41</v>
      </c>
      <c r="M163" s="157" t="str">
        <f>+'[1]รับ 1014'!$F$119</f>
        <v>TOP 161014</v>
      </c>
      <c r="N163" s="227">
        <f t="shared" si="16"/>
        <v>359604.3093620108</v>
      </c>
      <c r="O163" s="152">
        <f t="shared" si="17"/>
        <v>491466.04436201148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>
        <v>41938</v>
      </c>
      <c r="I164" s="152"/>
      <c r="J164" s="157"/>
      <c r="K164" s="154">
        <v>5700362421</v>
      </c>
      <c r="L164" s="227">
        <v>426</v>
      </c>
      <c r="M164" s="157" t="str">
        <f>+'[1]รับ 1014'!$F$119</f>
        <v>TOP 161014</v>
      </c>
      <c r="N164" s="227">
        <f t="shared" ref="N164:N225" si="18">+N163-I164-L164</f>
        <v>359178.3093620108</v>
      </c>
      <c r="O164" s="152">
        <f t="shared" ref="O164:O225" si="19">O163+G164-I164-L164</f>
        <v>491040.04436201148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>
        <v>41938</v>
      </c>
      <c r="I165" s="152"/>
      <c r="J165" s="157"/>
      <c r="K165" s="154">
        <v>5700362421</v>
      </c>
      <c r="L165" s="227">
        <v>2614</v>
      </c>
      <c r="M165" s="157" t="str">
        <f>+'[1]รับ 1014'!$F$119</f>
        <v>TOP 161014</v>
      </c>
      <c r="N165" s="227">
        <f t="shared" si="18"/>
        <v>356564.3093620108</v>
      </c>
      <c r="O165" s="152">
        <f t="shared" si="19"/>
        <v>488426.04436201148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>
        <v>41938</v>
      </c>
      <c r="I166" s="152"/>
      <c r="J166" s="157"/>
      <c r="K166" s="154">
        <v>5700362421</v>
      </c>
      <c r="L166" s="227">
        <v>865</v>
      </c>
      <c r="M166" s="157" t="str">
        <f>+'[1]รับ 1014'!$F$119</f>
        <v>TOP 161014</v>
      </c>
      <c r="N166" s="227">
        <f t="shared" si="18"/>
        <v>355699.3093620108</v>
      </c>
      <c r="O166" s="152">
        <f t="shared" si="19"/>
        <v>487561.04436201148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>
        <v>41938</v>
      </c>
      <c r="I167" s="152"/>
      <c r="J167" s="157"/>
      <c r="K167" s="154">
        <v>5700362421</v>
      </c>
      <c r="L167" s="227">
        <v>13790</v>
      </c>
      <c r="M167" s="157" t="str">
        <f>+'[1]รับ 1014'!$F$119</f>
        <v>TOP 161014</v>
      </c>
      <c r="N167" s="227">
        <f t="shared" si="18"/>
        <v>341909.3093620108</v>
      </c>
      <c r="O167" s="152">
        <f t="shared" si="19"/>
        <v>473771.04436201148</v>
      </c>
    </row>
    <row r="168" spans="1:15" x14ac:dyDescent="0.15">
      <c r="A168" s="154"/>
      <c r="B168" s="151"/>
      <c r="C168" s="152"/>
      <c r="D168" s="323">
        <v>41939</v>
      </c>
      <c r="E168" s="154" t="s">
        <v>72</v>
      </c>
      <c r="F168" s="157" t="str">
        <f>+'[1]รับ 1014'!$F$124</f>
        <v>TOP 191014</v>
      </c>
      <c r="G168" s="152">
        <f>+'[1]รับ 1014'!$D$125</f>
        <v>44014.628999999928</v>
      </c>
      <c r="H168" s="323">
        <v>41939</v>
      </c>
      <c r="I168" s="152">
        <v>14698.919999999998</v>
      </c>
      <c r="J168" s="157" t="str">
        <f>+'[1]รับ 1014'!$F$119</f>
        <v>TOP 161014</v>
      </c>
      <c r="K168" s="154">
        <v>5700362421</v>
      </c>
      <c r="L168" s="227">
        <v>14841.54</v>
      </c>
      <c r="M168" s="157" t="str">
        <f>+'[1]รับ 1014'!$F$119</f>
        <v>TOP 161014</v>
      </c>
      <c r="N168" s="227">
        <f t="shared" si="18"/>
        <v>312368.84936201083</v>
      </c>
      <c r="O168" s="152">
        <f t="shared" si="19"/>
        <v>488245.21336201148</v>
      </c>
    </row>
    <row r="169" spans="1:15" x14ac:dyDescent="0.15">
      <c r="A169" s="154"/>
      <c r="B169" s="151"/>
      <c r="C169" s="152"/>
      <c r="D169" s="323">
        <v>41939</v>
      </c>
      <c r="E169" s="154" t="s">
        <v>72</v>
      </c>
      <c r="F169" s="157" t="str">
        <f>+'[1]รับ 1014'!$F$126</f>
        <v>GC 231014</v>
      </c>
      <c r="G169" s="152">
        <f>+'[1]รับ 1014'!$D$126</f>
        <v>88051.025000000096</v>
      </c>
      <c r="H169" s="323">
        <v>41939</v>
      </c>
      <c r="I169" s="152"/>
      <c r="J169" s="157"/>
      <c r="K169" s="154">
        <v>5700362421</v>
      </c>
      <c r="L169" s="227">
        <v>12273.68</v>
      </c>
      <c r="M169" s="157" t="str">
        <f>+'[1]รับ 1014'!$F$119</f>
        <v>TOP 161014</v>
      </c>
      <c r="N169" s="227">
        <f t="shared" si="18"/>
        <v>300095.16936201084</v>
      </c>
      <c r="O169" s="152">
        <f t="shared" si="19"/>
        <v>564022.55836201156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>
        <v>41939</v>
      </c>
      <c r="I170" s="152"/>
      <c r="J170" s="157"/>
      <c r="K170" s="154">
        <v>5700362421</v>
      </c>
      <c r="L170" s="227">
        <v>1677.49</v>
      </c>
      <c r="M170" s="157" t="str">
        <f>+'[1]รับ 1014'!$F$119</f>
        <v>TOP 161014</v>
      </c>
      <c r="N170" s="227">
        <f t="shared" si="18"/>
        <v>298417.67936201085</v>
      </c>
      <c r="O170" s="152">
        <f t="shared" si="19"/>
        <v>562345.06836201157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>
        <v>41939</v>
      </c>
      <c r="I171" s="152"/>
      <c r="J171" s="157"/>
      <c r="K171" s="154">
        <v>5700362421</v>
      </c>
      <c r="L171" s="227">
        <v>14034.73</v>
      </c>
      <c r="M171" s="157" t="str">
        <f>+'[1]รับ 1014'!$F$119</f>
        <v>TOP 161014</v>
      </c>
      <c r="N171" s="227">
        <f t="shared" si="18"/>
        <v>284382.94936201087</v>
      </c>
      <c r="O171" s="152">
        <f t="shared" si="19"/>
        <v>548310.33836201159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>
        <v>41939</v>
      </c>
      <c r="I172" s="152"/>
      <c r="J172" s="157"/>
      <c r="K172" s="154">
        <v>5700362421</v>
      </c>
      <c r="L172" s="227">
        <v>42087.199999999997</v>
      </c>
      <c r="M172" s="157" t="str">
        <f>+'[1]รับ 1014'!$F$119</f>
        <v>TOP 161014</v>
      </c>
      <c r="N172" s="227">
        <f t="shared" si="18"/>
        <v>242295.74936201086</v>
      </c>
      <c r="O172" s="152">
        <f t="shared" si="19"/>
        <v>506223.13836201158</v>
      </c>
    </row>
    <row r="173" spans="1:15" x14ac:dyDescent="0.15">
      <c r="A173" s="154"/>
      <c r="B173" s="151"/>
      <c r="C173" s="152"/>
      <c r="D173" s="323">
        <v>41940</v>
      </c>
      <c r="E173" s="154" t="s">
        <v>72</v>
      </c>
      <c r="F173" s="157" t="str">
        <f>+'[1]รับ 1014'!$F$126</f>
        <v>GC 231014</v>
      </c>
      <c r="G173" s="152">
        <f>+'[1]รับ 1014'!$D$127</f>
        <v>131870.13500000001</v>
      </c>
      <c r="H173" s="323">
        <v>41940</v>
      </c>
      <c r="I173" s="152">
        <v>9488.85</v>
      </c>
      <c r="J173" s="157" t="str">
        <f>+'[1]รับ 1014'!$F$119</f>
        <v>TOP 161014</v>
      </c>
      <c r="K173" s="154">
        <v>5700362421</v>
      </c>
      <c r="L173" s="227">
        <v>38971.589999999997</v>
      </c>
      <c r="M173" s="157" t="str">
        <f>+'[1]รับ 1014'!$F$119</f>
        <v>TOP 161014</v>
      </c>
      <c r="N173" s="227">
        <f t="shared" si="18"/>
        <v>193835.30936201086</v>
      </c>
      <c r="O173" s="152">
        <f t="shared" si="19"/>
        <v>589632.8333620117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>
        <v>41940</v>
      </c>
      <c r="I174" s="152"/>
      <c r="J174" s="157"/>
      <c r="K174" s="154">
        <v>5700362421</v>
      </c>
      <c r="L174" s="227">
        <v>12496.13</v>
      </c>
      <c r="M174" s="157" t="str">
        <f>+'[1]รับ 1014'!$F$119</f>
        <v>TOP 161014</v>
      </c>
      <c r="N174" s="227">
        <f t="shared" si="18"/>
        <v>181339.17936201085</v>
      </c>
      <c r="O174" s="152">
        <f t="shared" si="19"/>
        <v>577136.7033620117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>
        <v>41940</v>
      </c>
      <c r="I175" s="152"/>
      <c r="J175" s="157"/>
      <c r="K175" s="154">
        <v>5700362421</v>
      </c>
      <c r="L175" s="227">
        <v>3803.23</v>
      </c>
      <c r="M175" s="157" t="str">
        <f>+'[1]รับ 1014'!$F$119</f>
        <v>TOP 161014</v>
      </c>
      <c r="N175" s="227">
        <f t="shared" si="18"/>
        <v>177535.94936201084</v>
      </c>
      <c r="O175" s="152">
        <f t="shared" si="19"/>
        <v>573333.47336201172</v>
      </c>
    </row>
    <row r="176" spans="1:15" x14ac:dyDescent="0.15">
      <c r="A176" s="154"/>
      <c r="B176" s="151"/>
      <c r="C176" s="152"/>
      <c r="D176" s="323">
        <v>41941</v>
      </c>
      <c r="E176" s="154" t="s">
        <v>72</v>
      </c>
      <c r="F176" s="157" t="str">
        <f>+'[1]รับ 1014'!$F$126</f>
        <v>GC 231014</v>
      </c>
      <c r="G176" s="152">
        <f>+'[1]รับ 1014'!$D$128</f>
        <v>91365.556999998924</v>
      </c>
      <c r="H176" s="323">
        <v>41941</v>
      </c>
      <c r="I176" s="152">
        <v>12846.560000000001</v>
      </c>
      <c r="J176" s="157" t="str">
        <f>+'[1]รับ 1014'!$F$119</f>
        <v>TOP 161014</v>
      </c>
      <c r="K176" s="154">
        <v>5700362421</v>
      </c>
      <c r="L176" s="227">
        <v>34356.97</v>
      </c>
      <c r="M176" s="157" t="str">
        <f>+'[1]รับ 1014'!$F$119</f>
        <v>TOP 161014</v>
      </c>
      <c r="N176" s="227">
        <f t="shared" si="18"/>
        <v>130332.41936201084</v>
      </c>
      <c r="O176" s="152">
        <f t="shared" si="19"/>
        <v>617495.50036201067</v>
      </c>
    </row>
    <row r="177" spans="1:15" x14ac:dyDescent="0.15">
      <c r="A177" s="154"/>
      <c r="B177" s="151"/>
      <c r="C177" s="152"/>
      <c r="D177" s="323">
        <v>41941</v>
      </c>
      <c r="E177" s="154" t="s">
        <v>72</v>
      </c>
      <c r="F177" s="157" t="str">
        <f>+'[1]รับ 1014'!$F$129</f>
        <v>GC 261014</v>
      </c>
      <c r="G177" s="152">
        <f>+'[1]รับ 1014'!$D$129</f>
        <v>40498.5950000011</v>
      </c>
      <c r="H177" s="323">
        <v>41941</v>
      </c>
      <c r="I177" s="152"/>
      <c r="J177" s="157"/>
      <c r="K177" s="154">
        <v>5700362421</v>
      </c>
      <c r="L177" s="227">
        <v>12793.6</v>
      </c>
      <c r="M177" s="157" t="str">
        <f>+'[1]รับ 1014'!$F$119</f>
        <v>TOP 161014</v>
      </c>
      <c r="N177" s="227">
        <f t="shared" si="18"/>
        <v>117538.81936201084</v>
      </c>
      <c r="O177" s="152">
        <f t="shared" si="19"/>
        <v>645200.49536201183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>
        <v>41941</v>
      </c>
      <c r="I178" s="152"/>
      <c r="J178" s="157"/>
      <c r="K178" s="154">
        <v>5700362421</v>
      </c>
      <c r="L178" s="227">
        <v>42108.54</v>
      </c>
      <c r="M178" s="157" t="str">
        <f>+'[1]รับ 1014'!$F$119</f>
        <v>TOP 161014</v>
      </c>
      <c r="N178" s="227">
        <f t="shared" si="18"/>
        <v>75430.279362010828</v>
      </c>
      <c r="O178" s="152">
        <f t="shared" si="19"/>
        <v>603091.95536201179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>
        <v>41941</v>
      </c>
      <c r="I179" s="152"/>
      <c r="J179" s="157"/>
      <c r="K179" s="154">
        <v>5700362421</v>
      </c>
      <c r="L179" s="227">
        <v>11602.35</v>
      </c>
      <c r="M179" s="157" t="str">
        <f>+'[1]รับ 1014'!$F$119</f>
        <v>TOP 161014</v>
      </c>
      <c r="N179" s="227">
        <f t="shared" si="18"/>
        <v>63827.929362010829</v>
      </c>
      <c r="O179" s="152">
        <f t="shared" si="19"/>
        <v>591489.60536201182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>
        <v>41941</v>
      </c>
      <c r="I180" s="152"/>
      <c r="J180" s="157"/>
      <c r="K180" s="154">
        <v>5700362421</v>
      </c>
      <c r="L180" s="227">
        <v>61882.55</v>
      </c>
      <c r="M180" s="157" t="str">
        <f>+'[1]รับ 1014'!$F$119</f>
        <v>TOP 161014</v>
      </c>
      <c r="N180" s="227">
        <f t="shared" si="18"/>
        <v>1945.3793620108263</v>
      </c>
      <c r="O180" s="152">
        <f t="shared" si="19"/>
        <v>529607.05536201177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>
        <v>41941</v>
      </c>
      <c r="I181" s="152"/>
      <c r="J181" s="157"/>
      <c r="K181" s="154">
        <v>5700362421</v>
      </c>
      <c r="L181" s="227">
        <v>1945.3793620108263</v>
      </c>
      <c r="M181" s="157" t="str">
        <f>+'[1]รับ 1014'!$F$119</f>
        <v>TOP 161014</v>
      </c>
      <c r="N181" s="227">
        <f t="shared" si="18"/>
        <v>0</v>
      </c>
      <c r="O181" s="152">
        <f t="shared" si="19"/>
        <v>527661.67600000091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>
        <v>41941</v>
      </c>
      <c r="I182" s="152"/>
      <c r="J182" s="157"/>
      <c r="K182" s="154">
        <v>5700362421</v>
      </c>
      <c r="L182" s="227">
        <v>36632.450637989197</v>
      </c>
      <c r="M182" s="157" t="str">
        <f>+'[1]รับ 1014'!$F$124</f>
        <v>TOP 191014</v>
      </c>
      <c r="N182" s="227">
        <f>G160+G168+N181-I182-L182</f>
        <v>139243.91336201073</v>
      </c>
      <c r="O182" s="152">
        <f t="shared" si="19"/>
        <v>491029.2253620117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>
        <v>41941</v>
      </c>
      <c r="I183" s="152"/>
      <c r="J183" s="157"/>
      <c r="K183" s="154">
        <v>5700362421</v>
      </c>
      <c r="L183" s="227">
        <v>9793.99</v>
      </c>
      <c r="M183" s="157" t="str">
        <f>+'[1]รับ 1014'!$F$124</f>
        <v>TOP 191014</v>
      </c>
      <c r="N183" s="227">
        <f t="shared" si="18"/>
        <v>129449.92336201073</v>
      </c>
      <c r="O183" s="152">
        <f t="shared" si="19"/>
        <v>481235.23536201171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>
        <v>41941</v>
      </c>
      <c r="I184" s="152"/>
      <c r="J184" s="157"/>
      <c r="K184" s="154">
        <v>5700362421</v>
      </c>
      <c r="L184" s="227">
        <v>7177.09</v>
      </c>
      <c r="M184" s="157" t="str">
        <f>+'[1]รับ 1014'!$F$124</f>
        <v>TOP 191014</v>
      </c>
      <c r="N184" s="227">
        <f t="shared" si="18"/>
        <v>122272.83336201073</v>
      </c>
      <c r="O184" s="152">
        <f t="shared" si="19"/>
        <v>474058.14536201168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>
        <v>41941</v>
      </c>
      <c r="I185" s="152"/>
      <c r="J185" s="157"/>
      <c r="K185" s="154">
        <v>5700362421</v>
      </c>
      <c r="L185" s="227">
        <v>33284.49</v>
      </c>
      <c r="M185" s="157" t="str">
        <f>+'[1]รับ 1014'!$F$124</f>
        <v>TOP 191014</v>
      </c>
      <c r="N185" s="227">
        <f t="shared" si="18"/>
        <v>88988.343362010724</v>
      </c>
      <c r="O185" s="152">
        <f t="shared" si="19"/>
        <v>440773.65536201169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>
        <v>41941</v>
      </c>
      <c r="I186" s="152"/>
      <c r="J186" s="157"/>
      <c r="K186" s="154">
        <v>5700362421</v>
      </c>
      <c r="L186" s="227">
        <v>16765.2</v>
      </c>
      <c r="M186" s="157" t="str">
        <f>+'[1]รับ 1014'!$F$124</f>
        <v>TOP 191014</v>
      </c>
      <c r="N186" s="227">
        <f t="shared" si="18"/>
        <v>72223.143362010727</v>
      </c>
      <c r="O186" s="152">
        <f t="shared" si="19"/>
        <v>424008.45536201168</v>
      </c>
    </row>
    <row r="187" spans="1:15" x14ac:dyDescent="0.15">
      <c r="A187" s="154"/>
      <c r="B187" s="151"/>
      <c r="C187" s="152"/>
      <c r="D187" s="323">
        <v>41942</v>
      </c>
      <c r="E187" s="154" t="s">
        <v>72</v>
      </c>
      <c r="F187" s="157" t="str">
        <f>+'[1]รับ 1014'!$F$129</f>
        <v>GC 261014</v>
      </c>
      <c r="G187" s="152">
        <f>+'[1]รับ 1014'!$D$130</f>
        <v>175929.60399999999</v>
      </c>
      <c r="H187" s="323">
        <v>41942</v>
      </c>
      <c r="I187" s="152">
        <v>10299.170000000002</v>
      </c>
      <c r="J187" s="157" t="str">
        <f>+'[1]รับ 1014'!$F$124</f>
        <v>TOP 191014</v>
      </c>
      <c r="K187" s="154">
        <v>5700362421</v>
      </c>
      <c r="L187" s="227">
        <v>12955.26</v>
      </c>
      <c r="M187" s="157" t="str">
        <f>+'[1]รับ 1014'!$F$124</f>
        <v>TOP 191014</v>
      </c>
      <c r="N187" s="227">
        <f t="shared" si="18"/>
        <v>48968.713362010727</v>
      </c>
      <c r="O187" s="152">
        <f t="shared" si="19"/>
        <v>576683.62936201168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>
        <v>41942</v>
      </c>
      <c r="I188" s="152"/>
      <c r="J188" s="157"/>
      <c r="K188" s="154">
        <v>5700362421</v>
      </c>
      <c r="L188" s="227">
        <v>13017.28</v>
      </c>
      <c r="M188" s="157" t="str">
        <f>+'[1]รับ 1014'!$F$124</f>
        <v>TOP 191014</v>
      </c>
      <c r="N188" s="227">
        <f t="shared" si="18"/>
        <v>35951.433362010728</v>
      </c>
      <c r="O188" s="152">
        <f t="shared" si="19"/>
        <v>563666.34936201165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>
        <v>41942</v>
      </c>
      <c r="I189" s="152"/>
      <c r="J189" s="157"/>
      <c r="K189" s="154">
        <v>5700362421</v>
      </c>
      <c r="L189" s="227">
        <v>932.38</v>
      </c>
      <c r="M189" s="157" t="str">
        <f>+'[1]รับ 1014'!$F$124</f>
        <v>TOP 191014</v>
      </c>
      <c r="N189" s="227">
        <f t="shared" si="18"/>
        <v>35019.053362010731</v>
      </c>
      <c r="O189" s="152">
        <f t="shared" si="19"/>
        <v>562733.96936201164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>
        <v>41942</v>
      </c>
      <c r="I190" s="152"/>
      <c r="J190" s="157"/>
      <c r="K190" s="154">
        <v>5700362421</v>
      </c>
      <c r="L190" s="227">
        <v>15130.14</v>
      </c>
      <c r="M190" s="157" t="str">
        <f>+'[1]รับ 1014'!$F$124</f>
        <v>TOP 191014</v>
      </c>
      <c r="N190" s="227">
        <f t="shared" si="18"/>
        <v>19888.913362010731</v>
      </c>
      <c r="O190" s="152">
        <f t="shared" si="19"/>
        <v>547603.82936201163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>
        <v>41942</v>
      </c>
      <c r="I191" s="152"/>
      <c r="J191" s="157"/>
      <c r="K191" s="154">
        <v>5700362421</v>
      </c>
      <c r="L191" s="227">
        <v>19888.913362010731</v>
      </c>
      <c r="M191" s="157" t="str">
        <f>+'[1]รับ 1014'!$F$124</f>
        <v>TOP 191014</v>
      </c>
      <c r="N191" s="227">
        <f t="shared" si="18"/>
        <v>0</v>
      </c>
      <c r="O191" s="152">
        <f t="shared" si="19"/>
        <v>527714.9160000009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>
        <v>41942</v>
      </c>
      <c r="I192" s="152"/>
      <c r="J192" s="157"/>
      <c r="K192" s="154">
        <v>5700362441</v>
      </c>
      <c r="L192" s="227">
        <v>28240.6166379893</v>
      </c>
      <c r="M192" s="157" t="str">
        <f>+'[1]รับ 1014'!$F$126</f>
        <v>GC 231014</v>
      </c>
      <c r="N192" s="227">
        <f>G169+G173+G176+N191-I192-L192</f>
        <v>283046.10036200972</v>
      </c>
      <c r="O192" s="152">
        <f t="shared" si="19"/>
        <v>499474.2993620116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>
        <v>41942</v>
      </c>
      <c r="I193" s="152"/>
      <c r="J193" s="157"/>
      <c r="K193" s="154">
        <v>5700362441</v>
      </c>
      <c r="L193" s="227">
        <v>32313.11</v>
      </c>
      <c r="M193" s="157" t="str">
        <f>+'[1]รับ 1014'!$F$126</f>
        <v>GC 231014</v>
      </c>
      <c r="N193" s="227">
        <f t="shared" si="18"/>
        <v>250732.99036200973</v>
      </c>
      <c r="O193" s="152">
        <f t="shared" si="19"/>
        <v>467161.18936201162</v>
      </c>
    </row>
    <row r="194" spans="1:15" x14ac:dyDescent="0.15">
      <c r="A194" s="154"/>
      <c r="B194" s="151"/>
      <c r="C194" s="152"/>
      <c r="D194" s="323">
        <v>41943</v>
      </c>
      <c r="E194" s="154" t="s">
        <v>72</v>
      </c>
      <c r="F194" s="157" t="str">
        <f>+'[1]รับ 1014'!$F$129</f>
        <v>GC 261014</v>
      </c>
      <c r="G194" s="152">
        <f>+'[1]รับ 1014'!$D$131</f>
        <v>87892.641999999934</v>
      </c>
      <c r="H194" s="323">
        <v>41943</v>
      </c>
      <c r="I194" s="152">
        <v>11169.12</v>
      </c>
      <c r="J194" s="157" t="str">
        <f>+'[1]รับ 1014'!$F$126</f>
        <v>GC 231014</v>
      </c>
      <c r="K194" s="154">
        <v>5700362441</v>
      </c>
      <c r="L194" s="227">
        <v>15663.23</v>
      </c>
      <c r="M194" s="157" t="str">
        <f>+'[1]รับ 1014'!$F$126</f>
        <v>GC 231014</v>
      </c>
      <c r="N194" s="227">
        <f t="shared" si="18"/>
        <v>223900.64036200973</v>
      </c>
      <c r="O194" s="152">
        <f t="shared" si="19"/>
        <v>528221.48136201163</v>
      </c>
    </row>
    <row r="195" spans="1:15" x14ac:dyDescent="0.15">
      <c r="A195" s="154"/>
      <c r="B195" s="151"/>
      <c r="C195" s="152"/>
      <c r="D195" s="323">
        <v>41943</v>
      </c>
      <c r="E195" s="154" t="s">
        <v>72</v>
      </c>
      <c r="F195" s="157" t="str">
        <f>+'[1]รับ 1014'!$F$132</f>
        <v>GC 271014</v>
      </c>
      <c r="G195" s="152">
        <f>+'[1]รับ 1014'!$D$132</f>
        <v>44051.405000000101</v>
      </c>
      <c r="H195" s="323">
        <v>41943</v>
      </c>
      <c r="I195" s="152"/>
      <c r="J195" s="157"/>
      <c r="K195" s="154">
        <v>5700362441</v>
      </c>
      <c r="L195" s="227">
        <v>12858.09</v>
      </c>
      <c r="M195" s="157" t="str">
        <f>+'[1]รับ 1014'!$F$126</f>
        <v>GC 231014</v>
      </c>
      <c r="N195" s="227">
        <f t="shared" si="18"/>
        <v>211042.55036200973</v>
      </c>
      <c r="O195" s="152">
        <f t="shared" si="19"/>
        <v>559414.79636201181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>
        <v>41943</v>
      </c>
      <c r="I196" s="152"/>
      <c r="J196" s="157"/>
      <c r="K196" s="154">
        <v>5700362441</v>
      </c>
      <c r="L196" s="227">
        <v>11424.52</v>
      </c>
      <c r="M196" s="157" t="str">
        <f>+'[1]รับ 1014'!$F$126</f>
        <v>GC 231014</v>
      </c>
      <c r="N196" s="227">
        <f t="shared" si="18"/>
        <v>199618.03036200974</v>
      </c>
      <c r="O196" s="152">
        <f t="shared" si="19"/>
        <v>547990.27636201179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>
        <v>41943</v>
      </c>
      <c r="I197" s="152"/>
      <c r="J197" s="157"/>
      <c r="K197" s="154">
        <v>5700362441</v>
      </c>
      <c r="L197" s="227">
        <v>3084.06</v>
      </c>
      <c r="M197" s="157" t="str">
        <f>+'[1]รับ 1014'!$F$126</f>
        <v>GC 231014</v>
      </c>
      <c r="N197" s="227">
        <f t="shared" si="18"/>
        <v>196533.97036200974</v>
      </c>
      <c r="O197" s="152">
        <f t="shared" si="19"/>
        <v>544906.21636201174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>
        <v>41943</v>
      </c>
      <c r="I198" s="152"/>
      <c r="J198" s="157"/>
      <c r="K198" s="154">
        <v>5700362441</v>
      </c>
      <c r="L198" s="227">
        <v>9794.02</v>
      </c>
      <c r="M198" s="157" t="str">
        <f>+'[1]รับ 1014'!$F$126</f>
        <v>GC 231014</v>
      </c>
      <c r="N198" s="227">
        <f t="shared" si="18"/>
        <v>186739.95036200975</v>
      </c>
      <c r="O198" s="152">
        <f t="shared" si="19"/>
        <v>535112.19636201172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>
        <v>41943</v>
      </c>
      <c r="I199" s="152"/>
      <c r="J199" s="157"/>
      <c r="K199" s="154">
        <v>5700362441</v>
      </c>
      <c r="L199" s="227">
        <v>4548.2299999999996</v>
      </c>
      <c r="M199" s="157" t="str">
        <f>+'[1]รับ 1014'!$F$126</f>
        <v>GC 231014</v>
      </c>
      <c r="N199" s="227">
        <f t="shared" si="18"/>
        <v>182191.72036200974</v>
      </c>
      <c r="O199" s="152">
        <f t="shared" si="19"/>
        <v>530563.96636201174</v>
      </c>
    </row>
    <row r="200" spans="1:15" hidden="1" x14ac:dyDescent="0.15">
      <c r="A200" s="154"/>
      <c r="B200" s="151"/>
      <c r="C200" s="152"/>
      <c r="D200" s="323"/>
      <c r="E200" s="154"/>
      <c r="F200" s="157"/>
      <c r="G200" s="152"/>
      <c r="H200" s="323"/>
      <c r="I200" s="152"/>
      <c r="J200" s="157"/>
      <c r="K200" s="154"/>
      <c r="L200" s="227"/>
      <c r="M200" s="157"/>
      <c r="N200" s="227">
        <f t="shared" si="18"/>
        <v>182191.72036200974</v>
      </c>
      <c r="O200" s="152">
        <f t="shared" si="19"/>
        <v>530563.96636201174</v>
      </c>
    </row>
    <row r="201" spans="1:15" hidden="1" x14ac:dyDescent="0.15">
      <c r="A201" s="154"/>
      <c r="B201" s="151"/>
      <c r="C201" s="152"/>
      <c r="D201" s="323"/>
      <c r="E201" s="154"/>
      <c r="F201" s="157"/>
      <c r="G201" s="152"/>
      <c r="H201" s="323"/>
      <c r="I201" s="152"/>
      <c r="J201" s="157"/>
      <c r="K201" s="154"/>
      <c r="L201" s="227"/>
      <c r="M201" s="157"/>
      <c r="N201" s="227">
        <f t="shared" si="18"/>
        <v>182191.72036200974</v>
      </c>
      <c r="O201" s="152">
        <f t="shared" si="19"/>
        <v>530563.96636201174</v>
      </c>
    </row>
    <row r="202" spans="1:15" hidden="1" x14ac:dyDescent="0.15">
      <c r="A202" s="154"/>
      <c r="B202" s="151"/>
      <c r="C202" s="152"/>
      <c r="D202" s="323"/>
      <c r="E202" s="154"/>
      <c r="F202" s="157"/>
      <c r="G202" s="152"/>
      <c r="H202" s="323"/>
      <c r="I202" s="152"/>
      <c r="J202" s="157"/>
      <c r="K202" s="154"/>
      <c r="L202" s="227"/>
      <c r="M202" s="157"/>
      <c r="N202" s="227">
        <f t="shared" si="18"/>
        <v>182191.72036200974</v>
      </c>
      <c r="O202" s="152">
        <f t="shared" si="19"/>
        <v>530563.96636201174</v>
      </c>
    </row>
    <row r="203" spans="1:15" hidden="1" x14ac:dyDescent="0.15">
      <c r="A203" s="154"/>
      <c r="B203" s="151"/>
      <c r="C203" s="152"/>
      <c r="D203" s="323"/>
      <c r="E203" s="154"/>
      <c r="F203" s="157"/>
      <c r="G203" s="152"/>
      <c r="H203" s="323"/>
      <c r="I203" s="152"/>
      <c r="J203" s="157"/>
      <c r="K203" s="154"/>
      <c r="L203" s="227"/>
      <c r="M203" s="157"/>
      <c r="N203" s="227">
        <f t="shared" si="18"/>
        <v>182191.72036200974</v>
      </c>
      <c r="O203" s="152">
        <f t="shared" si="19"/>
        <v>530563.96636201174</v>
      </c>
    </row>
    <row r="204" spans="1:15" hidden="1" x14ac:dyDescent="0.15">
      <c r="A204" s="154"/>
      <c r="B204" s="151"/>
      <c r="C204" s="152"/>
      <c r="D204" s="323"/>
      <c r="E204" s="154"/>
      <c r="F204" s="157"/>
      <c r="G204" s="152"/>
      <c r="H204" s="323"/>
      <c r="I204" s="152"/>
      <c r="J204" s="157"/>
      <c r="K204" s="154"/>
      <c r="L204" s="227"/>
      <c r="M204" s="157"/>
      <c r="N204" s="227">
        <f t="shared" si="18"/>
        <v>182191.72036200974</v>
      </c>
      <c r="O204" s="152">
        <f t="shared" si="19"/>
        <v>530563.96636201174</v>
      </c>
    </row>
    <row r="205" spans="1:15" hidden="1" x14ac:dyDescent="0.15">
      <c r="A205" s="154"/>
      <c r="B205" s="151"/>
      <c r="C205" s="152"/>
      <c r="D205" s="323"/>
      <c r="E205" s="154"/>
      <c r="F205" s="157"/>
      <c r="G205" s="152"/>
      <c r="H205" s="323"/>
      <c r="I205" s="152"/>
      <c r="J205" s="157"/>
      <c r="K205" s="154"/>
      <c r="L205" s="227"/>
      <c r="M205" s="157"/>
      <c r="N205" s="227">
        <f t="shared" si="18"/>
        <v>182191.72036200974</v>
      </c>
      <c r="O205" s="152">
        <f t="shared" si="19"/>
        <v>530563.96636201174</v>
      </c>
    </row>
    <row r="206" spans="1:15" hidden="1" x14ac:dyDescent="0.15">
      <c r="A206" s="154"/>
      <c r="B206" s="151"/>
      <c r="C206" s="152"/>
      <c r="D206" s="323"/>
      <c r="E206" s="154"/>
      <c r="F206" s="157"/>
      <c r="G206" s="152"/>
      <c r="H206" s="323"/>
      <c r="I206" s="152"/>
      <c r="J206" s="157"/>
      <c r="K206" s="154"/>
      <c r="L206" s="227"/>
      <c r="M206" s="157"/>
      <c r="N206" s="227">
        <f t="shared" si="18"/>
        <v>182191.72036200974</v>
      </c>
      <c r="O206" s="152">
        <f t="shared" si="19"/>
        <v>530563.96636201174</v>
      </c>
    </row>
    <row r="207" spans="1:15" hidden="1" x14ac:dyDescent="0.15">
      <c r="A207" s="154"/>
      <c r="B207" s="151"/>
      <c r="C207" s="152"/>
      <c r="D207" s="323"/>
      <c r="E207" s="154"/>
      <c r="F207" s="157"/>
      <c r="G207" s="152"/>
      <c r="H207" s="323"/>
      <c r="I207" s="152"/>
      <c r="J207" s="157"/>
      <c r="K207" s="154"/>
      <c r="L207" s="227"/>
      <c r="M207" s="157"/>
      <c r="N207" s="227">
        <f t="shared" si="18"/>
        <v>182191.72036200974</v>
      </c>
      <c r="O207" s="152">
        <f t="shared" si="19"/>
        <v>530563.96636201174</v>
      </c>
    </row>
    <row r="208" spans="1:15" hidden="1" x14ac:dyDescent="0.15">
      <c r="A208" s="154"/>
      <c r="B208" s="151"/>
      <c r="C208" s="152"/>
      <c r="D208" s="323"/>
      <c r="E208" s="155"/>
      <c r="F208" s="157"/>
      <c r="G208" s="152"/>
      <c r="H208" s="323"/>
      <c r="I208" s="152"/>
      <c r="J208" s="157"/>
      <c r="K208" s="154"/>
      <c r="L208" s="227"/>
      <c r="M208" s="157"/>
      <c r="N208" s="227">
        <f t="shared" si="18"/>
        <v>182191.72036200974</v>
      </c>
      <c r="O208" s="152">
        <f t="shared" si="19"/>
        <v>530563.96636201174</v>
      </c>
    </row>
    <row r="209" spans="1:15" hidden="1" x14ac:dyDescent="0.15">
      <c r="A209" s="154"/>
      <c r="B209" s="151"/>
      <c r="C209" s="152"/>
      <c r="D209" s="323"/>
      <c r="E209" s="155"/>
      <c r="F209" s="157"/>
      <c r="G209" s="152"/>
      <c r="H209" s="323"/>
      <c r="I209" s="152"/>
      <c r="J209" s="157"/>
      <c r="K209" s="154"/>
      <c r="L209" s="227"/>
      <c r="M209" s="157"/>
      <c r="N209" s="227">
        <f t="shared" si="18"/>
        <v>182191.72036200974</v>
      </c>
      <c r="O209" s="152">
        <f t="shared" si="19"/>
        <v>530563.96636201174</v>
      </c>
    </row>
    <row r="210" spans="1:15" hidden="1" x14ac:dyDescent="0.15">
      <c r="A210" s="154"/>
      <c r="B210" s="151"/>
      <c r="C210" s="152"/>
      <c r="D210" s="323"/>
      <c r="E210" s="155"/>
      <c r="F210" s="157"/>
      <c r="G210" s="152"/>
      <c r="H210" s="323"/>
      <c r="I210" s="152"/>
      <c r="J210" s="157"/>
      <c r="K210" s="154"/>
      <c r="L210" s="227"/>
      <c r="M210" s="157"/>
      <c r="N210" s="227">
        <f t="shared" si="18"/>
        <v>182191.72036200974</v>
      </c>
      <c r="O210" s="152">
        <f t="shared" si="19"/>
        <v>530563.96636201174</v>
      </c>
    </row>
    <row r="211" spans="1:15" hidden="1" x14ac:dyDescent="0.15">
      <c r="A211" s="154"/>
      <c r="B211" s="151"/>
      <c r="C211" s="152"/>
      <c r="D211" s="323"/>
      <c r="E211" s="155"/>
      <c r="F211" s="157"/>
      <c r="G211" s="152"/>
      <c r="H211" s="323"/>
      <c r="I211" s="152"/>
      <c r="J211" s="157"/>
      <c r="K211" s="154"/>
      <c r="L211" s="227"/>
      <c r="M211" s="157"/>
      <c r="N211" s="227">
        <f t="shared" si="18"/>
        <v>182191.72036200974</v>
      </c>
      <c r="O211" s="152">
        <f t="shared" si="19"/>
        <v>530563.96636201174</v>
      </c>
    </row>
    <row r="212" spans="1:15" hidden="1" x14ac:dyDescent="0.15">
      <c r="A212" s="154"/>
      <c r="B212" s="151"/>
      <c r="C212" s="152"/>
      <c r="D212" s="323"/>
      <c r="E212" s="155"/>
      <c r="F212" s="157"/>
      <c r="G212" s="152"/>
      <c r="H212" s="323"/>
      <c r="I212" s="152"/>
      <c r="J212" s="157"/>
      <c r="K212" s="154"/>
      <c r="L212" s="227"/>
      <c r="M212" s="157"/>
      <c r="N212" s="227">
        <f t="shared" si="18"/>
        <v>182191.72036200974</v>
      </c>
      <c r="O212" s="152">
        <f t="shared" si="19"/>
        <v>530563.96636201174</v>
      </c>
    </row>
    <row r="213" spans="1:15" hidden="1" x14ac:dyDescent="0.15">
      <c r="A213" s="154"/>
      <c r="B213" s="151"/>
      <c r="C213" s="152"/>
      <c r="D213" s="323"/>
      <c r="E213" s="155"/>
      <c r="F213" s="157"/>
      <c r="G213" s="152"/>
      <c r="H213" s="323"/>
      <c r="I213" s="152"/>
      <c r="J213" s="157"/>
      <c r="K213" s="154"/>
      <c r="L213" s="227"/>
      <c r="M213" s="157"/>
      <c r="N213" s="227">
        <f t="shared" si="18"/>
        <v>182191.72036200974</v>
      </c>
      <c r="O213" s="152">
        <f t="shared" si="19"/>
        <v>530563.96636201174</v>
      </c>
    </row>
    <row r="214" spans="1:15" hidden="1" x14ac:dyDescent="0.15">
      <c r="A214" s="154"/>
      <c r="B214" s="151"/>
      <c r="C214" s="152"/>
      <c r="D214" s="323"/>
      <c r="E214" s="154"/>
      <c r="F214" s="157"/>
      <c r="G214" s="152"/>
      <c r="H214" s="323"/>
      <c r="I214" s="152"/>
      <c r="J214" s="157"/>
      <c r="K214" s="154"/>
      <c r="L214" s="227"/>
      <c r="M214" s="157"/>
      <c r="N214" s="227">
        <f t="shared" si="18"/>
        <v>182191.72036200974</v>
      </c>
      <c r="O214" s="152">
        <f t="shared" si="19"/>
        <v>530563.96636201174</v>
      </c>
    </row>
    <row r="215" spans="1:15" hidden="1" x14ac:dyDescent="0.15">
      <c r="A215" s="154"/>
      <c r="B215" s="151"/>
      <c r="C215" s="152"/>
      <c r="D215" s="323"/>
      <c r="E215" s="154"/>
      <c r="F215" s="157"/>
      <c r="G215" s="152"/>
      <c r="H215" s="323"/>
      <c r="I215" s="152"/>
      <c r="J215" s="157"/>
      <c r="K215" s="154"/>
      <c r="L215" s="227"/>
      <c r="M215" s="157"/>
      <c r="N215" s="227">
        <f t="shared" si="18"/>
        <v>182191.72036200974</v>
      </c>
      <c r="O215" s="152">
        <f t="shared" si="19"/>
        <v>530563.96636201174</v>
      </c>
    </row>
    <row r="216" spans="1:15" hidden="1" x14ac:dyDescent="0.15">
      <c r="A216" s="154"/>
      <c r="B216" s="151"/>
      <c r="C216" s="152"/>
      <c r="D216" s="323"/>
      <c r="E216" s="154"/>
      <c r="F216" s="157"/>
      <c r="G216" s="152"/>
      <c r="H216" s="323"/>
      <c r="I216" s="152"/>
      <c r="J216" s="157"/>
      <c r="K216" s="154"/>
      <c r="L216" s="227"/>
      <c r="M216" s="157"/>
      <c r="N216" s="227">
        <f t="shared" si="18"/>
        <v>182191.72036200974</v>
      </c>
      <c r="O216" s="152">
        <f t="shared" si="19"/>
        <v>530563.96636201174</v>
      </c>
    </row>
    <row r="217" spans="1:15" hidden="1" x14ac:dyDescent="0.15">
      <c r="A217" s="154"/>
      <c r="B217" s="151"/>
      <c r="C217" s="152"/>
      <c r="D217" s="323"/>
      <c r="E217" s="154"/>
      <c r="F217" s="157"/>
      <c r="G217" s="152"/>
      <c r="H217" s="323"/>
      <c r="I217" s="152"/>
      <c r="J217" s="157"/>
      <c r="K217" s="154"/>
      <c r="L217" s="227"/>
      <c r="M217" s="157"/>
      <c r="N217" s="227">
        <f t="shared" si="18"/>
        <v>182191.72036200974</v>
      </c>
      <c r="O217" s="152">
        <f t="shared" si="19"/>
        <v>530563.96636201174</v>
      </c>
    </row>
    <row r="218" spans="1:15" hidden="1" x14ac:dyDescent="0.15">
      <c r="A218" s="154"/>
      <c r="B218" s="151"/>
      <c r="C218" s="152"/>
      <c r="D218" s="323"/>
      <c r="E218" s="155"/>
      <c r="F218" s="157"/>
      <c r="G218" s="152"/>
      <c r="H218" s="323"/>
      <c r="I218" s="152"/>
      <c r="J218" s="157"/>
      <c r="K218" s="154"/>
      <c r="L218" s="227"/>
      <c r="M218" s="157"/>
      <c r="N218" s="227">
        <f t="shared" si="18"/>
        <v>182191.72036200974</v>
      </c>
      <c r="O218" s="152">
        <f t="shared" si="19"/>
        <v>530563.96636201174</v>
      </c>
    </row>
    <row r="219" spans="1:15" hidden="1" x14ac:dyDescent="0.15">
      <c r="A219" s="154"/>
      <c r="B219" s="151"/>
      <c r="C219" s="152"/>
      <c r="D219" s="323"/>
      <c r="E219" s="154"/>
      <c r="F219" s="157"/>
      <c r="G219" s="152"/>
      <c r="H219" s="323"/>
      <c r="I219" s="152"/>
      <c r="J219" s="157"/>
      <c r="K219" s="154"/>
      <c r="L219" s="227"/>
      <c r="M219" s="157"/>
      <c r="N219" s="227">
        <f t="shared" si="18"/>
        <v>182191.72036200974</v>
      </c>
      <c r="O219" s="152">
        <f t="shared" si="19"/>
        <v>530563.96636201174</v>
      </c>
    </row>
    <row r="220" spans="1:15" hidden="1" x14ac:dyDescent="0.15">
      <c r="A220" s="154"/>
      <c r="B220" s="151"/>
      <c r="C220" s="152"/>
      <c r="D220" s="323"/>
      <c r="E220" s="154"/>
      <c r="F220" s="157"/>
      <c r="G220" s="152"/>
      <c r="H220" s="323"/>
      <c r="I220" s="152"/>
      <c r="J220" s="154"/>
      <c r="K220" s="154"/>
      <c r="L220" s="227"/>
      <c r="M220" s="157"/>
      <c r="N220" s="227">
        <f t="shared" si="18"/>
        <v>182191.72036200974</v>
      </c>
      <c r="O220" s="152">
        <f t="shared" si="19"/>
        <v>530563.96636201174</v>
      </c>
    </row>
    <row r="221" spans="1:15" hidden="1" x14ac:dyDescent="0.15">
      <c r="A221" s="154"/>
      <c r="B221" s="151"/>
      <c r="C221" s="151"/>
      <c r="D221" s="323"/>
      <c r="E221" s="154"/>
      <c r="F221" s="157"/>
      <c r="G221" s="152"/>
      <c r="H221" s="323"/>
      <c r="I221" s="152"/>
      <c r="J221" s="154"/>
      <c r="K221" s="154"/>
      <c r="L221" s="227"/>
      <c r="M221" s="157"/>
      <c r="N221" s="227">
        <f t="shared" si="18"/>
        <v>182191.72036200974</v>
      </c>
      <c r="O221" s="152">
        <f t="shared" si="19"/>
        <v>530563.96636201174</v>
      </c>
    </row>
    <row r="222" spans="1:15" hidden="1" x14ac:dyDescent="0.15">
      <c r="A222" s="154"/>
      <c r="B222" s="151"/>
      <c r="C222" s="151"/>
      <c r="D222" s="323"/>
      <c r="E222" s="155"/>
      <c r="F222" s="157"/>
      <c r="G222" s="152"/>
      <c r="H222" s="323"/>
      <c r="I222" s="152"/>
      <c r="J222" s="154"/>
      <c r="K222" s="154"/>
      <c r="L222" s="227"/>
      <c r="M222" s="157"/>
      <c r="N222" s="227">
        <f t="shared" si="18"/>
        <v>182191.72036200974</v>
      </c>
      <c r="O222" s="152">
        <f t="shared" si="19"/>
        <v>530563.96636201174</v>
      </c>
    </row>
    <row r="223" spans="1:15" hidden="1" x14ac:dyDescent="0.15">
      <c r="A223" s="154"/>
      <c r="B223" s="151"/>
      <c r="C223" s="151"/>
      <c r="D223" s="323"/>
      <c r="E223" s="154"/>
      <c r="F223" s="160"/>
      <c r="G223" s="152"/>
      <c r="H223" s="323"/>
      <c r="I223" s="152"/>
      <c r="J223" s="157"/>
      <c r="K223" s="154"/>
      <c r="L223" s="227"/>
      <c r="M223" s="157"/>
      <c r="N223" s="227">
        <f t="shared" si="18"/>
        <v>182191.72036200974</v>
      </c>
      <c r="O223" s="152">
        <f t="shared" si="19"/>
        <v>530563.96636201174</v>
      </c>
    </row>
    <row r="224" spans="1:15" hidden="1" x14ac:dyDescent="0.15">
      <c r="A224" s="154"/>
      <c r="B224" s="151"/>
      <c r="C224" s="151"/>
      <c r="D224" s="323"/>
      <c r="E224" s="154"/>
      <c r="F224" s="160"/>
      <c r="G224" s="152"/>
      <c r="H224" s="323"/>
      <c r="I224" s="152"/>
      <c r="J224" s="150"/>
      <c r="K224" s="154"/>
      <c r="L224" s="227"/>
      <c r="M224" s="157"/>
      <c r="N224" s="227">
        <f t="shared" si="18"/>
        <v>182191.72036200974</v>
      </c>
      <c r="O224" s="152">
        <f t="shared" si="19"/>
        <v>530563.96636201174</v>
      </c>
    </row>
    <row r="225" spans="1:15" x14ac:dyDescent="0.15">
      <c r="A225" s="173"/>
      <c r="B225" s="173"/>
      <c r="C225" s="174"/>
      <c r="D225" s="323"/>
      <c r="E225" s="173"/>
      <c r="F225" s="173"/>
      <c r="G225" s="174"/>
      <c r="H225" s="323"/>
      <c r="I225" s="174"/>
      <c r="J225" s="173"/>
      <c r="K225" s="154"/>
      <c r="L225" s="228"/>
      <c r="M225" s="173"/>
      <c r="N225" s="227">
        <f t="shared" si="18"/>
        <v>182191.72036200974</v>
      </c>
      <c r="O225" s="152">
        <f t="shared" si="19"/>
        <v>530563.96636201174</v>
      </c>
    </row>
    <row r="226" spans="1:15" x14ac:dyDescent="0.15">
      <c r="A226" s="177"/>
      <c r="B226" s="177"/>
      <c r="C226" s="178">
        <f>SUM(C7:C224)</f>
        <v>547284.97376201104</v>
      </c>
      <c r="D226" s="177"/>
      <c r="E226" s="177"/>
      <c r="F226" s="177"/>
      <c r="G226" s="178">
        <f>SUM(G7:G225)</f>
        <v>3202583.5739999991</v>
      </c>
      <c r="H226" s="179"/>
      <c r="I226" s="178">
        <f>SUM(I7:I225)</f>
        <v>366136.21139999985</v>
      </c>
      <c r="J226" s="177"/>
      <c r="K226" s="177"/>
      <c r="L226" s="178">
        <f>SUM(L7:L225)</f>
        <v>2853168.3700000006</v>
      </c>
      <c r="M226" s="177"/>
      <c r="N226" s="180"/>
      <c r="O226" s="181">
        <f>C226+G226-I226-L226</f>
        <v>530563.96636200976</v>
      </c>
    </row>
    <row r="227" spans="1:15" x14ac:dyDescent="0.15">
      <c r="A227" s="182"/>
      <c r="B227" s="465"/>
      <c r="C227" s="465"/>
      <c r="D227" s="465"/>
      <c r="E227" s="183"/>
      <c r="F227" s="284"/>
      <c r="G227" s="185"/>
      <c r="H227" s="186"/>
      <c r="I227" s="187"/>
      <c r="J227" s="188"/>
      <c r="K227" s="189" t="s">
        <v>139</v>
      </c>
      <c r="L227" s="190">
        <f>+L226+I226</f>
        <v>3219304.5814000005</v>
      </c>
      <c r="M227" s="197"/>
      <c r="N227" s="230">
        <f>+N225</f>
        <v>182191.72036200974</v>
      </c>
      <c r="O227" s="195" t="s">
        <v>2018</v>
      </c>
    </row>
    <row r="228" spans="1:15" x14ac:dyDescent="0.15">
      <c r="A228" s="133"/>
      <c r="B228" s="373"/>
      <c r="C228" s="373"/>
      <c r="D228" s="373"/>
      <c r="E228" s="183"/>
      <c r="F228" s="374"/>
      <c r="G228" s="219"/>
      <c r="H228" s="186"/>
      <c r="I228" s="187"/>
      <c r="J228" s="210"/>
      <c r="N228" s="230">
        <v>304320.84100000106</v>
      </c>
      <c r="O228" s="334" t="s">
        <v>2019</v>
      </c>
    </row>
    <row r="229" spans="1:15" x14ac:dyDescent="0.15">
      <c r="A229" s="133"/>
      <c r="B229" s="373"/>
      <c r="C229" s="373"/>
      <c r="D229" s="373"/>
      <c r="E229" s="183"/>
      <c r="F229" s="374"/>
      <c r="G229" s="219"/>
      <c r="H229" s="186"/>
      <c r="I229" s="187"/>
      <c r="J229" s="210"/>
      <c r="N229" s="230">
        <v>44051.405000000101</v>
      </c>
      <c r="O229" s="334" t="s">
        <v>2020</v>
      </c>
    </row>
    <row r="230" spans="1:15" x14ac:dyDescent="0.15">
      <c r="A230" s="193" t="s">
        <v>2000</v>
      </c>
      <c r="B230" s="131" t="s">
        <v>2013</v>
      </c>
      <c r="E230" s="183" t="s">
        <v>55</v>
      </c>
      <c r="F230" s="375">
        <v>15030249.93</v>
      </c>
      <c r="G230" s="219" t="s">
        <v>56</v>
      </c>
      <c r="H230" s="186">
        <v>41912</v>
      </c>
      <c r="I230" s="187" t="s">
        <v>71</v>
      </c>
      <c r="J230" s="210">
        <v>125583.87776201099</v>
      </c>
      <c r="K230" s="297"/>
      <c r="N230" s="230"/>
      <c r="O230" s="195"/>
    </row>
    <row r="231" spans="1:15" x14ac:dyDescent="0.15">
      <c r="A231" s="193" t="s">
        <v>2025</v>
      </c>
      <c r="B231" s="131" t="s">
        <v>2030</v>
      </c>
      <c r="E231" s="183" t="s">
        <v>55</v>
      </c>
      <c r="F231" s="375">
        <v>14709652.18</v>
      </c>
      <c r="G231" s="219" t="s">
        <v>56</v>
      </c>
      <c r="H231" s="186">
        <v>41927</v>
      </c>
      <c r="I231" s="187" t="s">
        <v>71</v>
      </c>
      <c r="J231" s="210">
        <v>303779.01559999987</v>
      </c>
      <c r="K231" s="333"/>
      <c r="N231" s="230"/>
      <c r="O231" s="195"/>
    </row>
    <row r="232" spans="1:15" x14ac:dyDescent="0.15">
      <c r="A232" s="193" t="s">
        <v>2026</v>
      </c>
      <c r="B232" s="131" t="s">
        <v>2031</v>
      </c>
      <c r="E232" s="183" t="s">
        <v>55</v>
      </c>
      <c r="F232" s="375">
        <v>7429474.4199999999</v>
      </c>
      <c r="G232" s="219" t="s">
        <v>56</v>
      </c>
      <c r="H232" s="186">
        <v>41933</v>
      </c>
      <c r="I232" s="187" t="s">
        <v>71</v>
      </c>
      <c r="J232" s="210">
        <v>234158.64599999975</v>
      </c>
      <c r="N232" s="230"/>
      <c r="O232" s="195"/>
    </row>
    <row r="233" spans="1:15" x14ac:dyDescent="0.15">
      <c r="A233" s="193" t="s">
        <v>2018</v>
      </c>
      <c r="B233" s="131" t="s">
        <v>2041</v>
      </c>
      <c r="E233" s="183" t="s">
        <v>55</v>
      </c>
      <c r="F233" s="375">
        <v>20380163.18</v>
      </c>
      <c r="G233" s="219" t="s">
        <v>56</v>
      </c>
      <c r="H233" s="186">
        <v>41947</v>
      </c>
      <c r="I233" s="187" t="s">
        <v>71</v>
      </c>
      <c r="J233" s="210">
        <v>117925.87663798929</v>
      </c>
      <c r="K233" s="333"/>
      <c r="N233" s="230"/>
      <c r="O233" s="195"/>
    </row>
    <row r="234" spans="1:15" ht="12" thickBot="1" x14ac:dyDescent="0.2">
      <c r="A234" s="133"/>
      <c r="B234" s="373"/>
      <c r="C234" s="373"/>
      <c r="D234" s="373"/>
      <c r="E234" s="183"/>
      <c r="F234" s="374"/>
      <c r="G234" s="219"/>
      <c r="H234" s="186"/>
      <c r="I234" s="217" t="s">
        <v>856</v>
      </c>
      <c r="J234" s="211">
        <f>SUM(J230:J233)</f>
        <v>781447.41599999985</v>
      </c>
      <c r="N234" s="206" t="s">
        <v>33</v>
      </c>
      <c r="O234" s="207">
        <f>SUM(N227:N233)</f>
        <v>530563.96636201092</v>
      </c>
    </row>
    <row r="235" spans="1:15" ht="12" thickTop="1" x14ac:dyDescent="0.15">
      <c r="A235" s="193" t="s">
        <v>2001</v>
      </c>
      <c r="B235" s="131" t="s">
        <v>2032</v>
      </c>
      <c r="E235" s="183" t="s">
        <v>55</v>
      </c>
      <c r="F235" s="375">
        <v>28402989.16</v>
      </c>
      <c r="G235" s="219" t="s">
        <v>56</v>
      </c>
      <c r="H235" s="186">
        <v>41913</v>
      </c>
      <c r="I235" s="187" t="s">
        <v>71</v>
      </c>
      <c r="J235" s="210">
        <v>116244.93223798899</v>
      </c>
      <c r="K235" s="193"/>
      <c r="O235" s="190">
        <f>+O226-O234</f>
        <v>-1.1641532182693481E-9</v>
      </c>
    </row>
    <row r="236" spans="1:15" s="132" customFormat="1" x14ac:dyDescent="0.15">
      <c r="A236" s="193" t="s">
        <v>2002</v>
      </c>
      <c r="B236" s="131" t="s">
        <v>2033</v>
      </c>
      <c r="D236" s="133"/>
      <c r="E236" s="183" t="s">
        <v>55</v>
      </c>
      <c r="F236" s="375">
        <v>72826214.879999995</v>
      </c>
      <c r="G236" s="219" t="s">
        <v>56</v>
      </c>
      <c r="H236" s="186">
        <v>41914</v>
      </c>
      <c r="I236" s="187" t="s">
        <v>71</v>
      </c>
      <c r="J236" s="210">
        <v>274160.80776201107</v>
      </c>
      <c r="K236" s="193"/>
      <c r="M236" s="134"/>
    </row>
    <row r="237" spans="1:15" s="132" customFormat="1" x14ac:dyDescent="0.15">
      <c r="A237" s="193" t="s">
        <v>2021</v>
      </c>
      <c r="B237" s="131" t="s">
        <v>2034</v>
      </c>
      <c r="D237" s="133"/>
      <c r="E237" s="183" t="s">
        <v>55</v>
      </c>
      <c r="F237" s="375">
        <v>92537756.469999999</v>
      </c>
      <c r="G237" s="219" t="s">
        <v>56</v>
      </c>
      <c r="H237" s="186">
        <v>41918</v>
      </c>
      <c r="I237" s="187" t="s">
        <v>71</v>
      </c>
      <c r="J237" s="210">
        <v>233079.37500000003</v>
      </c>
      <c r="K237" s="193"/>
      <c r="M237" s="134"/>
    </row>
    <row r="238" spans="1:15" s="132" customFormat="1" x14ac:dyDescent="0.15">
      <c r="A238" s="193" t="s">
        <v>2022</v>
      </c>
      <c r="B238" s="131" t="s">
        <v>2035</v>
      </c>
      <c r="D238" s="133"/>
      <c r="E238" s="183" t="s">
        <v>55</v>
      </c>
      <c r="F238" s="375">
        <v>36218356.350000001</v>
      </c>
      <c r="G238" s="219" t="s">
        <v>56</v>
      </c>
      <c r="H238" s="186">
        <v>41919</v>
      </c>
      <c r="I238" s="187" t="s">
        <v>71</v>
      </c>
      <c r="J238" s="210">
        <v>246804.26199999981</v>
      </c>
      <c r="K238" s="193"/>
      <c r="M238" s="134"/>
    </row>
    <row r="239" spans="1:15" s="132" customFormat="1" x14ac:dyDescent="0.15">
      <c r="A239" s="193" t="s">
        <v>2023</v>
      </c>
      <c r="B239" s="131" t="s">
        <v>2036</v>
      </c>
      <c r="D239" s="133"/>
      <c r="E239" s="183" t="s">
        <v>55</v>
      </c>
      <c r="F239" s="375">
        <v>17320607.780000001</v>
      </c>
      <c r="G239" s="219" t="s">
        <v>56</v>
      </c>
      <c r="H239" s="186">
        <v>41920</v>
      </c>
      <c r="I239" s="187" t="s">
        <v>71</v>
      </c>
      <c r="J239" s="210">
        <v>247998.77000000016</v>
      </c>
      <c r="K239" s="193"/>
      <c r="M239" s="134"/>
    </row>
    <row r="240" spans="1:15" s="132" customFormat="1" x14ac:dyDescent="0.15">
      <c r="A240" s="193" t="s">
        <v>2024</v>
      </c>
      <c r="B240" s="131" t="s">
        <v>2037</v>
      </c>
      <c r="D240" s="133"/>
      <c r="E240" s="183" t="s">
        <v>55</v>
      </c>
      <c r="F240" s="375">
        <v>34558629.740000002</v>
      </c>
      <c r="G240" s="219" t="s">
        <v>56</v>
      </c>
      <c r="H240" s="186">
        <v>41925</v>
      </c>
      <c r="I240" s="187" t="s">
        <v>71</v>
      </c>
      <c r="J240" s="210">
        <v>114400.91899999999</v>
      </c>
      <c r="K240" s="193"/>
      <c r="M240" s="134"/>
    </row>
    <row r="241" spans="1:15" s="132" customFormat="1" x14ac:dyDescent="0.15">
      <c r="A241" s="193" t="s">
        <v>2027</v>
      </c>
      <c r="B241" s="131" t="s">
        <v>2038</v>
      </c>
      <c r="D241" s="133"/>
      <c r="E241" s="183" t="s">
        <v>55</v>
      </c>
      <c r="F241" s="375">
        <v>63262390.270000003</v>
      </c>
      <c r="G241" s="219" t="s">
        <v>56</v>
      </c>
      <c r="H241" s="186">
        <v>41934</v>
      </c>
      <c r="I241" s="187" t="s">
        <v>71</v>
      </c>
      <c r="J241" s="210">
        <v>235192.26300000021</v>
      </c>
      <c r="K241" s="193"/>
      <c r="M241" s="134"/>
    </row>
    <row r="242" spans="1:15" s="132" customFormat="1" x14ac:dyDescent="0.15">
      <c r="A242" s="193" t="s">
        <v>2028</v>
      </c>
      <c r="B242" s="131" t="s">
        <v>2039</v>
      </c>
      <c r="D242" s="133"/>
      <c r="E242" s="183" t="s">
        <v>55</v>
      </c>
      <c r="F242" s="375">
        <v>26339975.829999998</v>
      </c>
      <c r="G242" s="219" t="s">
        <v>56</v>
      </c>
      <c r="H242" s="186">
        <v>41939</v>
      </c>
      <c r="I242" s="187" t="s">
        <v>71</v>
      </c>
      <c r="J242" s="210">
        <v>438262.43099999992</v>
      </c>
      <c r="K242" s="193"/>
      <c r="M242" s="134"/>
    </row>
    <row r="243" spans="1:15" s="132" customFormat="1" x14ac:dyDescent="0.15">
      <c r="A243" s="193" t="s">
        <v>2029</v>
      </c>
      <c r="B243" s="131" t="s">
        <v>2040</v>
      </c>
      <c r="D243" s="133"/>
      <c r="E243" s="183" t="s">
        <v>55</v>
      </c>
      <c r="F243" s="375">
        <v>27211656.120000001</v>
      </c>
      <c r="G243" s="219" t="s">
        <v>56</v>
      </c>
      <c r="H243" s="186">
        <v>41941</v>
      </c>
      <c r="I243" s="187" t="s">
        <v>71</v>
      </c>
      <c r="J243" s="210">
        <v>165577.1939999999</v>
      </c>
      <c r="K243" s="133"/>
      <c r="M243" s="134"/>
    </row>
    <row r="244" spans="1:15" s="132" customFormat="1" ht="12" thickBot="1" x14ac:dyDescent="0.2">
      <c r="A244" s="133"/>
      <c r="B244" s="373"/>
      <c r="C244" s="373"/>
      <c r="D244" s="373"/>
      <c r="E244" s="183"/>
      <c r="F244" s="374"/>
      <c r="G244" s="219"/>
      <c r="H244" s="186"/>
      <c r="I244" s="217" t="s">
        <v>106</v>
      </c>
      <c r="J244" s="211">
        <f>SUM(J235:J243)</f>
        <v>2071720.9540000001</v>
      </c>
      <c r="K244" s="133"/>
      <c r="M244" s="134"/>
    </row>
    <row r="245" spans="1:15" s="132" customFormat="1" ht="12" thickTop="1" x14ac:dyDescent="0.15">
      <c r="A245" s="133"/>
      <c r="B245" s="373"/>
      <c r="C245" s="373"/>
      <c r="D245" s="373"/>
      <c r="E245" s="183"/>
      <c r="F245" s="374"/>
      <c r="G245" s="219"/>
      <c r="H245" s="186"/>
      <c r="I245" s="187"/>
      <c r="J245" s="210"/>
      <c r="K245" s="133"/>
      <c r="M245" s="134"/>
    </row>
    <row r="246" spans="1:15" s="132" customFormat="1" x14ac:dyDescent="0.15">
      <c r="A246" s="133"/>
      <c r="B246" s="373"/>
      <c r="C246" s="373"/>
      <c r="D246" s="373"/>
      <c r="E246" s="183"/>
      <c r="F246" s="374"/>
      <c r="G246" s="219"/>
      <c r="H246" s="186"/>
      <c r="I246" s="187"/>
      <c r="J246" s="210"/>
      <c r="K246" s="133"/>
      <c r="M246" s="134"/>
    </row>
    <row r="247" spans="1:15" s="132" customFormat="1" x14ac:dyDescent="0.15">
      <c r="A247" s="133"/>
      <c r="B247" s="373"/>
      <c r="C247" s="373"/>
      <c r="D247" s="373"/>
      <c r="E247" s="183"/>
      <c r="F247" s="374"/>
      <c r="G247" s="219"/>
      <c r="H247" s="186"/>
      <c r="I247" s="187"/>
      <c r="J247" s="210"/>
      <c r="K247" s="133"/>
      <c r="M247" s="134"/>
    </row>
    <row r="248" spans="1:15" s="132" customFormat="1" x14ac:dyDescent="0.15">
      <c r="A248" s="133"/>
      <c r="B248" s="133" t="s">
        <v>9</v>
      </c>
      <c r="C248" s="220" t="s">
        <v>729</v>
      </c>
      <c r="D248" s="220" t="s">
        <v>850</v>
      </c>
      <c r="E248" s="133" t="s">
        <v>570</v>
      </c>
      <c r="F248" s="133" t="s">
        <v>571</v>
      </c>
      <c r="G248" s="133" t="s">
        <v>16</v>
      </c>
      <c r="H248" s="134"/>
      <c r="J248" s="205"/>
      <c r="K248" s="133"/>
      <c r="M248" s="134"/>
    </row>
    <row r="249" spans="1:15" s="132" customFormat="1" x14ac:dyDescent="0.15">
      <c r="A249" s="193" t="s">
        <v>2000</v>
      </c>
      <c r="B249" s="210">
        <v>125584</v>
      </c>
      <c r="C249" s="221">
        <v>22.8492</v>
      </c>
      <c r="D249" s="237">
        <f t="shared" ref="D249:D252" si="20">+B249*C249</f>
        <v>2869493.9328000001</v>
      </c>
      <c r="E249" s="235">
        <f t="shared" ref="E249:E252" si="21">+D249*0.01</f>
        <v>28694.939328</v>
      </c>
      <c r="F249" s="235">
        <f t="shared" ref="F249:F252" si="22">+E249*0.1</f>
        <v>2869.4939328</v>
      </c>
      <c r="G249" s="236">
        <f t="shared" ref="G249:G252" si="23">SUM(E249:F249)</f>
        <v>31564.4332608</v>
      </c>
      <c r="H249" s="134"/>
      <c r="J249" s="205"/>
      <c r="K249" s="133"/>
      <c r="M249" s="134"/>
    </row>
    <row r="250" spans="1:15" s="132" customFormat="1" x14ac:dyDescent="0.15">
      <c r="A250" s="193" t="s">
        <v>2025</v>
      </c>
      <c r="B250" s="210">
        <v>303779</v>
      </c>
      <c r="C250" s="221">
        <v>21.829599999999999</v>
      </c>
      <c r="D250" s="237">
        <f t="shared" si="20"/>
        <v>6631374.0583999995</v>
      </c>
      <c r="E250" s="235">
        <f t="shared" si="21"/>
        <v>66313.740583999999</v>
      </c>
      <c r="F250" s="235">
        <f t="shared" si="22"/>
        <v>6631.3740584000006</v>
      </c>
      <c r="G250" s="236">
        <f t="shared" si="23"/>
        <v>72945.114642400004</v>
      </c>
      <c r="H250" s="133"/>
      <c r="J250" s="205"/>
      <c r="K250" s="133"/>
      <c r="M250" s="134"/>
    </row>
    <row r="251" spans="1:15" s="132" customFormat="1" x14ac:dyDescent="0.15">
      <c r="A251" s="193" t="s">
        <v>2026</v>
      </c>
      <c r="B251" s="210">
        <v>234159</v>
      </c>
      <c r="C251" s="221">
        <v>21.6464</v>
      </c>
      <c r="D251" s="237">
        <f t="shared" si="20"/>
        <v>5068699.3776000002</v>
      </c>
      <c r="E251" s="235">
        <f t="shared" si="21"/>
        <v>50686.993776000003</v>
      </c>
      <c r="F251" s="235">
        <f t="shared" si="22"/>
        <v>5068.6993776000008</v>
      </c>
      <c r="G251" s="236">
        <f t="shared" si="23"/>
        <v>55755.693153600005</v>
      </c>
      <c r="H251" s="133"/>
      <c r="J251" s="205"/>
      <c r="K251" s="133"/>
      <c r="M251" s="134"/>
    </row>
    <row r="252" spans="1:15" s="133" customFormat="1" x14ac:dyDescent="0.15">
      <c r="A252" s="193" t="s">
        <v>2018</v>
      </c>
      <c r="B252" s="210">
        <v>117926</v>
      </c>
      <c r="C252" s="221">
        <v>20.3567</v>
      </c>
      <c r="D252" s="237">
        <f t="shared" si="20"/>
        <v>2400584.2042</v>
      </c>
      <c r="E252" s="235">
        <f t="shared" si="21"/>
        <v>24005.842042</v>
      </c>
      <c r="F252" s="235">
        <f t="shared" si="22"/>
        <v>2400.5842041999999</v>
      </c>
      <c r="G252" s="236">
        <f t="shared" si="23"/>
        <v>26406.426246200001</v>
      </c>
      <c r="H252" s="134"/>
      <c r="I252" s="132"/>
      <c r="J252" s="205"/>
      <c r="L252" s="132"/>
      <c r="M252" s="134"/>
      <c r="N252" s="132"/>
      <c r="O252" s="132"/>
    </row>
    <row r="253" spans="1:15" s="133" customFormat="1" ht="12" thickBot="1" x14ac:dyDescent="0.2">
      <c r="B253" s="211">
        <f>SUM(B249:B252)</f>
        <v>781448</v>
      </c>
      <c r="C253" s="221"/>
      <c r="D253" s="237"/>
      <c r="E253" s="242">
        <f>SUM(E249:E252)</f>
        <v>169701.51573000001</v>
      </c>
      <c r="F253" s="242">
        <f t="shared" ref="F253:G253" si="24">SUM(F249:F252)</f>
        <v>16970.151573000003</v>
      </c>
      <c r="G253" s="242">
        <f t="shared" si="24"/>
        <v>186671.66730299999</v>
      </c>
      <c r="H253" s="186"/>
      <c r="I253" s="132"/>
      <c r="J253" s="205"/>
      <c r="L253" s="132"/>
      <c r="M253" s="134"/>
      <c r="N253" s="132"/>
      <c r="O253" s="132"/>
    </row>
    <row r="254" spans="1:15" s="133" customFormat="1" ht="12" thickTop="1" x14ac:dyDescent="0.15">
      <c r="A254" s="193" t="s">
        <v>2001</v>
      </c>
      <c r="B254" s="210">
        <v>116245</v>
      </c>
      <c r="C254" s="221">
        <v>22.7681</v>
      </c>
      <c r="D254" s="237">
        <f t="shared" ref="D254:D262" si="25">+B254*C254</f>
        <v>2646677.7845000001</v>
      </c>
      <c r="E254" s="235">
        <f t="shared" ref="E254:E262" si="26">+D254*0.01</f>
        <v>26466.777845000001</v>
      </c>
      <c r="F254" s="235">
        <f t="shared" ref="F254:F262" si="27">+E254*0.1</f>
        <v>2646.6777845000001</v>
      </c>
      <c r="G254" s="236">
        <f t="shared" ref="G254:G256" si="28">SUM(E254:F254)</f>
        <v>29113.4556295</v>
      </c>
      <c r="H254" s="186"/>
      <c r="I254" s="132"/>
      <c r="J254" s="134"/>
      <c r="L254" s="132"/>
      <c r="M254" s="134"/>
      <c r="N254" s="132"/>
      <c r="O254" s="132"/>
    </row>
    <row r="255" spans="1:15" s="133" customFormat="1" x14ac:dyDescent="0.15">
      <c r="A255" s="193" t="s">
        <v>2002</v>
      </c>
      <c r="B255" s="210">
        <v>274161</v>
      </c>
      <c r="C255" s="221">
        <v>22.7681</v>
      </c>
      <c r="D255" s="237">
        <f t="shared" si="25"/>
        <v>6242125.0641000001</v>
      </c>
      <c r="E255" s="235">
        <f t="shared" si="26"/>
        <v>62421.250640999999</v>
      </c>
      <c r="F255" s="235">
        <f t="shared" si="27"/>
        <v>6242.1250641000006</v>
      </c>
      <c r="G255" s="236">
        <f t="shared" si="28"/>
        <v>68663.375705099999</v>
      </c>
      <c r="H255" s="186"/>
      <c r="I255" s="132"/>
      <c r="J255" s="134"/>
      <c r="L255" s="132"/>
      <c r="M255" s="134"/>
      <c r="N255" s="132"/>
      <c r="O255" s="132"/>
    </row>
    <row r="256" spans="1:15" s="133" customFormat="1" x14ac:dyDescent="0.15">
      <c r="A256" s="193" t="s">
        <v>2021</v>
      </c>
      <c r="B256" s="210">
        <v>233079</v>
      </c>
      <c r="C256" s="221">
        <v>22.699000000000002</v>
      </c>
      <c r="D256" s="237">
        <f t="shared" si="25"/>
        <v>5290660.2210000008</v>
      </c>
      <c r="E256" s="235">
        <f t="shared" si="26"/>
        <v>52906.602210000012</v>
      </c>
      <c r="F256" s="235">
        <f t="shared" si="27"/>
        <v>5290.6602210000019</v>
      </c>
      <c r="G256" s="236">
        <f t="shared" si="28"/>
        <v>58197.26243100001</v>
      </c>
      <c r="H256" s="186"/>
      <c r="I256" s="132"/>
      <c r="J256" s="134"/>
      <c r="L256" s="132"/>
      <c r="M256" s="134"/>
      <c r="N256" s="132"/>
      <c r="O256" s="132"/>
    </row>
    <row r="257" spans="1:15" s="133" customFormat="1" x14ac:dyDescent="0.15">
      <c r="A257" s="193" t="s">
        <v>2022</v>
      </c>
      <c r="B257" s="210">
        <v>246804</v>
      </c>
      <c r="C257" s="221">
        <v>22.706800000000001</v>
      </c>
      <c r="D257" s="237">
        <f t="shared" si="25"/>
        <v>5604129.0672000004</v>
      </c>
      <c r="E257" s="235">
        <f t="shared" si="26"/>
        <v>56041.290672000003</v>
      </c>
      <c r="F257" s="235">
        <f t="shared" si="27"/>
        <v>5604.1290672000005</v>
      </c>
      <c r="G257" s="236">
        <f t="shared" ref="G257:G262" si="29">SUM(E257:F257)</f>
        <v>61645.419739200006</v>
      </c>
      <c r="H257" s="186"/>
      <c r="I257" s="132"/>
      <c r="J257" s="134"/>
      <c r="L257" s="132"/>
      <c r="M257" s="134"/>
      <c r="N257" s="132"/>
      <c r="O257" s="132"/>
    </row>
    <row r="258" spans="1:15" s="132" customFormat="1" x14ac:dyDescent="0.15">
      <c r="A258" s="193" t="s">
        <v>2023</v>
      </c>
      <c r="B258" s="210">
        <v>247999</v>
      </c>
      <c r="C258" s="221">
        <v>22.825299999999999</v>
      </c>
      <c r="D258" s="237">
        <f t="shared" si="25"/>
        <v>5660651.5746999998</v>
      </c>
      <c r="E258" s="235">
        <f t="shared" si="26"/>
        <v>56606.515746999998</v>
      </c>
      <c r="F258" s="235">
        <f t="shared" si="27"/>
        <v>5660.6515747000003</v>
      </c>
      <c r="G258" s="236">
        <f t="shared" si="29"/>
        <v>62267.167321699999</v>
      </c>
      <c r="H258" s="186"/>
      <c r="J258" s="134"/>
      <c r="K258" s="133"/>
      <c r="M258" s="134"/>
    </row>
    <row r="259" spans="1:15" s="132" customFormat="1" x14ac:dyDescent="0.15">
      <c r="A259" s="193" t="s">
        <v>2024</v>
      </c>
      <c r="B259" s="210">
        <v>114401</v>
      </c>
      <c r="C259" s="221">
        <v>22.5426</v>
      </c>
      <c r="D259" s="237">
        <f t="shared" si="25"/>
        <v>2578895.9826000002</v>
      </c>
      <c r="E259" s="235">
        <f t="shared" si="26"/>
        <v>25788.959826000002</v>
      </c>
      <c r="F259" s="235">
        <f t="shared" si="27"/>
        <v>2578.8959826000005</v>
      </c>
      <c r="G259" s="236">
        <f t="shared" si="29"/>
        <v>28367.855808600001</v>
      </c>
      <c r="H259" s="186"/>
      <c r="J259" s="134"/>
      <c r="K259" s="133"/>
      <c r="M259" s="134"/>
    </row>
    <row r="260" spans="1:15" s="132" customFormat="1" x14ac:dyDescent="0.15">
      <c r="A260" s="193" t="s">
        <v>2027</v>
      </c>
      <c r="B260" s="210">
        <v>235192</v>
      </c>
      <c r="C260" s="221">
        <v>21.050599999999999</v>
      </c>
      <c r="D260" s="237">
        <f t="shared" si="25"/>
        <v>4950932.7151999995</v>
      </c>
      <c r="E260" s="235">
        <f t="shared" si="26"/>
        <v>49509.327151999998</v>
      </c>
      <c r="F260" s="235">
        <f t="shared" si="27"/>
        <v>4950.9327152000005</v>
      </c>
      <c r="G260" s="236">
        <f t="shared" si="29"/>
        <v>54460.259867200002</v>
      </c>
      <c r="H260" s="186"/>
      <c r="J260" s="134"/>
      <c r="K260" s="133"/>
      <c r="M260" s="134"/>
    </row>
    <row r="261" spans="1:15" s="132" customFormat="1" x14ac:dyDescent="0.15">
      <c r="A261" s="193" t="s">
        <v>2028</v>
      </c>
      <c r="B261" s="210">
        <v>438262</v>
      </c>
      <c r="C261" s="221">
        <v>21.6053</v>
      </c>
      <c r="D261" s="237">
        <f t="shared" si="25"/>
        <v>9468781.9886000007</v>
      </c>
      <c r="E261" s="235">
        <f t="shared" si="26"/>
        <v>94687.819886000012</v>
      </c>
      <c r="F261" s="235">
        <f t="shared" si="27"/>
        <v>9468.7819886000016</v>
      </c>
      <c r="G261" s="236">
        <f t="shared" si="29"/>
        <v>104156.60187460002</v>
      </c>
      <c r="H261" s="186"/>
      <c r="J261" s="134"/>
      <c r="K261" s="133"/>
      <c r="M261" s="134"/>
    </row>
    <row r="262" spans="1:15" s="132" customFormat="1" x14ac:dyDescent="0.15">
      <c r="A262" s="193" t="s">
        <v>2029</v>
      </c>
      <c r="B262" s="210">
        <v>165577</v>
      </c>
      <c r="C262" s="221">
        <v>20.654699999999998</v>
      </c>
      <c r="D262" s="237">
        <f t="shared" si="25"/>
        <v>3419943.2618999998</v>
      </c>
      <c r="E262" s="235">
        <f t="shared" si="26"/>
        <v>34199.432618999999</v>
      </c>
      <c r="F262" s="235">
        <f t="shared" si="27"/>
        <v>3419.9432618999999</v>
      </c>
      <c r="G262" s="236">
        <f t="shared" si="29"/>
        <v>37619.375880899999</v>
      </c>
      <c r="H262" s="186"/>
      <c r="J262" s="134"/>
      <c r="K262" s="133"/>
      <c r="M262" s="134"/>
    </row>
    <row r="263" spans="1:15" s="132" customFormat="1" ht="12" thickBot="1" x14ac:dyDescent="0.2">
      <c r="A263" s="133"/>
      <c r="B263" s="211">
        <f>SUM(B254:B262)</f>
        <v>2071720</v>
      </c>
      <c r="C263" s="221"/>
      <c r="D263" s="237"/>
      <c r="E263" s="242">
        <f>SUM(E254:E262)</f>
        <v>458627.97659800004</v>
      </c>
      <c r="F263" s="242">
        <f t="shared" ref="F263:G263" si="30">SUM(F254:F262)</f>
        <v>45862.797659800002</v>
      </c>
      <c r="G263" s="242">
        <f t="shared" si="30"/>
        <v>504490.77425780002</v>
      </c>
      <c r="H263" s="186"/>
      <c r="J263" s="134"/>
      <c r="K263" s="133"/>
      <c r="M263" s="134"/>
    </row>
    <row r="264" spans="1:15" s="132" customFormat="1" ht="12" thickTop="1" x14ac:dyDescent="0.15">
      <c r="A264" s="247"/>
      <c r="B264" s="190"/>
      <c r="C264" s="221"/>
      <c r="D264" s="222"/>
      <c r="E264" s="183"/>
      <c r="F264" s="375"/>
      <c r="G264" s="219"/>
      <c r="H264" s="186"/>
      <c r="J264" s="134"/>
      <c r="K264" s="133"/>
      <c r="M264" s="134"/>
    </row>
    <row r="265" spans="1:15" s="132" customFormat="1" x14ac:dyDescent="0.15">
      <c r="A265" s="247"/>
      <c r="B265" s="190"/>
      <c r="C265" s="221"/>
      <c r="D265" s="222"/>
      <c r="E265" s="183"/>
      <c r="F265" s="375"/>
      <c r="G265" s="219"/>
      <c r="H265" s="186"/>
      <c r="J265" s="134"/>
      <c r="K265" s="133"/>
      <c r="M265" s="134"/>
    </row>
    <row r="266" spans="1:15" s="132" customFormat="1" x14ac:dyDescent="0.15">
      <c r="A266" s="193"/>
      <c r="B266" s="131"/>
      <c r="D266" s="133"/>
      <c r="E266" s="183"/>
      <c r="F266" s="376"/>
      <c r="G266" s="219"/>
      <c r="H266" s="186"/>
      <c r="I266" s="187"/>
      <c r="J266" s="210"/>
      <c r="K266" s="133"/>
      <c r="M266" s="134"/>
    </row>
  </sheetData>
  <mergeCells count="7">
    <mergeCell ref="B227:D227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29"/>
  <sheetViews>
    <sheetView zoomScale="115" zoomScaleNormal="115" workbookViewId="0">
      <pane ySplit="6" topLeftCell="A180" activePane="bottomLeft" state="frozen"/>
      <selection pane="bottomLeft" activeCell="A185" sqref="A185:H186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" style="134" customWidth="1"/>
    <col min="14" max="14" width="11.285156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1992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1976</v>
      </c>
      <c r="B7" s="146"/>
      <c r="C7" s="152">
        <v>22953.374762011157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22953.374762011157</v>
      </c>
      <c r="O7" s="147">
        <f>+C181</f>
        <v>550883.64576201118</v>
      </c>
    </row>
    <row r="8" spans="1:15" x14ac:dyDescent="0.15">
      <c r="A8" s="154" t="s">
        <v>1977</v>
      </c>
      <c r="B8" s="151"/>
      <c r="C8" s="152">
        <v>455961.42099999997</v>
      </c>
      <c r="D8" s="323"/>
      <c r="E8" s="154"/>
      <c r="F8" s="154"/>
      <c r="G8" s="152"/>
      <c r="H8" s="323"/>
      <c r="I8" s="152"/>
      <c r="J8" s="157"/>
      <c r="K8" s="156"/>
      <c r="L8" s="227"/>
      <c r="M8" s="157"/>
      <c r="N8" s="227">
        <f>+N7-I8-L8</f>
        <v>22953.374762011157</v>
      </c>
      <c r="O8" s="152">
        <f t="shared" ref="O8:O9" si="0">O7+G8-I8-L8</f>
        <v>550883.64576201118</v>
      </c>
    </row>
    <row r="9" spans="1:15" x14ac:dyDescent="0.15">
      <c r="A9" s="157" t="s">
        <v>1978</v>
      </c>
      <c r="B9" s="151"/>
      <c r="C9" s="152">
        <v>71968.850000000006</v>
      </c>
      <c r="D9" s="323"/>
      <c r="E9" s="154"/>
      <c r="F9" s="157"/>
      <c r="G9" s="152"/>
      <c r="H9" s="323"/>
      <c r="I9" s="152"/>
      <c r="J9" s="157"/>
      <c r="K9" s="154"/>
      <c r="L9" s="227"/>
      <c r="M9" s="154"/>
      <c r="N9" s="227">
        <f t="shared" ref="N9" si="1">+N8-I9-L9</f>
        <v>22953.374762011157</v>
      </c>
      <c r="O9" s="152">
        <f t="shared" si="0"/>
        <v>550883.64576201118</v>
      </c>
    </row>
    <row r="10" spans="1:15" x14ac:dyDescent="0.15">
      <c r="A10" s="154"/>
      <c r="B10" s="151"/>
      <c r="C10" s="152"/>
      <c r="D10" s="323">
        <v>41883</v>
      </c>
      <c r="E10" s="154" t="s">
        <v>72</v>
      </c>
      <c r="F10" s="157" t="s">
        <v>1978</v>
      </c>
      <c r="G10" s="152">
        <v>43949.883999999998</v>
      </c>
      <c r="H10" s="323">
        <v>41883</v>
      </c>
      <c r="I10" s="152">
        <v>9543.35</v>
      </c>
      <c r="J10" s="157" t="s">
        <v>1976</v>
      </c>
      <c r="K10" s="154" t="s">
        <v>2003</v>
      </c>
      <c r="L10" s="227">
        <v>13410.024762011157</v>
      </c>
      <c r="M10" s="154" t="s">
        <v>1976</v>
      </c>
      <c r="N10" s="227">
        <f t="shared" ref="N10:N15" si="2">+N9-I10-L10</f>
        <v>0</v>
      </c>
      <c r="O10" s="152">
        <f t="shared" ref="O10:O15" si="3">O9+G10-I10-L10</f>
        <v>571880.15500000003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>
        <v>41883</v>
      </c>
      <c r="I11" s="152"/>
      <c r="J11" s="157"/>
      <c r="K11" s="154" t="s">
        <v>2003</v>
      </c>
      <c r="L11" s="227">
        <v>1739.5852379888399</v>
      </c>
      <c r="M11" s="154" t="s">
        <v>1977</v>
      </c>
      <c r="N11" s="227">
        <f>C8+N10-I11-L11</f>
        <v>454221.83576201112</v>
      </c>
      <c r="O11" s="152">
        <f t="shared" si="3"/>
        <v>570140.56976201118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41883</v>
      </c>
      <c r="I12" s="152"/>
      <c r="J12" s="157"/>
      <c r="K12" s="154" t="s">
        <v>2003</v>
      </c>
      <c r="L12" s="227">
        <v>13905.23</v>
      </c>
      <c r="M12" s="154" t="s">
        <v>1977</v>
      </c>
      <c r="N12" s="227">
        <f t="shared" si="2"/>
        <v>440316.60576201114</v>
      </c>
      <c r="O12" s="152">
        <f t="shared" si="3"/>
        <v>556235.33976201119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41883</v>
      </c>
      <c r="I13" s="152"/>
      <c r="J13" s="157"/>
      <c r="K13" s="154" t="s">
        <v>2003</v>
      </c>
      <c r="L13" s="227">
        <v>11364.31</v>
      </c>
      <c r="M13" s="154" t="s">
        <v>1977</v>
      </c>
      <c r="N13" s="227">
        <f t="shared" si="2"/>
        <v>428952.29576201114</v>
      </c>
      <c r="O13" s="152">
        <f t="shared" si="3"/>
        <v>544871.02976201114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>
        <v>41883</v>
      </c>
      <c r="I14" s="152"/>
      <c r="J14" s="157"/>
      <c r="K14" s="154" t="s">
        <v>2003</v>
      </c>
      <c r="L14" s="227">
        <v>31464.87</v>
      </c>
      <c r="M14" s="154" t="s">
        <v>1977</v>
      </c>
      <c r="N14" s="227">
        <f t="shared" si="2"/>
        <v>397487.42576201115</v>
      </c>
      <c r="O14" s="152">
        <f t="shared" si="3"/>
        <v>513406.15976201114</v>
      </c>
    </row>
    <row r="15" spans="1:15" x14ac:dyDescent="0.15">
      <c r="A15" s="154"/>
      <c r="B15" s="151"/>
      <c r="C15" s="152"/>
      <c r="D15" s="323">
        <v>41884</v>
      </c>
      <c r="E15" s="154" t="s">
        <v>72</v>
      </c>
      <c r="F15" s="157" t="s">
        <v>1978</v>
      </c>
      <c r="G15" s="152">
        <v>87792.641000000003</v>
      </c>
      <c r="H15" s="323">
        <v>41884</v>
      </c>
      <c r="I15" s="152">
        <v>10624.34</v>
      </c>
      <c r="J15" s="154" t="s">
        <v>1977</v>
      </c>
      <c r="K15" s="154" t="s">
        <v>2003</v>
      </c>
      <c r="L15" s="227">
        <v>41132.51</v>
      </c>
      <c r="M15" s="154" t="s">
        <v>1977</v>
      </c>
      <c r="N15" s="227">
        <f t="shared" si="2"/>
        <v>345730.57576201111</v>
      </c>
      <c r="O15" s="152">
        <f t="shared" si="3"/>
        <v>549441.95076201123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>
        <v>41884</v>
      </c>
      <c r="I16" s="152"/>
      <c r="J16" s="157"/>
      <c r="K16" s="154" t="s">
        <v>2003</v>
      </c>
      <c r="L16" s="227">
        <v>4201.28</v>
      </c>
      <c r="M16" s="154" t="s">
        <v>1977</v>
      </c>
      <c r="N16" s="227">
        <f t="shared" ref="N16:N79" si="4">+N15-I16-L16</f>
        <v>341529.29576201108</v>
      </c>
      <c r="O16" s="152">
        <f t="shared" ref="O16:O79" si="5">O15+G16-I16-L16</f>
        <v>545240.6707620112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>
        <v>41884</v>
      </c>
      <c r="I17" s="152"/>
      <c r="J17" s="157"/>
      <c r="K17" s="154" t="s">
        <v>2003</v>
      </c>
      <c r="L17" s="227">
        <v>13570.13</v>
      </c>
      <c r="M17" s="154" t="s">
        <v>1977</v>
      </c>
      <c r="N17" s="227">
        <f t="shared" si="4"/>
        <v>327959.16576201108</v>
      </c>
      <c r="O17" s="152">
        <f t="shared" si="5"/>
        <v>531670.54076201119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>
        <v>41884</v>
      </c>
      <c r="I18" s="152"/>
      <c r="J18" s="157"/>
      <c r="K18" s="154" t="s">
        <v>2003</v>
      </c>
      <c r="L18" s="227">
        <v>14257.34</v>
      </c>
      <c r="M18" s="154" t="s">
        <v>1977</v>
      </c>
      <c r="N18" s="227">
        <f t="shared" si="4"/>
        <v>313701.82576201105</v>
      </c>
      <c r="O18" s="152">
        <f t="shared" si="5"/>
        <v>517413.20076201117</v>
      </c>
    </row>
    <row r="19" spans="1:15" x14ac:dyDescent="0.15">
      <c r="A19" s="154"/>
      <c r="B19" s="151"/>
      <c r="C19" s="152"/>
      <c r="D19" s="323">
        <v>41885</v>
      </c>
      <c r="E19" s="154" t="s">
        <v>72</v>
      </c>
      <c r="F19" s="157" t="s">
        <v>1978</v>
      </c>
      <c r="G19" s="152">
        <v>43996.019</v>
      </c>
      <c r="H19" s="323">
        <v>41885</v>
      </c>
      <c r="I19" s="152">
        <v>6100.04</v>
      </c>
      <c r="J19" s="154" t="s">
        <v>1977</v>
      </c>
      <c r="K19" s="154" t="s">
        <v>2003</v>
      </c>
      <c r="L19" s="227">
        <v>15622.17</v>
      </c>
      <c r="M19" s="154" t="s">
        <v>1977</v>
      </c>
      <c r="N19" s="227">
        <f t="shared" si="4"/>
        <v>291979.61576201109</v>
      </c>
      <c r="O19" s="152">
        <f t="shared" si="5"/>
        <v>539687.00976201112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>
        <v>41885</v>
      </c>
      <c r="I20" s="152"/>
      <c r="J20" s="157"/>
      <c r="K20" s="154" t="s">
        <v>2003</v>
      </c>
      <c r="L20" s="227">
        <v>24194.91</v>
      </c>
      <c r="M20" s="154" t="s">
        <v>1977</v>
      </c>
      <c r="N20" s="227">
        <f t="shared" si="4"/>
        <v>267784.70576201112</v>
      </c>
      <c r="O20" s="152">
        <f t="shared" si="5"/>
        <v>515492.09976201114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>
        <v>41885</v>
      </c>
      <c r="I21" s="152"/>
      <c r="J21" s="154"/>
      <c r="K21" s="154" t="s">
        <v>2003</v>
      </c>
      <c r="L21" s="227">
        <v>11073.25</v>
      </c>
      <c r="M21" s="154" t="s">
        <v>1977</v>
      </c>
      <c r="N21" s="227">
        <f t="shared" si="4"/>
        <v>256711.45576201112</v>
      </c>
      <c r="O21" s="152">
        <f t="shared" si="5"/>
        <v>504418.84976201114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41885</v>
      </c>
      <c r="I22" s="152"/>
      <c r="J22" s="157"/>
      <c r="K22" s="154" t="s">
        <v>2003</v>
      </c>
      <c r="L22" s="227">
        <v>12456.53</v>
      </c>
      <c r="M22" s="154" t="s">
        <v>1977</v>
      </c>
      <c r="N22" s="227">
        <f t="shared" si="4"/>
        <v>244254.92576201112</v>
      </c>
      <c r="O22" s="152">
        <f t="shared" si="5"/>
        <v>491962.31976201112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>
        <v>41885</v>
      </c>
      <c r="I23" s="152"/>
      <c r="J23" s="157"/>
      <c r="K23" s="154" t="s">
        <v>2003</v>
      </c>
      <c r="L23" s="227">
        <v>25769.08</v>
      </c>
      <c r="M23" s="154" t="s">
        <v>1977</v>
      </c>
      <c r="N23" s="227">
        <f t="shared" si="4"/>
        <v>218485.84576201113</v>
      </c>
      <c r="O23" s="152">
        <f t="shared" si="5"/>
        <v>466193.2397620111</v>
      </c>
    </row>
    <row r="24" spans="1:15" x14ac:dyDescent="0.15">
      <c r="A24" s="154"/>
      <c r="B24" s="151"/>
      <c r="C24" s="152"/>
      <c r="D24" s="323">
        <v>41886</v>
      </c>
      <c r="E24" s="154" t="s">
        <v>72</v>
      </c>
      <c r="F24" s="157" t="s">
        <v>1993</v>
      </c>
      <c r="G24" s="152">
        <v>87895.58</v>
      </c>
      <c r="H24" s="323">
        <v>41886</v>
      </c>
      <c r="I24" s="152"/>
      <c r="J24" s="157"/>
      <c r="K24" s="154" t="s">
        <v>2003</v>
      </c>
      <c r="L24" s="227">
        <v>11805.59</v>
      </c>
      <c r="M24" s="154" t="s">
        <v>1977</v>
      </c>
      <c r="N24" s="227">
        <f t="shared" si="4"/>
        <v>206680.25576201113</v>
      </c>
      <c r="O24" s="152">
        <f t="shared" si="5"/>
        <v>542283.22976201109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41886</v>
      </c>
      <c r="I25" s="152"/>
      <c r="J25" s="157"/>
      <c r="K25" s="154" t="s">
        <v>2003</v>
      </c>
      <c r="L25" s="227">
        <v>13378.07</v>
      </c>
      <c r="M25" s="154" t="s">
        <v>1977</v>
      </c>
      <c r="N25" s="227">
        <f t="shared" si="4"/>
        <v>193302.18576201113</v>
      </c>
      <c r="O25" s="152">
        <f t="shared" si="5"/>
        <v>528905.15976201114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>
        <v>41886</v>
      </c>
      <c r="I26" s="152"/>
      <c r="J26" s="154"/>
      <c r="K26" s="154" t="s">
        <v>2003</v>
      </c>
      <c r="L26" s="227">
        <v>10188.1</v>
      </c>
      <c r="M26" s="154" t="s">
        <v>1977</v>
      </c>
      <c r="N26" s="227">
        <f t="shared" si="4"/>
        <v>183114.08576201112</v>
      </c>
      <c r="O26" s="152">
        <f t="shared" si="5"/>
        <v>518717.05976201117</v>
      </c>
    </row>
    <row r="27" spans="1:15" x14ac:dyDescent="0.15">
      <c r="A27" s="154"/>
      <c r="B27" s="151"/>
      <c r="C27" s="152"/>
      <c r="D27" s="323">
        <v>41887</v>
      </c>
      <c r="E27" s="154" t="s">
        <v>72</v>
      </c>
      <c r="F27" s="157" t="s">
        <v>1994</v>
      </c>
      <c r="G27" s="152">
        <v>88027.664000000004</v>
      </c>
      <c r="H27" s="323">
        <v>41887</v>
      </c>
      <c r="I27" s="152">
        <v>3956.79</v>
      </c>
      <c r="J27" s="154" t="s">
        <v>1977</v>
      </c>
      <c r="K27" s="154" t="s">
        <v>2003</v>
      </c>
      <c r="L27" s="227">
        <v>42489.8</v>
      </c>
      <c r="M27" s="154" t="s">
        <v>1977</v>
      </c>
      <c r="N27" s="227">
        <f t="shared" si="4"/>
        <v>136667.49576201109</v>
      </c>
      <c r="O27" s="152">
        <f t="shared" si="5"/>
        <v>560298.13376201107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>
        <v>41887</v>
      </c>
      <c r="I28" s="152"/>
      <c r="J28" s="157"/>
      <c r="K28" s="154" t="s">
        <v>2003</v>
      </c>
      <c r="L28" s="227">
        <v>10614.46</v>
      </c>
      <c r="M28" s="154" t="s">
        <v>1977</v>
      </c>
      <c r="N28" s="227">
        <f t="shared" si="4"/>
        <v>126053.0357620111</v>
      </c>
      <c r="O28" s="152">
        <f t="shared" si="5"/>
        <v>549683.67376201111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>
        <v>41887</v>
      </c>
      <c r="I29" s="152"/>
      <c r="J29" s="157"/>
      <c r="K29" s="154" t="s">
        <v>2003</v>
      </c>
      <c r="L29" s="227">
        <v>13003.76</v>
      </c>
      <c r="M29" s="154" t="s">
        <v>1977</v>
      </c>
      <c r="N29" s="227">
        <f t="shared" si="4"/>
        <v>113049.27576201111</v>
      </c>
      <c r="O29" s="152">
        <f t="shared" si="5"/>
        <v>536679.9137620111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>
        <v>41887</v>
      </c>
      <c r="I30" s="152"/>
      <c r="J30" s="157"/>
      <c r="K30" s="154" t="s">
        <v>2003</v>
      </c>
      <c r="L30" s="227">
        <v>13358.51</v>
      </c>
      <c r="M30" s="154" t="s">
        <v>1977</v>
      </c>
      <c r="N30" s="227">
        <f t="shared" si="4"/>
        <v>99690.765762011113</v>
      </c>
      <c r="O30" s="152">
        <f t="shared" si="5"/>
        <v>523321.40376201109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>
        <v>41887</v>
      </c>
      <c r="I31" s="152"/>
      <c r="J31" s="157"/>
      <c r="K31" s="154" t="s">
        <v>2003</v>
      </c>
      <c r="L31" s="227">
        <v>14827.95</v>
      </c>
      <c r="M31" s="154" t="s">
        <v>1977</v>
      </c>
      <c r="N31" s="227">
        <f t="shared" si="4"/>
        <v>84862.815762011116</v>
      </c>
      <c r="O31" s="152">
        <f t="shared" si="5"/>
        <v>508493.45376201108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>
        <v>41887</v>
      </c>
      <c r="I32" s="152"/>
      <c r="J32" s="157"/>
      <c r="K32" s="154" t="s">
        <v>2003</v>
      </c>
      <c r="L32" s="227">
        <v>16969.21</v>
      </c>
      <c r="M32" s="154" t="s">
        <v>1977</v>
      </c>
      <c r="N32" s="227">
        <f t="shared" si="4"/>
        <v>67893.60576201111</v>
      </c>
      <c r="O32" s="152">
        <f t="shared" si="5"/>
        <v>491524.24376201106</v>
      </c>
    </row>
    <row r="33" spans="1:15" x14ac:dyDescent="0.15">
      <c r="A33" s="154"/>
      <c r="B33" s="151"/>
      <c r="C33" s="152"/>
      <c r="D33" s="323">
        <v>41888</v>
      </c>
      <c r="E33" s="154" t="s">
        <v>72</v>
      </c>
      <c r="F33" s="157" t="s">
        <v>1994</v>
      </c>
      <c r="G33" s="152">
        <v>87984.269</v>
      </c>
      <c r="H33" s="323">
        <v>41888</v>
      </c>
      <c r="I33" s="152">
        <v>10619.23</v>
      </c>
      <c r="J33" s="154" t="s">
        <v>1977</v>
      </c>
      <c r="K33" s="154" t="s">
        <v>2003</v>
      </c>
      <c r="L33" s="227">
        <v>16670.580000000002</v>
      </c>
      <c r="M33" s="154" t="s">
        <v>1977</v>
      </c>
      <c r="N33" s="227">
        <f t="shared" si="4"/>
        <v>40603.795762011112</v>
      </c>
      <c r="O33" s="152">
        <f t="shared" si="5"/>
        <v>552218.70276201109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>
        <v>41888</v>
      </c>
      <c r="I34" s="152"/>
      <c r="J34" s="157"/>
      <c r="K34" s="154" t="s">
        <v>2003</v>
      </c>
      <c r="L34" s="227">
        <v>12240.64</v>
      </c>
      <c r="M34" s="154" t="s">
        <v>1977</v>
      </c>
      <c r="N34" s="227">
        <f t="shared" si="4"/>
        <v>28363.155762011113</v>
      </c>
      <c r="O34" s="152">
        <f t="shared" si="5"/>
        <v>539978.06276201108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>
        <v>41888</v>
      </c>
      <c r="I35" s="152"/>
      <c r="J35" s="157"/>
      <c r="K35" s="154" t="s">
        <v>2003</v>
      </c>
      <c r="L35" s="227">
        <v>26609.66</v>
      </c>
      <c r="M35" s="154" t="s">
        <v>1977</v>
      </c>
      <c r="N35" s="227">
        <f t="shared" si="4"/>
        <v>1753.4957620111127</v>
      </c>
      <c r="O35" s="152">
        <f t="shared" si="5"/>
        <v>513368.4027620111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>
        <v>41888</v>
      </c>
      <c r="I36" s="152"/>
      <c r="J36" s="157"/>
      <c r="K36" s="154" t="s">
        <v>2003</v>
      </c>
      <c r="L36" s="227">
        <v>1753.4957620111127</v>
      </c>
      <c r="M36" s="154" t="s">
        <v>1977</v>
      </c>
      <c r="N36" s="227">
        <f t="shared" ref="N36:N40" si="6">+N35-I36-L36</f>
        <v>0</v>
      </c>
      <c r="O36" s="152">
        <f t="shared" ref="O36:O40" si="7">O35+G36-I36-L36</f>
        <v>511614.90700000001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>
        <v>41888</v>
      </c>
      <c r="I37" s="152"/>
      <c r="J37" s="157"/>
      <c r="K37" s="154" t="s">
        <v>2004</v>
      </c>
      <c r="L37" s="227">
        <v>10349.9942379889</v>
      </c>
      <c r="M37" s="157" t="s">
        <v>1978</v>
      </c>
      <c r="N37" s="227">
        <f>C9+G10+G15+G19+N36-I37-L37</f>
        <v>237357.3997620111</v>
      </c>
      <c r="O37" s="152">
        <f t="shared" si="7"/>
        <v>501264.91276201111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>
        <v>41888</v>
      </c>
      <c r="I38" s="152"/>
      <c r="J38" s="157"/>
      <c r="K38" s="154" t="s">
        <v>2004</v>
      </c>
      <c r="L38" s="227">
        <v>39652.06</v>
      </c>
      <c r="M38" s="157" t="s">
        <v>1978</v>
      </c>
      <c r="N38" s="227">
        <f t="shared" si="6"/>
        <v>197705.33976201111</v>
      </c>
      <c r="O38" s="152">
        <f t="shared" si="7"/>
        <v>461612.85276201111</v>
      </c>
    </row>
    <row r="39" spans="1:15" x14ac:dyDescent="0.15">
      <c r="A39" s="154"/>
      <c r="B39" s="151"/>
      <c r="C39" s="152"/>
      <c r="D39" s="323">
        <v>41889</v>
      </c>
      <c r="E39" s="154" t="s">
        <v>72</v>
      </c>
      <c r="F39" s="157" t="s">
        <v>1994</v>
      </c>
      <c r="G39" s="152">
        <v>87974.793999999994</v>
      </c>
      <c r="H39" s="323">
        <v>41889</v>
      </c>
      <c r="I39" s="152">
        <v>3177.71</v>
      </c>
      <c r="J39" s="157" t="s">
        <v>1978</v>
      </c>
      <c r="K39" s="154" t="s">
        <v>2004</v>
      </c>
      <c r="L39" s="227">
        <v>10845.7</v>
      </c>
      <c r="M39" s="157" t="s">
        <v>1978</v>
      </c>
      <c r="N39" s="227">
        <f t="shared" si="6"/>
        <v>183681.9297620111</v>
      </c>
      <c r="O39" s="152">
        <f t="shared" si="7"/>
        <v>535564.23676201119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>
        <v>41889</v>
      </c>
      <c r="I40" s="152"/>
      <c r="J40" s="157"/>
      <c r="K40" s="154" t="s">
        <v>2004</v>
      </c>
      <c r="L40" s="227">
        <v>13618.85</v>
      </c>
      <c r="M40" s="157" t="s">
        <v>1978</v>
      </c>
      <c r="N40" s="227">
        <f t="shared" si="6"/>
        <v>170063.0797620111</v>
      </c>
      <c r="O40" s="152">
        <f t="shared" si="7"/>
        <v>521945.38676201121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>
        <v>41889</v>
      </c>
      <c r="I41" s="152"/>
      <c r="J41" s="157"/>
      <c r="K41" s="154" t="s">
        <v>2004</v>
      </c>
      <c r="L41" s="227">
        <v>14260.66</v>
      </c>
      <c r="M41" s="157" t="s">
        <v>1978</v>
      </c>
      <c r="N41" s="227">
        <f t="shared" si="4"/>
        <v>155802.41976201109</v>
      </c>
      <c r="O41" s="152">
        <f t="shared" si="5"/>
        <v>507684.72676201124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>
        <v>41889</v>
      </c>
      <c r="I42" s="152"/>
      <c r="J42" s="157"/>
      <c r="K42" s="154" t="s">
        <v>2004</v>
      </c>
      <c r="L42" s="227">
        <v>22450.89</v>
      </c>
      <c r="M42" s="157" t="s">
        <v>1978</v>
      </c>
      <c r="N42" s="227">
        <f t="shared" si="4"/>
        <v>133351.52976201108</v>
      </c>
      <c r="O42" s="152">
        <f t="shared" si="5"/>
        <v>485233.83676201123</v>
      </c>
    </row>
    <row r="43" spans="1:15" x14ac:dyDescent="0.15">
      <c r="A43" s="154"/>
      <c r="B43" s="151"/>
      <c r="C43" s="152"/>
      <c r="D43" s="323">
        <v>41890</v>
      </c>
      <c r="E43" s="154" t="s">
        <v>72</v>
      </c>
      <c r="F43" s="157" t="s">
        <v>1995</v>
      </c>
      <c r="G43" s="152">
        <v>44018.398999999998</v>
      </c>
      <c r="H43" s="323">
        <v>41890</v>
      </c>
      <c r="I43" s="152">
        <v>3217.02</v>
      </c>
      <c r="J43" s="157" t="s">
        <v>1978</v>
      </c>
      <c r="K43" s="154" t="s">
        <v>2004</v>
      </c>
      <c r="L43" s="227">
        <v>16421.669999999998</v>
      </c>
      <c r="M43" s="157" t="s">
        <v>1978</v>
      </c>
      <c r="N43" s="227">
        <f t="shared" si="4"/>
        <v>113712.83976201108</v>
      </c>
      <c r="O43" s="152">
        <f t="shared" si="5"/>
        <v>509613.54576201126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41890</v>
      </c>
      <c r="I44" s="152"/>
      <c r="J44" s="157"/>
      <c r="K44" s="154" t="s">
        <v>2004</v>
      </c>
      <c r="L44" s="227">
        <v>12760.41</v>
      </c>
      <c r="M44" s="157" t="s">
        <v>1978</v>
      </c>
      <c r="N44" s="227">
        <f t="shared" si="4"/>
        <v>100952.42976201107</v>
      </c>
      <c r="O44" s="152">
        <f t="shared" si="5"/>
        <v>496853.13576201128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>
        <v>41890</v>
      </c>
      <c r="I45" s="152"/>
      <c r="J45" s="157"/>
      <c r="K45" s="154" t="s">
        <v>2004</v>
      </c>
      <c r="L45" s="227">
        <v>12908.38</v>
      </c>
      <c r="M45" s="157" t="s">
        <v>1978</v>
      </c>
      <c r="N45" s="227">
        <f t="shared" si="4"/>
        <v>88044.049762011069</v>
      </c>
      <c r="O45" s="152">
        <f t="shared" si="5"/>
        <v>483944.75576201128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41890</v>
      </c>
      <c r="I46" s="152"/>
      <c r="J46" s="157"/>
      <c r="K46" s="154" t="s">
        <v>2004</v>
      </c>
      <c r="L46" s="227">
        <v>30480.720000000001</v>
      </c>
      <c r="M46" s="157" t="s">
        <v>1978</v>
      </c>
      <c r="N46" s="227">
        <f t="shared" si="4"/>
        <v>57563.329762011068</v>
      </c>
      <c r="O46" s="152">
        <f t="shared" si="5"/>
        <v>453464.03576201131</v>
      </c>
    </row>
    <row r="47" spans="1:15" x14ac:dyDescent="0.15">
      <c r="A47" s="154"/>
      <c r="B47" s="151"/>
      <c r="C47" s="152"/>
      <c r="D47" s="323">
        <v>41891</v>
      </c>
      <c r="E47" s="154" t="s">
        <v>72</v>
      </c>
      <c r="F47" s="157" t="s">
        <v>1995</v>
      </c>
      <c r="G47" s="152">
        <v>88019.990999999995</v>
      </c>
      <c r="H47" s="323">
        <v>41891</v>
      </c>
      <c r="I47" s="152">
        <v>28119.279999999999</v>
      </c>
      <c r="J47" s="157" t="s">
        <v>1978</v>
      </c>
      <c r="K47" s="154" t="s">
        <v>2004</v>
      </c>
      <c r="L47" s="227">
        <v>13408.83</v>
      </c>
      <c r="M47" s="157" t="s">
        <v>1978</v>
      </c>
      <c r="N47" s="227">
        <f t="shared" si="4"/>
        <v>16035.219762011069</v>
      </c>
      <c r="O47" s="152">
        <f t="shared" si="5"/>
        <v>499955.9167620113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>
        <v>41891</v>
      </c>
      <c r="I48" s="152"/>
      <c r="J48" s="154"/>
      <c r="K48" s="154" t="s">
        <v>2004</v>
      </c>
      <c r="L48" s="227">
        <v>15764.4</v>
      </c>
      <c r="M48" s="157" t="s">
        <v>1978</v>
      </c>
      <c r="N48" s="227">
        <f t="shared" si="4"/>
        <v>270.81976201106954</v>
      </c>
      <c r="O48" s="152">
        <f t="shared" si="5"/>
        <v>484191.51676201128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41891</v>
      </c>
      <c r="I49" s="152"/>
      <c r="J49" s="157"/>
      <c r="K49" s="154" t="s">
        <v>2004</v>
      </c>
      <c r="L49" s="227">
        <v>270.81976201106954</v>
      </c>
      <c r="M49" s="157" t="s">
        <v>1978</v>
      </c>
      <c r="N49" s="227">
        <f t="shared" si="4"/>
        <v>0</v>
      </c>
      <c r="O49" s="152">
        <f t="shared" si="5"/>
        <v>483920.69700000022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41891</v>
      </c>
      <c r="I50" s="152"/>
      <c r="J50" s="157"/>
      <c r="K50" s="154" t="s">
        <v>2004</v>
      </c>
      <c r="L50" s="227">
        <v>11833.810237988901</v>
      </c>
      <c r="M50" s="157" t="s">
        <v>1993</v>
      </c>
      <c r="N50" s="227">
        <f>G24+N49-I50-L50</f>
        <v>76061.769762011099</v>
      </c>
      <c r="O50" s="152">
        <f t="shared" ref="O50:O53" si="8">O49+G50-I50-L50</f>
        <v>472086.88676201133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>
        <v>41891</v>
      </c>
      <c r="I51" s="152"/>
      <c r="J51" s="154"/>
      <c r="K51" s="154" t="s">
        <v>2004</v>
      </c>
      <c r="L51" s="227">
        <v>20293.64</v>
      </c>
      <c r="M51" s="157" t="s">
        <v>1993</v>
      </c>
      <c r="N51" s="227">
        <f t="shared" ref="N51:N53" si="9">+N50-I51-L51</f>
        <v>55768.1297620111</v>
      </c>
      <c r="O51" s="152">
        <f t="shared" si="8"/>
        <v>451793.24676201132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>
        <v>41891</v>
      </c>
      <c r="I52" s="152"/>
      <c r="J52" s="157"/>
      <c r="K52" s="154" t="s">
        <v>2004</v>
      </c>
      <c r="L52" s="227">
        <v>42674.01</v>
      </c>
      <c r="M52" s="157" t="s">
        <v>1993</v>
      </c>
      <c r="N52" s="227">
        <f t="shared" si="9"/>
        <v>13094.119762011098</v>
      </c>
      <c r="O52" s="152">
        <f t="shared" si="8"/>
        <v>409119.23676201131</v>
      </c>
    </row>
    <row r="53" spans="1:15" x14ac:dyDescent="0.15">
      <c r="A53" s="154"/>
      <c r="B53" s="151"/>
      <c r="C53" s="152"/>
      <c r="D53" s="323">
        <v>41892</v>
      </c>
      <c r="E53" s="154" t="s">
        <v>72</v>
      </c>
      <c r="F53" s="157" t="s">
        <v>1995</v>
      </c>
      <c r="G53" s="152">
        <v>44024.337000000014</v>
      </c>
      <c r="H53" s="323">
        <v>41892</v>
      </c>
      <c r="I53" s="152">
        <v>4803.6400000000003</v>
      </c>
      <c r="J53" s="157" t="s">
        <v>1993</v>
      </c>
      <c r="K53" s="154" t="s">
        <v>2004</v>
      </c>
      <c r="L53" s="227">
        <v>8290.4797620110985</v>
      </c>
      <c r="M53" s="157" t="s">
        <v>1993</v>
      </c>
      <c r="N53" s="227">
        <f t="shared" si="9"/>
        <v>0</v>
      </c>
      <c r="O53" s="152">
        <f t="shared" si="8"/>
        <v>440049.4540000002</v>
      </c>
    </row>
    <row r="54" spans="1:15" x14ac:dyDescent="0.15">
      <c r="A54" s="154"/>
      <c r="B54" s="151"/>
      <c r="C54" s="152"/>
      <c r="D54" s="323">
        <v>41892</v>
      </c>
      <c r="E54" s="154" t="s">
        <v>72</v>
      </c>
      <c r="F54" s="157" t="s">
        <v>2005</v>
      </c>
      <c r="G54" s="152">
        <v>88064.596000000005</v>
      </c>
      <c r="H54" s="323">
        <v>41892</v>
      </c>
      <c r="I54" s="152"/>
      <c r="J54" s="157"/>
      <c r="K54" s="154" t="s">
        <v>2004</v>
      </c>
      <c r="L54" s="227">
        <v>1150.3002379889001</v>
      </c>
      <c r="M54" s="157" t="s">
        <v>1994</v>
      </c>
      <c r="N54" s="227">
        <f>G27+G33+G39+N53-I54-L54</f>
        <v>262836.42676201113</v>
      </c>
      <c r="O54" s="152">
        <f t="shared" ref="O54:O57" si="10">O53+G54-I54-L54</f>
        <v>526963.74976201123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>
        <v>41892</v>
      </c>
      <c r="I55" s="152"/>
      <c r="J55" s="154"/>
      <c r="K55" s="154" t="s">
        <v>2004</v>
      </c>
      <c r="L55" s="227">
        <v>12390.28</v>
      </c>
      <c r="M55" s="157" t="s">
        <v>1994</v>
      </c>
      <c r="N55" s="227">
        <f t="shared" ref="N55:N57" si="11">+N54-I55-L55</f>
        <v>250446.14676201114</v>
      </c>
      <c r="O55" s="152">
        <f t="shared" si="10"/>
        <v>514573.4697620112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41892</v>
      </c>
      <c r="I56" s="152"/>
      <c r="J56" s="157"/>
      <c r="K56" s="154" t="s">
        <v>2004</v>
      </c>
      <c r="L56" s="227">
        <v>14857.53</v>
      </c>
      <c r="M56" s="157" t="s">
        <v>1994</v>
      </c>
      <c r="N56" s="227">
        <f t="shared" si="11"/>
        <v>235588.61676201114</v>
      </c>
      <c r="O56" s="152">
        <f t="shared" si="10"/>
        <v>499715.93976201117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41892</v>
      </c>
      <c r="I57" s="152"/>
      <c r="J57" s="157"/>
      <c r="K57" s="154" t="s">
        <v>2004</v>
      </c>
      <c r="L57" s="227">
        <v>12900.6</v>
      </c>
      <c r="M57" s="157" t="s">
        <v>1994</v>
      </c>
      <c r="N57" s="227">
        <f t="shared" si="11"/>
        <v>222688.01676201113</v>
      </c>
      <c r="O57" s="152">
        <f t="shared" si="10"/>
        <v>486815.33976201119</v>
      </c>
    </row>
    <row r="58" spans="1:15" x14ac:dyDescent="0.15">
      <c r="A58" s="154"/>
      <c r="B58" s="151"/>
      <c r="C58" s="152"/>
      <c r="D58" s="323">
        <v>41893</v>
      </c>
      <c r="E58" s="154" t="s">
        <v>72</v>
      </c>
      <c r="F58" s="157" t="s">
        <v>2005</v>
      </c>
      <c r="G58" s="152">
        <v>132054.64499999999</v>
      </c>
      <c r="H58" s="323">
        <v>41893</v>
      </c>
      <c r="I58" s="152">
        <v>3511.08</v>
      </c>
      <c r="J58" s="157" t="s">
        <v>1994</v>
      </c>
      <c r="K58" s="154" t="s">
        <v>2004</v>
      </c>
      <c r="L58" s="227">
        <v>15365.34</v>
      </c>
      <c r="M58" s="157" t="s">
        <v>1994</v>
      </c>
      <c r="N58" s="227">
        <f t="shared" si="4"/>
        <v>203811.59676201115</v>
      </c>
      <c r="O58" s="152">
        <f t="shared" si="5"/>
        <v>599993.56476201129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>
        <v>41893</v>
      </c>
      <c r="I59" s="152"/>
      <c r="J59" s="157"/>
      <c r="K59" s="154" t="s">
        <v>2004</v>
      </c>
      <c r="L59" s="227">
        <v>12429.56</v>
      </c>
      <c r="M59" s="157" t="s">
        <v>1994</v>
      </c>
      <c r="N59" s="227">
        <f t="shared" si="4"/>
        <v>191382.03676201115</v>
      </c>
      <c r="O59" s="152">
        <f t="shared" si="5"/>
        <v>587564.00476201123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>
        <v>41893</v>
      </c>
      <c r="I60" s="152"/>
      <c r="J60" s="157"/>
      <c r="K60" s="154" t="s">
        <v>2004</v>
      </c>
      <c r="L60" s="227">
        <v>10923.64</v>
      </c>
      <c r="M60" s="157" t="s">
        <v>1994</v>
      </c>
      <c r="N60" s="227">
        <f t="shared" si="4"/>
        <v>180458.39676201117</v>
      </c>
      <c r="O60" s="152">
        <f t="shared" si="5"/>
        <v>576640.36476201122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>
        <v>41893</v>
      </c>
      <c r="I61" s="152"/>
      <c r="J61" s="157"/>
      <c r="K61" s="154" t="s">
        <v>2004</v>
      </c>
      <c r="L61" s="227">
        <v>41583.57</v>
      </c>
      <c r="M61" s="157" t="s">
        <v>1994</v>
      </c>
      <c r="N61" s="227">
        <f t="shared" si="4"/>
        <v>138874.82676201116</v>
      </c>
      <c r="O61" s="152">
        <f t="shared" si="5"/>
        <v>535056.79476201127</v>
      </c>
    </row>
    <row r="62" spans="1:15" x14ac:dyDescent="0.15">
      <c r="A62" s="154"/>
      <c r="B62" s="151"/>
      <c r="C62" s="152"/>
      <c r="D62" s="323">
        <v>41894</v>
      </c>
      <c r="E62" s="154" t="s">
        <v>72</v>
      </c>
      <c r="F62" s="157" t="s">
        <v>2005</v>
      </c>
      <c r="G62" s="152">
        <v>43987.61500000002</v>
      </c>
      <c r="H62" s="323">
        <v>41894</v>
      </c>
      <c r="I62" s="152">
        <v>5125.2699999999995</v>
      </c>
      <c r="J62" s="157" t="s">
        <v>1994</v>
      </c>
      <c r="K62" s="154" t="s">
        <v>2004</v>
      </c>
      <c r="L62" s="227">
        <v>10989.57</v>
      </c>
      <c r="M62" s="157" t="s">
        <v>1994</v>
      </c>
      <c r="N62" s="227">
        <f t="shared" si="4"/>
        <v>122759.98676201116</v>
      </c>
      <c r="O62" s="152">
        <f t="shared" si="5"/>
        <v>562929.56976201129</v>
      </c>
    </row>
    <row r="63" spans="1:15" x14ac:dyDescent="0.15">
      <c r="A63" s="154"/>
      <c r="B63" s="151"/>
      <c r="C63" s="152"/>
      <c r="D63" s="323">
        <v>41894</v>
      </c>
      <c r="E63" s="154" t="s">
        <v>72</v>
      </c>
      <c r="F63" s="157" t="s">
        <v>1996</v>
      </c>
      <c r="G63" s="152">
        <v>87997.653000000006</v>
      </c>
      <c r="H63" s="323">
        <v>41894</v>
      </c>
      <c r="I63" s="152"/>
      <c r="J63" s="157"/>
      <c r="K63" s="154" t="s">
        <v>2004</v>
      </c>
      <c r="L63" s="227">
        <v>14425.31</v>
      </c>
      <c r="M63" s="157" t="s">
        <v>1994</v>
      </c>
      <c r="N63" s="227">
        <f t="shared" si="4"/>
        <v>108334.67676201116</v>
      </c>
      <c r="O63" s="152">
        <f t="shared" si="5"/>
        <v>636501.91276201128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>
        <v>41894</v>
      </c>
      <c r="I64" s="152"/>
      <c r="J64" s="157"/>
      <c r="K64" s="154" t="s">
        <v>2004</v>
      </c>
      <c r="L64" s="227">
        <v>12980.58</v>
      </c>
      <c r="M64" s="157" t="s">
        <v>1994</v>
      </c>
      <c r="N64" s="227">
        <f t="shared" si="4"/>
        <v>95354.096762011162</v>
      </c>
      <c r="O64" s="152">
        <f t="shared" si="5"/>
        <v>623521.33276201133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>
        <v>41894</v>
      </c>
      <c r="I65" s="152"/>
      <c r="J65" s="157"/>
      <c r="K65" s="154" t="s">
        <v>2004</v>
      </c>
      <c r="L65" s="227">
        <v>5574.83</v>
      </c>
      <c r="M65" s="157" t="s">
        <v>1994</v>
      </c>
      <c r="N65" s="227">
        <f t="shared" si="4"/>
        <v>89779.266762011161</v>
      </c>
      <c r="O65" s="152">
        <f t="shared" si="5"/>
        <v>617946.50276201137</v>
      </c>
    </row>
    <row r="66" spans="1:15" x14ac:dyDescent="0.15">
      <c r="A66" s="154"/>
      <c r="B66" s="151"/>
      <c r="C66" s="152"/>
      <c r="D66" s="323">
        <v>41895</v>
      </c>
      <c r="E66" s="154" t="s">
        <v>72</v>
      </c>
      <c r="F66" s="157" t="s">
        <v>1996</v>
      </c>
      <c r="G66" s="152">
        <v>43990.569000000003</v>
      </c>
      <c r="H66" s="323">
        <v>41895</v>
      </c>
      <c r="I66" s="152">
        <v>3049.38</v>
      </c>
      <c r="J66" s="157" t="s">
        <v>1994</v>
      </c>
      <c r="K66" s="154" t="s">
        <v>2004</v>
      </c>
      <c r="L66" s="227">
        <v>12217.52</v>
      </c>
      <c r="M66" s="157" t="s">
        <v>1994</v>
      </c>
      <c r="N66" s="227">
        <f t="shared" si="4"/>
        <v>74512.366762011152</v>
      </c>
      <c r="O66" s="152">
        <f t="shared" si="5"/>
        <v>646670.17176201136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>
        <v>41895</v>
      </c>
      <c r="I67" s="152"/>
      <c r="J67" s="157"/>
      <c r="K67" s="154" t="s">
        <v>2004</v>
      </c>
      <c r="L67" s="227">
        <v>13593.24</v>
      </c>
      <c r="M67" s="157" t="s">
        <v>1994</v>
      </c>
      <c r="N67" s="227">
        <f t="shared" si="4"/>
        <v>60919.126762011154</v>
      </c>
      <c r="O67" s="152">
        <f t="shared" si="5"/>
        <v>633076.93176201137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>
        <v>41895</v>
      </c>
      <c r="I68" s="152"/>
      <c r="J68" s="157"/>
      <c r="K68" s="154" t="s">
        <v>2004</v>
      </c>
      <c r="L68" s="227">
        <v>1615.67</v>
      </c>
      <c r="M68" s="157" t="s">
        <v>1994</v>
      </c>
      <c r="N68" s="227">
        <f t="shared" si="4"/>
        <v>59303.456762011156</v>
      </c>
      <c r="O68" s="152">
        <f t="shared" si="5"/>
        <v>631461.26176201133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>
        <v>41895</v>
      </c>
      <c r="I69" s="152"/>
      <c r="J69" s="157"/>
      <c r="K69" s="154" t="s">
        <v>2004</v>
      </c>
      <c r="L69" s="227">
        <v>30973.71</v>
      </c>
      <c r="M69" s="157" t="s">
        <v>1994</v>
      </c>
      <c r="N69" s="227">
        <f t="shared" si="4"/>
        <v>28329.746762011157</v>
      </c>
      <c r="O69" s="152">
        <f t="shared" si="5"/>
        <v>600487.55176201137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>
        <v>41895</v>
      </c>
      <c r="I70" s="152"/>
      <c r="J70" s="157"/>
      <c r="K70" s="154" t="s">
        <v>2004</v>
      </c>
      <c r="L70" s="227">
        <v>1008.8</v>
      </c>
      <c r="M70" s="157" t="s">
        <v>1994</v>
      </c>
      <c r="N70" s="227">
        <f t="shared" si="4"/>
        <v>27320.946762011157</v>
      </c>
      <c r="O70" s="152">
        <f t="shared" si="5"/>
        <v>599478.75176201132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>
        <v>41895</v>
      </c>
      <c r="I71" s="152"/>
      <c r="J71" s="157"/>
      <c r="K71" s="154" t="s">
        <v>2004</v>
      </c>
      <c r="L71" s="227">
        <v>16229.71</v>
      </c>
      <c r="M71" s="157" t="s">
        <v>1994</v>
      </c>
      <c r="N71" s="227">
        <f t="shared" si="4"/>
        <v>11091.236762011158</v>
      </c>
      <c r="O71" s="152">
        <f t="shared" si="5"/>
        <v>583249.04176201136</v>
      </c>
    </row>
    <row r="72" spans="1:15" x14ac:dyDescent="0.15">
      <c r="A72" s="154"/>
      <c r="B72" s="151"/>
      <c r="C72" s="152"/>
      <c r="D72" s="323">
        <v>41896</v>
      </c>
      <c r="E72" s="154" t="s">
        <v>72</v>
      </c>
      <c r="F72" s="157" t="s">
        <v>1996</v>
      </c>
      <c r="G72" s="152">
        <v>44048.493999999999</v>
      </c>
      <c r="H72" s="323">
        <v>41896</v>
      </c>
      <c r="I72" s="152">
        <v>9876.57</v>
      </c>
      <c r="J72" s="157" t="s">
        <v>1994</v>
      </c>
      <c r="K72" s="154" t="s">
        <v>2004</v>
      </c>
      <c r="L72" s="227">
        <v>1214.6667620111584</v>
      </c>
      <c r="M72" s="157" t="s">
        <v>1994</v>
      </c>
      <c r="N72" s="227">
        <f t="shared" si="4"/>
        <v>0</v>
      </c>
      <c r="O72" s="152">
        <f t="shared" si="5"/>
        <v>616206.29900000023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>
        <v>41896</v>
      </c>
      <c r="I73" s="152"/>
      <c r="J73" s="157"/>
      <c r="K73" s="154" t="s">
        <v>2003</v>
      </c>
      <c r="L73" s="227">
        <v>9510.8532379888402</v>
      </c>
      <c r="M73" s="157" t="s">
        <v>1995</v>
      </c>
      <c r="N73" s="227">
        <f>G43+G47+G53+N72-I73-L73</f>
        <v>166551.87376201118</v>
      </c>
      <c r="O73" s="152">
        <f t="shared" ref="O73:O76" si="12">O72+G73-I73-L73</f>
        <v>606695.44576201134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>
        <v>41896</v>
      </c>
      <c r="I74" s="152"/>
      <c r="J74" s="157"/>
      <c r="K74" s="154" t="s">
        <v>2003</v>
      </c>
      <c r="L74" s="227">
        <v>13788.39</v>
      </c>
      <c r="M74" s="157" t="s">
        <v>1995</v>
      </c>
      <c r="N74" s="227">
        <f t="shared" ref="N74:N76" si="13">+N73-I74-L74</f>
        <v>152763.48376201116</v>
      </c>
      <c r="O74" s="152">
        <f t="shared" si="12"/>
        <v>592907.05576201132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>
        <v>41896</v>
      </c>
      <c r="I75" s="152"/>
      <c r="J75" s="157"/>
      <c r="K75" s="154" t="s">
        <v>2003</v>
      </c>
      <c r="L75" s="227">
        <v>12350.51</v>
      </c>
      <c r="M75" s="157" t="s">
        <v>1995</v>
      </c>
      <c r="N75" s="227">
        <f t="shared" si="13"/>
        <v>140412.97376201116</v>
      </c>
      <c r="O75" s="152">
        <f t="shared" si="12"/>
        <v>580556.54576201132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>
        <v>41896</v>
      </c>
      <c r="I76" s="152"/>
      <c r="J76" s="157"/>
      <c r="K76" s="154" t="s">
        <v>2003</v>
      </c>
      <c r="L76" s="227">
        <v>40087.449999999997</v>
      </c>
      <c r="M76" s="157" t="s">
        <v>1995</v>
      </c>
      <c r="N76" s="227">
        <f t="shared" si="13"/>
        <v>100325.52376201116</v>
      </c>
      <c r="O76" s="152">
        <f t="shared" si="12"/>
        <v>540469.09576201136</v>
      </c>
    </row>
    <row r="77" spans="1:15" x14ac:dyDescent="0.15">
      <c r="A77" s="154"/>
      <c r="B77" s="151"/>
      <c r="C77" s="152"/>
      <c r="D77" s="323">
        <v>41897</v>
      </c>
      <c r="E77" s="154" t="s">
        <v>72</v>
      </c>
      <c r="F77" s="157" t="s">
        <v>1996</v>
      </c>
      <c r="G77" s="152">
        <v>87998.175999999978</v>
      </c>
      <c r="H77" s="323">
        <v>41897</v>
      </c>
      <c r="I77" s="152">
        <v>8790.02</v>
      </c>
      <c r="J77" s="157" t="s">
        <v>1995</v>
      </c>
      <c r="K77" s="154" t="s">
        <v>2003</v>
      </c>
      <c r="L77" s="227">
        <v>15810.82</v>
      </c>
      <c r="M77" s="157" t="s">
        <v>1995</v>
      </c>
      <c r="N77" s="227">
        <f t="shared" si="4"/>
        <v>75724.683762011147</v>
      </c>
      <c r="O77" s="152">
        <f t="shared" si="5"/>
        <v>603866.43176201137</v>
      </c>
    </row>
    <row r="78" spans="1:15" x14ac:dyDescent="0.15">
      <c r="A78" s="154"/>
      <c r="B78" s="151"/>
      <c r="C78" s="152"/>
      <c r="D78" s="323">
        <v>41897</v>
      </c>
      <c r="E78" s="154" t="s">
        <v>72</v>
      </c>
      <c r="F78" s="157" t="s">
        <v>1997</v>
      </c>
      <c r="G78" s="152">
        <v>44015.398000000001</v>
      </c>
      <c r="H78" s="323">
        <v>41897</v>
      </c>
      <c r="I78" s="152"/>
      <c r="J78" s="157"/>
      <c r="K78" s="154" t="s">
        <v>2003</v>
      </c>
      <c r="L78" s="227">
        <v>22518.26</v>
      </c>
      <c r="M78" s="157" t="s">
        <v>1995</v>
      </c>
      <c r="N78" s="227">
        <f t="shared" si="4"/>
        <v>53206.423762011153</v>
      </c>
      <c r="O78" s="152">
        <f t="shared" si="5"/>
        <v>625363.56976201141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>
        <v>41897</v>
      </c>
      <c r="I79" s="152"/>
      <c r="J79" s="157"/>
      <c r="K79" s="154" t="s">
        <v>2003</v>
      </c>
      <c r="L79" s="227">
        <v>12299.97</v>
      </c>
      <c r="M79" s="157" t="s">
        <v>1995</v>
      </c>
      <c r="N79" s="227">
        <f t="shared" si="4"/>
        <v>40906.453762011151</v>
      </c>
      <c r="O79" s="152">
        <f t="shared" si="5"/>
        <v>613063.59976201144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>
        <v>41897</v>
      </c>
      <c r="I80" s="152"/>
      <c r="J80" s="157"/>
      <c r="K80" s="154" t="s">
        <v>2003</v>
      </c>
      <c r="L80" s="227">
        <v>15842.45</v>
      </c>
      <c r="M80" s="157" t="s">
        <v>1995</v>
      </c>
      <c r="N80" s="227">
        <f t="shared" ref="N80:N119" si="14">+N79-I80-L80</f>
        <v>25064.003762011151</v>
      </c>
      <c r="O80" s="152">
        <f t="shared" ref="O80:O119" si="15">O79+G80-I80-L80</f>
        <v>597221.14976201148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>
        <v>41897</v>
      </c>
      <c r="I81" s="152"/>
      <c r="J81" s="157"/>
      <c r="K81" s="154" t="s">
        <v>2003</v>
      </c>
      <c r="L81" s="227">
        <v>644.59</v>
      </c>
      <c r="M81" s="157" t="s">
        <v>1995</v>
      </c>
      <c r="N81" s="227">
        <f t="shared" si="14"/>
        <v>24419.413762011151</v>
      </c>
      <c r="O81" s="152">
        <f t="shared" si="15"/>
        <v>596576.55976201151</v>
      </c>
    </row>
    <row r="82" spans="1:15" x14ac:dyDescent="0.15">
      <c r="A82" s="154"/>
      <c r="B82" s="151"/>
      <c r="C82" s="152"/>
      <c r="D82" s="323">
        <v>41898</v>
      </c>
      <c r="E82" s="154" t="s">
        <v>72</v>
      </c>
      <c r="F82" s="157" t="s">
        <v>1997</v>
      </c>
      <c r="G82" s="152">
        <v>44012.66</v>
      </c>
      <c r="H82" s="323">
        <v>41898</v>
      </c>
      <c r="I82" s="152"/>
      <c r="J82" s="157"/>
      <c r="K82" s="154" t="s">
        <v>2003</v>
      </c>
      <c r="L82" s="227">
        <v>15589.48</v>
      </c>
      <c r="M82" s="157" t="s">
        <v>1995</v>
      </c>
      <c r="N82" s="227">
        <f t="shared" si="14"/>
        <v>8829.933762011151</v>
      </c>
      <c r="O82" s="152">
        <f t="shared" si="15"/>
        <v>624999.73976201157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>
        <v>41898</v>
      </c>
      <c r="I83" s="152"/>
      <c r="J83" s="157"/>
      <c r="K83" s="154" t="s">
        <v>2003</v>
      </c>
      <c r="L83" s="227">
        <v>8829.933762011151</v>
      </c>
      <c r="M83" s="157" t="s">
        <v>1995</v>
      </c>
      <c r="N83" s="227">
        <f t="shared" ref="N83:N86" si="16">+N82-I83-L83</f>
        <v>0</v>
      </c>
      <c r="O83" s="152">
        <f t="shared" ref="O83:O86" si="17">O82+G83-I83-L83</f>
        <v>616169.80600000045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>
        <v>41898</v>
      </c>
      <c r="I84" s="152"/>
      <c r="J84" s="157"/>
      <c r="K84" s="154" t="s">
        <v>2003</v>
      </c>
      <c r="L84" s="227">
        <v>5353.69623798885</v>
      </c>
      <c r="M84" s="157" t="s">
        <v>2005</v>
      </c>
      <c r="N84" s="227">
        <f>G54+G58+G62+N83-I84-L84</f>
        <v>258753.15976201117</v>
      </c>
      <c r="O84" s="152">
        <f t="shared" si="17"/>
        <v>610816.10976201156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>
        <v>41898</v>
      </c>
      <c r="I85" s="152"/>
      <c r="J85" s="157"/>
      <c r="K85" s="154" t="s">
        <v>2003</v>
      </c>
      <c r="L85" s="227">
        <v>11822.19</v>
      </c>
      <c r="M85" s="157" t="s">
        <v>2005</v>
      </c>
      <c r="N85" s="227">
        <f t="shared" si="16"/>
        <v>246930.96976201117</v>
      </c>
      <c r="O85" s="152">
        <f t="shared" si="17"/>
        <v>598993.91976201162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>
        <v>41898</v>
      </c>
      <c r="I86" s="152"/>
      <c r="J86" s="157"/>
      <c r="K86" s="154" t="s">
        <v>2003</v>
      </c>
      <c r="L86" s="227">
        <v>24732.47</v>
      </c>
      <c r="M86" s="157" t="s">
        <v>2005</v>
      </c>
      <c r="N86" s="227">
        <f t="shared" si="16"/>
        <v>222198.49976201117</v>
      </c>
      <c r="O86" s="152">
        <f t="shared" si="17"/>
        <v>574261.44976201165</v>
      </c>
    </row>
    <row r="87" spans="1:15" x14ac:dyDescent="0.15">
      <c r="A87" s="154"/>
      <c r="B87" s="151"/>
      <c r="C87" s="152"/>
      <c r="D87" s="323">
        <v>41899</v>
      </c>
      <c r="E87" s="154" t="s">
        <v>72</v>
      </c>
      <c r="F87" s="157" t="s">
        <v>1997</v>
      </c>
      <c r="G87" s="152">
        <v>88075.759000000005</v>
      </c>
      <c r="H87" s="323">
        <v>41899</v>
      </c>
      <c r="I87" s="152"/>
      <c r="J87" s="157"/>
      <c r="K87" s="154" t="s">
        <v>2003</v>
      </c>
      <c r="L87" s="227">
        <v>41965.52</v>
      </c>
      <c r="M87" s="157" t="s">
        <v>2005</v>
      </c>
      <c r="N87" s="227">
        <f t="shared" si="14"/>
        <v>180232.97976201118</v>
      </c>
      <c r="O87" s="152">
        <f t="shared" si="15"/>
        <v>620371.68876201159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>
        <v>41899</v>
      </c>
      <c r="I88" s="152"/>
      <c r="J88" s="157"/>
      <c r="K88" s="154" t="s">
        <v>2003</v>
      </c>
      <c r="L88" s="227">
        <v>13539.23</v>
      </c>
      <c r="M88" s="157" t="s">
        <v>2005</v>
      </c>
      <c r="N88" s="227">
        <f t="shared" si="14"/>
        <v>166693.74976201117</v>
      </c>
      <c r="O88" s="152">
        <f t="shared" si="15"/>
        <v>606832.45876201161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>
        <v>41899</v>
      </c>
      <c r="I89" s="152"/>
      <c r="J89" s="157"/>
      <c r="K89" s="154" t="s">
        <v>2003</v>
      </c>
      <c r="L89" s="227">
        <v>14034.53</v>
      </c>
      <c r="M89" s="157" t="s">
        <v>2005</v>
      </c>
      <c r="N89" s="227">
        <f t="shared" si="14"/>
        <v>152659.21976201117</v>
      </c>
      <c r="O89" s="152">
        <f t="shared" si="15"/>
        <v>592797.92876201158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>
        <v>41899</v>
      </c>
      <c r="I90" s="152"/>
      <c r="J90" s="157"/>
      <c r="K90" s="154" t="s">
        <v>2003</v>
      </c>
      <c r="L90" s="227">
        <v>13340.11</v>
      </c>
      <c r="M90" s="157" t="s">
        <v>2005</v>
      </c>
      <c r="N90" s="227">
        <f t="shared" si="14"/>
        <v>139319.10976201115</v>
      </c>
      <c r="O90" s="152">
        <f t="shared" si="15"/>
        <v>579457.81876201159</v>
      </c>
    </row>
    <row r="91" spans="1:15" x14ac:dyDescent="0.15">
      <c r="A91" s="154"/>
      <c r="B91" s="151"/>
      <c r="C91" s="152"/>
      <c r="D91" s="323">
        <v>41900</v>
      </c>
      <c r="E91" s="154" t="s">
        <v>72</v>
      </c>
      <c r="F91" s="157" t="s">
        <v>1998</v>
      </c>
      <c r="G91" s="152">
        <v>88028.58</v>
      </c>
      <c r="H91" s="323">
        <v>41900</v>
      </c>
      <c r="I91" s="152">
        <v>8246.49</v>
      </c>
      <c r="J91" s="157" t="s">
        <v>2005</v>
      </c>
      <c r="K91" s="154" t="s">
        <v>2003</v>
      </c>
      <c r="L91" s="227">
        <v>13807</v>
      </c>
      <c r="M91" s="157" t="s">
        <v>2005</v>
      </c>
      <c r="N91" s="227">
        <f t="shared" si="14"/>
        <v>117265.61976201116</v>
      </c>
      <c r="O91" s="152">
        <f t="shared" si="15"/>
        <v>645432.90876201156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>
        <v>41900</v>
      </c>
      <c r="I92" s="152"/>
      <c r="J92" s="157"/>
      <c r="K92" s="154" t="s">
        <v>2003</v>
      </c>
      <c r="L92" s="227">
        <v>13036.61</v>
      </c>
      <c r="M92" s="157" t="s">
        <v>2005</v>
      </c>
      <c r="N92" s="227">
        <f t="shared" si="14"/>
        <v>104229.00976201116</v>
      </c>
      <c r="O92" s="152">
        <f t="shared" si="15"/>
        <v>632396.29876201157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>
        <v>41900</v>
      </c>
      <c r="I93" s="152"/>
      <c r="J93" s="157"/>
      <c r="K93" s="154" t="s">
        <v>2003</v>
      </c>
      <c r="L93" s="227">
        <v>13566.87</v>
      </c>
      <c r="M93" s="157" t="s">
        <v>2005</v>
      </c>
      <c r="N93" s="227">
        <f t="shared" si="14"/>
        <v>90662.139762011167</v>
      </c>
      <c r="O93" s="152">
        <f t="shared" si="15"/>
        <v>618829.42876201158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>
        <v>41900</v>
      </c>
      <c r="I94" s="152"/>
      <c r="J94" s="157"/>
      <c r="K94" s="154" t="s">
        <v>2003</v>
      </c>
      <c r="L94" s="227">
        <v>27173.73</v>
      </c>
      <c r="M94" s="157" t="s">
        <v>2005</v>
      </c>
      <c r="N94" s="227">
        <f t="shared" si="14"/>
        <v>63488.409762011172</v>
      </c>
      <c r="O94" s="152">
        <f t="shared" si="15"/>
        <v>591655.6987620116</v>
      </c>
    </row>
    <row r="95" spans="1:15" x14ac:dyDescent="0.15">
      <c r="A95" s="154"/>
      <c r="B95" s="151"/>
      <c r="C95" s="152"/>
      <c r="D95" s="323">
        <v>41901</v>
      </c>
      <c r="E95" s="154" t="s">
        <v>72</v>
      </c>
      <c r="F95" s="157" t="s">
        <v>1998</v>
      </c>
      <c r="G95" s="152">
        <v>44003.447</v>
      </c>
      <c r="H95" s="323">
        <v>41901</v>
      </c>
      <c r="I95" s="152">
        <v>4638.0600000000004</v>
      </c>
      <c r="J95" s="157" t="s">
        <v>2005</v>
      </c>
      <c r="K95" s="154" t="s">
        <v>2003</v>
      </c>
      <c r="L95" s="227">
        <v>11161.44</v>
      </c>
      <c r="M95" s="157" t="s">
        <v>2005</v>
      </c>
      <c r="N95" s="227">
        <f t="shared" si="14"/>
        <v>47688.909762011172</v>
      </c>
      <c r="O95" s="152">
        <f t="shared" si="15"/>
        <v>619859.64576201164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>
        <v>41901</v>
      </c>
      <c r="I96" s="152"/>
      <c r="J96" s="157"/>
      <c r="K96" s="154" t="s">
        <v>2003</v>
      </c>
      <c r="L96" s="227">
        <v>13438.97</v>
      </c>
      <c r="M96" s="157" t="s">
        <v>2005</v>
      </c>
      <c r="N96" s="227">
        <f t="shared" si="14"/>
        <v>34249.93976201117</v>
      </c>
      <c r="O96" s="152">
        <f t="shared" si="15"/>
        <v>606420.67576201167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>
        <v>41901</v>
      </c>
      <c r="I97" s="152"/>
      <c r="J97" s="157"/>
      <c r="K97" s="154" t="s">
        <v>2003</v>
      </c>
      <c r="L97" s="227">
        <v>10842.08</v>
      </c>
      <c r="M97" s="157" t="s">
        <v>2005</v>
      </c>
      <c r="N97" s="227">
        <f t="shared" si="14"/>
        <v>23407.859762011169</v>
      </c>
      <c r="O97" s="152">
        <f t="shared" si="15"/>
        <v>595578.59576201171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>
        <v>41901</v>
      </c>
      <c r="I98" s="152"/>
      <c r="J98" s="157"/>
      <c r="K98" s="154" t="s">
        <v>2003</v>
      </c>
      <c r="L98" s="227">
        <v>22415.45</v>
      </c>
      <c r="M98" s="157" t="s">
        <v>2005</v>
      </c>
      <c r="N98" s="227">
        <f t="shared" si="14"/>
        <v>992.40976201116791</v>
      </c>
      <c r="O98" s="152">
        <f t="shared" si="15"/>
        <v>573163.14576201176</v>
      </c>
    </row>
    <row r="99" spans="1:15" x14ac:dyDescent="0.15">
      <c r="A99" s="154"/>
      <c r="B99" s="151"/>
      <c r="C99" s="152"/>
      <c r="D99" s="323">
        <v>41902</v>
      </c>
      <c r="E99" s="154" t="s">
        <v>72</v>
      </c>
      <c r="F99" s="157" t="s">
        <v>1998</v>
      </c>
      <c r="G99" s="152">
        <v>131947.37299999999</v>
      </c>
      <c r="H99" s="323">
        <v>41902</v>
      </c>
      <c r="I99" s="152">
        <v>992.40976201116791</v>
      </c>
      <c r="J99" s="157" t="s">
        <v>2005</v>
      </c>
      <c r="K99" s="154"/>
      <c r="L99" s="227"/>
      <c r="M99" s="157"/>
      <c r="N99" s="227">
        <f t="shared" ref="N99:N102" si="18">+N98-I99-L99</f>
        <v>0</v>
      </c>
      <c r="O99" s="152">
        <f t="shared" ref="O99:O102" si="19">O98+G99-I99-L99</f>
        <v>704118.10900000064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>
        <v>41902</v>
      </c>
      <c r="I100" s="152">
        <v>5543.2602379888303</v>
      </c>
      <c r="J100" s="157" t="s">
        <v>1996</v>
      </c>
      <c r="K100" s="154" t="s">
        <v>2004</v>
      </c>
      <c r="L100" s="227">
        <v>39471.99</v>
      </c>
      <c r="M100" s="157" t="s">
        <v>1996</v>
      </c>
      <c r="N100" s="227">
        <f>G63+G66+G72+G77+N99-I100-L100</f>
        <v>219019.64176201116</v>
      </c>
      <c r="O100" s="152">
        <f t="shared" si="19"/>
        <v>659102.85876201186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>
        <v>41902</v>
      </c>
      <c r="I101" s="152"/>
      <c r="J101" s="157"/>
      <c r="K101" s="154" t="s">
        <v>2004</v>
      </c>
      <c r="L101" s="227">
        <v>13219.32</v>
      </c>
      <c r="M101" s="157" t="s">
        <v>1996</v>
      </c>
      <c r="N101" s="227">
        <f t="shared" si="18"/>
        <v>205800.32176201115</v>
      </c>
      <c r="O101" s="152">
        <f t="shared" si="19"/>
        <v>645883.53876201191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>
        <v>41902</v>
      </c>
      <c r="I102" s="152"/>
      <c r="J102" s="157"/>
      <c r="K102" s="154" t="s">
        <v>2004</v>
      </c>
      <c r="L102" s="227">
        <v>16012.75</v>
      </c>
      <c r="M102" s="157" t="s">
        <v>1996</v>
      </c>
      <c r="N102" s="227">
        <f t="shared" si="18"/>
        <v>189787.57176201115</v>
      </c>
      <c r="O102" s="152">
        <f t="shared" si="19"/>
        <v>629870.78876201191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>
        <v>41902</v>
      </c>
      <c r="I103" s="152"/>
      <c r="J103" s="157"/>
      <c r="K103" s="154" t="s">
        <v>2004</v>
      </c>
      <c r="L103" s="227">
        <v>30513.81</v>
      </c>
      <c r="M103" s="157" t="s">
        <v>1996</v>
      </c>
      <c r="N103" s="227">
        <f t="shared" si="14"/>
        <v>159273.76176201116</v>
      </c>
      <c r="O103" s="152">
        <f t="shared" si="15"/>
        <v>599356.97876201186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>
        <v>41902</v>
      </c>
      <c r="I104" s="152"/>
      <c r="J104" s="157"/>
      <c r="K104" s="154" t="s">
        <v>2004</v>
      </c>
      <c r="L104" s="227">
        <v>14727.01</v>
      </c>
      <c r="M104" s="157" t="s">
        <v>1996</v>
      </c>
      <c r="N104" s="227">
        <f t="shared" si="14"/>
        <v>144546.75176201115</v>
      </c>
      <c r="O104" s="152">
        <f t="shared" si="15"/>
        <v>584629.96876201185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>
        <v>41902</v>
      </c>
      <c r="I105" s="152"/>
      <c r="J105" s="157"/>
      <c r="K105" s="154" t="s">
        <v>2004</v>
      </c>
      <c r="L105" s="227">
        <v>16028.75</v>
      </c>
      <c r="M105" s="157" t="s">
        <v>1996</v>
      </c>
      <c r="N105" s="227">
        <f t="shared" si="14"/>
        <v>128518.00176201115</v>
      </c>
      <c r="O105" s="152">
        <f t="shared" si="15"/>
        <v>568601.21876201185</v>
      </c>
    </row>
    <row r="106" spans="1:15" x14ac:dyDescent="0.15">
      <c r="A106" s="154"/>
      <c r="B106" s="151"/>
      <c r="C106" s="152"/>
      <c r="D106" s="323">
        <v>41903</v>
      </c>
      <c r="E106" s="154" t="s">
        <v>72</v>
      </c>
      <c r="F106" s="157" t="s">
        <v>1998</v>
      </c>
      <c r="G106" s="152">
        <v>87922.741999999998</v>
      </c>
      <c r="H106" s="323">
        <v>41903</v>
      </c>
      <c r="I106" s="152">
        <v>11465.189999999999</v>
      </c>
      <c r="J106" s="157" t="s">
        <v>1996</v>
      </c>
      <c r="K106" s="154" t="s">
        <v>2004</v>
      </c>
      <c r="L106" s="227">
        <v>15737.57</v>
      </c>
      <c r="M106" s="157" t="s">
        <v>1996</v>
      </c>
      <c r="N106" s="227">
        <f t="shared" si="14"/>
        <v>101315.24176201114</v>
      </c>
      <c r="O106" s="152">
        <f t="shared" si="15"/>
        <v>629321.20076201193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>
        <v>41903</v>
      </c>
      <c r="I107" s="152"/>
      <c r="J107" s="157"/>
      <c r="K107" s="154" t="s">
        <v>2004</v>
      </c>
      <c r="L107" s="227">
        <v>25095.26</v>
      </c>
      <c r="M107" s="157" t="s">
        <v>1996</v>
      </c>
      <c r="N107" s="227">
        <f t="shared" si="14"/>
        <v>76219.981762011143</v>
      </c>
      <c r="O107" s="152">
        <f t="shared" si="15"/>
        <v>604225.94076201192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>
        <v>41903</v>
      </c>
      <c r="I108" s="152"/>
      <c r="J108" s="157"/>
      <c r="K108" s="154" t="s">
        <v>2004</v>
      </c>
      <c r="L108" s="227">
        <v>12040.32</v>
      </c>
      <c r="M108" s="157" t="s">
        <v>1996</v>
      </c>
      <c r="N108" s="227">
        <f t="shared" si="14"/>
        <v>64179.661762011143</v>
      </c>
      <c r="O108" s="152">
        <f t="shared" si="15"/>
        <v>592185.62076201197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>
        <v>41903</v>
      </c>
      <c r="I109" s="152"/>
      <c r="J109" s="157"/>
      <c r="K109" s="154" t="s">
        <v>2004</v>
      </c>
      <c r="L109" s="227">
        <v>13127.98</v>
      </c>
      <c r="M109" s="157" t="s">
        <v>1996</v>
      </c>
      <c r="N109" s="227">
        <f t="shared" si="14"/>
        <v>51051.68176201114</v>
      </c>
      <c r="O109" s="152">
        <f t="shared" si="15"/>
        <v>579057.64076201199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>
        <v>41903</v>
      </c>
      <c r="I110" s="152"/>
      <c r="J110" s="157"/>
      <c r="K110" s="154" t="s">
        <v>2004</v>
      </c>
      <c r="L110" s="227">
        <v>10117.15</v>
      </c>
      <c r="M110" s="157" t="s">
        <v>1996</v>
      </c>
      <c r="N110" s="227">
        <f t="shared" si="14"/>
        <v>40934.531762011138</v>
      </c>
      <c r="O110" s="152">
        <f t="shared" si="15"/>
        <v>568940.49076201196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>
        <v>41903</v>
      </c>
      <c r="I111" s="152"/>
      <c r="J111" s="157"/>
      <c r="K111" s="154" t="s">
        <v>2004</v>
      </c>
      <c r="L111" s="227">
        <v>14012.89</v>
      </c>
      <c r="M111" s="157" t="s">
        <v>1996</v>
      </c>
      <c r="N111" s="227">
        <f t="shared" ref="N111:N116" si="20">+N110-I111-L111</f>
        <v>26921.641762011139</v>
      </c>
      <c r="O111" s="152">
        <f t="shared" ref="O111:O116" si="21">O110+G111-I111-L111</f>
        <v>554927.60076201195</v>
      </c>
    </row>
    <row r="112" spans="1:15" x14ac:dyDescent="0.15">
      <c r="A112" s="154"/>
      <c r="B112" s="151"/>
      <c r="C112" s="152"/>
      <c r="D112" s="323">
        <v>41904</v>
      </c>
      <c r="E112" s="154" t="s">
        <v>72</v>
      </c>
      <c r="F112" s="157" t="s">
        <v>1999</v>
      </c>
      <c r="G112" s="152">
        <v>131999.48199999999</v>
      </c>
      <c r="H112" s="323">
        <v>41904</v>
      </c>
      <c r="I112" s="152">
        <v>5300.31</v>
      </c>
      <c r="J112" s="157" t="s">
        <v>1996</v>
      </c>
      <c r="K112" s="154" t="s">
        <v>2004</v>
      </c>
      <c r="L112" s="227">
        <v>21621.331762011137</v>
      </c>
      <c r="M112" s="157" t="s">
        <v>1996</v>
      </c>
      <c r="N112" s="227">
        <f t="shared" si="20"/>
        <v>0</v>
      </c>
      <c r="O112" s="152">
        <f t="shared" si="21"/>
        <v>660005.44100000069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>
        <v>41904</v>
      </c>
      <c r="I113" s="152"/>
      <c r="J113" s="157"/>
      <c r="K113" s="154" t="s">
        <v>2004</v>
      </c>
      <c r="L113" s="227">
        <v>42017.3682379889</v>
      </c>
      <c r="M113" s="157" t="s">
        <v>1997</v>
      </c>
      <c r="N113" s="227">
        <f>G78+G82+G87+N112-I113-L113</f>
        <v>134086.4487620111</v>
      </c>
      <c r="O113" s="152">
        <f t="shared" si="21"/>
        <v>617988.07276201178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>
        <v>41904</v>
      </c>
      <c r="I114" s="152"/>
      <c r="J114" s="157"/>
      <c r="K114" s="154" t="s">
        <v>2004</v>
      </c>
      <c r="L114" s="227">
        <v>7032.28</v>
      </c>
      <c r="M114" s="157" t="s">
        <v>1997</v>
      </c>
      <c r="N114" s="227">
        <f t="shared" si="20"/>
        <v>127054.1687620111</v>
      </c>
      <c r="O114" s="152">
        <f t="shared" si="21"/>
        <v>610955.79276201176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>
        <v>41904</v>
      </c>
      <c r="I115" s="152"/>
      <c r="J115" s="157"/>
      <c r="K115" s="154" t="s">
        <v>2004</v>
      </c>
      <c r="L115" s="227">
        <v>13356.12</v>
      </c>
      <c r="M115" s="157" t="s">
        <v>1997</v>
      </c>
      <c r="N115" s="227">
        <f t="shared" si="20"/>
        <v>113698.04876201111</v>
      </c>
      <c r="O115" s="152">
        <f t="shared" si="21"/>
        <v>597599.67276201176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>
        <v>41904</v>
      </c>
      <c r="I116" s="152"/>
      <c r="J116" s="157"/>
      <c r="K116" s="154" t="s">
        <v>2004</v>
      </c>
      <c r="L116" s="227">
        <v>13232.05</v>
      </c>
      <c r="M116" s="157" t="s">
        <v>1997</v>
      </c>
      <c r="N116" s="227">
        <f t="shared" si="20"/>
        <v>100465.99876201111</v>
      </c>
      <c r="O116" s="152">
        <f t="shared" si="21"/>
        <v>584367.62276201171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>
        <v>41904</v>
      </c>
      <c r="I117" s="152"/>
      <c r="J117" s="157"/>
      <c r="K117" s="154" t="s">
        <v>2004</v>
      </c>
      <c r="L117" s="227">
        <v>13065.95</v>
      </c>
      <c r="M117" s="157" t="s">
        <v>1997</v>
      </c>
      <c r="N117" s="227">
        <f t="shared" si="14"/>
        <v>87400.048762011109</v>
      </c>
      <c r="O117" s="152">
        <f t="shared" si="15"/>
        <v>571301.67276201176</v>
      </c>
    </row>
    <row r="118" spans="1:15" x14ac:dyDescent="0.15">
      <c r="A118" s="154"/>
      <c r="B118" s="151"/>
      <c r="C118" s="152"/>
      <c r="D118" s="323">
        <v>41905</v>
      </c>
      <c r="E118" s="154" t="s">
        <v>72</v>
      </c>
      <c r="F118" s="157" t="s">
        <v>1999</v>
      </c>
      <c r="G118" s="152">
        <v>131888.258</v>
      </c>
      <c r="H118" s="323">
        <v>41905</v>
      </c>
      <c r="I118" s="152">
        <v>3987.98</v>
      </c>
      <c r="J118" s="157" t="s">
        <v>1997</v>
      </c>
      <c r="K118" s="154" t="s">
        <v>2004</v>
      </c>
      <c r="L118" s="227">
        <v>13155.67</v>
      </c>
      <c r="M118" s="157" t="s">
        <v>1997</v>
      </c>
      <c r="N118" s="227">
        <f t="shared" si="14"/>
        <v>70256.398762011115</v>
      </c>
      <c r="O118" s="152">
        <f t="shared" si="15"/>
        <v>686046.28076201177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>
        <v>41905</v>
      </c>
      <c r="I119" s="152"/>
      <c r="J119" s="157"/>
      <c r="K119" s="154" t="s">
        <v>2004</v>
      </c>
      <c r="L119" s="227">
        <v>48034.34</v>
      </c>
      <c r="M119" s="157" t="s">
        <v>1997</v>
      </c>
      <c r="N119" s="227">
        <f t="shared" si="14"/>
        <v>22222.058762011118</v>
      </c>
      <c r="O119" s="152">
        <f t="shared" si="15"/>
        <v>638011.9407620118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>
        <v>41905</v>
      </c>
      <c r="I120" s="152"/>
      <c r="J120" s="157"/>
      <c r="K120" s="154" t="s">
        <v>2004</v>
      </c>
      <c r="L120" s="227">
        <v>22222.058762011118</v>
      </c>
      <c r="M120" s="157" t="s">
        <v>1997</v>
      </c>
      <c r="N120" s="227">
        <f t="shared" ref="N120:N124" si="22">+N119-I120-L120</f>
        <v>0</v>
      </c>
      <c r="O120" s="152">
        <f t="shared" ref="O120:O124" si="23">O119+G120-I120-L120</f>
        <v>615789.88200000068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>
        <v>41905</v>
      </c>
      <c r="I121" s="152"/>
      <c r="J121" s="157"/>
      <c r="K121" s="154" t="s">
        <v>2004</v>
      </c>
      <c r="L121" s="227">
        <v>3394.9412379888799</v>
      </c>
      <c r="M121" s="157" t="s">
        <v>1998</v>
      </c>
      <c r="N121" s="227">
        <f>G91+G95+G99+G106+N120-I121-L121</f>
        <v>348507.20076201111</v>
      </c>
      <c r="O121" s="152">
        <f t="shared" si="23"/>
        <v>612394.9407620118</v>
      </c>
    </row>
    <row r="122" spans="1:15" x14ac:dyDescent="0.15">
      <c r="A122" s="154"/>
      <c r="B122" s="151"/>
      <c r="C122" s="152"/>
      <c r="D122" s="323">
        <v>41906</v>
      </c>
      <c r="E122" s="154" t="s">
        <v>72</v>
      </c>
      <c r="F122" s="157" t="s">
        <v>1999</v>
      </c>
      <c r="G122" s="152">
        <v>43962.395000000019</v>
      </c>
      <c r="H122" s="323">
        <v>41906</v>
      </c>
      <c r="I122" s="152">
        <v>3976.58</v>
      </c>
      <c r="J122" s="157" t="s">
        <v>1998</v>
      </c>
      <c r="K122" s="154" t="s">
        <v>2004</v>
      </c>
      <c r="L122" s="227">
        <v>42130.06</v>
      </c>
      <c r="M122" s="157" t="s">
        <v>1998</v>
      </c>
      <c r="N122" s="227">
        <f t="shared" si="22"/>
        <v>302400.5607620111</v>
      </c>
      <c r="O122" s="152">
        <f t="shared" si="23"/>
        <v>610250.69576201192</v>
      </c>
    </row>
    <row r="123" spans="1:15" x14ac:dyDescent="0.15">
      <c r="A123" s="154"/>
      <c r="B123" s="151"/>
      <c r="C123" s="152"/>
      <c r="D123" s="323">
        <v>41906</v>
      </c>
      <c r="E123" s="154" t="s">
        <v>72</v>
      </c>
      <c r="F123" s="157" t="s">
        <v>2000</v>
      </c>
      <c r="G123" s="152">
        <v>44035.792999999998</v>
      </c>
      <c r="H123" s="323">
        <v>41906</v>
      </c>
      <c r="I123" s="152"/>
      <c r="J123" s="157"/>
      <c r="K123" s="154" t="s">
        <v>2004</v>
      </c>
      <c r="L123" s="227">
        <v>11858.57</v>
      </c>
      <c r="M123" s="157" t="s">
        <v>1998</v>
      </c>
      <c r="N123" s="227">
        <f t="shared" si="22"/>
        <v>290541.99076201109</v>
      </c>
      <c r="O123" s="152">
        <f t="shared" si="23"/>
        <v>642427.91876201192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>
        <v>41906</v>
      </c>
      <c r="I124" s="152"/>
      <c r="J124" s="157"/>
      <c r="K124" s="154" t="s">
        <v>2004</v>
      </c>
      <c r="L124" s="227">
        <v>12889.84</v>
      </c>
      <c r="M124" s="157" t="s">
        <v>1998</v>
      </c>
      <c r="N124" s="227">
        <f t="shared" si="22"/>
        <v>277652.15076201106</v>
      </c>
      <c r="O124" s="152">
        <f t="shared" si="23"/>
        <v>629538.07876201195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>
        <v>41906</v>
      </c>
      <c r="I125" s="152"/>
      <c r="J125" s="157"/>
      <c r="K125" s="154" t="s">
        <v>2004</v>
      </c>
      <c r="L125" s="227">
        <v>15900.7</v>
      </c>
      <c r="M125" s="157" t="s">
        <v>1998</v>
      </c>
      <c r="N125" s="227">
        <f t="shared" ref="N125:N180" si="24">+N124-I125-L125</f>
        <v>261751.45076201105</v>
      </c>
      <c r="O125" s="152">
        <f t="shared" ref="O125:O180" si="25">O124+G125-I125-L125</f>
        <v>613637.378762012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>
        <v>41906</v>
      </c>
      <c r="I126" s="152"/>
      <c r="J126" s="157"/>
      <c r="K126" s="154" t="s">
        <v>2004</v>
      </c>
      <c r="L126" s="227">
        <v>503.64</v>
      </c>
      <c r="M126" s="157" t="s">
        <v>1998</v>
      </c>
      <c r="N126" s="227">
        <f t="shared" si="24"/>
        <v>261247.81076201104</v>
      </c>
      <c r="O126" s="152">
        <f t="shared" si="25"/>
        <v>613133.73876201198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>
        <v>41906</v>
      </c>
      <c r="I127" s="152"/>
      <c r="J127" s="157"/>
      <c r="K127" s="154" t="s">
        <v>2004</v>
      </c>
      <c r="L127" s="227">
        <v>10441.58</v>
      </c>
      <c r="M127" s="157" t="s">
        <v>1998</v>
      </c>
      <c r="N127" s="227">
        <f t="shared" si="24"/>
        <v>250806.23076201105</v>
      </c>
      <c r="O127" s="152">
        <f t="shared" si="25"/>
        <v>602692.15876201203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>
        <v>41906</v>
      </c>
      <c r="I128" s="152"/>
      <c r="J128" s="157"/>
      <c r="K128" s="154" t="s">
        <v>2004</v>
      </c>
      <c r="L128" s="227">
        <v>1127.31</v>
      </c>
      <c r="M128" s="157" t="s">
        <v>1998</v>
      </c>
      <c r="N128" s="227">
        <f t="shared" si="24"/>
        <v>249678.92076201105</v>
      </c>
      <c r="O128" s="152">
        <f t="shared" si="25"/>
        <v>601564.84876201197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>
        <v>41906</v>
      </c>
      <c r="I129" s="152"/>
      <c r="J129" s="157"/>
      <c r="K129" s="154" t="s">
        <v>2004</v>
      </c>
      <c r="L129" s="227">
        <v>39316.050000000003</v>
      </c>
      <c r="M129" s="157" t="s">
        <v>1998</v>
      </c>
      <c r="N129" s="227">
        <f t="shared" si="24"/>
        <v>210362.87076201104</v>
      </c>
      <c r="O129" s="152">
        <f t="shared" si="25"/>
        <v>562248.79876201192</v>
      </c>
    </row>
    <row r="130" spans="1:15" x14ac:dyDescent="0.15">
      <c r="A130" s="154"/>
      <c r="B130" s="151"/>
      <c r="C130" s="152"/>
      <c r="D130" s="323">
        <v>41907</v>
      </c>
      <c r="E130" s="154" t="s">
        <v>72</v>
      </c>
      <c r="F130" s="157" t="s">
        <v>2000</v>
      </c>
      <c r="G130" s="152">
        <v>43904.684999999998</v>
      </c>
      <c r="H130" s="323">
        <v>41907</v>
      </c>
      <c r="I130" s="152">
        <v>5383.45</v>
      </c>
      <c r="J130" s="157" t="s">
        <v>1998</v>
      </c>
      <c r="K130" s="154" t="s">
        <v>2004</v>
      </c>
      <c r="L130" s="227">
        <v>12803.49</v>
      </c>
      <c r="M130" s="157" t="s">
        <v>1998</v>
      </c>
      <c r="N130" s="227">
        <f t="shared" si="24"/>
        <v>192175.93076201103</v>
      </c>
      <c r="O130" s="152">
        <f t="shared" si="25"/>
        <v>587966.54376201192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>
        <v>41907</v>
      </c>
      <c r="I131" s="152"/>
      <c r="J131" s="157"/>
      <c r="K131" s="154" t="s">
        <v>2004</v>
      </c>
      <c r="L131" s="227">
        <v>13789</v>
      </c>
      <c r="M131" s="157" t="s">
        <v>1998</v>
      </c>
      <c r="N131" s="227">
        <f t="shared" si="24"/>
        <v>178386.93076201103</v>
      </c>
      <c r="O131" s="152">
        <f t="shared" si="25"/>
        <v>574177.54376201192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>
        <v>41907</v>
      </c>
      <c r="I132" s="152"/>
      <c r="J132" s="157"/>
      <c r="K132" s="154" t="s">
        <v>2004</v>
      </c>
      <c r="L132" s="227">
        <v>24787.43</v>
      </c>
      <c r="M132" s="157" t="s">
        <v>1998</v>
      </c>
      <c r="N132" s="227">
        <f t="shared" si="24"/>
        <v>153599.50076201104</v>
      </c>
      <c r="O132" s="152">
        <f t="shared" si="25"/>
        <v>549390.11376201187</v>
      </c>
    </row>
    <row r="133" spans="1:15" x14ac:dyDescent="0.15">
      <c r="A133" s="154"/>
      <c r="B133" s="151"/>
      <c r="C133" s="152"/>
      <c r="D133" s="323">
        <v>41908</v>
      </c>
      <c r="E133" s="154" t="s">
        <v>72</v>
      </c>
      <c r="F133" s="157" t="s">
        <v>2000</v>
      </c>
      <c r="G133" s="152">
        <v>87907.834000000003</v>
      </c>
      <c r="H133" s="323">
        <v>41908</v>
      </c>
      <c r="I133" s="152">
        <v>4456.1000000000004</v>
      </c>
      <c r="J133" s="157" t="s">
        <v>1998</v>
      </c>
      <c r="K133" s="154" t="s">
        <v>2004</v>
      </c>
      <c r="L133" s="227">
        <v>15552.84</v>
      </c>
      <c r="M133" s="157" t="s">
        <v>1998</v>
      </c>
      <c r="N133" s="227">
        <f t="shared" si="24"/>
        <v>133590.56076201104</v>
      </c>
      <c r="O133" s="152">
        <f t="shared" si="25"/>
        <v>617289.00776201196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>
        <v>41908</v>
      </c>
      <c r="I134" s="152"/>
      <c r="J134" s="157"/>
      <c r="K134" s="154" t="s">
        <v>2004</v>
      </c>
      <c r="L134" s="227">
        <v>15776.8</v>
      </c>
      <c r="M134" s="157" t="s">
        <v>1998</v>
      </c>
      <c r="N134" s="227">
        <f t="shared" si="24"/>
        <v>117813.76076201104</v>
      </c>
      <c r="O134" s="152">
        <f t="shared" si="25"/>
        <v>601512.20776201191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>
        <v>41908</v>
      </c>
      <c r="I135" s="152"/>
      <c r="J135" s="157"/>
      <c r="K135" s="154" t="s">
        <v>2004</v>
      </c>
      <c r="L135" s="227">
        <v>11484.67</v>
      </c>
      <c r="M135" s="157" t="s">
        <v>1998</v>
      </c>
      <c r="N135" s="227">
        <f t="shared" si="24"/>
        <v>106329.09076201104</v>
      </c>
      <c r="O135" s="152">
        <f t="shared" si="25"/>
        <v>590027.53776201187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>
        <v>41908</v>
      </c>
      <c r="I136" s="152"/>
      <c r="J136" s="157"/>
      <c r="K136" s="154" t="s">
        <v>2004</v>
      </c>
      <c r="L136" s="227">
        <v>12919.38</v>
      </c>
      <c r="M136" s="157" t="s">
        <v>1998</v>
      </c>
      <c r="N136" s="227">
        <f t="shared" si="24"/>
        <v>93409.710762011033</v>
      </c>
      <c r="O136" s="152">
        <f t="shared" si="25"/>
        <v>577108.15776201186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>
        <v>41908</v>
      </c>
      <c r="I137" s="152"/>
      <c r="J137" s="157"/>
      <c r="K137" s="154" t="s">
        <v>2004</v>
      </c>
      <c r="L137" s="227">
        <v>10372.89</v>
      </c>
      <c r="M137" s="157" t="s">
        <v>1998</v>
      </c>
      <c r="N137" s="227">
        <f t="shared" si="24"/>
        <v>83036.820762011033</v>
      </c>
      <c r="O137" s="152">
        <f t="shared" si="25"/>
        <v>566735.26776201185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>
        <v>41908</v>
      </c>
      <c r="I138" s="152"/>
      <c r="J138" s="157"/>
      <c r="K138" s="154" t="s">
        <v>2004</v>
      </c>
      <c r="L138" s="227">
        <v>1248.75</v>
      </c>
      <c r="M138" s="157" t="s">
        <v>1998</v>
      </c>
      <c r="N138" s="227">
        <f t="shared" si="24"/>
        <v>81788.070762011033</v>
      </c>
      <c r="O138" s="152">
        <f t="shared" si="25"/>
        <v>565486.51776201185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>
        <v>41908</v>
      </c>
      <c r="I139" s="152"/>
      <c r="J139" s="157"/>
      <c r="K139" s="154" t="s">
        <v>2004</v>
      </c>
      <c r="L139" s="227">
        <v>739.85</v>
      </c>
      <c r="M139" s="157" t="s">
        <v>1998</v>
      </c>
      <c r="N139" s="227">
        <f t="shared" si="24"/>
        <v>81048.220762011028</v>
      </c>
      <c r="O139" s="152">
        <f t="shared" si="25"/>
        <v>564746.66776201187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>
        <v>41908</v>
      </c>
      <c r="I140" s="152"/>
      <c r="J140" s="157"/>
      <c r="K140" s="154" t="s">
        <v>2004</v>
      </c>
      <c r="L140" s="227">
        <v>26014.720000000001</v>
      </c>
      <c r="M140" s="157" t="s">
        <v>1998</v>
      </c>
      <c r="N140" s="227">
        <f t="shared" si="24"/>
        <v>55033.500762011026</v>
      </c>
      <c r="O140" s="152">
        <f t="shared" si="25"/>
        <v>538731.9477620119</v>
      </c>
    </row>
    <row r="141" spans="1:15" x14ac:dyDescent="0.15">
      <c r="A141" s="154"/>
      <c r="B141" s="151"/>
      <c r="C141" s="152"/>
      <c r="D141" s="323">
        <v>41909</v>
      </c>
      <c r="E141" s="154" t="s">
        <v>72</v>
      </c>
      <c r="F141" s="157" t="s">
        <v>2001</v>
      </c>
      <c r="G141" s="152">
        <v>131821.30300000001</v>
      </c>
      <c r="H141" s="323">
        <v>41909</v>
      </c>
      <c r="I141" s="152">
        <v>15502.12</v>
      </c>
      <c r="J141" s="157" t="s">
        <v>1998</v>
      </c>
      <c r="K141" s="154" t="s">
        <v>2004</v>
      </c>
      <c r="L141" s="227">
        <v>39531.380762011024</v>
      </c>
      <c r="M141" s="157" t="s">
        <v>1998</v>
      </c>
      <c r="N141" s="227">
        <f t="shared" ref="N141:N145" si="26">+N140-I141-L141</f>
        <v>0</v>
      </c>
      <c r="O141" s="152">
        <f t="shared" ref="O141:O145" si="27">O140+G141-I141-L141</f>
        <v>615519.75000000081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>
        <v>41909</v>
      </c>
      <c r="I142" s="152"/>
      <c r="J142" s="157"/>
      <c r="K142" s="154" t="s">
        <v>2004</v>
      </c>
      <c r="L142" s="227">
        <v>2173.97923798898</v>
      </c>
      <c r="M142" s="157" t="s">
        <v>1999</v>
      </c>
      <c r="N142" s="227">
        <f>G112+G118+G122+N141-I142-L142</f>
        <v>305676.15576201101</v>
      </c>
      <c r="O142" s="152">
        <f t="shared" si="27"/>
        <v>613345.77076201187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>
        <v>41909</v>
      </c>
      <c r="I143" s="152"/>
      <c r="J143" s="157"/>
      <c r="K143" s="154" t="s">
        <v>2004</v>
      </c>
      <c r="L143" s="227">
        <v>12543.63</v>
      </c>
      <c r="M143" s="157" t="s">
        <v>1999</v>
      </c>
      <c r="N143" s="227">
        <f t="shared" si="26"/>
        <v>293132.52576201101</v>
      </c>
      <c r="O143" s="152">
        <f t="shared" si="27"/>
        <v>600802.14076201187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>
        <v>41909</v>
      </c>
      <c r="I144" s="152"/>
      <c r="J144" s="157"/>
      <c r="K144" s="154" t="s">
        <v>2004</v>
      </c>
      <c r="L144" s="227">
        <v>3875.36</v>
      </c>
      <c r="M144" s="157" t="s">
        <v>1999</v>
      </c>
      <c r="N144" s="227">
        <f t="shared" si="26"/>
        <v>289257.16576201102</v>
      </c>
      <c r="O144" s="152">
        <f t="shared" si="27"/>
        <v>596926.78076201188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>
        <v>41909</v>
      </c>
      <c r="I145" s="152"/>
      <c r="J145" s="157"/>
      <c r="K145" s="154" t="s">
        <v>2004</v>
      </c>
      <c r="L145" s="227">
        <v>13557.24</v>
      </c>
      <c r="M145" s="157" t="s">
        <v>1999</v>
      </c>
      <c r="N145" s="227">
        <f t="shared" si="26"/>
        <v>275699.92576201103</v>
      </c>
      <c r="O145" s="152">
        <f t="shared" si="27"/>
        <v>583369.54076201189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>
        <v>41909</v>
      </c>
      <c r="I146" s="152"/>
      <c r="J146" s="157"/>
      <c r="K146" s="154" t="s">
        <v>2004</v>
      </c>
      <c r="L146" s="227">
        <v>14402.76</v>
      </c>
      <c r="M146" s="157" t="s">
        <v>1999</v>
      </c>
      <c r="N146" s="227">
        <f t="shared" si="24"/>
        <v>261297.16576201102</v>
      </c>
      <c r="O146" s="152">
        <f t="shared" si="25"/>
        <v>568966.78076201188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>
        <v>41909</v>
      </c>
      <c r="I147" s="152"/>
      <c r="J147" s="157"/>
      <c r="K147" s="154" t="s">
        <v>2004</v>
      </c>
      <c r="L147" s="227">
        <v>746.45</v>
      </c>
      <c r="M147" s="157" t="s">
        <v>1999</v>
      </c>
      <c r="N147" s="227">
        <f t="shared" si="24"/>
        <v>260550.71576201101</v>
      </c>
      <c r="O147" s="152">
        <f t="shared" si="25"/>
        <v>568220.33076201193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>
        <v>41909</v>
      </c>
      <c r="I148" s="152"/>
      <c r="J148" s="157"/>
      <c r="K148" s="154" t="s">
        <v>2004</v>
      </c>
      <c r="L148" s="227">
        <v>30334.61</v>
      </c>
      <c r="M148" s="157" t="s">
        <v>1999</v>
      </c>
      <c r="N148" s="227">
        <f t="shared" si="24"/>
        <v>230216.10576201102</v>
      </c>
      <c r="O148" s="152">
        <f t="shared" si="25"/>
        <v>537885.72076201194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>
        <v>41909</v>
      </c>
      <c r="I149" s="152"/>
      <c r="J149" s="157"/>
      <c r="K149" s="154" t="s">
        <v>2004</v>
      </c>
      <c r="L149" s="227">
        <v>21559.07</v>
      </c>
      <c r="M149" s="157" t="s">
        <v>1999</v>
      </c>
      <c r="N149" s="227">
        <f t="shared" si="24"/>
        <v>208657.03576201102</v>
      </c>
      <c r="O149" s="152">
        <f t="shared" si="25"/>
        <v>516326.65076201194</v>
      </c>
    </row>
    <row r="150" spans="1:15" x14ac:dyDescent="0.15">
      <c r="A150" s="154"/>
      <c r="B150" s="151"/>
      <c r="C150" s="152"/>
      <c r="D150" s="323">
        <v>41910</v>
      </c>
      <c r="E150" s="154" t="s">
        <v>72</v>
      </c>
      <c r="F150" s="157" t="s">
        <v>2001</v>
      </c>
      <c r="G150" s="152">
        <v>2644.3979999999283</v>
      </c>
      <c r="H150" s="323">
        <v>41910</v>
      </c>
      <c r="I150" s="152">
        <v>8828.52</v>
      </c>
      <c r="J150" s="157" t="s">
        <v>1999</v>
      </c>
      <c r="K150" s="154" t="s">
        <v>2004</v>
      </c>
      <c r="L150" s="227">
        <v>11073.61</v>
      </c>
      <c r="M150" s="157" t="s">
        <v>1999</v>
      </c>
      <c r="N150" s="227">
        <f t="shared" si="24"/>
        <v>188754.90576201101</v>
      </c>
      <c r="O150" s="152">
        <f t="shared" si="25"/>
        <v>499068.91876201186</v>
      </c>
    </row>
    <row r="151" spans="1:15" x14ac:dyDescent="0.15">
      <c r="A151" s="154"/>
      <c r="B151" s="151"/>
      <c r="C151" s="152"/>
      <c r="D151" s="323">
        <v>41910</v>
      </c>
      <c r="E151" s="154" t="s">
        <v>72</v>
      </c>
      <c r="F151" s="157" t="s">
        <v>2002</v>
      </c>
      <c r="G151" s="152">
        <v>85230.721000000107</v>
      </c>
      <c r="H151" s="323">
        <v>41910</v>
      </c>
      <c r="I151" s="152"/>
      <c r="J151" s="157"/>
      <c r="K151" s="154" t="s">
        <v>2004</v>
      </c>
      <c r="L151" s="227">
        <v>13709.95</v>
      </c>
      <c r="M151" s="157" t="s">
        <v>1999</v>
      </c>
      <c r="N151" s="227">
        <f t="shared" si="24"/>
        <v>175044.955762011</v>
      </c>
      <c r="O151" s="152">
        <f t="shared" si="25"/>
        <v>570589.68976201199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>
        <v>41910</v>
      </c>
      <c r="I152" s="152"/>
      <c r="J152" s="157"/>
      <c r="K152" s="154" t="s">
        <v>2004</v>
      </c>
      <c r="L152" s="227">
        <v>1179.4000000000001</v>
      </c>
      <c r="M152" s="157" t="s">
        <v>1999</v>
      </c>
      <c r="N152" s="227">
        <f t="shared" si="24"/>
        <v>173865.555762011</v>
      </c>
      <c r="O152" s="152">
        <f t="shared" si="25"/>
        <v>569410.28976201196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>
        <v>41910</v>
      </c>
      <c r="I153" s="152"/>
      <c r="J153" s="157"/>
      <c r="K153" s="154" t="s">
        <v>2004</v>
      </c>
      <c r="L153" s="227">
        <v>25741.94</v>
      </c>
      <c r="M153" s="157" t="s">
        <v>1999</v>
      </c>
      <c r="N153" s="227">
        <f t="shared" si="24"/>
        <v>148123.615762011</v>
      </c>
      <c r="O153" s="152">
        <f t="shared" si="25"/>
        <v>543668.34976201202</v>
      </c>
    </row>
    <row r="154" spans="1:15" x14ac:dyDescent="0.15">
      <c r="A154" s="154"/>
      <c r="B154" s="151"/>
      <c r="C154" s="152"/>
      <c r="D154" s="323">
        <v>41911</v>
      </c>
      <c r="E154" s="154" t="s">
        <v>72</v>
      </c>
      <c r="F154" s="157" t="s">
        <v>2002</v>
      </c>
      <c r="G154" s="152">
        <v>87994.130999999994</v>
      </c>
      <c r="H154" s="323">
        <v>41911</v>
      </c>
      <c r="I154" s="152">
        <v>3293.66</v>
      </c>
      <c r="J154" s="157" t="s">
        <v>1999</v>
      </c>
      <c r="K154" s="154" t="s">
        <v>2004</v>
      </c>
      <c r="L154" s="227">
        <v>13891.13</v>
      </c>
      <c r="M154" s="157" t="s">
        <v>1999</v>
      </c>
      <c r="N154" s="227">
        <f t="shared" si="24"/>
        <v>130938.82576201099</v>
      </c>
      <c r="O154" s="152">
        <f t="shared" si="25"/>
        <v>614477.69076201203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>
        <v>41911</v>
      </c>
      <c r="I155" s="152"/>
      <c r="J155" s="157"/>
      <c r="K155" s="154" t="s">
        <v>2004</v>
      </c>
      <c r="L155" s="227">
        <v>10434.58</v>
      </c>
      <c r="M155" s="157" t="s">
        <v>1999</v>
      </c>
      <c r="N155" s="227">
        <f t="shared" si="24"/>
        <v>120504.24576201099</v>
      </c>
      <c r="O155" s="152">
        <f t="shared" si="25"/>
        <v>604043.11076201207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>
        <v>41911</v>
      </c>
      <c r="I156" s="152"/>
      <c r="J156" s="157"/>
      <c r="K156" s="154" t="s">
        <v>2004</v>
      </c>
      <c r="L156" s="227">
        <v>25541.84</v>
      </c>
      <c r="M156" s="157" t="s">
        <v>1999</v>
      </c>
      <c r="N156" s="227">
        <f t="shared" si="24"/>
        <v>94962.405762010996</v>
      </c>
      <c r="O156" s="152">
        <f t="shared" si="25"/>
        <v>578501.27076201211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>
        <v>41911</v>
      </c>
      <c r="I157" s="152"/>
      <c r="J157" s="157"/>
      <c r="K157" s="154" t="s">
        <v>2004</v>
      </c>
      <c r="L157" s="227">
        <v>14423.75</v>
      </c>
      <c r="M157" s="157" t="s">
        <v>1999</v>
      </c>
      <c r="N157" s="227">
        <f t="shared" si="24"/>
        <v>80538.655762010996</v>
      </c>
      <c r="O157" s="152">
        <f t="shared" si="25"/>
        <v>564077.52076201211</v>
      </c>
    </row>
    <row r="158" spans="1:15" x14ac:dyDescent="0.15">
      <c r="A158" s="154"/>
      <c r="B158" s="151"/>
      <c r="C158" s="152"/>
      <c r="D158" s="323">
        <v>41912</v>
      </c>
      <c r="E158" s="154" t="s">
        <v>72</v>
      </c>
      <c r="F158" s="157" t="s">
        <v>2002</v>
      </c>
      <c r="G158" s="152">
        <v>87881.763000000006</v>
      </c>
      <c r="H158" s="323">
        <v>41912</v>
      </c>
      <c r="I158" s="152">
        <v>2457.5</v>
      </c>
      <c r="J158" s="157" t="s">
        <v>1999</v>
      </c>
      <c r="K158" s="154" t="s">
        <v>2004</v>
      </c>
      <c r="L158" s="227">
        <v>41270.910000000003</v>
      </c>
      <c r="M158" s="157" t="s">
        <v>1999</v>
      </c>
      <c r="N158" s="227">
        <f t="shared" si="24"/>
        <v>36810.245762010993</v>
      </c>
      <c r="O158" s="152">
        <f t="shared" si="25"/>
        <v>608230.87376201211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>
        <v>41912</v>
      </c>
      <c r="I159" s="152"/>
      <c r="J159" s="157"/>
      <c r="K159" s="154" t="s">
        <v>2004</v>
      </c>
      <c r="L159" s="227">
        <v>13086.63</v>
      </c>
      <c r="M159" s="157" t="s">
        <v>1999</v>
      </c>
      <c r="N159" s="227">
        <f t="shared" si="24"/>
        <v>23723.615762010995</v>
      </c>
      <c r="O159" s="152">
        <f t="shared" si="25"/>
        <v>595144.24376201211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>
        <v>41912</v>
      </c>
      <c r="I160" s="152"/>
      <c r="J160" s="157"/>
      <c r="K160" s="154" t="s">
        <v>2004</v>
      </c>
      <c r="L160" s="227">
        <v>12914.54</v>
      </c>
      <c r="M160" s="157" t="s">
        <v>1999</v>
      </c>
      <c r="N160" s="227">
        <f t="shared" si="24"/>
        <v>10809.075762010994</v>
      </c>
      <c r="O160" s="152">
        <f t="shared" si="25"/>
        <v>582229.70376201207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>
        <v>41912</v>
      </c>
      <c r="I161" s="152"/>
      <c r="J161" s="157"/>
      <c r="K161" s="154" t="s">
        <v>2004</v>
      </c>
      <c r="L161" s="227">
        <v>10809.075762010994</v>
      </c>
      <c r="M161" s="157" t="s">
        <v>1999</v>
      </c>
      <c r="N161" s="227">
        <f t="shared" si="24"/>
        <v>0</v>
      </c>
      <c r="O161" s="152">
        <f t="shared" si="25"/>
        <v>571420.62800000107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>
        <v>41912</v>
      </c>
      <c r="I162" s="152"/>
      <c r="J162" s="157"/>
      <c r="K162" s="154" t="s">
        <v>2003</v>
      </c>
      <c r="L162" s="227">
        <v>8699.0542379890103</v>
      </c>
      <c r="M162" s="157" t="s">
        <v>2000</v>
      </c>
      <c r="N162" s="227">
        <f>G123+G130+G133+N161-I162-L162</f>
        <v>167149.257762011</v>
      </c>
      <c r="O162" s="152">
        <f t="shared" si="25"/>
        <v>562721.57376201206</v>
      </c>
    </row>
    <row r="163" spans="1:15" x14ac:dyDescent="0.15">
      <c r="A163" s="154"/>
      <c r="B163" s="151"/>
      <c r="C163" s="152"/>
      <c r="D163" s="323"/>
      <c r="E163" s="155"/>
      <c r="F163" s="157"/>
      <c r="G163" s="152"/>
      <c r="H163" s="323">
        <v>41912</v>
      </c>
      <c r="I163" s="152"/>
      <c r="J163" s="157"/>
      <c r="K163" s="154" t="s">
        <v>2003</v>
      </c>
      <c r="L163" s="227">
        <v>15436.6</v>
      </c>
      <c r="M163" s="157" t="s">
        <v>2000</v>
      </c>
      <c r="N163" s="227">
        <f t="shared" si="24"/>
        <v>151712.65776201099</v>
      </c>
      <c r="O163" s="152">
        <f t="shared" si="25"/>
        <v>547284.97376201209</v>
      </c>
    </row>
    <row r="164" spans="1:15" hidden="1" x14ac:dyDescent="0.15">
      <c r="A164" s="154"/>
      <c r="B164" s="151"/>
      <c r="C164" s="152"/>
      <c r="D164" s="323"/>
      <c r="E164" s="155"/>
      <c r="F164" s="157"/>
      <c r="G164" s="152"/>
      <c r="H164" s="323"/>
      <c r="I164" s="152"/>
      <c r="J164" s="157"/>
      <c r="K164" s="154"/>
      <c r="L164" s="227"/>
      <c r="M164" s="157"/>
      <c r="N164" s="227">
        <f t="shared" si="24"/>
        <v>151712.65776201099</v>
      </c>
      <c r="O164" s="152">
        <f t="shared" si="25"/>
        <v>547284.97376201209</v>
      </c>
    </row>
    <row r="165" spans="1:15" hidden="1" x14ac:dyDescent="0.15">
      <c r="A165" s="154"/>
      <c r="B165" s="151"/>
      <c r="C165" s="152"/>
      <c r="D165" s="323"/>
      <c r="E165" s="155"/>
      <c r="F165" s="157"/>
      <c r="G165" s="152"/>
      <c r="H165" s="323"/>
      <c r="I165" s="152"/>
      <c r="J165" s="157"/>
      <c r="K165" s="154"/>
      <c r="L165" s="227"/>
      <c r="M165" s="157"/>
      <c r="N165" s="227">
        <f t="shared" si="24"/>
        <v>151712.65776201099</v>
      </c>
      <c r="O165" s="152">
        <f t="shared" si="25"/>
        <v>547284.97376201209</v>
      </c>
    </row>
    <row r="166" spans="1:15" hidden="1" x14ac:dyDescent="0.15">
      <c r="A166" s="154"/>
      <c r="B166" s="151"/>
      <c r="C166" s="152"/>
      <c r="D166" s="323"/>
      <c r="E166" s="155"/>
      <c r="F166" s="157"/>
      <c r="G166" s="152"/>
      <c r="H166" s="323"/>
      <c r="I166" s="152"/>
      <c r="J166" s="157"/>
      <c r="K166" s="154"/>
      <c r="L166" s="227"/>
      <c r="M166" s="157"/>
      <c r="N166" s="227">
        <f t="shared" si="24"/>
        <v>151712.65776201099</v>
      </c>
      <c r="O166" s="152">
        <f t="shared" si="25"/>
        <v>547284.97376201209</v>
      </c>
    </row>
    <row r="167" spans="1:15" hidden="1" x14ac:dyDescent="0.15">
      <c r="A167" s="154"/>
      <c r="B167" s="151"/>
      <c r="C167" s="152"/>
      <c r="D167" s="323"/>
      <c r="E167" s="155"/>
      <c r="F167" s="157"/>
      <c r="G167" s="152"/>
      <c r="H167" s="323"/>
      <c r="I167" s="152"/>
      <c r="J167" s="157"/>
      <c r="K167" s="154"/>
      <c r="L167" s="227"/>
      <c r="M167" s="157"/>
      <c r="N167" s="227">
        <f t="shared" si="24"/>
        <v>151712.65776201099</v>
      </c>
      <c r="O167" s="152">
        <f t="shared" si="25"/>
        <v>547284.97376201209</v>
      </c>
    </row>
    <row r="168" spans="1:15" hidden="1" x14ac:dyDescent="0.15">
      <c r="A168" s="154"/>
      <c r="B168" s="151"/>
      <c r="C168" s="152"/>
      <c r="D168" s="323"/>
      <c r="E168" s="155"/>
      <c r="F168" s="157"/>
      <c r="G168" s="152"/>
      <c r="H168" s="323"/>
      <c r="I168" s="152"/>
      <c r="J168" s="157"/>
      <c r="K168" s="154"/>
      <c r="L168" s="227"/>
      <c r="M168" s="157"/>
      <c r="N168" s="227">
        <f t="shared" si="24"/>
        <v>151712.65776201099</v>
      </c>
      <c r="O168" s="152">
        <f t="shared" si="25"/>
        <v>547284.97376201209</v>
      </c>
    </row>
    <row r="169" spans="1:15" hidden="1" x14ac:dyDescent="0.15">
      <c r="A169" s="154"/>
      <c r="B169" s="151"/>
      <c r="C169" s="152"/>
      <c r="D169" s="323"/>
      <c r="E169" s="154"/>
      <c r="F169" s="157"/>
      <c r="G169" s="152"/>
      <c r="H169" s="323"/>
      <c r="I169" s="152"/>
      <c r="J169" s="157"/>
      <c r="K169" s="154"/>
      <c r="L169" s="227"/>
      <c r="M169" s="157"/>
      <c r="N169" s="227">
        <f t="shared" si="24"/>
        <v>151712.65776201099</v>
      </c>
      <c r="O169" s="152">
        <f t="shared" si="25"/>
        <v>547284.97376201209</v>
      </c>
    </row>
    <row r="170" spans="1:15" hidden="1" x14ac:dyDescent="0.15">
      <c r="A170" s="154"/>
      <c r="B170" s="151"/>
      <c r="C170" s="152"/>
      <c r="D170" s="323"/>
      <c r="E170" s="154"/>
      <c r="F170" s="157"/>
      <c r="G170" s="152"/>
      <c r="H170" s="323"/>
      <c r="I170" s="152"/>
      <c r="J170" s="157"/>
      <c r="K170" s="154"/>
      <c r="L170" s="227"/>
      <c r="M170" s="157"/>
      <c r="N170" s="227">
        <f t="shared" si="24"/>
        <v>151712.65776201099</v>
      </c>
      <c r="O170" s="152">
        <f t="shared" si="25"/>
        <v>547284.97376201209</v>
      </c>
    </row>
    <row r="171" spans="1:15" hidden="1" x14ac:dyDescent="0.15">
      <c r="A171" s="154"/>
      <c r="B171" s="151"/>
      <c r="C171" s="152"/>
      <c r="D171" s="323"/>
      <c r="E171" s="154"/>
      <c r="F171" s="157"/>
      <c r="G171" s="152"/>
      <c r="H171" s="323"/>
      <c r="I171" s="152"/>
      <c r="J171" s="157"/>
      <c r="K171" s="154"/>
      <c r="L171" s="227"/>
      <c r="M171" s="157"/>
      <c r="N171" s="227">
        <f t="shared" si="24"/>
        <v>151712.65776201099</v>
      </c>
      <c r="O171" s="152">
        <f t="shared" si="25"/>
        <v>547284.97376201209</v>
      </c>
    </row>
    <row r="172" spans="1:15" hidden="1" x14ac:dyDescent="0.15">
      <c r="A172" s="154"/>
      <c r="B172" s="151"/>
      <c r="C172" s="152"/>
      <c r="D172" s="323"/>
      <c r="E172" s="154"/>
      <c r="F172" s="157"/>
      <c r="G172" s="152"/>
      <c r="H172" s="323"/>
      <c r="I172" s="152"/>
      <c r="J172" s="157"/>
      <c r="K172" s="154"/>
      <c r="L172" s="227"/>
      <c r="M172" s="157"/>
      <c r="N172" s="227">
        <f t="shared" si="24"/>
        <v>151712.65776201099</v>
      </c>
      <c r="O172" s="152">
        <f t="shared" si="25"/>
        <v>547284.97376201209</v>
      </c>
    </row>
    <row r="173" spans="1:15" hidden="1" x14ac:dyDescent="0.15">
      <c r="A173" s="154"/>
      <c r="B173" s="151"/>
      <c r="C173" s="152"/>
      <c r="D173" s="323"/>
      <c r="E173" s="155"/>
      <c r="F173" s="157"/>
      <c r="G173" s="152"/>
      <c r="H173" s="323"/>
      <c r="I173" s="152"/>
      <c r="J173" s="157"/>
      <c r="K173" s="154"/>
      <c r="L173" s="227"/>
      <c r="M173" s="157"/>
      <c r="N173" s="227">
        <f t="shared" si="24"/>
        <v>151712.65776201099</v>
      </c>
      <c r="O173" s="152">
        <f t="shared" si="25"/>
        <v>547284.97376201209</v>
      </c>
    </row>
    <row r="174" spans="1:15" hidden="1" x14ac:dyDescent="0.15">
      <c r="A174" s="154"/>
      <c r="B174" s="151"/>
      <c r="C174" s="152"/>
      <c r="D174" s="323"/>
      <c r="E174" s="154"/>
      <c r="F174" s="157"/>
      <c r="G174" s="152"/>
      <c r="H174" s="323"/>
      <c r="I174" s="152"/>
      <c r="J174" s="157"/>
      <c r="K174" s="154"/>
      <c r="L174" s="227"/>
      <c r="M174" s="157"/>
      <c r="N174" s="227">
        <f t="shared" si="24"/>
        <v>151712.65776201099</v>
      </c>
      <c r="O174" s="152">
        <f t="shared" si="25"/>
        <v>547284.97376201209</v>
      </c>
    </row>
    <row r="175" spans="1:15" hidden="1" x14ac:dyDescent="0.15">
      <c r="A175" s="154"/>
      <c r="B175" s="151"/>
      <c r="C175" s="152"/>
      <c r="D175" s="323"/>
      <c r="E175" s="154"/>
      <c r="F175" s="157"/>
      <c r="G175" s="152"/>
      <c r="H175" s="323"/>
      <c r="I175" s="152"/>
      <c r="J175" s="154"/>
      <c r="K175" s="154"/>
      <c r="L175" s="227"/>
      <c r="M175" s="157"/>
      <c r="N175" s="227">
        <f t="shared" si="24"/>
        <v>151712.65776201099</v>
      </c>
      <c r="O175" s="152">
        <f t="shared" si="25"/>
        <v>547284.97376201209</v>
      </c>
    </row>
    <row r="176" spans="1:15" hidden="1" x14ac:dyDescent="0.15">
      <c r="A176" s="154"/>
      <c r="B176" s="151"/>
      <c r="C176" s="151"/>
      <c r="D176" s="323"/>
      <c r="E176" s="154"/>
      <c r="F176" s="157"/>
      <c r="G176" s="152"/>
      <c r="H176" s="323"/>
      <c r="I176" s="152"/>
      <c r="J176" s="154"/>
      <c r="K176" s="154"/>
      <c r="L176" s="227"/>
      <c r="M176" s="157"/>
      <c r="N176" s="227">
        <f t="shared" si="24"/>
        <v>151712.65776201099</v>
      </c>
      <c r="O176" s="152">
        <f t="shared" si="25"/>
        <v>547284.97376201209</v>
      </c>
    </row>
    <row r="177" spans="1:15" hidden="1" x14ac:dyDescent="0.15">
      <c r="A177" s="154"/>
      <c r="B177" s="151"/>
      <c r="C177" s="151"/>
      <c r="D177" s="323"/>
      <c r="E177" s="155"/>
      <c r="F177" s="157"/>
      <c r="G177" s="152"/>
      <c r="H177" s="323"/>
      <c r="I177" s="152"/>
      <c r="J177" s="154"/>
      <c r="K177" s="154"/>
      <c r="L177" s="227"/>
      <c r="M177" s="157"/>
      <c r="N177" s="227">
        <f t="shared" si="24"/>
        <v>151712.65776201099</v>
      </c>
      <c r="O177" s="152">
        <f t="shared" si="25"/>
        <v>547284.97376201209</v>
      </c>
    </row>
    <row r="178" spans="1:15" hidden="1" x14ac:dyDescent="0.15">
      <c r="A178" s="154"/>
      <c r="B178" s="151"/>
      <c r="C178" s="151"/>
      <c r="D178" s="323"/>
      <c r="E178" s="154"/>
      <c r="F178" s="160"/>
      <c r="G178" s="152"/>
      <c r="H178" s="323"/>
      <c r="I178" s="152"/>
      <c r="J178" s="157"/>
      <c r="K178" s="154"/>
      <c r="L178" s="227"/>
      <c r="M178" s="157"/>
      <c r="N178" s="227">
        <f t="shared" si="24"/>
        <v>151712.65776201099</v>
      </c>
      <c r="O178" s="152">
        <f t="shared" si="25"/>
        <v>547284.97376201209</v>
      </c>
    </row>
    <row r="179" spans="1:15" hidden="1" x14ac:dyDescent="0.15">
      <c r="A179" s="154"/>
      <c r="B179" s="151"/>
      <c r="C179" s="151"/>
      <c r="D179" s="323"/>
      <c r="E179" s="154"/>
      <c r="F179" s="160"/>
      <c r="G179" s="152"/>
      <c r="H179" s="323"/>
      <c r="I179" s="152"/>
      <c r="J179" s="150"/>
      <c r="K179" s="154"/>
      <c r="L179" s="227"/>
      <c r="M179" s="157"/>
      <c r="N179" s="227">
        <f t="shared" si="24"/>
        <v>151712.65776201099</v>
      </c>
      <c r="O179" s="152">
        <f t="shared" si="25"/>
        <v>547284.97376201209</v>
      </c>
    </row>
    <row r="180" spans="1:15" x14ac:dyDescent="0.15">
      <c r="A180" s="173"/>
      <c r="B180" s="173"/>
      <c r="C180" s="174"/>
      <c r="D180" s="323"/>
      <c r="E180" s="173"/>
      <c r="F180" s="173"/>
      <c r="G180" s="174"/>
      <c r="H180" s="323"/>
      <c r="I180" s="174"/>
      <c r="J180" s="173"/>
      <c r="K180" s="154"/>
      <c r="L180" s="228"/>
      <c r="M180" s="173"/>
      <c r="N180" s="227">
        <f t="shared" si="24"/>
        <v>151712.65776201099</v>
      </c>
      <c r="O180" s="152">
        <f t="shared" si="25"/>
        <v>547284.97376201209</v>
      </c>
    </row>
    <row r="181" spans="1:15" x14ac:dyDescent="0.15">
      <c r="A181" s="177"/>
      <c r="B181" s="177"/>
      <c r="C181" s="178">
        <f>SUM(C7:C179)</f>
        <v>550883.64576201118</v>
      </c>
      <c r="D181" s="177"/>
      <c r="E181" s="177"/>
      <c r="F181" s="177"/>
      <c r="G181" s="178">
        <f>SUM(G7:G180)</f>
        <v>2639102.0479999995</v>
      </c>
      <c r="H181" s="179"/>
      <c r="I181" s="178">
        <f>SUM(I7:I180)</f>
        <v>194585.35</v>
      </c>
      <c r="J181" s="177"/>
      <c r="K181" s="177"/>
      <c r="L181" s="178">
        <f>SUM(L7:L180)</f>
        <v>2448115.3700000006</v>
      </c>
      <c r="M181" s="177"/>
      <c r="N181" s="180"/>
      <c r="O181" s="181">
        <f>C181+G181-I181-L181</f>
        <v>547284.97376201022</v>
      </c>
    </row>
    <row r="182" spans="1:15" x14ac:dyDescent="0.15">
      <c r="A182" s="182"/>
      <c r="B182" s="465"/>
      <c r="C182" s="465"/>
      <c r="D182" s="465"/>
      <c r="E182" s="183"/>
      <c r="F182" s="284"/>
      <c r="G182" s="185"/>
      <c r="H182" s="186"/>
      <c r="I182" s="187"/>
      <c r="J182" s="188"/>
      <c r="K182" s="189" t="s">
        <v>139</v>
      </c>
      <c r="L182" s="190">
        <f>+L181+I181</f>
        <v>2642700.7200000007</v>
      </c>
      <c r="M182" s="197"/>
      <c r="N182" s="230">
        <f>+N180</f>
        <v>151712.65776201099</v>
      </c>
      <c r="O182" s="195" t="s">
        <v>2000</v>
      </c>
    </row>
    <row r="183" spans="1:15" x14ac:dyDescent="0.15">
      <c r="A183" s="133"/>
      <c r="B183" s="369"/>
      <c r="C183" s="369"/>
      <c r="D183" s="369"/>
      <c r="E183" s="183"/>
      <c r="F183" s="370"/>
      <c r="G183" s="219"/>
      <c r="H183" s="186"/>
      <c r="I183" s="187"/>
      <c r="J183" s="210"/>
      <c r="N183" s="230">
        <v>134465.70099999994</v>
      </c>
      <c r="O183" s="334" t="s">
        <v>2001</v>
      </c>
    </row>
    <row r="184" spans="1:15" x14ac:dyDescent="0.15">
      <c r="A184" s="133"/>
      <c r="B184" s="369"/>
      <c r="C184" s="369"/>
      <c r="D184" s="369"/>
      <c r="E184" s="183"/>
      <c r="F184" s="370"/>
      <c r="G184" s="219"/>
      <c r="H184" s="186"/>
      <c r="I184" s="187"/>
      <c r="J184" s="210"/>
      <c r="N184" s="230">
        <v>261106.61500000011</v>
      </c>
      <c r="O184" s="334" t="s">
        <v>2002</v>
      </c>
    </row>
    <row r="185" spans="1:15" x14ac:dyDescent="0.15">
      <c r="A185" s="193" t="s">
        <v>1976</v>
      </c>
      <c r="B185" s="131" t="s">
        <v>1990</v>
      </c>
      <c r="E185" s="183" t="s">
        <v>55</v>
      </c>
      <c r="F185" s="372">
        <v>629636.1</v>
      </c>
      <c r="G185" s="219" t="s">
        <v>56</v>
      </c>
      <c r="H185" s="186">
        <v>41877</v>
      </c>
      <c r="I185" s="187" t="s">
        <v>71</v>
      </c>
      <c r="J185" s="210">
        <v>13410.024762011157</v>
      </c>
      <c r="K185" s="297"/>
      <c r="N185" s="230"/>
      <c r="O185" s="195"/>
    </row>
    <row r="186" spans="1:15" x14ac:dyDescent="0.15">
      <c r="A186" s="193" t="s">
        <v>1977</v>
      </c>
      <c r="B186" s="131" t="s">
        <v>2014</v>
      </c>
      <c r="E186" s="183" t="s">
        <v>55</v>
      </c>
      <c r="F186" s="372">
        <v>562154.27</v>
      </c>
      <c r="G186" s="219" t="s">
        <v>56</v>
      </c>
      <c r="H186" s="186">
        <v>41883</v>
      </c>
      <c r="I186" s="187" t="s">
        <v>71</v>
      </c>
      <c r="J186" s="210">
        <v>424661.02100000001</v>
      </c>
      <c r="K186" s="333"/>
      <c r="N186" s="230"/>
      <c r="O186" s="195"/>
    </row>
    <row r="187" spans="1:15" x14ac:dyDescent="0.15">
      <c r="A187" s="193" t="s">
        <v>1995</v>
      </c>
      <c r="B187" s="131" t="s">
        <v>2015</v>
      </c>
      <c r="E187" s="183" t="s">
        <v>55</v>
      </c>
      <c r="F187" s="372">
        <v>1864796.82</v>
      </c>
      <c r="G187" s="219" t="s">
        <v>56</v>
      </c>
      <c r="H187" s="186">
        <v>41898</v>
      </c>
      <c r="I187" s="187" t="s">
        <v>71</v>
      </c>
      <c r="J187" s="210">
        <v>167272.70699999999</v>
      </c>
      <c r="N187" s="230"/>
      <c r="O187" s="195"/>
    </row>
    <row r="188" spans="1:15" x14ac:dyDescent="0.15">
      <c r="A188" s="193" t="s">
        <v>2005</v>
      </c>
      <c r="B188" s="131" t="s">
        <v>2016</v>
      </c>
      <c r="E188" s="183" t="s">
        <v>55</v>
      </c>
      <c r="F188" s="372">
        <v>6552114.79</v>
      </c>
      <c r="G188" s="219" t="s">
        <v>56</v>
      </c>
      <c r="H188" s="186">
        <v>41899</v>
      </c>
      <c r="I188" s="187" t="s">
        <v>71</v>
      </c>
      <c r="J188" s="210">
        <v>250229.89623798887</v>
      </c>
      <c r="K188" s="333"/>
      <c r="N188" s="230"/>
      <c r="O188" s="195"/>
    </row>
    <row r="189" spans="1:15" x14ac:dyDescent="0.15">
      <c r="A189" s="193" t="s">
        <v>2000</v>
      </c>
      <c r="B189" s="131" t="s">
        <v>2013</v>
      </c>
      <c r="E189" s="183" t="s">
        <v>55</v>
      </c>
      <c r="F189" s="371">
        <v>15030249.93</v>
      </c>
      <c r="G189" s="219" t="s">
        <v>56</v>
      </c>
      <c r="H189" s="186">
        <v>41912</v>
      </c>
      <c r="I189" s="187" t="s">
        <v>71</v>
      </c>
      <c r="J189" s="210">
        <v>24135.654237989009</v>
      </c>
      <c r="N189" s="206" t="s">
        <v>33</v>
      </c>
      <c r="O189" s="207">
        <f>SUM(N182:N188)</f>
        <v>547284.97376201104</v>
      </c>
    </row>
    <row r="190" spans="1:15" ht="12" thickBot="1" x14ac:dyDescent="0.2">
      <c r="A190" s="133"/>
      <c r="B190" s="369"/>
      <c r="C190" s="369"/>
      <c r="D190" s="369"/>
      <c r="E190" s="183"/>
      <c r="F190" s="370"/>
      <c r="G190" s="219"/>
      <c r="H190" s="186"/>
      <c r="I190" s="217" t="s">
        <v>856</v>
      </c>
      <c r="J190" s="211">
        <f>SUM(J185:J189)</f>
        <v>879709.30323798896</v>
      </c>
      <c r="O190" s="190">
        <f>+O181-O189</f>
        <v>0</v>
      </c>
    </row>
    <row r="191" spans="1:15" s="132" customFormat="1" ht="12" thickTop="1" x14ac:dyDescent="0.15">
      <c r="A191" s="193" t="s">
        <v>1978</v>
      </c>
      <c r="B191" s="131" t="s">
        <v>2006</v>
      </c>
      <c r="D191" s="133"/>
      <c r="E191" s="183" t="s">
        <v>55</v>
      </c>
      <c r="F191" s="371">
        <v>5460833.4400000004</v>
      </c>
      <c r="G191" s="219" t="s">
        <v>56</v>
      </c>
      <c r="H191" s="186">
        <v>41885</v>
      </c>
      <c r="I191" s="187" t="s">
        <v>71</v>
      </c>
      <c r="J191" s="210">
        <v>213193.38399999993</v>
      </c>
      <c r="K191" s="297"/>
      <c r="M191" s="134"/>
    </row>
    <row r="192" spans="1:15" s="132" customFormat="1" x14ac:dyDescent="0.15">
      <c r="A192" s="193" t="s">
        <v>1993</v>
      </c>
      <c r="B192" s="131" t="s">
        <v>2007</v>
      </c>
      <c r="D192" s="133"/>
      <c r="E192" s="183" t="s">
        <v>55</v>
      </c>
      <c r="F192" s="371">
        <v>46242057.439999998</v>
      </c>
      <c r="G192" s="219" t="s">
        <v>56</v>
      </c>
      <c r="H192" s="186">
        <v>41890</v>
      </c>
      <c r="I192" s="187" t="s">
        <v>71</v>
      </c>
      <c r="J192" s="210">
        <v>83091.94</v>
      </c>
      <c r="K192" s="333"/>
      <c r="M192" s="134"/>
    </row>
    <row r="193" spans="1:15" s="132" customFormat="1" x14ac:dyDescent="0.15">
      <c r="A193" s="193" t="s">
        <v>1994</v>
      </c>
      <c r="B193" s="131" t="s">
        <v>2008</v>
      </c>
      <c r="D193" s="133"/>
      <c r="E193" s="183" t="s">
        <v>55</v>
      </c>
      <c r="F193" s="371">
        <v>27606624.420000002</v>
      </c>
      <c r="G193" s="219" t="s">
        <v>56</v>
      </c>
      <c r="H193" s="186">
        <v>42988</v>
      </c>
      <c r="I193" s="187" t="s">
        <v>71</v>
      </c>
      <c r="J193" s="210">
        <v>242424.427</v>
      </c>
      <c r="K193" s="133"/>
      <c r="M193" s="134"/>
    </row>
    <row r="194" spans="1:15" s="132" customFormat="1" x14ac:dyDescent="0.15">
      <c r="A194" s="193" t="s">
        <v>1996</v>
      </c>
      <c r="B194" s="131" t="s">
        <v>2009</v>
      </c>
      <c r="D194" s="133"/>
      <c r="E194" s="183" t="s">
        <v>55</v>
      </c>
      <c r="F194" s="371">
        <v>15150012.25</v>
      </c>
      <c r="G194" s="219" t="s">
        <v>56</v>
      </c>
      <c r="H194" s="186">
        <v>41899</v>
      </c>
      <c r="I194" s="187" t="s">
        <v>71</v>
      </c>
      <c r="J194" s="210">
        <v>241726.13176201112</v>
      </c>
      <c r="K194" s="333"/>
      <c r="M194" s="134"/>
    </row>
    <row r="195" spans="1:15" s="132" customFormat="1" x14ac:dyDescent="0.15">
      <c r="A195" s="193" t="s">
        <v>1997</v>
      </c>
      <c r="B195" s="131" t="s">
        <v>2010</v>
      </c>
      <c r="D195" s="133"/>
      <c r="E195" s="183" t="s">
        <v>55</v>
      </c>
      <c r="F195" s="371">
        <v>83298759.609999999</v>
      </c>
      <c r="G195" s="219" t="s">
        <v>56</v>
      </c>
      <c r="H195" s="186">
        <v>41901</v>
      </c>
      <c r="I195" s="187" t="s">
        <v>71</v>
      </c>
      <c r="J195" s="210">
        <v>172115.837</v>
      </c>
      <c r="K195" s="133"/>
      <c r="M195" s="134"/>
    </row>
    <row r="196" spans="1:15" s="132" customFormat="1" x14ac:dyDescent="0.15">
      <c r="A196" s="193" t="s">
        <v>1998</v>
      </c>
      <c r="B196" s="131" t="s">
        <v>2011</v>
      </c>
      <c r="D196" s="133"/>
      <c r="E196" s="183" t="s">
        <v>55</v>
      </c>
      <c r="F196" s="371">
        <v>34374399.270000003</v>
      </c>
      <c r="G196" s="219" t="s">
        <v>56</v>
      </c>
      <c r="H196" s="186">
        <v>41905</v>
      </c>
      <c r="I196" s="187" t="s">
        <v>71</v>
      </c>
      <c r="J196" s="210">
        <v>322583.89199999993</v>
      </c>
      <c r="K196" s="133"/>
      <c r="M196" s="134"/>
    </row>
    <row r="197" spans="1:15" s="132" customFormat="1" x14ac:dyDescent="0.15">
      <c r="A197" s="193" t="s">
        <v>1999</v>
      </c>
      <c r="B197" s="131" t="s">
        <v>2012</v>
      </c>
      <c r="D197" s="133"/>
      <c r="E197" s="183" t="s">
        <v>55</v>
      </c>
      <c r="F197" s="371">
        <v>26466647.550000001</v>
      </c>
      <c r="G197" s="219" t="s">
        <v>56</v>
      </c>
      <c r="H197" s="186">
        <v>41908</v>
      </c>
      <c r="I197" s="187" t="s">
        <v>71</v>
      </c>
      <c r="J197" s="210">
        <v>293270.45499999996</v>
      </c>
      <c r="K197" s="133"/>
      <c r="M197" s="134"/>
    </row>
    <row r="198" spans="1:15" s="132" customFormat="1" ht="12" thickBot="1" x14ac:dyDescent="0.2">
      <c r="A198" s="133"/>
      <c r="B198" s="369"/>
      <c r="C198" s="369"/>
      <c r="D198" s="369"/>
      <c r="E198" s="183"/>
      <c r="F198" s="370"/>
      <c r="G198" s="219"/>
      <c r="H198" s="186"/>
      <c r="I198" s="217" t="s">
        <v>106</v>
      </c>
      <c r="J198" s="211">
        <f>SUM(J191:J197)</f>
        <v>1568406.066762011</v>
      </c>
      <c r="K198" s="133"/>
      <c r="M198" s="134"/>
    </row>
    <row r="199" spans="1:15" s="132" customFormat="1" ht="12" thickTop="1" x14ac:dyDescent="0.15">
      <c r="A199" s="133"/>
      <c r="B199" s="369"/>
      <c r="C199" s="369"/>
      <c r="D199" s="369"/>
      <c r="E199" s="183"/>
      <c r="F199" s="370"/>
      <c r="G199" s="219"/>
      <c r="H199" s="186"/>
      <c r="I199" s="187"/>
      <c r="J199" s="210"/>
      <c r="K199" s="133"/>
      <c r="M199" s="134"/>
    </row>
    <row r="200" spans="1:15" s="132" customFormat="1" x14ac:dyDescent="0.15">
      <c r="A200" s="133"/>
      <c r="B200" s="133" t="s">
        <v>9</v>
      </c>
      <c r="C200" s="220" t="s">
        <v>729</v>
      </c>
      <c r="D200" s="220" t="s">
        <v>850</v>
      </c>
      <c r="E200" s="133" t="s">
        <v>570</v>
      </c>
      <c r="F200" s="133" t="s">
        <v>571</v>
      </c>
      <c r="G200" s="133" t="s">
        <v>16</v>
      </c>
      <c r="H200" s="134"/>
      <c r="J200" s="205"/>
      <c r="K200" s="133"/>
      <c r="M200" s="134"/>
    </row>
    <row r="201" spans="1:15" s="132" customFormat="1" x14ac:dyDescent="0.15">
      <c r="A201" s="193" t="s">
        <v>1976</v>
      </c>
      <c r="B201" s="210">
        <v>13410</v>
      </c>
      <c r="C201" s="221">
        <v>23.540299999999998</v>
      </c>
      <c r="D201" s="237">
        <f t="shared" ref="D201:D205" si="28">+B201*C201</f>
        <v>315675.42299999995</v>
      </c>
      <c r="E201" s="235">
        <f t="shared" ref="E201:E205" si="29">+D201*0.01</f>
        <v>3156.7542299999996</v>
      </c>
      <c r="F201" s="235">
        <f t="shared" ref="F201:F205" si="30">+E201*0.1</f>
        <v>315.67542299999997</v>
      </c>
      <c r="G201" s="236">
        <f t="shared" ref="G201:G205" si="31">SUM(E201:F201)</f>
        <v>3472.4296529999997</v>
      </c>
      <c r="H201" s="134"/>
      <c r="J201" s="205"/>
      <c r="K201" s="133"/>
      <c r="M201" s="134"/>
    </row>
    <row r="202" spans="1:15" s="132" customFormat="1" x14ac:dyDescent="0.15">
      <c r="A202" s="193" t="s">
        <v>1977</v>
      </c>
      <c r="B202" s="210">
        <v>424661</v>
      </c>
      <c r="C202" s="221">
        <v>23.366599999999998</v>
      </c>
      <c r="D202" s="237">
        <f t="shared" si="28"/>
        <v>9922883.7226</v>
      </c>
      <c r="E202" s="235">
        <f t="shared" si="29"/>
        <v>99228.837226000003</v>
      </c>
      <c r="F202" s="235">
        <f t="shared" si="30"/>
        <v>9922.8837226000014</v>
      </c>
      <c r="G202" s="236">
        <f t="shared" si="31"/>
        <v>109151.72094860001</v>
      </c>
      <c r="H202" s="133"/>
      <c r="J202" s="205"/>
      <c r="K202" s="133"/>
      <c r="M202" s="134"/>
    </row>
    <row r="203" spans="1:15" s="132" customFormat="1" x14ac:dyDescent="0.15">
      <c r="A203" s="193" t="s">
        <v>1995</v>
      </c>
      <c r="B203" s="210">
        <v>167273</v>
      </c>
      <c r="C203" s="221">
        <v>23.590299999999999</v>
      </c>
      <c r="D203" s="237">
        <f t="shared" si="28"/>
        <v>3946020.2519</v>
      </c>
      <c r="E203" s="235">
        <f t="shared" si="29"/>
        <v>39460.202518999999</v>
      </c>
      <c r="F203" s="235">
        <f t="shared" si="30"/>
        <v>3946.0202518999999</v>
      </c>
      <c r="G203" s="236">
        <f t="shared" si="31"/>
        <v>43406.2227709</v>
      </c>
      <c r="H203" s="133"/>
      <c r="J203" s="205"/>
      <c r="K203" s="133"/>
      <c r="M203" s="134"/>
    </row>
    <row r="204" spans="1:15" s="132" customFormat="1" x14ac:dyDescent="0.15">
      <c r="A204" s="193" t="s">
        <v>2005</v>
      </c>
      <c r="B204" s="210">
        <v>250230</v>
      </c>
      <c r="C204" s="221">
        <v>23.524000000000001</v>
      </c>
      <c r="D204" s="237">
        <f t="shared" si="28"/>
        <v>5886410.5200000005</v>
      </c>
      <c r="E204" s="235">
        <f t="shared" si="29"/>
        <v>58864.105200000005</v>
      </c>
      <c r="F204" s="235">
        <f t="shared" si="30"/>
        <v>5886.4105200000013</v>
      </c>
      <c r="G204" s="236">
        <f t="shared" si="31"/>
        <v>64750.51572000001</v>
      </c>
      <c r="H204" s="134"/>
      <c r="J204" s="205"/>
      <c r="K204" s="133"/>
      <c r="M204" s="134"/>
    </row>
    <row r="205" spans="1:15" s="133" customFormat="1" x14ac:dyDescent="0.15">
      <c r="A205" s="193" t="s">
        <v>2000</v>
      </c>
      <c r="B205" s="210">
        <v>24136</v>
      </c>
      <c r="C205" s="221">
        <v>22.8492</v>
      </c>
      <c r="D205" s="237">
        <f t="shared" si="28"/>
        <v>551488.29119999998</v>
      </c>
      <c r="E205" s="235">
        <f t="shared" si="29"/>
        <v>5514.882912</v>
      </c>
      <c r="F205" s="235">
        <f t="shared" si="30"/>
        <v>551.48829120000005</v>
      </c>
      <c r="G205" s="236">
        <f t="shared" si="31"/>
        <v>6066.3712032000003</v>
      </c>
      <c r="I205" s="132"/>
      <c r="J205" s="205"/>
      <c r="L205" s="132"/>
      <c r="M205" s="134"/>
      <c r="N205" s="132"/>
      <c r="O205" s="132"/>
    </row>
    <row r="206" spans="1:15" s="133" customFormat="1" ht="12" thickBot="1" x14ac:dyDescent="0.2">
      <c r="B206" s="211">
        <f>SUM(B201:B205)</f>
        <v>879710</v>
      </c>
      <c r="C206" s="221"/>
      <c r="D206" s="237"/>
      <c r="E206" s="242">
        <f>SUM(E201:E205)</f>
        <v>206224.78208700003</v>
      </c>
      <c r="F206" s="242">
        <f t="shared" ref="F206" si="32">SUM(F201:F205)</f>
        <v>20622.478208700002</v>
      </c>
      <c r="G206" s="242">
        <f t="shared" ref="G206" si="33">SUM(G201:G205)</f>
        <v>226847.26029570002</v>
      </c>
      <c r="H206" s="186"/>
      <c r="I206" s="132"/>
      <c r="J206" s="134"/>
      <c r="L206" s="132"/>
      <c r="M206" s="134"/>
      <c r="N206" s="132"/>
      <c r="O206" s="132"/>
    </row>
    <row r="207" spans="1:15" s="133" customFormat="1" ht="12" thickTop="1" x14ac:dyDescent="0.15">
      <c r="A207" s="193" t="s">
        <v>1978</v>
      </c>
      <c r="B207" s="210">
        <v>213193</v>
      </c>
      <c r="C207" s="221">
        <v>23.621200000000002</v>
      </c>
      <c r="D207" s="237">
        <f t="shared" ref="D207:D213" si="34">+B207*C207</f>
        <v>5035874.4916000003</v>
      </c>
      <c r="E207" s="235">
        <f t="shared" ref="E207:E213" si="35">+D207*0.01</f>
        <v>50358.744916000003</v>
      </c>
      <c r="F207" s="235">
        <f t="shared" ref="F207:F213" si="36">+E207*0.1</f>
        <v>5035.8744916000005</v>
      </c>
      <c r="G207" s="236">
        <f t="shared" ref="G207:G209" si="37">SUM(E207:F207)</f>
        <v>55394.619407600003</v>
      </c>
      <c r="H207" s="186"/>
      <c r="I207" s="132"/>
      <c r="J207" s="134"/>
      <c r="L207" s="132"/>
      <c r="M207" s="134"/>
      <c r="N207" s="132"/>
      <c r="O207" s="132"/>
    </row>
    <row r="208" spans="1:15" s="133" customFormat="1" x14ac:dyDescent="0.15">
      <c r="A208" s="193" t="s">
        <v>1993</v>
      </c>
      <c r="B208" s="210">
        <v>83092</v>
      </c>
      <c r="C208" s="221">
        <v>23.729399999999998</v>
      </c>
      <c r="D208" s="237">
        <f t="shared" si="34"/>
        <v>1971723.3047999998</v>
      </c>
      <c r="E208" s="235">
        <f t="shared" si="35"/>
        <v>19717.233047999998</v>
      </c>
      <c r="F208" s="235">
        <f t="shared" si="36"/>
        <v>1971.7233047999998</v>
      </c>
      <c r="G208" s="236">
        <f t="shared" si="37"/>
        <v>21688.9563528</v>
      </c>
      <c r="H208" s="186"/>
      <c r="I208" s="132"/>
      <c r="J208" s="134"/>
      <c r="L208" s="132"/>
      <c r="M208" s="134"/>
      <c r="N208" s="132"/>
      <c r="O208" s="132"/>
    </row>
    <row r="209" spans="1:15" s="133" customFormat="1" x14ac:dyDescent="0.15">
      <c r="A209" s="193" t="s">
        <v>1994</v>
      </c>
      <c r="B209" s="210">
        <v>242424</v>
      </c>
      <c r="C209" s="221">
        <v>23.698</v>
      </c>
      <c r="D209" s="237">
        <f t="shared" si="34"/>
        <v>5744963.9520000005</v>
      </c>
      <c r="E209" s="235">
        <f t="shared" si="35"/>
        <v>57449.639520000004</v>
      </c>
      <c r="F209" s="235">
        <f t="shared" si="36"/>
        <v>5744.963952000001</v>
      </c>
      <c r="G209" s="236">
        <f t="shared" si="37"/>
        <v>63194.603472000003</v>
      </c>
      <c r="H209" s="186"/>
      <c r="I209" s="132"/>
      <c r="J209" s="134"/>
      <c r="L209" s="132"/>
      <c r="M209" s="134"/>
      <c r="N209" s="132"/>
      <c r="O209" s="132"/>
    </row>
    <row r="210" spans="1:15" s="133" customFormat="1" x14ac:dyDescent="0.15">
      <c r="A210" s="193" t="s">
        <v>1996</v>
      </c>
      <c r="B210" s="210">
        <v>241726</v>
      </c>
      <c r="C210" s="221">
        <v>23.488800000000001</v>
      </c>
      <c r="D210" s="237">
        <f t="shared" si="34"/>
        <v>5677853.6688000001</v>
      </c>
      <c r="E210" s="235">
        <f t="shared" si="35"/>
        <v>56778.536688</v>
      </c>
      <c r="F210" s="235">
        <f t="shared" si="36"/>
        <v>5677.8536688000004</v>
      </c>
      <c r="G210" s="236">
        <f>SUM(E210:F210)</f>
        <v>62456.390356800002</v>
      </c>
      <c r="H210" s="186"/>
      <c r="I210" s="132"/>
      <c r="J210" s="134"/>
      <c r="L210" s="132"/>
      <c r="M210" s="134"/>
      <c r="N210" s="132"/>
      <c r="O210" s="132"/>
    </row>
    <row r="211" spans="1:15" s="132" customFormat="1" x14ac:dyDescent="0.15">
      <c r="A211" s="193" t="s">
        <v>1997</v>
      </c>
      <c r="B211" s="210">
        <v>172116</v>
      </c>
      <c r="C211" s="221">
        <v>23.393999999999998</v>
      </c>
      <c r="D211" s="237">
        <f t="shared" si="34"/>
        <v>4026481.7039999999</v>
      </c>
      <c r="E211" s="235">
        <f t="shared" si="35"/>
        <v>40264.817040000002</v>
      </c>
      <c r="F211" s="235">
        <f t="shared" si="36"/>
        <v>4026.4817040000003</v>
      </c>
      <c r="G211" s="236">
        <f>SUM(E211:F211)</f>
        <v>44291.298744</v>
      </c>
      <c r="H211" s="186"/>
      <c r="J211" s="134"/>
      <c r="K211" s="133"/>
      <c r="M211" s="134"/>
    </row>
    <row r="212" spans="1:15" s="132" customFormat="1" x14ac:dyDescent="0.15">
      <c r="A212" s="193" t="s">
        <v>1998</v>
      </c>
      <c r="B212" s="210">
        <v>322584</v>
      </c>
      <c r="C212" s="221">
        <v>23.2776</v>
      </c>
      <c r="D212" s="237">
        <f t="shared" si="34"/>
        <v>7508981.3184000002</v>
      </c>
      <c r="E212" s="235">
        <f t="shared" si="35"/>
        <v>75089.813183999999</v>
      </c>
      <c r="F212" s="235">
        <f t="shared" si="36"/>
        <v>7508.9813184000004</v>
      </c>
      <c r="G212" s="236">
        <f>SUM(E212:F212)</f>
        <v>82598.794502399993</v>
      </c>
      <c r="H212" s="186"/>
      <c r="J212" s="134"/>
      <c r="K212" s="133"/>
      <c r="M212" s="134"/>
    </row>
    <row r="213" spans="1:15" s="132" customFormat="1" x14ac:dyDescent="0.15">
      <c r="A213" s="193" t="s">
        <v>1999</v>
      </c>
      <c r="B213" s="210">
        <v>293270</v>
      </c>
      <c r="C213" s="221">
        <v>22.997900000000001</v>
      </c>
      <c r="D213" s="237">
        <f t="shared" si="34"/>
        <v>6744594.1330000004</v>
      </c>
      <c r="E213" s="235">
        <f t="shared" si="35"/>
        <v>67445.941330000001</v>
      </c>
      <c r="F213" s="235">
        <f t="shared" si="36"/>
        <v>6744.5941330000005</v>
      </c>
      <c r="G213" s="236">
        <f>SUM(E213:F213)</f>
        <v>74190.535463000007</v>
      </c>
      <c r="H213" s="186"/>
      <c r="J213" s="134"/>
      <c r="K213" s="133"/>
      <c r="M213" s="134"/>
    </row>
    <row r="214" spans="1:15" s="132" customFormat="1" ht="12" thickBot="1" x14ac:dyDescent="0.2">
      <c r="A214" s="133"/>
      <c r="B214" s="211">
        <f>SUM(B207:B213)</f>
        <v>1568405</v>
      </c>
      <c r="C214" s="221"/>
      <c r="D214" s="237"/>
      <c r="E214" s="242">
        <f>SUM(E207:E213)</f>
        <v>367104.72572599998</v>
      </c>
      <c r="F214" s="242">
        <f t="shared" ref="F214" si="38">SUM(F207:F213)</f>
        <v>36710.472572600003</v>
      </c>
      <c r="G214" s="242">
        <f t="shared" ref="G214" si="39">SUM(G207:G213)</f>
        <v>403815.19829860004</v>
      </c>
      <c r="H214" s="186"/>
      <c r="J214" s="134"/>
      <c r="K214" s="133"/>
      <c r="M214" s="134"/>
    </row>
    <row r="215" spans="1:15" s="132" customFormat="1" ht="12" thickTop="1" x14ac:dyDescent="0.15">
      <c r="A215" s="247"/>
      <c r="B215" s="190"/>
      <c r="C215" s="221"/>
      <c r="D215" s="222"/>
      <c r="E215" s="183"/>
      <c r="F215" s="371"/>
      <c r="G215" s="219"/>
      <c r="H215" s="186"/>
      <c r="J215" s="134"/>
      <c r="K215" s="133"/>
      <c r="M215" s="134"/>
    </row>
    <row r="216" spans="1:15" s="132" customFormat="1" x14ac:dyDescent="0.15">
      <c r="A216" s="247"/>
      <c r="B216" s="190"/>
      <c r="C216" s="221"/>
      <c r="D216" s="222"/>
      <c r="E216" s="183"/>
      <c r="F216" s="371"/>
      <c r="G216" s="219"/>
      <c r="H216" s="186"/>
      <c r="J216" s="134"/>
      <c r="K216" s="133"/>
      <c r="M216" s="134"/>
    </row>
    <row r="217" spans="1:15" s="132" customFormat="1" x14ac:dyDescent="0.15">
      <c r="A217" s="188"/>
      <c r="B217" s="190"/>
      <c r="C217" s="221"/>
      <c r="D217" s="222"/>
      <c r="E217" s="183"/>
      <c r="F217" s="371"/>
      <c r="G217" s="219"/>
      <c r="H217" s="186"/>
      <c r="J217" s="134"/>
      <c r="K217" s="133"/>
      <c r="M217" s="134"/>
    </row>
    <row r="218" spans="1:15" s="132" customFormat="1" x14ac:dyDescent="0.15">
      <c r="A218" s="247"/>
      <c r="B218" s="190"/>
      <c r="C218" s="221"/>
      <c r="D218" s="222"/>
      <c r="E218" s="183"/>
      <c r="F218" s="371"/>
      <c r="G218" s="219"/>
      <c r="H218" s="186"/>
      <c r="J218" s="134"/>
      <c r="K218" s="133"/>
      <c r="M218" s="134"/>
    </row>
    <row r="219" spans="1:15" s="132" customFormat="1" x14ac:dyDescent="0.15">
      <c r="A219" s="247"/>
      <c r="B219" s="190"/>
      <c r="C219" s="221"/>
      <c r="D219" s="222"/>
      <c r="E219" s="183"/>
      <c r="F219" s="371"/>
      <c r="G219" s="219"/>
      <c r="H219" s="186"/>
      <c r="J219" s="134"/>
      <c r="K219" s="133"/>
      <c r="M219" s="134"/>
    </row>
    <row r="220" spans="1:15" s="132" customFormat="1" x14ac:dyDescent="0.15">
      <c r="A220" s="247"/>
      <c r="B220" s="190"/>
      <c r="C220" s="221"/>
      <c r="D220" s="222"/>
      <c r="E220" s="133"/>
      <c r="F220" s="134"/>
      <c r="H220" s="133"/>
      <c r="J220" s="134"/>
      <c r="K220" s="133"/>
      <c r="M220" s="134"/>
    </row>
    <row r="221" spans="1:15" s="132" customFormat="1" x14ac:dyDescent="0.15">
      <c r="A221" s="247"/>
      <c r="B221" s="190"/>
      <c r="C221" s="221"/>
      <c r="D221" s="222"/>
      <c r="E221" s="133"/>
      <c r="F221" s="134"/>
      <c r="H221" s="133"/>
      <c r="J221" s="134"/>
      <c r="K221" s="133"/>
      <c r="M221" s="134"/>
    </row>
    <row r="222" spans="1:15" s="132" customFormat="1" x14ac:dyDescent="0.15">
      <c r="A222" s="247"/>
      <c r="B222" s="190"/>
      <c r="C222" s="221"/>
      <c r="D222" s="222"/>
      <c r="E222" s="133"/>
      <c r="F222" s="134"/>
      <c r="H222" s="133"/>
      <c r="J222" s="134"/>
      <c r="K222" s="133"/>
      <c r="M222" s="134"/>
    </row>
    <row r="223" spans="1:15" s="132" customFormat="1" x14ac:dyDescent="0.15">
      <c r="A223" s="134"/>
      <c r="B223" s="131"/>
      <c r="D223" s="133"/>
      <c r="E223" s="133"/>
      <c r="F223" s="134"/>
      <c r="H223" s="133"/>
      <c r="J223" s="134"/>
      <c r="K223" s="133"/>
      <c r="M223" s="134"/>
    </row>
    <row r="224" spans="1:15" s="132" customFormat="1" x14ac:dyDescent="0.15">
      <c r="A224" s="134"/>
      <c r="B224" s="131"/>
      <c r="D224" s="133"/>
      <c r="E224" s="133"/>
      <c r="F224" s="134"/>
      <c r="H224" s="133"/>
      <c r="J224" s="134"/>
      <c r="K224" s="133"/>
      <c r="M224" s="134"/>
    </row>
    <row r="225" spans="1:15" s="132" customFormat="1" x14ac:dyDescent="0.15">
      <c r="A225" s="134"/>
      <c r="B225" s="131"/>
      <c r="D225" s="133"/>
      <c r="E225" s="133"/>
      <c r="F225" s="134"/>
      <c r="H225" s="133"/>
      <c r="J225" s="134"/>
      <c r="K225" s="133"/>
      <c r="M225" s="134"/>
    </row>
    <row r="226" spans="1:15" s="132" customFormat="1" x14ac:dyDescent="0.15">
      <c r="A226" s="247"/>
      <c r="B226" s="131"/>
      <c r="D226" s="133"/>
      <c r="E226" s="183"/>
      <c r="F226" s="371"/>
      <c r="G226" s="219"/>
      <c r="H226" s="186"/>
      <c r="J226" s="134"/>
      <c r="K226" s="133"/>
      <c r="M226" s="134"/>
    </row>
    <row r="227" spans="1:15" s="132" customFormat="1" x14ac:dyDescent="0.15">
      <c r="A227" s="134"/>
      <c r="B227" s="131"/>
      <c r="D227" s="133"/>
      <c r="E227" s="133"/>
      <c r="F227" s="134"/>
      <c r="H227" s="133"/>
      <c r="J227" s="134"/>
      <c r="K227" s="133"/>
      <c r="M227" s="134"/>
    </row>
    <row r="228" spans="1:15" s="133" customFormat="1" x14ac:dyDescent="0.15">
      <c r="A228" s="134"/>
      <c r="B228" s="131"/>
      <c r="C228" s="132"/>
      <c r="F228" s="134"/>
      <c r="G228" s="132"/>
      <c r="I228" s="132"/>
      <c r="J228" s="134"/>
      <c r="L228" s="132"/>
      <c r="M228" s="134"/>
      <c r="N228" s="132"/>
      <c r="O228" s="132"/>
    </row>
    <row r="229" spans="1:15" s="133" customFormat="1" x14ac:dyDescent="0.15">
      <c r="A229" s="134"/>
      <c r="B229" s="131"/>
      <c r="C229" s="132"/>
      <c r="F229" s="134"/>
      <c r="G229" s="132"/>
      <c r="I229" s="132"/>
      <c r="J229" s="134"/>
      <c r="L229" s="132"/>
      <c r="M229" s="134"/>
      <c r="N229" s="132"/>
      <c r="O229" s="132"/>
    </row>
  </sheetData>
  <mergeCells count="7">
    <mergeCell ref="B182:D182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328"/>
  <sheetViews>
    <sheetView zoomScale="115" zoomScaleNormal="115" workbookViewId="0">
      <pane ySplit="6" topLeftCell="A244" activePane="bottomLeft" state="frozen"/>
      <selection pane="bottomLeft" activeCell="A269" sqref="A269:H269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7.7109375" style="134" bestFit="1" customWidth="1"/>
    <col min="14" max="14" width="10.57031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1966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1950</v>
      </c>
      <c r="B7" s="146"/>
      <c r="C7" s="152">
        <v>38233.944762010768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38233.944762010768</v>
      </c>
      <c r="O7" s="147">
        <f>+C259</f>
        <v>576537.20676201105</v>
      </c>
    </row>
    <row r="8" spans="1:15" x14ac:dyDescent="0.15">
      <c r="A8" s="154" t="s">
        <v>1951</v>
      </c>
      <c r="B8" s="151"/>
      <c r="C8" s="152">
        <v>365471.89000000025</v>
      </c>
      <c r="D8" s="323"/>
      <c r="E8" s="154"/>
      <c r="F8" s="154"/>
      <c r="G8" s="152"/>
      <c r="H8" s="323"/>
      <c r="I8" s="152"/>
      <c r="J8" s="154"/>
      <c r="K8" s="156"/>
      <c r="L8" s="227"/>
      <c r="M8" s="157"/>
      <c r="N8" s="227">
        <f>+N7-I8-L8</f>
        <v>38233.944762010768</v>
      </c>
      <c r="O8" s="152">
        <f t="shared" ref="O8:O11" si="0">O7+G8-I8-L8</f>
        <v>576537.20676201105</v>
      </c>
    </row>
    <row r="9" spans="1:15" x14ac:dyDescent="0.15">
      <c r="A9" s="157" t="s">
        <v>1952</v>
      </c>
      <c r="B9" s="151"/>
      <c r="C9" s="152">
        <v>172831.372</v>
      </c>
      <c r="D9" s="323"/>
      <c r="E9" s="154"/>
      <c r="F9" s="157"/>
      <c r="G9" s="152"/>
      <c r="H9" s="323"/>
      <c r="I9" s="152"/>
      <c r="J9" s="157"/>
      <c r="K9" s="154"/>
      <c r="L9" s="227"/>
      <c r="M9" s="157"/>
      <c r="N9" s="227">
        <f t="shared" ref="N9:N11" si="1">+N8-I9-L9</f>
        <v>38233.944762010768</v>
      </c>
      <c r="O9" s="152">
        <f t="shared" si="0"/>
        <v>576537.20676201105</v>
      </c>
    </row>
    <row r="10" spans="1:15" x14ac:dyDescent="0.15">
      <c r="A10" s="154"/>
      <c r="B10" s="151"/>
      <c r="C10" s="152"/>
      <c r="D10" s="323">
        <v>41852</v>
      </c>
      <c r="E10" s="154" t="s">
        <v>72</v>
      </c>
      <c r="F10" s="157" t="s">
        <v>1952</v>
      </c>
      <c r="G10" s="152">
        <v>131914.58600000001</v>
      </c>
      <c r="H10" s="323">
        <v>41852</v>
      </c>
      <c r="I10" s="152">
        <v>8715.35</v>
      </c>
      <c r="J10" s="157" t="s">
        <v>1950</v>
      </c>
      <c r="K10" s="154" t="s">
        <v>1991</v>
      </c>
      <c r="L10" s="227">
        <v>15951.62</v>
      </c>
      <c r="M10" s="157" t="s">
        <v>1950</v>
      </c>
      <c r="N10" s="227">
        <f t="shared" si="1"/>
        <v>13566.974762010768</v>
      </c>
      <c r="O10" s="152">
        <f t="shared" si="0"/>
        <v>683784.82276201108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>
        <v>41852</v>
      </c>
      <c r="I11" s="152"/>
      <c r="J11" s="157"/>
      <c r="K11" s="154" t="s">
        <v>1991</v>
      </c>
      <c r="L11" s="227">
        <v>11470.16</v>
      </c>
      <c r="M11" s="157" t="s">
        <v>1950</v>
      </c>
      <c r="N11" s="152">
        <f t="shared" si="1"/>
        <v>2096.8147620107684</v>
      </c>
      <c r="O11" s="152">
        <f t="shared" si="0"/>
        <v>672314.66276201105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41852</v>
      </c>
      <c r="I12" s="152"/>
      <c r="J12" s="157"/>
      <c r="K12" s="154" t="s">
        <v>1991</v>
      </c>
      <c r="L12" s="227">
        <v>2096.8147620107684</v>
      </c>
      <c r="M12" s="157" t="s">
        <v>1950</v>
      </c>
      <c r="N12" s="152">
        <f t="shared" ref="N12:N20" si="2">+N11-I12-L12</f>
        <v>0</v>
      </c>
      <c r="O12" s="152">
        <f t="shared" ref="O12:O20" si="3">O11+G12-I12-L12</f>
        <v>670217.84800000023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41852</v>
      </c>
      <c r="I13" s="152"/>
      <c r="J13" s="157"/>
      <c r="K13" s="154" t="s">
        <v>1991</v>
      </c>
      <c r="L13" s="227">
        <v>13237.7452379892</v>
      </c>
      <c r="M13" s="157" t="s">
        <v>1951</v>
      </c>
      <c r="N13" s="152">
        <f>C8+N12-I13-L13</f>
        <v>352234.14476201107</v>
      </c>
      <c r="O13" s="152">
        <f t="shared" si="3"/>
        <v>656980.102762011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>
        <v>41852</v>
      </c>
      <c r="I14" s="152"/>
      <c r="J14" s="157"/>
      <c r="K14" s="154" t="s">
        <v>1991</v>
      </c>
      <c r="L14" s="227">
        <v>13477.37</v>
      </c>
      <c r="M14" s="154" t="s">
        <v>1951</v>
      </c>
      <c r="N14" s="152">
        <f t="shared" si="2"/>
        <v>338756.77476201107</v>
      </c>
      <c r="O14" s="152">
        <f t="shared" si="3"/>
        <v>643502.732762011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>
        <v>41852</v>
      </c>
      <c r="I15" s="152"/>
      <c r="J15" s="157"/>
      <c r="K15" s="154" t="s">
        <v>1991</v>
      </c>
      <c r="L15" s="227">
        <v>13960.42</v>
      </c>
      <c r="M15" s="154" t="s">
        <v>1951</v>
      </c>
      <c r="N15" s="152">
        <f t="shared" si="2"/>
        <v>324796.35476201109</v>
      </c>
      <c r="O15" s="152">
        <f t="shared" si="3"/>
        <v>629542.31276201096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>
        <v>41852</v>
      </c>
      <c r="I16" s="152"/>
      <c r="J16" s="157"/>
      <c r="K16" s="154" t="s">
        <v>1991</v>
      </c>
      <c r="L16" s="227">
        <v>39183.97</v>
      </c>
      <c r="M16" s="154" t="s">
        <v>1951</v>
      </c>
      <c r="N16" s="152">
        <f t="shared" si="2"/>
        <v>285612.38476201112</v>
      </c>
      <c r="O16" s="152">
        <f t="shared" si="3"/>
        <v>590358.34276201099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>
        <v>41852</v>
      </c>
      <c r="I17" s="152"/>
      <c r="J17" s="157"/>
      <c r="K17" s="154" t="s">
        <v>1991</v>
      </c>
      <c r="L17" s="227">
        <v>13118.01</v>
      </c>
      <c r="M17" s="154" t="s">
        <v>1951</v>
      </c>
      <c r="N17" s="152">
        <f t="shared" si="2"/>
        <v>272494.37476201111</v>
      </c>
      <c r="O17" s="152">
        <f t="shared" si="3"/>
        <v>577240.33276201098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>
        <v>41852</v>
      </c>
      <c r="I18" s="152"/>
      <c r="J18" s="157"/>
      <c r="K18" s="154" t="s">
        <v>1991</v>
      </c>
      <c r="L18" s="227">
        <v>12458.21</v>
      </c>
      <c r="M18" s="154" t="s">
        <v>1951</v>
      </c>
      <c r="N18" s="152">
        <f t="shared" si="2"/>
        <v>260036.16476201112</v>
      </c>
      <c r="O18" s="152">
        <f t="shared" si="3"/>
        <v>564782.12276201101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>
        <v>41852</v>
      </c>
      <c r="I19" s="152"/>
      <c r="J19" s="157"/>
      <c r="K19" s="154" t="s">
        <v>1991</v>
      </c>
      <c r="L19" s="227">
        <v>22813.06</v>
      </c>
      <c r="M19" s="154" t="s">
        <v>1951</v>
      </c>
      <c r="N19" s="152">
        <f t="shared" si="2"/>
        <v>237223.10476201112</v>
      </c>
      <c r="O19" s="152">
        <f t="shared" si="3"/>
        <v>541969.06276201096</v>
      </c>
    </row>
    <row r="20" spans="1:15" x14ac:dyDescent="0.15">
      <c r="A20" s="154"/>
      <c r="B20" s="151"/>
      <c r="C20" s="152"/>
      <c r="D20" s="323">
        <v>41853</v>
      </c>
      <c r="E20" s="154" t="s">
        <v>72</v>
      </c>
      <c r="F20" s="157" t="s">
        <v>1952</v>
      </c>
      <c r="G20" s="152">
        <v>43938.707999999984</v>
      </c>
      <c r="H20" s="323">
        <v>41853</v>
      </c>
      <c r="I20" s="152">
        <v>20682.990000000002</v>
      </c>
      <c r="J20" s="154" t="s">
        <v>1951</v>
      </c>
      <c r="K20" s="154" t="s">
        <v>1991</v>
      </c>
      <c r="L20" s="227">
        <v>14131.3</v>
      </c>
      <c r="M20" s="154" t="s">
        <v>1951</v>
      </c>
      <c r="N20" s="152">
        <f t="shared" si="2"/>
        <v>202408.81476201114</v>
      </c>
      <c r="O20" s="152">
        <f t="shared" si="3"/>
        <v>551093.48076201091</v>
      </c>
    </row>
    <row r="21" spans="1:15" x14ac:dyDescent="0.15">
      <c r="A21" s="154"/>
      <c r="B21" s="151"/>
      <c r="C21" s="152"/>
      <c r="D21" s="323">
        <v>41853</v>
      </c>
      <c r="E21" s="154" t="s">
        <v>72</v>
      </c>
      <c r="F21" s="157" t="s">
        <v>1967</v>
      </c>
      <c r="G21" s="152">
        <v>87821.129000000001</v>
      </c>
      <c r="H21" s="323">
        <v>41853</v>
      </c>
      <c r="I21" s="152"/>
      <c r="J21" s="157"/>
      <c r="K21" s="154" t="s">
        <v>1991</v>
      </c>
      <c r="L21" s="227">
        <v>12263.73</v>
      </c>
      <c r="M21" s="154" t="s">
        <v>1951</v>
      </c>
      <c r="N21" s="152">
        <f t="shared" ref="N21:N80" si="4">+N20-I21-L21</f>
        <v>190145.08476201113</v>
      </c>
      <c r="O21" s="152">
        <f t="shared" ref="O21:O80" si="5">O20+G21-I21-L21</f>
        <v>626650.87976201088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41853</v>
      </c>
      <c r="I22" s="152"/>
      <c r="J22" s="157"/>
      <c r="K22" s="154" t="s">
        <v>1991</v>
      </c>
      <c r="L22" s="227">
        <v>13903.23</v>
      </c>
      <c r="M22" s="154" t="s">
        <v>1951</v>
      </c>
      <c r="N22" s="152">
        <f t="shared" si="4"/>
        <v>176241.85476201112</v>
      </c>
      <c r="O22" s="152">
        <f t="shared" si="5"/>
        <v>612747.6497620109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>
        <v>41853</v>
      </c>
      <c r="I23" s="152"/>
      <c r="J23" s="157"/>
      <c r="K23" s="154" t="s">
        <v>1991</v>
      </c>
      <c r="L23" s="227">
        <v>13333.06</v>
      </c>
      <c r="M23" s="154" t="s">
        <v>1951</v>
      </c>
      <c r="N23" s="152">
        <f t="shared" si="4"/>
        <v>162908.79476201112</v>
      </c>
      <c r="O23" s="152">
        <f t="shared" si="5"/>
        <v>599414.58976201084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>
        <v>41853</v>
      </c>
      <c r="I24" s="152"/>
      <c r="J24" s="157"/>
      <c r="K24" s="154" t="s">
        <v>1991</v>
      </c>
      <c r="L24" s="227">
        <v>12515.19</v>
      </c>
      <c r="M24" s="154" t="s">
        <v>1951</v>
      </c>
      <c r="N24" s="152">
        <f t="shared" si="4"/>
        <v>150393.60476201112</v>
      </c>
      <c r="O24" s="152">
        <f t="shared" si="5"/>
        <v>586899.3997620109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41854</v>
      </c>
      <c r="I25" s="152">
        <v>6684.54</v>
      </c>
      <c r="J25" s="154" t="s">
        <v>1951</v>
      </c>
      <c r="K25" s="154" t="s">
        <v>1991</v>
      </c>
      <c r="L25" s="227">
        <v>15233.09</v>
      </c>
      <c r="M25" s="154" t="s">
        <v>1951</v>
      </c>
      <c r="N25" s="152">
        <f t="shared" si="4"/>
        <v>128475.97476201112</v>
      </c>
      <c r="O25" s="152">
        <f t="shared" si="5"/>
        <v>564981.7697620109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>
        <v>41854</v>
      </c>
      <c r="I26" s="152"/>
      <c r="J26" s="157"/>
      <c r="K26" s="154" t="s">
        <v>1991</v>
      </c>
      <c r="L26" s="227">
        <v>11831.4</v>
      </c>
      <c r="M26" s="154" t="s">
        <v>1951</v>
      </c>
      <c r="N26" s="152">
        <f t="shared" si="4"/>
        <v>116644.57476201112</v>
      </c>
      <c r="O26" s="152">
        <f t="shared" si="5"/>
        <v>553150.36976201087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>
        <v>41854</v>
      </c>
      <c r="I27" s="152"/>
      <c r="J27" s="157"/>
      <c r="K27" s="154" t="s">
        <v>1991</v>
      </c>
      <c r="L27" s="227">
        <v>11609.35</v>
      </c>
      <c r="M27" s="154" t="s">
        <v>1951</v>
      </c>
      <c r="N27" s="152">
        <f t="shared" si="4"/>
        <v>105035.22476201112</v>
      </c>
      <c r="O27" s="152">
        <f t="shared" si="5"/>
        <v>541541.0197620109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>
        <v>41854</v>
      </c>
      <c r="I28" s="152"/>
      <c r="J28" s="157"/>
      <c r="K28" s="154" t="s">
        <v>1991</v>
      </c>
      <c r="L28" s="227">
        <v>13829.8</v>
      </c>
      <c r="M28" s="154" t="s">
        <v>1951</v>
      </c>
      <c r="N28" s="152">
        <f t="shared" si="4"/>
        <v>91205.424762011113</v>
      </c>
      <c r="O28" s="152">
        <f t="shared" si="5"/>
        <v>527711.21976201085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>
        <v>41854</v>
      </c>
      <c r="I29" s="152"/>
      <c r="J29" s="157"/>
      <c r="K29" s="154" t="s">
        <v>1991</v>
      </c>
      <c r="L29" s="227">
        <v>14196.88</v>
      </c>
      <c r="M29" s="154" t="s">
        <v>1951</v>
      </c>
      <c r="N29" s="152">
        <f t="shared" si="4"/>
        <v>77008.544762011108</v>
      </c>
      <c r="O29" s="152">
        <f t="shared" si="5"/>
        <v>513514.33976201084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>
        <v>41854</v>
      </c>
      <c r="I30" s="152"/>
      <c r="J30" s="157"/>
      <c r="K30" s="154" t="s">
        <v>1991</v>
      </c>
      <c r="L30" s="227">
        <v>13688.78</v>
      </c>
      <c r="M30" s="154" t="s">
        <v>1951</v>
      </c>
      <c r="N30" s="152">
        <f t="shared" si="4"/>
        <v>63319.764762011109</v>
      </c>
      <c r="O30" s="152">
        <f t="shared" si="5"/>
        <v>499825.55976201082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>
        <v>41854</v>
      </c>
      <c r="I31" s="152"/>
      <c r="J31" s="157"/>
      <c r="K31" s="154" t="s">
        <v>1991</v>
      </c>
      <c r="L31" s="227">
        <v>39799.07</v>
      </c>
      <c r="M31" s="154" t="s">
        <v>1951</v>
      </c>
      <c r="N31" s="152">
        <f t="shared" si="4"/>
        <v>23520.69476201111</v>
      </c>
      <c r="O31" s="152">
        <f t="shared" si="5"/>
        <v>460026.48976201081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>
        <v>41854</v>
      </c>
      <c r="I32" s="152"/>
      <c r="J32" s="157"/>
      <c r="K32" s="154" t="s">
        <v>1991</v>
      </c>
      <c r="L32" s="227">
        <v>12692.83</v>
      </c>
      <c r="M32" s="154" t="s">
        <v>1951</v>
      </c>
      <c r="N32" s="152">
        <f t="shared" si="4"/>
        <v>10827.86476201111</v>
      </c>
      <c r="O32" s="152">
        <f t="shared" si="5"/>
        <v>447333.65976201079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>
        <v>41854</v>
      </c>
      <c r="I33" s="152"/>
      <c r="J33" s="157"/>
      <c r="K33" s="154" t="s">
        <v>1991</v>
      </c>
      <c r="L33" s="227">
        <v>10827.86476201111</v>
      </c>
      <c r="M33" s="154" t="s">
        <v>1951</v>
      </c>
      <c r="N33" s="152">
        <f t="shared" ref="N33:N35" si="6">+N32-I33-L33</f>
        <v>0</v>
      </c>
      <c r="O33" s="152">
        <f t="shared" ref="O33:O35" si="7">O32+G33-I33-L33</f>
        <v>436505.79499999969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>
        <v>41854</v>
      </c>
      <c r="I34" s="152"/>
      <c r="J34" s="157"/>
      <c r="K34" s="154" t="s">
        <v>1991</v>
      </c>
      <c r="L34" s="227">
        <v>1424.4552379888901</v>
      </c>
      <c r="M34" s="157" t="s">
        <v>1952</v>
      </c>
      <c r="N34" s="152">
        <f>C9+G10+G20+N33-I34-L34</f>
        <v>347260.21076201106</v>
      </c>
      <c r="O34" s="152">
        <f t="shared" si="7"/>
        <v>435081.33976201079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>
        <v>41854</v>
      </c>
      <c r="I35" s="152"/>
      <c r="J35" s="157"/>
      <c r="K35" s="154" t="s">
        <v>1991</v>
      </c>
      <c r="L35" s="227">
        <v>2073.6799999999998</v>
      </c>
      <c r="M35" s="157" t="s">
        <v>1952</v>
      </c>
      <c r="N35" s="152">
        <f t="shared" si="6"/>
        <v>345186.53076201107</v>
      </c>
      <c r="O35" s="152">
        <f t="shared" si="7"/>
        <v>433007.65976201079</v>
      </c>
    </row>
    <row r="36" spans="1:15" x14ac:dyDescent="0.15">
      <c r="A36" s="154"/>
      <c r="B36" s="151"/>
      <c r="C36" s="152"/>
      <c r="D36" s="323">
        <v>41855</v>
      </c>
      <c r="E36" s="154" t="s">
        <v>72</v>
      </c>
      <c r="F36" s="157" t="s">
        <v>1967</v>
      </c>
      <c r="G36" s="152">
        <v>131939.95199999999</v>
      </c>
      <c r="H36" s="323">
        <v>41855</v>
      </c>
      <c r="I36" s="152">
        <v>11886.939999999999</v>
      </c>
      <c r="J36" s="157" t="s">
        <v>1952</v>
      </c>
      <c r="K36" s="154" t="s">
        <v>1991</v>
      </c>
      <c r="L36" s="227">
        <v>11677.37</v>
      </c>
      <c r="M36" s="157" t="s">
        <v>1952</v>
      </c>
      <c r="N36" s="152">
        <f t="shared" si="4"/>
        <v>321622.22076201107</v>
      </c>
      <c r="O36" s="152">
        <f t="shared" si="5"/>
        <v>541383.30176201079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>
        <v>41855</v>
      </c>
      <c r="I37" s="152"/>
      <c r="J37" s="157"/>
      <c r="K37" s="154" t="s">
        <v>1991</v>
      </c>
      <c r="L37" s="227">
        <v>23244.71</v>
      </c>
      <c r="M37" s="157" t="s">
        <v>1952</v>
      </c>
      <c r="N37" s="152">
        <f t="shared" si="4"/>
        <v>298377.51076201105</v>
      </c>
      <c r="O37" s="152">
        <f t="shared" si="5"/>
        <v>518138.59176201076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>
        <v>41855</v>
      </c>
      <c r="I38" s="152"/>
      <c r="J38" s="157"/>
      <c r="K38" s="154" t="s">
        <v>1991</v>
      </c>
      <c r="L38" s="227">
        <v>14043.85</v>
      </c>
      <c r="M38" s="157" t="s">
        <v>1952</v>
      </c>
      <c r="N38" s="152">
        <f t="shared" si="4"/>
        <v>284333.66076201107</v>
      </c>
      <c r="O38" s="152">
        <f t="shared" si="5"/>
        <v>504094.74176201079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>
        <v>41855</v>
      </c>
      <c r="I39" s="152"/>
      <c r="J39" s="157"/>
      <c r="K39" s="154" t="s">
        <v>1991</v>
      </c>
      <c r="L39" s="227">
        <v>660.13</v>
      </c>
      <c r="M39" s="157" t="s">
        <v>1952</v>
      </c>
      <c r="N39" s="152">
        <f t="shared" si="4"/>
        <v>283673.53076201107</v>
      </c>
      <c r="O39" s="152">
        <f t="shared" si="5"/>
        <v>503434.61176201078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>
        <v>41855</v>
      </c>
      <c r="I40" s="152"/>
      <c r="J40" s="157"/>
      <c r="K40" s="154" t="s">
        <v>1991</v>
      </c>
      <c r="L40" s="227">
        <v>14116.86</v>
      </c>
      <c r="M40" s="157" t="s">
        <v>1952</v>
      </c>
      <c r="N40" s="152">
        <f t="shared" si="4"/>
        <v>269556.67076201108</v>
      </c>
      <c r="O40" s="152">
        <f t="shared" si="5"/>
        <v>489317.7517620108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>
        <v>41855</v>
      </c>
      <c r="I41" s="152"/>
      <c r="J41" s="157"/>
      <c r="K41" s="154" t="s">
        <v>1991</v>
      </c>
      <c r="L41" s="227">
        <v>31946.33</v>
      </c>
      <c r="M41" s="157" t="s">
        <v>1952</v>
      </c>
      <c r="N41" s="152">
        <f t="shared" si="4"/>
        <v>237610.34076201107</v>
      </c>
      <c r="O41" s="152">
        <f t="shared" si="5"/>
        <v>457371.42176201078</v>
      </c>
    </row>
    <row r="42" spans="1:15" x14ac:dyDescent="0.15">
      <c r="A42" s="154"/>
      <c r="B42" s="151"/>
      <c r="C42" s="152"/>
      <c r="D42" s="323">
        <v>41856</v>
      </c>
      <c r="E42" s="154" t="s">
        <v>72</v>
      </c>
      <c r="F42" s="157" t="s">
        <v>1968</v>
      </c>
      <c r="G42" s="152">
        <v>131814.913</v>
      </c>
      <c r="H42" s="323">
        <v>41856</v>
      </c>
      <c r="I42" s="152">
        <v>8878.76</v>
      </c>
      <c r="J42" s="157" t="s">
        <v>1952</v>
      </c>
      <c r="K42" s="154" t="s">
        <v>1991</v>
      </c>
      <c r="L42" s="227">
        <v>12809.49</v>
      </c>
      <c r="M42" s="157" t="s">
        <v>1952</v>
      </c>
      <c r="N42" s="152">
        <f t="shared" si="4"/>
        <v>215922.09076201107</v>
      </c>
      <c r="O42" s="152">
        <f t="shared" si="5"/>
        <v>567498.08476201072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>
        <v>41856</v>
      </c>
      <c r="I43" s="152"/>
      <c r="J43" s="157"/>
      <c r="K43" s="154" t="s">
        <v>1991</v>
      </c>
      <c r="L43" s="227">
        <v>13963.07</v>
      </c>
      <c r="M43" s="157" t="s">
        <v>1952</v>
      </c>
      <c r="N43" s="152">
        <f t="shared" si="4"/>
        <v>201959.02076201106</v>
      </c>
      <c r="O43" s="152">
        <f t="shared" si="5"/>
        <v>553535.01476201077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41856</v>
      </c>
      <c r="I44" s="152"/>
      <c r="J44" s="157"/>
      <c r="K44" s="154" t="s">
        <v>1991</v>
      </c>
      <c r="L44" s="227">
        <v>34357.410000000003</v>
      </c>
      <c r="M44" s="157" t="s">
        <v>1952</v>
      </c>
      <c r="N44" s="152">
        <f t="shared" si="4"/>
        <v>167601.61076201106</v>
      </c>
      <c r="O44" s="152">
        <f t="shared" si="5"/>
        <v>519177.60476201074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>
        <v>41856</v>
      </c>
      <c r="I45" s="152"/>
      <c r="J45" s="157"/>
      <c r="K45" s="154" t="s">
        <v>1991</v>
      </c>
      <c r="L45" s="227">
        <v>9365.75</v>
      </c>
      <c r="M45" s="157" t="s">
        <v>1952</v>
      </c>
      <c r="N45" s="152">
        <f t="shared" si="4"/>
        <v>158235.86076201106</v>
      </c>
      <c r="O45" s="152">
        <f t="shared" si="5"/>
        <v>509811.85476201074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41856</v>
      </c>
      <c r="I46" s="152"/>
      <c r="J46" s="154"/>
      <c r="K46" s="154" t="s">
        <v>1991</v>
      </c>
      <c r="L46" s="227">
        <v>34811.74</v>
      </c>
      <c r="M46" s="157" t="s">
        <v>1952</v>
      </c>
      <c r="N46" s="152">
        <f t="shared" si="4"/>
        <v>123424.12076201107</v>
      </c>
      <c r="O46" s="152">
        <f t="shared" si="5"/>
        <v>475000.11476201075</v>
      </c>
    </row>
    <row r="47" spans="1:15" x14ac:dyDescent="0.15">
      <c r="A47" s="154"/>
      <c r="B47" s="151"/>
      <c r="C47" s="152"/>
      <c r="D47" s="323">
        <v>41857</v>
      </c>
      <c r="E47" s="154" t="s">
        <v>72</v>
      </c>
      <c r="F47" s="157" t="s">
        <v>1968</v>
      </c>
      <c r="G47" s="152">
        <v>217603.41200000001</v>
      </c>
      <c r="H47" s="323">
        <v>41857</v>
      </c>
      <c r="I47" s="152">
        <v>6177.99</v>
      </c>
      <c r="J47" s="157" t="s">
        <v>1952</v>
      </c>
      <c r="K47" s="154" t="s">
        <v>1991</v>
      </c>
      <c r="L47" s="227">
        <v>14357.27</v>
      </c>
      <c r="M47" s="157" t="s">
        <v>1952</v>
      </c>
      <c r="N47" s="152">
        <f t="shared" si="4"/>
        <v>102888.86076201106</v>
      </c>
      <c r="O47" s="152">
        <f t="shared" si="5"/>
        <v>672068.26676201075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>
        <v>41857</v>
      </c>
      <c r="I48" s="152"/>
      <c r="J48" s="154"/>
      <c r="K48" s="154" t="s">
        <v>1991</v>
      </c>
      <c r="L48" s="227">
        <v>14189.19</v>
      </c>
      <c r="M48" s="157" t="s">
        <v>1952</v>
      </c>
      <c r="N48" s="152">
        <f t="shared" si="4"/>
        <v>88699.670762011054</v>
      </c>
      <c r="O48" s="152">
        <f t="shared" si="5"/>
        <v>657879.07676201081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41857</v>
      </c>
      <c r="I49" s="152"/>
      <c r="J49" s="157"/>
      <c r="K49" s="154" t="s">
        <v>1991</v>
      </c>
      <c r="L49" s="227">
        <v>11295.72</v>
      </c>
      <c r="M49" s="157" t="s">
        <v>1952</v>
      </c>
      <c r="N49" s="152">
        <f t="shared" si="4"/>
        <v>77403.950762011053</v>
      </c>
      <c r="O49" s="152">
        <f t="shared" si="5"/>
        <v>646583.35676201084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41857</v>
      </c>
      <c r="I50" s="152"/>
      <c r="J50" s="157"/>
      <c r="K50" s="154" t="s">
        <v>1991</v>
      </c>
      <c r="L50" s="227">
        <v>14327.26</v>
      </c>
      <c r="M50" s="157" t="s">
        <v>1952</v>
      </c>
      <c r="N50" s="152">
        <f t="shared" si="4"/>
        <v>63076.690762011051</v>
      </c>
      <c r="O50" s="152">
        <f t="shared" si="5"/>
        <v>632256.09676201083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>
        <v>41857</v>
      </c>
      <c r="I51" s="152"/>
      <c r="J51" s="154"/>
      <c r="K51" s="154" t="s">
        <v>1991</v>
      </c>
      <c r="L51" s="227">
        <v>13088.63</v>
      </c>
      <c r="M51" s="157" t="s">
        <v>1952</v>
      </c>
      <c r="N51" s="152">
        <f t="shared" si="4"/>
        <v>49988.060762011053</v>
      </c>
      <c r="O51" s="152">
        <f t="shared" si="5"/>
        <v>619167.46676201082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>
        <v>41857</v>
      </c>
      <c r="I52" s="152"/>
      <c r="J52" s="157"/>
      <c r="K52" s="154" t="s">
        <v>1991</v>
      </c>
      <c r="L52" s="227">
        <v>38629.57</v>
      </c>
      <c r="M52" s="157" t="s">
        <v>1952</v>
      </c>
      <c r="N52" s="152">
        <f t="shared" si="4"/>
        <v>11358.490762011053</v>
      </c>
      <c r="O52" s="152">
        <f t="shared" si="5"/>
        <v>580537.89676201087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>
        <v>41857</v>
      </c>
      <c r="I53" s="152"/>
      <c r="J53" s="157"/>
      <c r="K53" s="154" t="s">
        <v>1991</v>
      </c>
      <c r="L53" s="227">
        <v>11358.490762011053</v>
      </c>
      <c r="M53" s="157" t="s">
        <v>1952</v>
      </c>
      <c r="N53" s="152">
        <f t="shared" si="4"/>
        <v>0</v>
      </c>
      <c r="O53" s="152">
        <f t="shared" si="5"/>
        <v>569179.40599999984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>
        <v>41857</v>
      </c>
      <c r="I54" s="152"/>
      <c r="J54" s="157"/>
      <c r="K54" s="154" t="s">
        <v>1991</v>
      </c>
      <c r="L54" s="227">
        <v>3519.4292379889498</v>
      </c>
      <c r="M54" s="157" t="s">
        <v>1967</v>
      </c>
      <c r="N54" s="152">
        <f>G21+G36+N53-I54-L54</f>
        <v>216241.65176201105</v>
      </c>
      <c r="O54" s="152">
        <f t="shared" ref="O54:O56" si="8">O53+G54-I54-L54</f>
        <v>565659.97676201095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>
        <v>41857</v>
      </c>
      <c r="I55" s="152"/>
      <c r="J55" s="157"/>
      <c r="K55" s="154" t="s">
        <v>1991</v>
      </c>
      <c r="L55" s="227">
        <v>13289.21</v>
      </c>
      <c r="M55" s="157" t="s">
        <v>1967</v>
      </c>
      <c r="N55" s="152">
        <f t="shared" ref="N55:N56" si="9">+N54-I55-L55</f>
        <v>202952.44176201106</v>
      </c>
      <c r="O55" s="152">
        <f t="shared" si="8"/>
        <v>552370.76676201099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41857</v>
      </c>
      <c r="I56" s="152"/>
      <c r="J56" s="157"/>
      <c r="K56" s="154" t="s">
        <v>1991</v>
      </c>
      <c r="L56" s="227">
        <v>200.84</v>
      </c>
      <c r="M56" s="157" t="s">
        <v>1967</v>
      </c>
      <c r="N56" s="152">
        <f t="shared" si="9"/>
        <v>202751.60176201107</v>
      </c>
      <c r="O56" s="152">
        <f t="shared" si="8"/>
        <v>552169.92676201102</v>
      </c>
    </row>
    <row r="57" spans="1:15" x14ac:dyDescent="0.15">
      <c r="A57" s="154"/>
      <c r="B57" s="151"/>
      <c r="C57" s="152"/>
      <c r="D57" s="323">
        <v>41858</v>
      </c>
      <c r="E57" s="154" t="s">
        <v>72</v>
      </c>
      <c r="F57" s="157" t="s">
        <v>1969</v>
      </c>
      <c r="G57" s="152">
        <v>131918.98199999999</v>
      </c>
      <c r="H57" s="323">
        <v>41858</v>
      </c>
      <c r="I57" s="152">
        <v>21520.05</v>
      </c>
      <c r="J57" s="157" t="s">
        <v>1967</v>
      </c>
      <c r="K57" s="154" t="s">
        <v>1991</v>
      </c>
      <c r="L57" s="227">
        <v>15737.97</v>
      </c>
      <c r="M57" s="157" t="s">
        <v>1967</v>
      </c>
      <c r="N57" s="152">
        <f t="shared" si="4"/>
        <v>165493.58176201108</v>
      </c>
      <c r="O57" s="152">
        <f t="shared" si="5"/>
        <v>646830.88876201096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>
        <v>41858</v>
      </c>
      <c r="I58" s="152"/>
      <c r="J58" s="157"/>
      <c r="K58" s="154" t="s">
        <v>1991</v>
      </c>
      <c r="L58" s="227">
        <v>12129.15</v>
      </c>
      <c r="M58" s="157" t="s">
        <v>1967</v>
      </c>
      <c r="N58" s="152">
        <f t="shared" si="4"/>
        <v>153364.43176201108</v>
      </c>
      <c r="O58" s="152">
        <f t="shared" si="5"/>
        <v>634701.73876201094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>
        <v>41858</v>
      </c>
      <c r="I59" s="152"/>
      <c r="J59" s="157"/>
      <c r="K59" s="154" t="s">
        <v>1991</v>
      </c>
      <c r="L59" s="227">
        <v>15756.98</v>
      </c>
      <c r="M59" s="157" t="s">
        <v>1967</v>
      </c>
      <c r="N59" s="152">
        <f t="shared" si="4"/>
        <v>137607.45176201107</v>
      </c>
      <c r="O59" s="152">
        <f t="shared" si="5"/>
        <v>618944.75876201096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>
        <v>41858</v>
      </c>
      <c r="I60" s="152"/>
      <c r="J60" s="157"/>
      <c r="K60" s="154" t="s">
        <v>1991</v>
      </c>
      <c r="L60" s="227">
        <v>14379.29</v>
      </c>
      <c r="M60" s="157" t="s">
        <v>1967</v>
      </c>
      <c r="N60" s="152">
        <f t="shared" si="4"/>
        <v>123228.16176201106</v>
      </c>
      <c r="O60" s="152">
        <f t="shared" si="5"/>
        <v>604565.46876201092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>
        <v>41858</v>
      </c>
      <c r="I61" s="152"/>
      <c r="J61" s="157"/>
      <c r="K61" s="154" t="s">
        <v>1991</v>
      </c>
      <c r="L61" s="227">
        <v>12546.36</v>
      </c>
      <c r="M61" s="157" t="s">
        <v>1967</v>
      </c>
      <c r="N61" s="152">
        <f t="shared" si="4"/>
        <v>110681.80176201106</v>
      </c>
      <c r="O61" s="152">
        <f t="shared" si="5"/>
        <v>592019.10876201093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>
        <v>41858</v>
      </c>
      <c r="I62" s="152"/>
      <c r="J62" s="157"/>
      <c r="K62" s="154" t="s">
        <v>1991</v>
      </c>
      <c r="L62" s="227">
        <v>13761.83</v>
      </c>
      <c r="M62" s="157" t="s">
        <v>1967</v>
      </c>
      <c r="N62" s="152">
        <f t="shared" si="4"/>
        <v>96919.97176201106</v>
      </c>
      <c r="O62" s="152">
        <f t="shared" si="5"/>
        <v>578257.27876201097</v>
      </c>
    </row>
    <row r="63" spans="1:15" x14ac:dyDescent="0.15">
      <c r="A63" s="154"/>
      <c r="B63" s="151"/>
      <c r="C63" s="152"/>
      <c r="D63" s="323">
        <v>41859</v>
      </c>
      <c r="E63" s="154" t="s">
        <v>72</v>
      </c>
      <c r="F63" s="157" t="s">
        <v>1969</v>
      </c>
      <c r="G63" s="152">
        <v>131987.74400000001</v>
      </c>
      <c r="H63" s="323">
        <v>41859</v>
      </c>
      <c r="I63" s="152">
        <v>12284.030000000002</v>
      </c>
      <c r="J63" s="157" t="s">
        <v>1967</v>
      </c>
      <c r="K63" s="154" t="s">
        <v>1991</v>
      </c>
      <c r="L63" s="227">
        <v>13494.2</v>
      </c>
      <c r="M63" s="157" t="s">
        <v>1967</v>
      </c>
      <c r="N63" s="152">
        <f t="shared" si="4"/>
        <v>71141.741762011065</v>
      </c>
      <c r="O63" s="152">
        <f t="shared" si="5"/>
        <v>684466.79276201106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>
        <v>41859</v>
      </c>
      <c r="I64" s="152"/>
      <c r="J64" s="157"/>
      <c r="K64" s="154" t="s">
        <v>1991</v>
      </c>
      <c r="L64" s="227">
        <v>13613.28</v>
      </c>
      <c r="M64" s="157" t="s">
        <v>1967</v>
      </c>
      <c r="N64" s="152">
        <f t="shared" si="4"/>
        <v>57528.461762011066</v>
      </c>
      <c r="O64" s="152">
        <f t="shared" si="5"/>
        <v>670853.51276201103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>
        <v>41859</v>
      </c>
      <c r="I65" s="152"/>
      <c r="J65" s="157"/>
      <c r="K65" s="154" t="s">
        <v>1991</v>
      </c>
      <c r="L65" s="227">
        <v>15304.31</v>
      </c>
      <c r="M65" s="157" t="s">
        <v>1967</v>
      </c>
      <c r="N65" s="152">
        <f t="shared" si="4"/>
        <v>42224.151762011068</v>
      </c>
      <c r="O65" s="152">
        <f t="shared" si="5"/>
        <v>655549.20276201097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>
        <v>41859</v>
      </c>
      <c r="I66" s="152"/>
      <c r="J66" s="157"/>
      <c r="K66" s="154" t="s">
        <v>1991</v>
      </c>
      <c r="L66" s="227">
        <v>14763.98</v>
      </c>
      <c r="M66" s="157" t="s">
        <v>1967</v>
      </c>
      <c r="N66" s="152">
        <f t="shared" si="4"/>
        <v>27460.171762011068</v>
      </c>
      <c r="O66" s="152">
        <f t="shared" si="5"/>
        <v>640785.22276201099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>
        <v>41859</v>
      </c>
      <c r="I67" s="152"/>
      <c r="J67" s="157"/>
      <c r="K67" s="154" t="s">
        <v>1991</v>
      </c>
      <c r="L67" s="227">
        <v>13890.45</v>
      </c>
      <c r="M67" s="157" t="s">
        <v>1967</v>
      </c>
      <c r="N67" s="152">
        <f t="shared" si="4"/>
        <v>13569.721762011068</v>
      </c>
      <c r="O67" s="152">
        <f t="shared" si="5"/>
        <v>626894.77276201104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>
        <v>41859</v>
      </c>
      <c r="I68" s="152"/>
      <c r="J68" s="157"/>
      <c r="K68" s="154" t="s">
        <v>1991</v>
      </c>
      <c r="L68" s="227">
        <v>13569.721762011068</v>
      </c>
      <c r="M68" s="157" t="s">
        <v>1967</v>
      </c>
      <c r="N68" s="152">
        <f t="shared" ref="N68:N70" si="10">+N67-I68-L68</f>
        <v>0</v>
      </c>
      <c r="O68" s="152">
        <f t="shared" ref="O68:O70" si="11">O67+G68-I68-L68</f>
        <v>613325.05099999998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>
        <v>41859</v>
      </c>
      <c r="I69" s="152"/>
      <c r="J69" s="157"/>
      <c r="K69" s="154" t="s">
        <v>1991</v>
      </c>
      <c r="L69" s="227">
        <v>28331.758237988899</v>
      </c>
      <c r="M69" s="157" t="s">
        <v>1968</v>
      </c>
      <c r="N69" s="152">
        <f>G42+G47+N68-I69-L69</f>
        <v>321086.56676201109</v>
      </c>
      <c r="O69" s="152">
        <f t="shared" si="11"/>
        <v>584993.29276201106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>
        <v>41859</v>
      </c>
      <c r="I70" s="152"/>
      <c r="J70" s="157"/>
      <c r="K70" s="154" t="s">
        <v>1991</v>
      </c>
      <c r="L70" s="227">
        <v>12968.47</v>
      </c>
      <c r="M70" s="157" t="s">
        <v>1968</v>
      </c>
      <c r="N70" s="152">
        <f t="shared" si="10"/>
        <v>308118.09676201112</v>
      </c>
      <c r="O70" s="152">
        <f t="shared" si="11"/>
        <v>572024.82276201108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>
        <v>41859</v>
      </c>
      <c r="I71" s="152"/>
      <c r="J71" s="157"/>
      <c r="K71" s="154" t="s">
        <v>1991</v>
      </c>
      <c r="L71" s="227">
        <v>13189.29</v>
      </c>
      <c r="M71" s="157" t="s">
        <v>1968</v>
      </c>
      <c r="N71" s="152">
        <f t="shared" si="4"/>
        <v>294928.80676201114</v>
      </c>
      <c r="O71" s="152">
        <f t="shared" si="5"/>
        <v>558835.53276201105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>
        <v>41859</v>
      </c>
      <c r="I72" s="152"/>
      <c r="J72" s="157"/>
      <c r="K72" s="154" t="s">
        <v>1991</v>
      </c>
      <c r="L72" s="227">
        <v>36310.519999999997</v>
      </c>
      <c r="M72" s="157" t="s">
        <v>1968</v>
      </c>
      <c r="N72" s="152">
        <f t="shared" si="4"/>
        <v>258618.28676201115</v>
      </c>
      <c r="O72" s="152">
        <f t="shared" si="5"/>
        <v>522525.01276201103</v>
      </c>
    </row>
    <row r="73" spans="1:15" x14ac:dyDescent="0.15">
      <c r="A73" s="154"/>
      <c r="B73" s="151"/>
      <c r="C73" s="152"/>
      <c r="D73" s="323">
        <v>41860</v>
      </c>
      <c r="E73" s="154" t="s">
        <v>72</v>
      </c>
      <c r="F73" s="157" t="s">
        <v>1970</v>
      </c>
      <c r="G73" s="152">
        <v>131992.17599999998</v>
      </c>
      <c r="H73" s="323">
        <v>41860</v>
      </c>
      <c r="I73" s="152">
        <v>5946.4400000000005</v>
      </c>
      <c r="J73" s="157" t="s">
        <v>1968</v>
      </c>
      <c r="K73" s="154" t="s">
        <v>1991</v>
      </c>
      <c r="L73" s="227">
        <v>15691.77</v>
      </c>
      <c r="M73" s="157" t="s">
        <v>1968</v>
      </c>
      <c r="N73" s="152">
        <f t="shared" si="4"/>
        <v>236980.07676201116</v>
      </c>
      <c r="O73" s="152">
        <f t="shared" si="5"/>
        <v>632878.97876201104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>
        <v>41860</v>
      </c>
      <c r="I74" s="152"/>
      <c r="J74" s="157"/>
      <c r="K74" s="154" t="s">
        <v>1991</v>
      </c>
      <c r="L74" s="227">
        <v>14999.56</v>
      </c>
      <c r="M74" s="157" t="s">
        <v>1968</v>
      </c>
      <c r="N74" s="152">
        <f t="shared" si="4"/>
        <v>221980.51676201116</v>
      </c>
      <c r="O74" s="152">
        <f t="shared" si="5"/>
        <v>617879.41876201099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>
        <v>41860</v>
      </c>
      <c r="I75" s="152"/>
      <c r="J75" s="157"/>
      <c r="K75" s="154" t="s">
        <v>1991</v>
      </c>
      <c r="L75" s="227">
        <v>14104.29</v>
      </c>
      <c r="M75" s="157" t="s">
        <v>1968</v>
      </c>
      <c r="N75" s="152">
        <f t="shared" si="4"/>
        <v>207876.22676201115</v>
      </c>
      <c r="O75" s="152">
        <f t="shared" si="5"/>
        <v>603775.12876201095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>
        <v>41860</v>
      </c>
      <c r="I76" s="152"/>
      <c r="J76" s="157"/>
      <c r="K76" s="154" t="s">
        <v>1991</v>
      </c>
      <c r="L76" s="227">
        <v>13223.02</v>
      </c>
      <c r="M76" s="157" t="s">
        <v>1968</v>
      </c>
      <c r="N76" s="152">
        <f t="shared" si="4"/>
        <v>194653.20676201116</v>
      </c>
      <c r="O76" s="152">
        <f t="shared" si="5"/>
        <v>590552.10876201093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>
        <v>41860</v>
      </c>
      <c r="I77" s="152"/>
      <c r="J77" s="157"/>
      <c r="K77" s="154" t="s">
        <v>1991</v>
      </c>
      <c r="L77" s="227">
        <v>1528.76</v>
      </c>
      <c r="M77" s="157" t="s">
        <v>1968</v>
      </c>
      <c r="N77" s="152">
        <f t="shared" si="4"/>
        <v>193124.44676201115</v>
      </c>
      <c r="O77" s="152">
        <f t="shared" si="5"/>
        <v>589023.34876201092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>
        <v>41860</v>
      </c>
      <c r="I78" s="152"/>
      <c r="J78" s="157"/>
      <c r="K78" s="154" t="s">
        <v>1991</v>
      </c>
      <c r="L78" s="227">
        <v>31734.240000000002</v>
      </c>
      <c r="M78" s="157" t="s">
        <v>1968</v>
      </c>
      <c r="N78" s="152">
        <f t="shared" si="4"/>
        <v>161390.20676201116</v>
      </c>
      <c r="O78" s="152">
        <f t="shared" si="5"/>
        <v>557289.10876201093</v>
      </c>
    </row>
    <row r="79" spans="1:15" x14ac:dyDescent="0.15">
      <c r="A79" s="154"/>
      <c r="B79" s="151"/>
      <c r="C79" s="152"/>
      <c r="D79" s="323">
        <v>41861</v>
      </c>
      <c r="E79" s="154" t="s">
        <v>72</v>
      </c>
      <c r="F79" s="157" t="s">
        <v>1970</v>
      </c>
      <c r="G79" s="152">
        <v>131904.49299999999</v>
      </c>
      <c r="H79" s="323">
        <v>41861</v>
      </c>
      <c r="I79" s="152">
        <v>16615.53</v>
      </c>
      <c r="J79" s="157" t="s">
        <v>1968</v>
      </c>
      <c r="K79" s="154" t="s">
        <v>1991</v>
      </c>
      <c r="L79" s="227">
        <v>11333.74</v>
      </c>
      <c r="M79" s="157" t="s">
        <v>1968</v>
      </c>
      <c r="N79" s="152">
        <f t="shared" si="4"/>
        <v>133440.93676201117</v>
      </c>
      <c r="O79" s="152">
        <f t="shared" si="5"/>
        <v>661244.33176201093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>
        <v>41861</v>
      </c>
      <c r="I80" s="152"/>
      <c r="J80" s="157"/>
      <c r="K80" s="154" t="s">
        <v>1991</v>
      </c>
      <c r="L80" s="227">
        <v>14521.36</v>
      </c>
      <c r="M80" s="157" t="s">
        <v>1968</v>
      </c>
      <c r="N80" s="152">
        <f t="shared" si="4"/>
        <v>118919.57676201117</v>
      </c>
      <c r="O80" s="152">
        <f t="shared" si="5"/>
        <v>646722.97176201094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>
        <v>41861</v>
      </c>
      <c r="I81" s="152"/>
      <c r="J81" s="157"/>
      <c r="K81" s="154" t="s">
        <v>1991</v>
      </c>
      <c r="L81" s="227">
        <v>22851.58</v>
      </c>
      <c r="M81" s="157" t="s">
        <v>1968</v>
      </c>
      <c r="N81" s="152">
        <f t="shared" ref="N81:N94" si="12">+N80-I81-L81</f>
        <v>96067.996762011171</v>
      </c>
      <c r="O81" s="152">
        <f t="shared" ref="O81:O94" si="13">O80+G81-I81-L81</f>
        <v>623871.39176201099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>
        <v>41861</v>
      </c>
      <c r="I82" s="152"/>
      <c r="J82" s="157"/>
      <c r="K82" s="154" t="s">
        <v>1991</v>
      </c>
      <c r="L82" s="227">
        <v>12500.33</v>
      </c>
      <c r="M82" s="157" t="s">
        <v>1968</v>
      </c>
      <c r="N82" s="152">
        <f t="shared" si="12"/>
        <v>83567.666762011169</v>
      </c>
      <c r="O82" s="152">
        <f t="shared" si="13"/>
        <v>611371.06176201103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>
        <v>41861</v>
      </c>
      <c r="I83" s="152"/>
      <c r="J83" s="157"/>
      <c r="K83" s="154" t="s">
        <v>1991</v>
      </c>
      <c r="L83" s="227">
        <v>13027.6</v>
      </c>
      <c r="M83" s="157" t="s">
        <v>1968</v>
      </c>
      <c r="N83" s="152">
        <f t="shared" si="12"/>
        <v>70540.066762011164</v>
      </c>
      <c r="O83" s="152">
        <f t="shared" si="13"/>
        <v>598343.46176201105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>
        <v>41861</v>
      </c>
      <c r="I84" s="152"/>
      <c r="J84" s="157"/>
      <c r="K84" s="154" t="s">
        <v>1991</v>
      </c>
      <c r="L84" s="227">
        <v>15542.88</v>
      </c>
      <c r="M84" s="157" t="s">
        <v>1968</v>
      </c>
      <c r="N84" s="152">
        <f t="shared" si="12"/>
        <v>54997.186762011166</v>
      </c>
      <c r="O84" s="152">
        <f t="shared" si="13"/>
        <v>582800.58176201105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>
        <v>41861</v>
      </c>
      <c r="I85" s="152"/>
      <c r="J85" s="157"/>
      <c r="K85" s="154" t="s">
        <v>1991</v>
      </c>
      <c r="L85" s="227">
        <v>12581.38</v>
      </c>
      <c r="M85" s="157" t="s">
        <v>1968</v>
      </c>
      <c r="N85" s="152">
        <f t="shared" si="12"/>
        <v>42415.806762011169</v>
      </c>
      <c r="O85" s="152">
        <f t="shared" si="13"/>
        <v>570219.20176201104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>
        <v>41861</v>
      </c>
      <c r="I86" s="152"/>
      <c r="J86" s="157"/>
      <c r="K86" s="154" t="s">
        <v>1991</v>
      </c>
      <c r="L86" s="227">
        <v>32396.42</v>
      </c>
      <c r="M86" s="157" t="s">
        <v>1968</v>
      </c>
      <c r="N86" s="152">
        <f t="shared" si="12"/>
        <v>10019.386762011171</v>
      </c>
      <c r="O86" s="152">
        <f t="shared" si="13"/>
        <v>537822.781762011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>
        <v>41861</v>
      </c>
      <c r="I87" s="152"/>
      <c r="J87" s="157"/>
      <c r="K87" s="154" t="s">
        <v>1991</v>
      </c>
      <c r="L87" s="227">
        <v>10019.386762011171</v>
      </c>
      <c r="M87" s="157" t="s">
        <v>1968</v>
      </c>
      <c r="N87" s="152">
        <f t="shared" ref="N87:N91" si="14">+N86-I87-L87</f>
        <v>0</v>
      </c>
      <c r="O87" s="152">
        <f t="shared" ref="O87:O91" si="15">O86+G87-I87-L87</f>
        <v>527803.39499999979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>
        <v>41861</v>
      </c>
      <c r="I88" s="152"/>
      <c r="J88" s="157"/>
      <c r="K88" s="154" t="s">
        <v>1991</v>
      </c>
      <c r="L88" s="227">
        <v>789.09323798882895</v>
      </c>
      <c r="M88" s="157" t="s">
        <v>1969</v>
      </c>
      <c r="N88" s="152">
        <f>G57+G63+N87-I88-L88</f>
        <v>263117.6327620112</v>
      </c>
      <c r="O88" s="152">
        <f t="shared" si="15"/>
        <v>527014.3017620109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>
        <v>41861</v>
      </c>
      <c r="I89" s="152"/>
      <c r="J89" s="157"/>
      <c r="K89" s="154" t="s">
        <v>1991</v>
      </c>
      <c r="L89" s="227">
        <v>14802.98</v>
      </c>
      <c r="M89" s="157" t="s">
        <v>1969</v>
      </c>
      <c r="N89" s="152">
        <f t="shared" si="14"/>
        <v>248314.65276201119</v>
      </c>
      <c r="O89" s="152">
        <f t="shared" si="15"/>
        <v>512211.32176201092</v>
      </c>
    </row>
    <row r="90" spans="1:15" x14ac:dyDescent="0.15">
      <c r="A90" s="154"/>
      <c r="B90" s="151"/>
      <c r="C90" s="152"/>
      <c r="D90" s="323">
        <v>41862</v>
      </c>
      <c r="E90" s="154" t="s">
        <v>72</v>
      </c>
      <c r="F90" s="157" t="s">
        <v>1970</v>
      </c>
      <c r="G90" s="152">
        <v>131879.12400000001</v>
      </c>
      <c r="H90" s="323">
        <v>41862</v>
      </c>
      <c r="I90" s="152">
        <v>5384.7</v>
      </c>
      <c r="J90" s="157" t="s">
        <v>1969</v>
      </c>
      <c r="K90" s="154" t="s">
        <v>1991</v>
      </c>
      <c r="L90" s="227">
        <v>13329.05</v>
      </c>
      <c r="M90" s="157" t="s">
        <v>1969</v>
      </c>
      <c r="N90" s="152">
        <f t="shared" si="14"/>
        <v>229600.90276201119</v>
      </c>
      <c r="O90" s="152">
        <f t="shared" si="15"/>
        <v>625376.69576201099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>
        <v>41862</v>
      </c>
      <c r="I91" s="152"/>
      <c r="J91" s="157"/>
      <c r="K91" s="154" t="s">
        <v>1991</v>
      </c>
      <c r="L91" s="227">
        <v>40182.22</v>
      </c>
      <c r="M91" s="157" t="s">
        <v>1969</v>
      </c>
      <c r="N91" s="152">
        <f t="shared" si="14"/>
        <v>189418.68276201119</v>
      </c>
      <c r="O91" s="152">
        <f t="shared" si="15"/>
        <v>585194.47576201102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>
        <v>41862</v>
      </c>
      <c r="I92" s="152"/>
      <c r="J92" s="157"/>
      <c r="K92" s="154" t="s">
        <v>1991</v>
      </c>
      <c r="L92" s="227">
        <v>14894.44</v>
      </c>
      <c r="M92" s="157" t="s">
        <v>1969</v>
      </c>
      <c r="N92" s="152">
        <f t="shared" si="12"/>
        <v>174524.24276201118</v>
      </c>
      <c r="O92" s="152">
        <f t="shared" si="13"/>
        <v>570300.03576201107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>
        <v>41862</v>
      </c>
      <c r="I93" s="152"/>
      <c r="J93" s="157"/>
      <c r="K93" s="154" t="s">
        <v>1991</v>
      </c>
      <c r="L93" s="227">
        <v>14031.88</v>
      </c>
      <c r="M93" s="157" t="s">
        <v>1969</v>
      </c>
      <c r="N93" s="152">
        <f t="shared" si="12"/>
        <v>160492.36276201118</v>
      </c>
      <c r="O93" s="152">
        <f t="shared" si="13"/>
        <v>556268.15576201107</v>
      </c>
    </row>
    <row r="94" spans="1:15" x14ac:dyDescent="0.15">
      <c r="A94" s="154"/>
      <c r="B94" s="151"/>
      <c r="C94" s="152"/>
      <c r="D94" s="323">
        <v>41863</v>
      </c>
      <c r="E94" s="154" t="s">
        <v>72</v>
      </c>
      <c r="F94" s="157" t="s">
        <v>1971</v>
      </c>
      <c r="G94" s="152">
        <v>131813.88099999999</v>
      </c>
      <c r="H94" s="323">
        <v>41863</v>
      </c>
      <c r="I94" s="152">
        <v>22962.659999999996</v>
      </c>
      <c r="J94" s="157" t="s">
        <v>1969</v>
      </c>
      <c r="K94" s="154" t="s">
        <v>1991</v>
      </c>
      <c r="L94" s="227">
        <v>13546.75</v>
      </c>
      <c r="M94" s="157" t="s">
        <v>1969</v>
      </c>
      <c r="N94" s="152">
        <f t="shared" si="12"/>
        <v>123982.95276201118</v>
      </c>
      <c r="O94" s="152">
        <f t="shared" si="13"/>
        <v>651572.62676201097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>
        <v>41863</v>
      </c>
      <c r="I95" s="152"/>
      <c r="J95" s="157"/>
      <c r="K95" s="154" t="s">
        <v>1991</v>
      </c>
      <c r="L95" s="227">
        <v>13989.84</v>
      </c>
      <c r="M95" s="157" t="s">
        <v>1969</v>
      </c>
      <c r="N95" s="152">
        <f t="shared" ref="N95:N108" si="16">+N94-I95-L95</f>
        <v>109993.11276201118</v>
      </c>
      <c r="O95" s="152">
        <f t="shared" ref="O95:O108" si="17">O94+G95-I95-L95</f>
        <v>637582.786762011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>
        <v>41863</v>
      </c>
      <c r="I96" s="152"/>
      <c r="J96" s="157"/>
      <c r="K96" s="154" t="s">
        <v>1991</v>
      </c>
      <c r="L96" s="227">
        <v>13858.81</v>
      </c>
      <c r="M96" s="157" t="s">
        <v>1969</v>
      </c>
      <c r="N96" s="152">
        <f t="shared" si="16"/>
        <v>96134.302762011182</v>
      </c>
      <c r="O96" s="152">
        <f t="shared" si="17"/>
        <v>623723.97676201095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>
        <v>41863</v>
      </c>
      <c r="I97" s="152"/>
      <c r="J97" s="157"/>
      <c r="K97" s="154" t="s">
        <v>1991</v>
      </c>
      <c r="L97" s="227">
        <v>10759.18</v>
      </c>
      <c r="M97" s="157" t="s">
        <v>1969</v>
      </c>
      <c r="N97" s="152">
        <f t="shared" si="16"/>
        <v>85375.122762011189</v>
      </c>
      <c r="O97" s="152">
        <f t="shared" si="17"/>
        <v>612964.7967620109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>
        <v>41863</v>
      </c>
      <c r="I98" s="152"/>
      <c r="J98" s="157"/>
      <c r="K98" s="154" t="s">
        <v>1991</v>
      </c>
      <c r="L98" s="227">
        <v>13608.76</v>
      </c>
      <c r="M98" s="157" t="s">
        <v>1969</v>
      </c>
      <c r="N98" s="152">
        <f t="shared" si="16"/>
        <v>71766.362762011195</v>
      </c>
      <c r="O98" s="152">
        <f t="shared" si="17"/>
        <v>599356.03676201089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>
        <v>41863</v>
      </c>
      <c r="I99" s="152"/>
      <c r="J99" s="157"/>
      <c r="K99" s="154" t="s">
        <v>1991</v>
      </c>
      <c r="L99" s="227">
        <v>35807.26</v>
      </c>
      <c r="M99" s="157" t="s">
        <v>1969</v>
      </c>
      <c r="N99" s="152">
        <f t="shared" si="16"/>
        <v>35959.102762011193</v>
      </c>
      <c r="O99" s="152">
        <f t="shared" si="17"/>
        <v>563548.77676201088</v>
      </c>
    </row>
    <row r="100" spans="1:15" x14ac:dyDescent="0.15">
      <c r="A100" s="154"/>
      <c r="B100" s="151"/>
      <c r="C100" s="152"/>
      <c r="D100" s="323">
        <v>41864</v>
      </c>
      <c r="E100" s="154" t="s">
        <v>72</v>
      </c>
      <c r="F100" s="157" t="s">
        <v>1971</v>
      </c>
      <c r="G100" s="152">
        <v>54364.206999999937</v>
      </c>
      <c r="H100" s="323">
        <v>41864</v>
      </c>
      <c r="I100" s="152">
        <v>8466.5600000000013</v>
      </c>
      <c r="J100" s="157" t="s">
        <v>1969</v>
      </c>
      <c r="K100" s="154" t="s">
        <v>1991</v>
      </c>
      <c r="L100" s="227">
        <v>14969.44</v>
      </c>
      <c r="M100" s="157" t="s">
        <v>1969</v>
      </c>
      <c r="N100" s="152">
        <f t="shared" si="16"/>
        <v>12523.102762011191</v>
      </c>
      <c r="O100" s="152">
        <f t="shared" si="17"/>
        <v>594476.98376201082</v>
      </c>
    </row>
    <row r="101" spans="1:15" x14ac:dyDescent="0.15">
      <c r="A101" s="154"/>
      <c r="B101" s="151"/>
      <c r="C101" s="152"/>
      <c r="D101" s="323">
        <v>41864</v>
      </c>
      <c r="E101" s="154" t="s">
        <v>72</v>
      </c>
      <c r="F101" s="157" t="s">
        <v>1972</v>
      </c>
      <c r="G101" s="152">
        <v>77361.986000000106</v>
      </c>
      <c r="H101" s="323">
        <v>41864</v>
      </c>
      <c r="I101" s="152"/>
      <c r="J101" s="157"/>
      <c r="K101" s="154" t="s">
        <v>1991</v>
      </c>
      <c r="L101" s="227">
        <v>12523.102762011191</v>
      </c>
      <c r="M101" s="157" t="s">
        <v>1969</v>
      </c>
      <c r="N101" s="152">
        <f t="shared" ref="N101:N104" si="18">+N100-I101-L101</f>
        <v>0</v>
      </c>
      <c r="O101" s="152">
        <f t="shared" ref="O101:O104" si="19">O100+G101-I101-L101</f>
        <v>659315.86699999974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>
        <v>41864</v>
      </c>
      <c r="I102" s="152"/>
      <c r="J102" s="157"/>
      <c r="K102" s="154" t="s">
        <v>1991</v>
      </c>
      <c r="L102" s="227">
        <v>3859.9072379888098</v>
      </c>
      <c r="M102" s="157" t="s">
        <v>1970</v>
      </c>
      <c r="N102" s="152">
        <f>G73+G79+G90+N101-I102-L102</f>
        <v>391915.88576201117</v>
      </c>
      <c r="O102" s="152">
        <f t="shared" si="19"/>
        <v>655455.95976201096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>
        <v>41864</v>
      </c>
      <c r="I103" s="152"/>
      <c r="J103" s="157"/>
      <c r="K103" s="154" t="s">
        <v>1991</v>
      </c>
      <c r="L103" s="227">
        <v>13485.89</v>
      </c>
      <c r="M103" s="157" t="s">
        <v>1970</v>
      </c>
      <c r="N103" s="152">
        <f t="shared" si="18"/>
        <v>378429.99576201115</v>
      </c>
      <c r="O103" s="152">
        <f t="shared" si="19"/>
        <v>641970.06976201094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>
        <v>41864</v>
      </c>
      <c r="I104" s="152"/>
      <c r="J104" s="157"/>
      <c r="K104" s="154" t="s">
        <v>1991</v>
      </c>
      <c r="L104" s="227">
        <v>11309.56</v>
      </c>
      <c r="M104" s="157" t="s">
        <v>1970</v>
      </c>
      <c r="N104" s="152">
        <f t="shared" si="18"/>
        <v>367120.43576201116</v>
      </c>
      <c r="O104" s="152">
        <f t="shared" si="19"/>
        <v>630660.50976201089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>
        <v>41864</v>
      </c>
      <c r="I105" s="152"/>
      <c r="J105" s="157"/>
      <c r="K105" s="154" t="s">
        <v>1991</v>
      </c>
      <c r="L105" s="227">
        <v>14543.57</v>
      </c>
      <c r="M105" s="157" t="s">
        <v>1970</v>
      </c>
      <c r="N105" s="152">
        <f t="shared" si="16"/>
        <v>352576.86576201115</v>
      </c>
      <c r="O105" s="152">
        <f t="shared" si="17"/>
        <v>616116.93976201094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>
        <v>41864</v>
      </c>
      <c r="I106" s="152"/>
      <c r="J106" s="157"/>
      <c r="K106" s="154" t="s">
        <v>1991</v>
      </c>
      <c r="L106" s="227">
        <v>14035.73</v>
      </c>
      <c r="M106" s="157" t="s">
        <v>1970</v>
      </c>
      <c r="N106" s="152">
        <f t="shared" si="16"/>
        <v>338541.13576201117</v>
      </c>
      <c r="O106" s="152">
        <f t="shared" si="17"/>
        <v>602081.20976201096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>
        <v>41864</v>
      </c>
      <c r="I107" s="152"/>
      <c r="J107" s="157"/>
      <c r="K107" s="154" t="s">
        <v>1991</v>
      </c>
      <c r="L107" s="227">
        <v>41647.32</v>
      </c>
      <c r="M107" s="157" t="s">
        <v>1970</v>
      </c>
      <c r="N107" s="152">
        <f t="shared" si="16"/>
        <v>296893.81576201116</v>
      </c>
      <c r="O107" s="152">
        <f t="shared" si="17"/>
        <v>560433.88976201101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>
        <v>41864</v>
      </c>
      <c r="I108" s="152"/>
      <c r="J108" s="157"/>
      <c r="K108" s="154" t="s">
        <v>1991</v>
      </c>
      <c r="L108" s="227">
        <v>15335.77</v>
      </c>
      <c r="M108" s="157" t="s">
        <v>1970</v>
      </c>
      <c r="N108" s="152">
        <f t="shared" si="16"/>
        <v>281558.04576201114</v>
      </c>
      <c r="O108" s="152">
        <f t="shared" si="17"/>
        <v>545098.11976201099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>
        <v>41864</v>
      </c>
      <c r="I109" s="152"/>
      <c r="J109" s="157"/>
      <c r="K109" s="154" t="s">
        <v>1991</v>
      </c>
      <c r="L109" s="227">
        <v>13350.58</v>
      </c>
      <c r="M109" s="157" t="s">
        <v>1970</v>
      </c>
      <c r="N109" s="152">
        <f t="shared" ref="N109:N176" si="20">+N108-I109-L109</f>
        <v>268207.46576201112</v>
      </c>
      <c r="O109" s="152">
        <f t="shared" ref="O109:O176" si="21">O108+G109-I109-L109</f>
        <v>531747.53976201103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>
        <v>41864</v>
      </c>
      <c r="I110" s="152"/>
      <c r="J110" s="157"/>
      <c r="K110" s="154" t="s">
        <v>1991</v>
      </c>
      <c r="L110" s="227">
        <v>13637.46</v>
      </c>
      <c r="M110" s="157" t="s">
        <v>1970</v>
      </c>
      <c r="N110" s="152">
        <f t="shared" si="20"/>
        <v>254570.00576201113</v>
      </c>
      <c r="O110" s="152">
        <f t="shared" si="21"/>
        <v>518110.07976201101</v>
      </c>
    </row>
    <row r="111" spans="1:15" x14ac:dyDescent="0.15">
      <c r="A111" s="154"/>
      <c r="B111" s="151"/>
      <c r="C111" s="152"/>
      <c r="D111" s="323">
        <v>41865</v>
      </c>
      <c r="E111" s="154" t="s">
        <v>72</v>
      </c>
      <c r="F111" s="157" t="s">
        <v>1972</v>
      </c>
      <c r="G111" s="152">
        <v>131528.80900000001</v>
      </c>
      <c r="H111" s="323">
        <v>41865</v>
      </c>
      <c r="I111" s="152">
        <v>13138.240000000002</v>
      </c>
      <c r="J111" s="157" t="s">
        <v>1970</v>
      </c>
      <c r="K111" s="154" t="s">
        <v>1991</v>
      </c>
      <c r="L111" s="227">
        <v>13242.03</v>
      </c>
      <c r="M111" s="157" t="s">
        <v>1970</v>
      </c>
      <c r="N111" s="152">
        <f t="shared" si="20"/>
        <v>228189.73576201114</v>
      </c>
      <c r="O111" s="152">
        <f t="shared" si="21"/>
        <v>623258.61876201094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>
        <v>41865</v>
      </c>
      <c r="I112" s="152"/>
      <c r="J112" s="157"/>
      <c r="K112" s="154" t="s">
        <v>1991</v>
      </c>
      <c r="L112" s="227">
        <v>12218.72</v>
      </c>
      <c r="M112" s="157" t="s">
        <v>1970</v>
      </c>
      <c r="N112" s="152">
        <f t="shared" si="20"/>
        <v>215971.01576201114</v>
      </c>
      <c r="O112" s="152">
        <f t="shared" si="21"/>
        <v>611039.89876201097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>
        <v>41865</v>
      </c>
      <c r="I113" s="152"/>
      <c r="J113" s="157"/>
      <c r="K113" s="154" t="s">
        <v>1991</v>
      </c>
      <c r="L113" s="227">
        <v>821.58</v>
      </c>
      <c r="M113" s="157" t="s">
        <v>1970</v>
      </c>
      <c r="N113" s="152">
        <f t="shared" si="20"/>
        <v>215149.43576201116</v>
      </c>
      <c r="O113" s="152">
        <f t="shared" si="21"/>
        <v>610218.31876201101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>
        <v>41865</v>
      </c>
      <c r="I114" s="152"/>
      <c r="J114" s="157"/>
      <c r="K114" s="154" t="s">
        <v>1991</v>
      </c>
      <c r="L114" s="227">
        <v>32426.55</v>
      </c>
      <c r="M114" s="157" t="s">
        <v>1970</v>
      </c>
      <c r="N114" s="152">
        <f t="shared" si="20"/>
        <v>182722.88576201117</v>
      </c>
      <c r="O114" s="152">
        <f t="shared" si="21"/>
        <v>577791.76876201096</v>
      </c>
    </row>
    <row r="115" spans="1:15" x14ac:dyDescent="0.15">
      <c r="A115" s="154"/>
      <c r="B115" s="151"/>
      <c r="C115" s="152"/>
      <c r="D115" s="323">
        <v>41866</v>
      </c>
      <c r="E115" s="154" t="s">
        <v>72</v>
      </c>
      <c r="F115" s="157" t="s">
        <v>1973</v>
      </c>
      <c r="G115" s="152">
        <v>131703.342</v>
      </c>
      <c r="H115" s="323">
        <v>41866</v>
      </c>
      <c r="I115" s="152">
        <v>5581.76</v>
      </c>
      <c r="J115" s="157" t="s">
        <v>1970</v>
      </c>
      <c r="K115" s="154" t="s">
        <v>1991</v>
      </c>
      <c r="L115" s="227">
        <v>16495.02</v>
      </c>
      <c r="M115" s="157" t="s">
        <v>1970</v>
      </c>
      <c r="N115" s="152">
        <f t="shared" si="20"/>
        <v>160646.10576201117</v>
      </c>
      <c r="O115" s="152">
        <f t="shared" si="21"/>
        <v>687418.330762011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>
        <v>41866</v>
      </c>
      <c r="I116" s="152"/>
      <c r="J116" s="157"/>
      <c r="K116" s="154" t="s">
        <v>1991</v>
      </c>
      <c r="L116" s="227">
        <v>12184.71</v>
      </c>
      <c r="M116" s="157" t="s">
        <v>1970</v>
      </c>
      <c r="N116" s="152">
        <f t="shared" si="20"/>
        <v>148461.39576201118</v>
      </c>
      <c r="O116" s="152">
        <f t="shared" si="21"/>
        <v>675233.62076201104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>
        <v>41866</v>
      </c>
      <c r="I117" s="152"/>
      <c r="J117" s="157"/>
      <c r="K117" s="154" t="s">
        <v>1991</v>
      </c>
      <c r="L117" s="227">
        <v>13017.96</v>
      </c>
      <c r="M117" s="157" t="s">
        <v>1970</v>
      </c>
      <c r="N117" s="152">
        <f t="shared" si="20"/>
        <v>135443.43576201118</v>
      </c>
      <c r="O117" s="152">
        <f t="shared" si="21"/>
        <v>662215.66076201107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>
        <v>41866</v>
      </c>
      <c r="I118" s="152"/>
      <c r="J118" s="157"/>
      <c r="K118" s="154" t="s">
        <v>1991</v>
      </c>
      <c r="L118" s="227">
        <v>13591.13</v>
      </c>
      <c r="M118" s="157" t="s">
        <v>1970</v>
      </c>
      <c r="N118" s="152">
        <f t="shared" si="20"/>
        <v>121852.30576201118</v>
      </c>
      <c r="O118" s="152">
        <f t="shared" si="21"/>
        <v>648624.53076201107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>
        <v>41866</v>
      </c>
      <c r="I119" s="152"/>
      <c r="J119" s="157"/>
      <c r="K119" s="154" t="s">
        <v>1991</v>
      </c>
      <c r="L119" s="227">
        <v>12584.83</v>
      </c>
      <c r="M119" s="157" t="s">
        <v>1970</v>
      </c>
      <c r="N119" s="152">
        <f t="shared" si="20"/>
        <v>109267.47576201118</v>
      </c>
      <c r="O119" s="152">
        <f t="shared" si="21"/>
        <v>636039.70076201111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>
        <v>41866</v>
      </c>
      <c r="I120" s="152"/>
      <c r="J120" s="157"/>
      <c r="K120" s="154" t="s">
        <v>1991</v>
      </c>
      <c r="L120" s="227">
        <v>13602.14</v>
      </c>
      <c r="M120" s="157" t="s">
        <v>1970</v>
      </c>
      <c r="N120" s="152">
        <f t="shared" si="20"/>
        <v>95665.335762011178</v>
      </c>
      <c r="O120" s="152">
        <f t="shared" si="21"/>
        <v>622437.5607620111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>
        <v>41866</v>
      </c>
      <c r="I121" s="152"/>
      <c r="J121" s="157"/>
      <c r="K121" s="154" t="s">
        <v>1991</v>
      </c>
      <c r="L121" s="227">
        <v>32599.91</v>
      </c>
      <c r="M121" s="157" t="s">
        <v>1970</v>
      </c>
      <c r="N121" s="152">
        <f t="shared" si="20"/>
        <v>63065.425762011175</v>
      </c>
      <c r="O121" s="152">
        <f t="shared" si="21"/>
        <v>589837.65076201106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>
        <v>41866</v>
      </c>
      <c r="I122" s="152"/>
      <c r="J122" s="157"/>
      <c r="K122" s="154" t="s">
        <v>1991</v>
      </c>
      <c r="L122" s="227">
        <v>12905.93</v>
      </c>
      <c r="M122" s="157" t="s">
        <v>1970</v>
      </c>
      <c r="N122" s="152">
        <f t="shared" si="20"/>
        <v>50159.495762011175</v>
      </c>
      <c r="O122" s="152">
        <f t="shared" si="21"/>
        <v>576931.72076201101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>
        <v>41866</v>
      </c>
      <c r="I123" s="152"/>
      <c r="J123" s="157"/>
      <c r="K123" s="154" t="s">
        <v>1991</v>
      </c>
      <c r="L123" s="227">
        <v>903.27</v>
      </c>
      <c r="M123" s="157" t="s">
        <v>1970</v>
      </c>
      <c r="N123" s="152">
        <f t="shared" si="20"/>
        <v>49256.225762011178</v>
      </c>
      <c r="O123" s="152">
        <f t="shared" si="21"/>
        <v>576028.45076201099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>
        <v>41866</v>
      </c>
      <c r="I124" s="152"/>
      <c r="J124" s="157"/>
      <c r="K124" s="154" t="s">
        <v>1991</v>
      </c>
      <c r="L124" s="227">
        <v>47936.47</v>
      </c>
      <c r="M124" s="157" t="s">
        <v>1970</v>
      </c>
      <c r="N124" s="152">
        <f t="shared" si="20"/>
        <v>1319.7557620111766</v>
      </c>
      <c r="O124" s="152">
        <f t="shared" si="21"/>
        <v>528091.98076201102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>
        <v>41866</v>
      </c>
      <c r="I125" s="152"/>
      <c r="J125" s="157"/>
      <c r="K125" s="154" t="s">
        <v>1991</v>
      </c>
      <c r="L125" s="227">
        <v>1319.7557620111766</v>
      </c>
      <c r="M125" s="157" t="s">
        <v>1970</v>
      </c>
      <c r="N125" s="152">
        <f t="shared" ref="N125:N129" si="22">+N124-I125-L125</f>
        <v>0</v>
      </c>
      <c r="O125" s="152">
        <f t="shared" ref="O125:O129" si="23">O124+G125-I125-L125</f>
        <v>526772.22499999986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>
        <v>41866</v>
      </c>
      <c r="I126" s="152"/>
      <c r="J126" s="157"/>
      <c r="K126" s="154" t="s">
        <v>1991</v>
      </c>
      <c r="L126" s="227">
        <v>29186.1842379888</v>
      </c>
      <c r="M126" s="157" t="s">
        <v>1971</v>
      </c>
      <c r="N126" s="152">
        <f>G94+G100+N125-I126-L126</f>
        <v>156991.90376201112</v>
      </c>
      <c r="O126" s="152">
        <f t="shared" si="23"/>
        <v>497586.04076201108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>
        <v>41866</v>
      </c>
      <c r="I127" s="152"/>
      <c r="J127" s="157"/>
      <c r="K127" s="154" t="s">
        <v>1991</v>
      </c>
      <c r="L127" s="227">
        <v>15247.97</v>
      </c>
      <c r="M127" s="157" t="s">
        <v>1971</v>
      </c>
      <c r="N127" s="152">
        <f t="shared" si="22"/>
        <v>141743.93376201112</v>
      </c>
      <c r="O127" s="152">
        <f t="shared" si="23"/>
        <v>482338.07076201111</v>
      </c>
    </row>
    <row r="128" spans="1:15" x14ac:dyDescent="0.15">
      <c r="A128" s="154"/>
      <c r="B128" s="151"/>
      <c r="C128" s="152"/>
      <c r="D128" s="323">
        <v>41867</v>
      </c>
      <c r="E128" s="154" t="s">
        <v>72</v>
      </c>
      <c r="F128" s="157" t="s">
        <v>1973</v>
      </c>
      <c r="G128" s="152">
        <v>131880.78200000001</v>
      </c>
      <c r="H128" s="323">
        <v>41867</v>
      </c>
      <c r="I128" s="152">
        <v>11567.67</v>
      </c>
      <c r="J128" s="157" t="s">
        <v>1971</v>
      </c>
      <c r="K128" s="154" t="s">
        <v>1991</v>
      </c>
      <c r="L128" s="227">
        <v>15424.69</v>
      </c>
      <c r="M128" s="157" t="s">
        <v>1971</v>
      </c>
      <c r="N128" s="152">
        <f t="shared" si="22"/>
        <v>114751.57376201112</v>
      </c>
      <c r="O128" s="152">
        <f t="shared" si="23"/>
        <v>587226.49276201113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>
        <v>41867</v>
      </c>
      <c r="I129" s="152"/>
      <c r="J129" s="157"/>
      <c r="K129" s="154" t="s">
        <v>1991</v>
      </c>
      <c r="L129" s="227">
        <v>24847.56</v>
      </c>
      <c r="M129" s="157" t="s">
        <v>1971</v>
      </c>
      <c r="N129" s="152">
        <f t="shared" si="22"/>
        <v>89904.01376201112</v>
      </c>
      <c r="O129" s="152">
        <f t="shared" si="23"/>
        <v>562378.93276201107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>
        <v>41867</v>
      </c>
      <c r="I130" s="152"/>
      <c r="J130" s="157"/>
      <c r="K130" s="154" t="s">
        <v>1991</v>
      </c>
      <c r="L130" s="227">
        <v>12486.8</v>
      </c>
      <c r="M130" s="157" t="s">
        <v>1971</v>
      </c>
      <c r="N130" s="152">
        <f t="shared" si="20"/>
        <v>77417.213762011117</v>
      </c>
      <c r="O130" s="152">
        <f t="shared" si="21"/>
        <v>549892.13276201102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>
        <v>41867</v>
      </c>
      <c r="I131" s="152"/>
      <c r="J131" s="157"/>
      <c r="K131" s="154" t="s">
        <v>1991</v>
      </c>
      <c r="L131" s="227">
        <v>41102.5</v>
      </c>
      <c r="M131" s="157" t="s">
        <v>1971</v>
      </c>
      <c r="N131" s="152">
        <f t="shared" si="20"/>
        <v>36314.713762011117</v>
      </c>
      <c r="O131" s="152">
        <f t="shared" si="21"/>
        <v>508789.63276201102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>
        <v>41867</v>
      </c>
      <c r="I132" s="152"/>
      <c r="J132" s="157"/>
      <c r="K132" s="154" t="s">
        <v>1991</v>
      </c>
      <c r="L132" s="227">
        <v>13317.13</v>
      </c>
      <c r="M132" s="157" t="s">
        <v>1971</v>
      </c>
      <c r="N132" s="152">
        <f t="shared" si="20"/>
        <v>22997.58376201112</v>
      </c>
      <c r="O132" s="152">
        <f t="shared" si="21"/>
        <v>495472.50276201102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>
        <v>41867</v>
      </c>
      <c r="I133" s="152"/>
      <c r="J133" s="157"/>
      <c r="K133" s="154" t="s">
        <v>1991</v>
      </c>
      <c r="L133" s="227">
        <v>13526.9</v>
      </c>
      <c r="M133" s="157" t="s">
        <v>1971</v>
      </c>
      <c r="N133" s="152">
        <f t="shared" si="20"/>
        <v>9470.6837620111201</v>
      </c>
      <c r="O133" s="152">
        <f t="shared" si="21"/>
        <v>481945.602762011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>
        <v>41867</v>
      </c>
      <c r="I134" s="152"/>
      <c r="J134" s="157"/>
      <c r="K134" s="154" t="s">
        <v>1991</v>
      </c>
      <c r="L134" s="227">
        <v>9470.6837620111201</v>
      </c>
      <c r="M134" s="157" t="s">
        <v>1971</v>
      </c>
      <c r="N134" s="152">
        <f t="shared" ref="N134:N138" si="24">+N133-I134-L134</f>
        <v>0</v>
      </c>
      <c r="O134" s="152">
        <f t="shared" ref="O134:O138" si="25">O133+G134-I134-L134</f>
        <v>472474.91899999988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>
        <v>41867</v>
      </c>
      <c r="I135" s="152"/>
      <c r="J135" s="157"/>
      <c r="K135" s="154" t="s">
        <v>1991</v>
      </c>
      <c r="L135" s="227">
        <v>42840.9062379889</v>
      </c>
      <c r="M135" s="157" t="s">
        <v>1972</v>
      </c>
      <c r="N135" s="152">
        <f>G101+G111+N134-I135-L135</f>
        <v>166049.88876201119</v>
      </c>
      <c r="O135" s="152">
        <f t="shared" si="25"/>
        <v>429634.01276201097</v>
      </c>
    </row>
    <row r="136" spans="1:15" x14ac:dyDescent="0.15">
      <c r="A136" s="154"/>
      <c r="B136" s="151"/>
      <c r="C136" s="152"/>
      <c r="D136" s="323">
        <v>41868</v>
      </c>
      <c r="E136" s="154" t="s">
        <v>72</v>
      </c>
      <c r="F136" s="157" t="s">
        <v>1973</v>
      </c>
      <c r="G136" s="152">
        <v>131824.68599999999</v>
      </c>
      <c r="H136" s="323">
        <v>41868</v>
      </c>
      <c r="I136" s="152">
        <v>5817.0499999999993</v>
      </c>
      <c r="J136" s="157" t="s">
        <v>1972</v>
      </c>
      <c r="K136" s="154" t="s">
        <v>1991</v>
      </c>
      <c r="L136" s="227">
        <v>10723.17</v>
      </c>
      <c r="M136" s="157" t="s">
        <v>1972</v>
      </c>
      <c r="N136" s="152">
        <f t="shared" si="24"/>
        <v>149509.66876201119</v>
      </c>
      <c r="O136" s="152">
        <f t="shared" si="25"/>
        <v>544918.47876201093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>
        <v>41868</v>
      </c>
      <c r="I137" s="152"/>
      <c r="J137" s="157"/>
      <c r="K137" s="154" t="s">
        <v>1991</v>
      </c>
      <c r="L137" s="227">
        <v>12702.58</v>
      </c>
      <c r="M137" s="157" t="s">
        <v>1972</v>
      </c>
      <c r="N137" s="152">
        <f t="shared" si="24"/>
        <v>136807.0887620112</v>
      </c>
      <c r="O137" s="152">
        <f t="shared" si="25"/>
        <v>532215.89876201097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>
        <v>41868</v>
      </c>
      <c r="I138" s="152"/>
      <c r="J138" s="157"/>
      <c r="K138" s="154" t="s">
        <v>1991</v>
      </c>
      <c r="L138" s="227">
        <v>14327.91</v>
      </c>
      <c r="M138" s="157" t="s">
        <v>1972</v>
      </c>
      <c r="N138" s="152">
        <f t="shared" si="24"/>
        <v>122479.1787620112</v>
      </c>
      <c r="O138" s="152">
        <f t="shared" si="25"/>
        <v>517887.98876201099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>
        <v>41868</v>
      </c>
      <c r="I139" s="152"/>
      <c r="J139" s="157"/>
      <c r="K139" s="154" t="s">
        <v>1991</v>
      </c>
      <c r="L139" s="227">
        <v>13472.73</v>
      </c>
      <c r="M139" s="157" t="s">
        <v>1972</v>
      </c>
      <c r="N139" s="152">
        <f t="shared" si="20"/>
        <v>109006.4487620112</v>
      </c>
      <c r="O139" s="152">
        <f t="shared" si="21"/>
        <v>504415.25876201101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>
        <v>41868</v>
      </c>
      <c r="I140" s="152"/>
      <c r="J140" s="157"/>
      <c r="K140" s="154" t="s">
        <v>1991</v>
      </c>
      <c r="L140" s="227">
        <v>13885.82</v>
      </c>
      <c r="M140" s="157" t="s">
        <v>1972</v>
      </c>
      <c r="N140" s="152">
        <f t="shared" si="20"/>
        <v>95120.628762011213</v>
      </c>
      <c r="O140" s="152">
        <f t="shared" si="21"/>
        <v>490529.43876201101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>
        <v>41868</v>
      </c>
      <c r="I141" s="152"/>
      <c r="J141" s="157"/>
      <c r="K141" s="154" t="s">
        <v>1991</v>
      </c>
      <c r="L141" s="227">
        <v>10840.2</v>
      </c>
      <c r="M141" s="157" t="s">
        <v>1972</v>
      </c>
      <c r="N141" s="152">
        <f t="shared" si="20"/>
        <v>84280.428762011215</v>
      </c>
      <c r="O141" s="152">
        <f t="shared" si="21"/>
        <v>479689.23876201099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>
        <v>41868</v>
      </c>
      <c r="I142" s="152"/>
      <c r="J142" s="157"/>
      <c r="K142" s="154" t="s">
        <v>1991</v>
      </c>
      <c r="L142" s="227">
        <v>12748.53</v>
      </c>
      <c r="M142" s="157" t="s">
        <v>1972</v>
      </c>
      <c r="N142" s="152">
        <f t="shared" si="20"/>
        <v>71531.898762011217</v>
      </c>
      <c r="O142" s="152">
        <f t="shared" si="21"/>
        <v>466940.70876201097</v>
      </c>
    </row>
    <row r="143" spans="1:15" x14ac:dyDescent="0.15">
      <c r="A143" s="154"/>
      <c r="B143" s="151"/>
      <c r="C143" s="152"/>
      <c r="D143" s="323">
        <v>41869</v>
      </c>
      <c r="E143" s="154" t="s">
        <v>72</v>
      </c>
      <c r="F143" s="157" t="s">
        <v>1974</v>
      </c>
      <c r="G143" s="152">
        <v>131973.09399999998</v>
      </c>
      <c r="H143" s="323">
        <v>41869</v>
      </c>
      <c r="I143" s="152">
        <v>11318.82</v>
      </c>
      <c r="J143" s="157" t="s">
        <v>1972</v>
      </c>
      <c r="K143" s="154" t="s">
        <v>1991</v>
      </c>
      <c r="L143" s="227">
        <v>13727.17</v>
      </c>
      <c r="M143" s="157" t="s">
        <v>1972</v>
      </c>
      <c r="N143" s="152">
        <f t="shared" si="20"/>
        <v>46485.908762011219</v>
      </c>
      <c r="O143" s="152">
        <f t="shared" si="21"/>
        <v>573867.81276201096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>
        <v>41869</v>
      </c>
      <c r="I144" s="152"/>
      <c r="J144" s="157"/>
      <c r="K144" s="154" t="s">
        <v>1991</v>
      </c>
      <c r="L144" s="227">
        <v>15614.75</v>
      </c>
      <c r="M144" s="157" t="s">
        <v>1972</v>
      </c>
      <c r="N144" s="152">
        <f t="shared" si="20"/>
        <v>30871.158762011219</v>
      </c>
      <c r="O144" s="152">
        <f t="shared" si="21"/>
        <v>558253.06276201096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>
        <v>41869</v>
      </c>
      <c r="I145" s="152"/>
      <c r="J145" s="157"/>
      <c r="K145" s="154" t="s">
        <v>1991</v>
      </c>
      <c r="L145" s="227">
        <v>14156.31</v>
      </c>
      <c r="M145" s="157" t="s">
        <v>1972</v>
      </c>
      <c r="N145" s="152">
        <f t="shared" si="20"/>
        <v>16714.848762011221</v>
      </c>
      <c r="O145" s="152">
        <f t="shared" si="21"/>
        <v>544096.7527620109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>
        <v>41869</v>
      </c>
      <c r="I146" s="152"/>
      <c r="J146" s="157"/>
      <c r="K146" s="154" t="s">
        <v>1991</v>
      </c>
      <c r="L146" s="227">
        <v>13759.18</v>
      </c>
      <c r="M146" s="157" t="s">
        <v>1972</v>
      </c>
      <c r="N146" s="152">
        <f t="shared" si="20"/>
        <v>2955.6687620112207</v>
      </c>
      <c r="O146" s="152">
        <f t="shared" si="21"/>
        <v>530337.57276201085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>
        <v>41869</v>
      </c>
      <c r="I147" s="152"/>
      <c r="J147" s="157"/>
      <c r="K147" s="154" t="s">
        <v>1991</v>
      </c>
      <c r="L147" s="227">
        <v>2955.6687620112207</v>
      </c>
      <c r="M147" s="157" t="s">
        <v>1972</v>
      </c>
      <c r="N147" s="152">
        <f t="shared" si="20"/>
        <v>0</v>
      </c>
      <c r="O147" s="152">
        <f t="shared" si="21"/>
        <v>527381.90399999963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>
        <v>41869</v>
      </c>
      <c r="I148" s="152"/>
      <c r="J148" s="157"/>
      <c r="K148" s="154" t="s">
        <v>1991</v>
      </c>
      <c r="L148" s="227">
        <v>35426.001237988799</v>
      </c>
      <c r="M148" s="157" t="s">
        <v>1973</v>
      </c>
      <c r="N148" s="152">
        <f>G115+G128+G136+N147-I148-L148</f>
        <v>359982.80876201118</v>
      </c>
      <c r="O148" s="152">
        <f t="shared" ref="O148:O151" si="26">O147+G148-I148-L148</f>
        <v>491955.90276201081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>
        <v>41869</v>
      </c>
      <c r="I149" s="152"/>
      <c r="J149" s="157"/>
      <c r="K149" s="154" t="s">
        <v>1991</v>
      </c>
      <c r="L149" s="227">
        <v>13665.9</v>
      </c>
      <c r="M149" s="157" t="s">
        <v>1973</v>
      </c>
      <c r="N149" s="152">
        <f t="shared" ref="N149:N151" si="27">+N148-I149-L149</f>
        <v>346316.90876201115</v>
      </c>
      <c r="O149" s="152">
        <f t="shared" si="26"/>
        <v>478290.00276201079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>
        <v>41869</v>
      </c>
      <c r="I150" s="152"/>
      <c r="J150" s="157"/>
      <c r="K150" s="154" t="s">
        <v>1991</v>
      </c>
      <c r="L150" s="227">
        <v>2826.7</v>
      </c>
      <c r="M150" s="157" t="s">
        <v>1973</v>
      </c>
      <c r="N150" s="152">
        <f t="shared" si="27"/>
        <v>343490.20876201114</v>
      </c>
      <c r="O150" s="152">
        <f t="shared" si="26"/>
        <v>475463.30276201078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>
        <v>41869</v>
      </c>
      <c r="I151" s="152"/>
      <c r="J151" s="157"/>
      <c r="K151" s="154" t="s">
        <v>1991</v>
      </c>
      <c r="L151" s="227">
        <v>13772.82</v>
      </c>
      <c r="M151" s="157" t="s">
        <v>1973</v>
      </c>
      <c r="N151" s="152">
        <f t="shared" si="27"/>
        <v>329717.38876201113</v>
      </c>
      <c r="O151" s="152">
        <f t="shared" si="26"/>
        <v>461690.48276201077</v>
      </c>
    </row>
    <row r="152" spans="1:15" x14ac:dyDescent="0.15">
      <c r="A152" s="154"/>
      <c r="B152" s="151"/>
      <c r="C152" s="152"/>
      <c r="D152" s="323">
        <v>41870</v>
      </c>
      <c r="E152" s="154" t="s">
        <v>72</v>
      </c>
      <c r="F152" s="157" t="s">
        <v>1974</v>
      </c>
      <c r="G152" s="152">
        <v>131890.54999999999</v>
      </c>
      <c r="H152" s="323">
        <v>41870</v>
      </c>
      <c r="I152" s="152">
        <v>7406.73</v>
      </c>
      <c r="J152" s="157" t="s">
        <v>1973</v>
      </c>
      <c r="K152" s="154" t="s">
        <v>1991</v>
      </c>
      <c r="L152" s="227">
        <v>14116.29</v>
      </c>
      <c r="M152" s="157" t="s">
        <v>1973</v>
      </c>
      <c r="N152" s="152">
        <f t="shared" si="20"/>
        <v>308194.36876201117</v>
      </c>
      <c r="O152" s="152">
        <f t="shared" si="21"/>
        <v>572058.0127620108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>
        <v>41870</v>
      </c>
      <c r="I153" s="152"/>
      <c r="J153" s="157"/>
      <c r="K153" s="154" t="s">
        <v>1991</v>
      </c>
      <c r="L153" s="227">
        <v>15814.81</v>
      </c>
      <c r="M153" s="157" t="s">
        <v>1973</v>
      </c>
      <c r="N153" s="152">
        <f t="shared" si="20"/>
        <v>292379.55876201118</v>
      </c>
      <c r="O153" s="152">
        <f t="shared" si="21"/>
        <v>556243.20276201074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>
        <v>41870</v>
      </c>
      <c r="I154" s="152"/>
      <c r="J154" s="157"/>
      <c r="K154" s="154" t="s">
        <v>1991</v>
      </c>
      <c r="L154" s="227">
        <v>11902.62</v>
      </c>
      <c r="M154" s="157" t="s">
        <v>1973</v>
      </c>
      <c r="N154" s="152">
        <f t="shared" si="20"/>
        <v>280476.93876201118</v>
      </c>
      <c r="O154" s="152">
        <f t="shared" si="21"/>
        <v>544340.58276201074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>
        <v>41870</v>
      </c>
      <c r="I155" s="152"/>
      <c r="J155" s="157"/>
      <c r="K155" s="154" t="s">
        <v>1991</v>
      </c>
      <c r="L155" s="227">
        <v>591.34</v>
      </c>
      <c r="M155" s="157" t="s">
        <v>1973</v>
      </c>
      <c r="N155" s="152">
        <f t="shared" si="20"/>
        <v>279885.59876201116</v>
      </c>
      <c r="O155" s="152">
        <f t="shared" si="21"/>
        <v>543749.24276201078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>
        <v>41870</v>
      </c>
      <c r="I156" s="152"/>
      <c r="J156" s="157"/>
      <c r="K156" s="154" t="s">
        <v>1991</v>
      </c>
      <c r="L156" s="227">
        <v>29876.639999999999</v>
      </c>
      <c r="M156" s="157" t="s">
        <v>1973</v>
      </c>
      <c r="N156" s="152">
        <f t="shared" si="20"/>
        <v>250008.95876201114</v>
      </c>
      <c r="O156" s="152">
        <f t="shared" si="21"/>
        <v>513872.60276201076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>
        <v>41870</v>
      </c>
      <c r="I157" s="152"/>
      <c r="J157" s="157"/>
      <c r="K157" s="154" t="s">
        <v>1991</v>
      </c>
      <c r="L157" s="227">
        <v>34851.08</v>
      </c>
      <c r="M157" s="157" t="s">
        <v>1973</v>
      </c>
      <c r="N157" s="152">
        <f t="shared" si="20"/>
        <v>215157.87876201113</v>
      </c>
      <c r="O157" s="152">
        <f t="shared" si="21"/>
        <v>479021.52276201075</v>
      </c>
    </row>
    <row r="158" spans="1:15" x14ac:dyDescent="0.15">
      <c r="A158" s="154"/>
      <c r="B158" s="151"/>
      <c r="C158" s="152"/>
      <c r="D158" s="323">
        <v>41871</v>
      </c>
      <c r="E158" s="154" t="s">
        <v>72</v>
      </c>
      <c r="F158" s="157" t="s">
        <v>1974</v>
      </c>
      <c r="G158" s="152">
        <v>131678.804</v>
      </c>
      <c r="H158" s="323">
        <v>41871</v>
      </c>
      <c r="I158" s="152">
        <v>12531.010000000002</v>
      </c>
      <c r="J158" s="157" t="s">
        <v>1973</v>
      </c>
      <c r="K158" s="154" t="s">
        <v>1991</v>
      </c>
      <c r="L158" s="227">
        <v>11315.44</v>
      </c>
      <c r="M158" s="157" t="s">
        <v>1973</v>
      </c>
      <c r="N158" s="152">
        <f t="shared" si="20"/>
        <v>191311.42876201111</v>
      </c>
      <c r="O158" s="152">
        <f t="shared" si="21"/>
        <v>586853.87676201086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>
        <v>41871</v>
      </c>
      <c r="I159" s="152"/>
      <c r="J159" s="157"/>
      <c r="K159" s="154" t="s">
        <v>1991</v>
      </c>
      <c r="L159" s="227">
        <v>12453.79</v>
      </c>
      <c r="M159" s="157" t="s">
        <v>1973</v>
      </c>
      <c r="N159" s="152">
        <f t="shared" si="20"/>
        <v>178857.63876201111</v>
      </c>
      <c r="O159" s="152">
        <f t="shared" si="21"/>
        <v>574400.08676201082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>
        <v>41871</v>
      </c>
      <c r="I160" s="152"/>
      <c r="J160" s="157"/>
      <c r="K160" s="154" t="s">
        <v>1991</v>
      </c>
      <c r="L160" s="227">
        <v>14032.27</v>
      </c>
      <c r="M160" s="157" t="s">
        <v>1973</v>
      </c>
      <c r="N160" s="152">
        <f t="shared" si="20"/>
        <v>164825.36876201112</v>
      </c>
      <c r="O160" s="152">
        <f t="shared" si="21"/>
        <v>560367.8167620108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>
        <v>41871</v>
      </c>
      <c r="I161" s="152"/>
      <c r="J161" s="157"/>
      <c r="K161" s="154" t="s">
        <v>1991</v>
      </c>
      <c r="L161" s="227">
        <v>13239.03</v>
      </c>
      <c r="M161" s="157" t="s">
        <v>1973</v>
      </c>
      <c r="N161" s="152">
        <f t="shared" si="20"/>
        <v>151586.33876201112</v>
      </c>
      <c r="O161" s="152">
        <f t="shared" si="21"/>
        <v>547128.78676201077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>
        <v>41871</v>
      </c>
      <c r="I162" s="152"/>
      <c r="J162" s="157"/>
      <c r="K162" s="154" t="s">
        <v>1991</v>
      </c>
      <c r="L162" s="227">
        <v>13290.04</v>
      </c>
      <c r="M162" s="157" t="s">
        <v>1973</v>
      </c>
      <c r="N162" s="152">
        <f t="shared" si="20"/>
        <v>138296.29876201111</v>
      </c>
      <c r="O162" s="152">
        <f t="shared" si="21"/>
        <v>533838.74676201073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>
        <v>41871</v>
      </c>
      <c r="I163" s="152"/>
      <c r="J163" s="157"/>
      <c r="K163" s="154" t="s">
        <v>1991</v>
      </c>
      <c r="L163" s="227">
        <v>36591.129999999997</v>
      </c>
      <c r="M163" s="157" t="s">
        <v>1973</v>
      </c>
      <c r="N163" s="152">
        <f t="shared" si="20"/>
        <v>101705.1687620111</v>
      </c>
      <c r="O163" s="152">
        <f t="shared" si="21"/>
        <v>497247.61676201073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>
        <v>41871</v>
      </c>
      <c r="I164" s="152"/>
      <c r="J164" s="157"/>
      <c r="K164" s="154" t="s">
        <v>1991</v>
      </c>
      <c r="L164" s="227">
        <v>12203.71</v>
      </c>
      <c r="M164" s="157" t="s">
        <v>1973</v>
      </c>
      <c r="N164" s="152">
        <f t="shared" si="20"/>
        <v>89501.458762011112</v>
      </c>
      <c r="O164" s="152">
        <f t="shared" si="21"/>
        <v>485043.90676201071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>
        <v>41871</v>
      </c>
      <c r="I165" s="152"/>
      <c r="J165" s="157"/>
      <c r="K165" s="154" t="s">
        <v>1991</v>
      </c>
      <c r="L165" s="227">
        <v>15909.24</v>
      </c>
      <c r="M165" s="157" t="s">
        <v>1973</v>
      </c>
      <c r="N165" s="152">
        <f t="shared" si="20"/>
        <v>73592.218762011107</v>
      </c>
      <c r="O165" s="152">
        <f t="shared" si="21"/>
        <v>469134.66676201072</v>
      </c>
    </row>
    <row r="166" spans="1:15" x14ac:dyDescent="0.15">
      <c r="A166" s="154"/>
      <c r="B166" s="151"/>
      <c r="C166" s="152"/>
      <c r="D166" s="323">
        <v>41872</v>
      </c>
      <c r="E166" s="154" t="s">
        <v>72</v>
      </c>
      <c r="F166" s="157" t="s">
        <v>1975</v>
      </c>
      <c r="G166" s="152">
        <v>131899.90900000001</v>
      </c>
      <c r="H166" s="323">
        <v>41872</v>
      </c>
      <c r="I166" s="152">
        <v>4110.17</v>
      </c>
      <c r="J166" s="157" t="s">
        <v>1973</v>
      </c>
      <c r="K166" s="154" t="s">
        <v>1991</v>
      </c>
      <c r="L166" s="227">
        <v>14006.52</v>
      </c>
      <c r="M166" s="157" t="s">
        <v>1973</v>
      </c>
      <c r="N166" s="152">
        <f t="shared" si="20"/>
        <v>55475.528762011105</v>
      </c>
      <c r="O166" s="152">
        <f t="shared" si="21"/>
        <v>582917.8857620107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>
        <v>41872</v>
      </c>
      <c r="I167" s="152"/>
      <c r="J167" s="157"/>
      <c r="K167" s="154" t="s">
        <v>1991</v>
      </c>
      <c r="L167" s="227">
        <v>13744.36</v>
      </c>
      <c r="M167" s="157" t="s">
        <v>1973</v>
      </c>
      <c r="N167" s="152">
        <f t="shared" si="20"/>
        <v>41731.168762011104</v>
      </c>
      <c r="O167" s="152">
        <f t="shared" si="21"/>
        <v>569173.52576201071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>
        <v>41872</v>
      </c>
      <c r="I168" s="152"/>
      <c r="J168" s="157"/>
      <c r="K168" s="154" t="s">
        <v>1991</v>
      </c>
      <c r="L168" s="227">
        <v>1245.76</v>
      </c>
      <c r="M168" s="157" t="s">
        <v>1973</v>
      </c>
      <c r="N168" s="152">
        <f t="shared" si="20"/>
        <v>40485.408762011102</v>
      </c>
      <c r="O168" s="152">
        <f t="shared" si="21"/>
        <v>567927.76576201071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>
        <v>41872</v>
      </c>
      <c r="I169" s="152"/>
      <c r="J169" s="157"/>
      <c r="K169" s="154" t="s">
        <v>1991</v>
      </c>
      <c r="L169" s="227">
        <v>39994.33</v>
      </c>
      <c r="M169" s="157" t="s">
        <v>1973</v>
      </c>
      <c r="N169" s="152">
        <f t="shared" si="20"/>
        <v>491.07876201110048</v>
      </c>
      <c r="O169" s="152">
        <f t="shared" si="21"/>
        <v>527933.43576201075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>
        <v>41872</v>
      </c>
      <c r="I170" s="152"/>
      <c r="J170" s="157"/>
      <c r="K170" s="154" t="s">
        <v>1991</v>
      </c>
      <c r="L170" s="227">
        <v>491.07876201110048</v>
      </c>
      <c r="M170" s="157" t="s">
        <v>1973</v>
      </c>
      <c r="N170" s="152">
        <f t="shared" ref="N170:N173" si="28">+N169-I170-L170</f>
        <v>0</v>
      </c>
      <c r="O170" s="152">
        <f t="shared" ref="O170:O173" si="29">O169+G170-I170-L170</f>
        <v>527442.35699999961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>
        <v>41872</v>
      </c>
      <c r="I171" s="152"/>
      <c r="J171" s="157"/>
      <c r="K171" s="154" t="s">
        <v>1991</v>
      </c>
      <c r="L171" s="227">
        <v>13285.1312379889</v>
      </c>
      <c r="M171" s="157" t="s">
        <v>1974</v>
      </c>
      <c r="N171" s="152">
        <f>G143+G152+G158+N170-I171-L171</f>
        <v>382257.31676201109</v>
      </c>
      <c r="O171" s="152">
        <f t="shared" si="29"/>
        <v>514157.22576201073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>
        <v>41872</v>
      </c>
      <c r="I172" s="152"/>
      <c r="J172" s="157"/>
      <c r="K172" s="154" t="s">
        <v>1991</v>
      </c>
      <c r="L172" s="227">
        <v>14459.07</v>
      </c>
      <c r="M172" s="157" t="s">
        <v>1974</v>
      </c>
      <c r="N172" s="152">
        <f t="shared" si="28"/>
        <v>367798.24676201108</v>
      </c>
      <c r="O172" s="152">
        <f t="shared" si="29"/>
        <v>499698.15576201072</v>
      </c>
    </row>
    <row r="173" spans="1:15" x14ac:dyDescent="0.15">
      <c r="A173" s="154"/>
      <c r="B173" s="151"/>
      <c r="C173" s="152"/>
      <c r="D173" s="323">
        <v>41873</v>
      </c>
      <c r="E173" s="154" t="s">
        <v>72</v>
      </c>
      <c r="F173" s="157" t="s">
        <v>1975</v>
      </c>
      <c r="G173" s="152">
        <v>131689.70200000002</v>
      </c>
      <c r="H173" s="323">
        <v>41873</v>
      </c>
      <c r="I173" s="152">
        <v>9764.06</v>
      </c>
      <c r="J173" s="157" t="s">
        <v>1974</v>
      </c>
      <c r="K173" s="154" t="s">
        <v>1991</v>
      </c>
      <c r="L173" s="227">
        <v>16216.83</v>
      </c>
      <c r="M173" s="157" t="s">
        <v>1974</v>
      </c>
      <c r="N173" s="152">
        <f t="shared" si="28"/>
        <v>341817.35676201107</v>
      </c>
      <c r="O173" s="152">
        <f t="shared" si="29"/>
        <v>605406.96776201075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>
        <v>41873</v>
      </c>
      <c r="I174" s="152"/>
      <c r="J174" s="157"/>
      <c r="K174" s="154" t="s">
        <v>1991</v>
      </c>
      <c r="L174" s="227">
        <v>14450.26</v>
      </c>
      <c r="M174" s="157" t="s">
        <v>1974</v>
      </c>
      <c r="N174" s="152">
        <f t="shared" si="20"/>
        <v>327367.09676201106</v>
      </c>
      <c r="O174" s="152">
        <f t="shared" si="21"/>
        <v>590956.70776201074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>
        <v>41873</v>
      </c>
      <c r="I175" s="152"/>
      <c r="J175" s="157"/>
      <c r="K175" s="154" t="s">
        <v>1991</v>
      </c>
      <c r="L175" s="227">
        <v>12650.72</v>
      </c>
      <c r="M175" s="157" t="s">
        <v>1974</v>
      </c>
      <c r="N175" s="152">
        <f t="shared" si="20"/>
        <v>314716.37676201109</v>
      </c>
      <c r="O175" s="152">
        <f t="shared" si="21"/>
        <v>578305.98776201077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>
        <v>41873</v>
      </c>
      <c r="I176" s="152"/>
      <c r="J176" s="157"/>
      <c r="K176" s="154" t="s">
        <v>1991</v>
      </c>
      <c r="L176" s="227">
        <v>15595.33</v>
      </c>
      <c r="M176" s="157" t="s">
        <v>1974</v>
      </c>
      <c r="N176" s="152">
        <f t="shared" si="20"/>
        <v>299121.04676201107</v>
      </c>
      <c r="O176" s="152">
        <f t="shared" si="21"/>
        <v>562710.65776201081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>
        <v>41873</v>
      </c>
      <c r="I177" s="152"/>
      <c r="J177" s="157"/>
      <c r="K177" s="154" t="s">
        <v>1991</v>
      </c>
      <c r="L177" s="227">
        <v>11990.26</v>
      </c>
      <c r="M177" s="157" t="s">
        <v>1974</v>
      </c>
      <c r="N177" s="152">
        <f t="shared" ref="N177:N242" si="30">+N176-I177-L177</f>
        <v>287130.78676201106</v>
      </c>
      <c r="O177" s="152">
        <f t="shared" ref="O177:O242" si="31">O176+G177-I177-L177</f>
        <v>550720.39776201081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>
        <v>41873</v>
      </c>
      <c r="I178" s="152"/>
      <c r="J178" s="157"/>
      <c r="K178" s="154" t="s">
        <v>1991</v>
      </c>
      <c r="L178" s="227">
        <v>13861.74</v>
      </c>
      <c r="M178" s="157" t="s">
        <v>1974</v>
      </c>
      <c r="N178" s="152">
        <f t="shared" si="30"/>
        <v>273269.04676201107</v>
      </c>
      <c r="O178" s="152">
        <f t="shared" si="31"/>
        <v>536858.65776201081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>
        <v>41873</v>
      </c>
      <c r="I179" s="152"/>
      <c r="J179" s="157"/>
      <c r="K179" s="154" t="s">
        <v>1991</v>
      </c>
      <c r="L179" s="227">
        <v>24570.04</v>
      </c>
      <c r="M179" s="157" t="s">
        <v>1974</v>
      </c>
      <c r="N179" s="152">
        <f t="shared" si="30"/>
        <v>248699.00676201106</v>
      </c>
      <c r="O179" s="152">
        <f t="shared" si="31"/>
        <v>512288.61776201084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>
        <v>41873</v>
      </c>
      <c r="I180" s="152"/>
      <c r="J180" s="157"/>
      <c r="K180" s="154" t="s">
        <v>1991</v>
      </c>
      <c r="L180" s="227">
        <v>11468.68</v>
      </c>
      <c r="M180" s="157" t="s">
        <v>1974</v>
      </c>
      <c r="N180" s="152">
        <f t="shared" si="30"/>
        <v>237230.32676201107</v>
      </c>
      <c r="O180" s="152">
        <f t="shared" si="31"/>
        <v>500819.93776201084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>
        <v>41873</v>
      </c>
      <c r="I181" s="152"/>
      <c r="J181" s="157"/>
      <c r="K181" s="154" t="s">
        <v>1991</v>
      </c>
      <c r="L181" s="227">
        <v>13286.21</v>
      </c>
      <c r="M181" s="157" t="s">
        <v>1974</v>
      </c>
      <c r="N181" s="152">
        <f t="shared" si="30"/>
        <v>223944.11676201108</v>
      </c>
      <c r="O181" s="152">
        <f t="shared" si="31"/>
        <v>487533.72776201082</v>
      </c>
    </row>
    <row r="182" spans="1:15" x14ac:dyDescent="0.15">
      <c r="A182" s="154"/>
      <c r="B182" s="151"/>
      <c r="C182" s="152"/>
      <c r="D182" s="323">
        <v>41874</v>
      </c>
      <c r="E182" s="154" t="s">
        <v>72</v>
      </c>
      <c r="F182" s="157" t="s">
        <v>1975</v>
      </c>
      <c r="G182" s="152">
        <v>132037.82699999999</v>
      </c>
      <c r="H182" s="323">
        <v>41874</v>
      </c>
      <c r="I182" s="152">
        <v>5352.91</v>
      </c>
      <c r="J182" s="157" t="s">
        <v>1974</v>
      </c>
      <c r="K182" s="154" t="s">
        <v>1991</v>
      </c>
      <c r="L182" s="227">
        <v>15908.77</v>
      </c>
      <c r="M182" s="157" t="s">
        <v>1974</v>
      </c>
      <c r="N182" s="152">
        <f t="shared" si="30"/>
        <v>202682.43676201109</v>
      </c>
      <c r="O182" s="152">
        <f t="shared" si="31"/>
        <v>598309.87476201076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>
        <v>41874</v>
      </c>
      <c r="I183" s="152"/>
      <c r="J183" s="157"/>
      <c r="K183" s="154" t="s">
        <v>1991</v>
      </c>
      <c r="L183" s="227">
        <v>14532.05</v>
      </c>
      <c r="M183" s="157" t="s">
        <v>1974</v>
      </c>
      <c r="N183" s="152">
        <f t="shared" si="30"/>
        <v>188150.3867620111</v>
      </c>
      <c r="O183" s="152">
        <f t="shared" si="31"/>
        <v>583777.82476201071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>
        <v>41874</v>
      </c>
      <c r="I184" s="152"/>
      <c r="J184" s="157"/>
      <c r="K184" s="154" t="s">
        <v>1991</v>
      </c>
      <c r="L184" s="227">
        <v>13730.21</v>
      </c>
      <c r="M184" s="157" t="s">
        <v>1974</v>
      </c>
      <c r="N184" s="152">
        <f t="shared" si="30"/>
        <v>174420.17676201111</v>
      </c>
      <c r="O184" s="152">
        <f t="shared" si="31"/>
        <v>570047.61476201075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>
        <v>41874</v>
      </c>
      <c r="I185" s="152"/>
      <c r="J185" s="157"/>
      <c r="K185" s="154" t="s">
        <v>1991</v>
      </c>
      <c r="L185" s="227">
        <v>43681.13</v>
      </c>
      <c r="M185" s="157" t="s">
        <v>1974</v>
      </c>
      <c r="N185" s="152">
        <f t="shared" si="30"/>
        <v>130739.0467620111</v>
      </c>
      <c r="O185" s="152">
        <f t="shared" si="31"/>
        <v>526366.48476201075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>
        <v>41874</v>
      </c>
      <c r="I186" s="152"/>
      <c r="J186" s="157"/>
      <c r="K186" s="154" t="s">
        <v>1991</v>
      </c>
      <c r="L186" s="227">
        <v>12972.37</v>
      </c>
      <c r="M186" s="157" t="s">
        <v>1974</v>
      </c>
      <c r="N186" s="152">
        <f t="shared" si="30"/>
        <v>117766.67676201111</v>
      </c>
      <c r="O186" s="152">
        <f t="shared" si="31"/>
        <v>513394.11476201075</v>
      </c>
    </row>
    <row r="187" spans="1:15" x14ac:dyDescent="0.15">
      <c r="A187" s="154"/>
      <c r="B187" s="151"/>
      <c r="C187" s="152"/>
      <c r="D187" s="323"/>
      <c r="E187" s="155"/>
      <c r="F187" s="157"/>
      <c r="G187" s="152"/>
      <c r="H187" s="323">
        <v>41874</v>
      </c>
      <c r="I187" s="152"/>
      <c r="J187" s="157"/>
      <c r="K187" s="154" t="s">
        <v>1991</v>
      </c>
      <c r="L187" s="227">
        <v>12475.47</v>
      </c>
      <c r="M187" s="157" t="s">
        <v>1974</v>
      </c>
      <c r="N187" s="152">
        <f t="shared" si="30"/>
        <v>105291.2067620111</v>
      </c>
      <c r="O187" s="152">
        <f t="shared" si="31"/>
        <v>500918.64476201078</v>
      </c>
    </row>
    <row r="188" spans="1:15" x14ac:dyDescent="0.15">
      <c r="A188" s="154"/>
      <c r="B188" s="151"/>
      <c r="C188" s="152"/>
      <c r="D188" s="323"/>
      <c r="E188" s="155"/>
      <c r="F188" s="157"/>
      <c r="G188" s="152"/>
      <c r="H188" s="323">
        <v>41874</v>
      </c>
      <c r="I188" s="152"/>
      <c r="J188" s="157"/>
      <c r="K188" s="154" t="s">
        <v>1991</v>
      </c>
      <c r="L188" s="227">
        <v>858.83</v>
      </c>
      <c r="M188" s="157" t="s">
        <v>1974</v>
      </c>
      <c r="N188" s="152">
        <f t="shared" si="30"/>
        <v>104432.3767620111</v>
      </c>
      <c r="O188" s="152">
        <f t="shared" si="31"/>
        <v>500059.81476201076</v>
      </c>
    </row>
    <row r="189" spans="1:15" x14ac:dyDescent="0.15">
      <c r="A189" s="154"/>
      <c r="B189" s="151"/>
      <c r="C189" s="152"/>
      <c r="D189" s="323"/>
      <c r="E189" s="155"/>
      <c r="F189" s="157"/>
      <c r="G189" s="152"/>
      <c r="H189" s="323">
        <v>41874</v>
      </c>
      <c r="I189" s="152"/>
      <c r="J189" s="157"/>
      <c r="K189" s="154" t="s">
        <v>1991</v>
      </c>
      <c r="L189" s="227">
        <v>1669.66</v>
      </c>
      <c r="M189" s="157" t="s">
        <v>1974</v>
      </c>
      <c r="N189" s="152">
        <f t="shared" si="30"/>
        <v>102762.7167620111</v>
      </c>
      <c r="O189" s="152">
        <f t="shared" si="31"/>
        <v>498390.15476201079</v>
      </c>
    </row>
    <row r="190" spans="1:15" x14ac:dyDescent="0.15">
      <c r="A190" s="154"/>
      <c r="B190" s="151"/>
      <c r="C190" s="152"/>
      <c r="D190" s="323">
        <v>41875</v>
      </c>
      <c r="E190" s="154" t="s">
        <v>72</v>
      </c>
      <c r="F190" s="157" t="s">
        <v>1975</v>
      </c>
      <c r="G190" s="152">
        <v>131819.37300000002</v>
      </c>
      <c r="H190" s="323">
        <v>41875</v>
      </c>
      <c r="I190" s="152">
        <v>5007.9799999999996</v>
      </c>
      <c r="J190" s="157" t="s">
        <v>1974</v>
      </c>
      <c r="K190" s="154" t="s">
        <v>1991</v>
      </c>
      <c r="L190" s="227">
        <v>13492.26</v>
      </c>
      <c r="M190" s="157" t="s">
        <v>1974</v>
      </c>
      <c r="N190" s="152">
        <f t="shared" si="30"/>
        <v>84262.476762011109</v>
      </c>
      <c r="O190" s="152">
        <f t="shared" si="31"/>
        <v>611709.28776201082</v>
      </c>
    </row>
    <row r="191" spans="1:15" x14ac:dyDescent="0.15">
      <c r="A191" s="154"/>
      <c r="B191" s="151"/>
      <c r="C191" s="152"/>
      <c r="D191" s="323"/>
      <c r="E191" s="155"/>
      <c r="F191" s="154"/>
      <c r="G191" s="152"/>
      <c r="H191" s="323">
        <v>41875</v>
      </c>
      <c r="I191" s="152"/>
      <c r="J191" s="157"/>
      <c r="K191" s="154" t="s">
        <v>1991</v>
      </c>
      <c r="L191" s="227">
        <v>12043.56</v>
      </c>
      <c r="M191" s="157" t="s">
        <v>1974</v>
      </c>
      <c r="N191" s="152">
        <f t="shared" si="30"/>
        <v>72218.916762011111</v>
      </c>
      <c r="O191" s="152">
        <f t="shared" si="31"/>
        <v>599665.72776201076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>
        <v>41875</v>
      </c>
      <c r="I192" s="152"/>
      <c r="J192" s="157"/>
      <c r="K192" s="154" t="s">
        <v>1991</v>
      </c>
      <c r="L192" s="227">
        <v>13007.36</v>
      </c>
      <c r="M192" s="157" t="s">
        <v>1974</v>
      </c>
      <c r="N192" s="152">
        <f t="shared" si="30"/>
        <v>59211.556762011111</v>
      </c>
      <c r="O192" s="152">
        <f t="shared" si="31"/>
        <v>586658.36776201078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>
        <v>41875</v>
      </c>
      <c r="I193" s="152"/>
      <c r="J193" s="157"/>
      <c r="K193" s="154" t="s">
        <v>1991</v>
      </c>
      <c r="L193" s="227">
        <v>14145.13</v>
      </c>
      <c r="M193" s="157" t="s">
        <v>1974</v>
      </c>
      <c r="N193" s="152">
        <f t="shared" si="30"/>
        <v>45066.426762011113</v>
      </c>
      <c r="O193" s="152">
        <f t="shared" si="31"/>
        <v>572513.23776201077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>
        <v>41875</v>
      </c>
      <c r="I194" s="152"/>
      <c r="J194" s="157"/>
      <c r="K194" s="154" t="s">
        <v>1991</v>
      </c>
      <c r="L194" s="227">
        <v>878.82</v>
      </c>
      <c r="M194" s="157" t="s">
        <v>1974</v>
      </c>
      <c r="N194" s="152">
        <f t="shared" si="30"/>
        <v>44187.606762011113</v>
      </c>
      <c r="O194" s="152">
        <f t="shared" si="31"/>
        <v>571634.41776201082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>
        <v>41875</v>
      </c>
      <c r="I195" s="152"/>
      <c r="J195" s="157"/>
      <c r="K195" s="154" t="s">
        <v>1991</v>
      </c>
      <c r="L195" s="227">
        <v>13540.25</v>
      </c>
      <c r="M195" s="157" t="s">
        <v>1974</v>
      </c>
      <c r="N195" s="152">
        <f t="shared" si="30"/>
        <v>30647.356762011113</v>
      </c>
      <c r="O195" s="152">
        <f t="shared" si="31"/>
        <v>558094.16776201082</v>
      </c>
    </row>
    <row r="196" spans="1:15" x14ac:dyDescent="0.15">
      <c r="A196" s="154"/>
      <c r="B196" s="151"/>
      <c r="C196" s="152"/>
      <c r="D196" s="323"/>
      <c r="E196" s="155"/>
      <c r="F196" s="157"/>
      <c r="G196" s="152"/>
      <c r="H196" s="323">
        <v>41875</v>
      </c>
      <c r="I196" s="152"/>
      <c r="J196" s="157"/>
      <c r="K196" s="154" t="s">
        <v>1991</v>
      </c>
      <c r="L196" s="227">
        <v>12303.5</v>
      </c>
      <c r="M196" s="157" t="s">
        <v>1974</v>
      </c>
      <c r="N196" s="152">
        <f t="shared" si="30"/>
        <v>18343.856762011113</v>
      </c>
      <c r="O196" s="152">
        <f t="shared" si="31"/>
        <v>545790.66776201082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>
        <v>41875</v>
      </c>
      <c r="I197" s="152"/>
      <c r="J197" s="157"/>
      <c r="K197" s="154" t="s">
        <v>1991</v>
      </c>
      <c r="L197" s="227">
        <v>814.83</v>
      </c>
      <c r="M197" s="157" t="s">
        <v>1974</v>
      </c>
      <c r="N197" s="152">
        <f t="shared" si="30"/>
        <v>17529.026762011112</v>
      </c>
      <c r="O197" s="152">
        <f t="shared" si="31"/>
        <v>544975.83776201087</v>
      </c>
    </row>
    <row r="198" spans="1:15" ht="12.75" customHeight="1" x14ac:dyDescent="0.15">
      <c r="A198" s="154"/>
      <c r="B198" s="151"/>
      <c r="C198" s="152"/>
      <c r="D198" s="323"/>
      <c r="E198" s="154"/>
      <c r="F198" s="157"/>
      <c r="G198" s="152"/>
      <c r="H198" s="323">
        <v>41875</v>
      </c>
      <c r="I198" s="152"/>
      <c r="J198" s="157"/>
      <c r="K198" s="154" t="s">
        <v>1991</v>
      </c>
      <c r="L198" s="227">
        <v>17529.026762011112</v>
      </c>
      <c r="M198" s="157" t="s">
        <v>1974</v>
      </c>
      <c r="N198" s="152">
        <f t="shared" ref="N198:N201" si="32">+N197-I198-L198</f>
        <v>0</v>
      </c>
      <c r="O198" s="152">
        <f t="shared" ref="O198:O201" si="33">O197+G198-I198-L198</f>
        <v>527446.81099999975</v>
      </c>
    </row>
    <row r="199" spans="1:15" ht="12.75" customHeight="1" x14ac:dyDescent="0.15">
      <c r="A199" s="154"/>
      <c r="B199" s="151"/>
      <c r="C199" s="152"/>
      <c r="D199" s="323"/>
      <c r="E199" s="154"/>
      <c r="F199" s="157"/>
      <c r="G199" s="152"/>
      <c r="H199" s="323">
        <v>41875</v>
      </c>
      <c r="I199" s="152"/>
      <c r="J199" s="157"/>
      <c r="K199" s="154" t="s">
        <v>1991</v>
      </c>
      <c r="L199" s="227">
        <v>7125.9732379888901</v>
      </c>
      <c r="M199" s="157" t="s">
        <v>1975</v>
      </c>
      <c r="N199" s="152">
        <f>G166+G173+G182+G190+N198-I199-L199</f>
        <v>520320.8377620111</v>
      </c>
      <c r="O199" s="152">
        <f t="shared" si="33"/>
        <v>520320.83776201087</v>
      </c>
    </row>
    <row r="200" spans="1:15" ht="12.75" customHeight="1" x14ac:dyDescent="0.15">
      <c r="A200" s="154"/>
      <c r="B200" s="151"/>
      <c r="C200" s="152"/>
      <c r="D200" s="323">
        <v>41876</v>
      </c>
      <c r="E200" s="154" t="s">
        <v>72</v>
      </c>
      <c r="F200" s="157" t="s">
        <v>1976</v>
      </c>
      <c r="G200" s="152">
        <v>131842.73000000001</v>
      </c>
      <c r="H200" s="323">
        <v>41876</v>
      </c>
      <c r="I200" s="152">
        <v>7231.0599999999995</v>
      </c>
      <c r="J200" s="157" t="s">
        <v>1975</v>
      </c>
      <c r="K200" s="154" t="s">
        <v>1991</v>
      </c>
      <c r="L200" s="227">
        <v>15574.68</v>
      </c>
      <c r="M200" s="157" t="s">
        <v>1975</v>
      </c>
      <c r="N200" s="152">
        <f t="shared" si="32"/>
        <v>497515.09776201111</v>
      </c>
      <c r="O200" s="152">
        <f t="shared" si="33"/>
        <v>629357.82776201074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>
        <v>41876</v>
      </c>
      <c r="I201" s="152"/>
      <c r="J201" s="154"/>
      <c r="K201" s="154" t="s">
        <v>1991</v>
      </c>
      <c r="L201" s="227">
        <v>34525.980000000003</v>
      </c>
      <c r="M201" s="157" t="s">
        <v>1975</v>
      </c>
      <c r="N201" s="152">
        <f t="shared" si="32"/>
        <v>462989.11776201113</v>
      </c>
      <c r="O201" s="152">
        <f t="shared" si="33"/>
        <v>594831.84776201076</v>
      </c>
    </row>
    <row r="202" spans="1:15" x14ac:dyDescent="0.15">
      <c r="A202" s="154"/>
      <c r="B202" s="151"/>
      <c r="C202" s="152"/>
      <c r="D202" s="323"/>
      <c r="E202" s="155"/>
      <c r="F202" s="157"/>
      <c r="G202" s="152"/>
      <c r="H202" s="323">
        <v>41876</v>
      </c>
      <c r="I202" s="152"/>
      <c r="J202" s="154"/>
      <c r="K202" s="154" t="s">
        <v>1991</v>
      </c>
      <c r="L202" s="227">
        <v>13093.68</v>
      </c>
      <c r="M202" s="157" t="s">
        <v>1975</v>
      </c>
      <c r="N202" s="152">
        <f t="shared" si="30"/>
        <v>449895.43776201113</v>
      </c>
      <c r="O202" s="152">
        <f t="shared" si="31"/>
        <v>581738.16776201071</v>
      </c>
    </row>
    <row r="203" spans="1:15" x14ac:dyDescent="0.15">
      <c r="A203" s="154"/>
      <c r="B203" s="151"/>
      <c r="C203" s="152"/>
      <c r="D203" s="323"/>
      <c r="E203" s="155"/>
      <c r="F203" s="157"/>
      <c r="G203" s="152"/>
      <c r="H203" s="323">
        <v>41876</v>
      </c>
      <c r="I203" s="152"/>
      <c r="J203" s="154"/>
      <c r="K203" s="154" t="s">
        <v>1991</v>
      </c>
      <c r="L203" s="227">
        <v>13239.62</v>
      </c>
      <c r="M203" s="157" t="s">
        <v>1975</v>
      </c>
      <c r="N203" s="152">
        <f t="shared" si="30"/>
        <v>436655.81776201114</v>
      </c>
      <c r="O203" s="152">
        <f t="shared" si="31"/>
        <v>568498.54776201071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>
        <v>41876</v>
      </c>
      <c r="I204" s="152"/>
      <c r="J204" s="154"/>
      <c r="K204" s="154" t="s">
        <v>1991</v>
      </c>
      <c r="L204" s="227">
        <v>653.73</v>
      </c>
      <c r="M204" s="157" t="s">
        <v>1975</v>
      </c>
      <c r="N204" s="152">
        <f t="shared" si="30"/>
        <v>436002.08776201116</v>
      </c>
      <c r="O204" s="152">
        <f t="shared" si="31"/>
        <v>567844.81776201073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>
        <v>41876</v>
      </c>
      <c r="I205" s="152"/>
      <c r="J205" s="154"/>
      <c r="K205" s="154" t="s">
        <v>1991</v>
      </c>
      <c r="L205" s="227">
        <v>10129.89</v>
      </c>
      <c r="M205" s="157" t="s">
        <v>1975</v>
      </c>
      <c r="N205" s="152">
        <f t="shared" si="30"/>
        <v>425872.19776201114</v>
      </c>
      <c r="O205" s="152">
        <f t="shared" si="31"/>
        <v>557714.92776201072</v>
      </c>
    </row>
    <row r="206" spans="1:15" x14ac:dyDescent="0.15">
      <c r="A206" s="154"/>
      <c r="B206" s="151"/>
      <c r="C206" s="152"/>
      <c r="D206" s="323"/>
      <c r="E206" s="155"/>
      <c r="F206" s="157"/>
      <c r="G206" s="152"/>
      <c r="H206" s="323">
        <v>41876</v>
      </c>
      <c r="I206" s="152"/>
      <c r="J206" s="157"/>
      <c r="K206" s="154" t="s">
        <v>1991</v>
      </c>
      <c r="L206" s="227">
        <v>29577.99</v>
      </c>
      <c r="M206" s="157" t="s">
        <v>1975</v>
      </c>
      <c r="N206" s="152">
        <f t="shared" si="30"/>
        <v>396294.20776201115</v>
      </c>
      <c r="O206" s="152">
        <f t="shared" si="31"/>
        <v>528136.93776201073</v>
      </c>
    </row>
    <row r="207" spans="1:15" x14ac:dyDescent="0.15">
      <c r="A207" s="154"/>
      <c r="B207" s="151"/>
      <c r="C207" s="152"/>
      <c r="D207" s="323">
        <v>41877</v>
      </c>
      <c r="E207" s="154" t="s">
        <v>72</v>
      </c>
      <c r="F207" s="157" t="s">
        <v>1976</v>
      </c>
      <c r="G207" s="152">
        <v>87931.652000000002</v>
      </c>
      <c r="H207" s="323">
        <v>41877</v>
      </c>
      <c r="I207" s="152">
        <v>8665.5999999999985</v>
      </c>
      <c r="J207" s="157" t="s">
        <v>1975</v>
      </c>
      <c r="K207" s="154" t="s">
        <v>1991</v>
      </c>
      <c r="L207" s="227">
        <v>13569.11</v>
      </c>
      <c r="M207" s="157" t="s">
        <v>1975</v>
      </c>
      <c r="N207" s="152">
        <f t="shared" si="30"/>
        <v>374059.49776201119</v>
      </c>
      <c r="O207" s="152">
        <f t="shared" si="31"/>
        <v>593833.87976201077</v>
      </c>
    </row>
    <row r="208" spans="1:15" x14ac:dyDescent="0.15">
      <c r="A208" s="154"/>
      <c r="B208" s="151"/>
      <c r="C208" s="152"/>
      <c r="D208" s="323"/>
      <c r="E208" s="155"/>
      <c r="F208" s="157"/>
      <c r="G208" s="152"/>
      <c r="H208" s="323">
        <v>41877</v>
      </c>
      <c r="I208" s="152"/>
      <c r="J208" s="157"/>
      <c r="K208" s="154" t="s">
        <v>1991</v>
      </c>
      <c r="L208" s="227">
        <v>13254.27</v>
      </c>
      <c r="M208" s="157" t="s">
        <v>1975</v>
      </c>
      <c r="N208" s="152">
        <f t="shared" si="30"/>
        <v>360805.22776201117</v>
      </c>
      <c r="O208" s="152">
        <f t="shared" si="31"/>
        <v>580579.60976201075</v>
      </c>
    </row>
    <row r="209" spans="1:15" x14ac:dyDescent="0.15">
      <c r="A209" s="154"/>
      <c r="B209" s="151"/>
      <c r="C209" s="152"/>
      <c r="D209" s="323"/>
      <c r="E209" s="155"/>
      <c r="F209" s="157"/>
      <c r="G209" s="152"/>
      <c r="H209" s="323">
        <v>41877</v>
      </c>
      <c r="I209" s="152"/>
      <c r="J209" s="157"/>
      <c r="K209" s="154" t="s">
        <v>1991</v>
      </c>
      <c r="L209" s="227">
        <v>13383.21</v>
      </c>
      <c r="M209" s="157" t="s">
        <v>1975</v>
      </c>
      <c r="N209" s="152">
        <f t="shared" si="30"/>
        <v>347422.01776201115</v>
      </c>
      <c r="O209" s="152">
        <f t="shared" si="31"/>
        <v>567196.39976201078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>
        <v>41877</v>
      </c>
      <c r="I210" s="152"/>
      <c r="J210" s="157"/>
      <c r="K210" s="154" t="s">
        <v>1991</v>
      </c>
      <c r="L210" s="227">
        <v>40369.51</v>
      </c>
      <c r="M210" s="157" t="s">
        <v>1975</v>
      </c>
      <c r="N210" s="152">
        <f t="shared" si="30"/>
        <v>307052.50776201114</v>
      </c>
      <c r="O210" s="152">
        <f t="shared" si="31"/>
        <v>526826.88976201077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>
        <v>41877</v>
      </c>
      <c r="I211" s="152"/>
      <c r="J211" s="157"/>
      <c r="K211" s="154" t="s">
        <v>1991</v>
      </c>
      <c r="L211" s="227">
        <v>14035.88</v>
      </c>
      <c r="M211" s="157" t="s">
        <v>1975</v>
      </c>
      <c r="N211" s="152">
        <f t="shared" si="30"/>
        <v>293016.62776201114</v>
      </c>
      <c r="O211" s="152">
        <f t="shared" si="31"/>
        <v>512791.00976201077</v>
      </c>
    </row>
    <row r="212" spans="1:15" x14ac:dyDescent="0.15">
      <c r="A212" s="154"/>
      <c r="B212" s="151"/>
      <c r="C212" s="152"/>
      <c r="D212" s="323">
        <v>41878</v>
      </c>
      <c r="E212" s="154" t="s">
        <v>72</v>
      </c>
      <c r="F212" s="157" t="s">
        <v>1976</v>
      </c>
      <c r="G212" s="152">
        <v>88092.364999999962</v>
      </c>
      <c r="H212" s="323">
        <v>41878</v>
      </c>
      <c r="I212" s="152">
        <v>5382.18</v>
      </c>
      <c r="J212" s="157" t="s">
        <v>1975</v>
      </c>
      <c r="K212" s="154" t="s">
        <v>1991</v>
      </c>
      <c r="L212" s="227">
        <v>15140.7</v>
      </c>
      <c r="M212" s="157" t="s">
        <v>1975</v>
      </c>
      <c r="N212" s="152">
        <f t="shared" si="30"/>
        <v>272493.74776201113</v>
      </c>
      <c r="O212" s="152">
        <f t="shared" si="31"/>
        <v>580360.49476201076</v>
      </c>
    </row>
    <row r="213" spans="1:15" x14ac:dyDescent="0.15">
      <c r="A213" s="154"/>
      <c r="B213" s="151"/>
      <c r="C213" s="152"/>
      <c r="D213" s="323">
        <v>41878</v>
      </c>
      <c r="E213" s="154" t="s">
        <v>72</v>
      </c>
      <c r="F213" s="157" t="s">
        <v>1977</v>
      </c>
      <c r="G213" s="152">
        <v>44021.919000000002</v>
      </c>
      <c r="H213" s="323">
        <v>41878</v>
      </c>
      <c r="I213" s="152"/>
      <c r="J213" s="154"/>
      <c r="K213" s="154" t="s">
        <v>1991</v>
      </c>
      <c r="L213" s="227">
        <v>14258.42</v>
      </c>
      <c r="M213" s="157" t="s">
        <v>1975</v>
      </c>
      <c r="N213" s="152">
        <f t="shared" si="30"/>
        <v>258235.32776201112</v>
      </c>
      <c r="O213" s="152">
        <f t="shared" si="31"/>
        <v>610123.99376201071</v>
      </c>
    </row>
    <row r="214" spans="1:15" x14ac:dyDescent="0.15">
      <c r="A214" s="154"/>
      <c r="B214" s="151"/>
      <c r="C214" s="152"/>
      <c r="D214" s="323"/>
      <c r="E214" s="155"/>
      <c r="F214" s="157"/>
      <c r="G214" s="152"/>
      <c r="H214" s="323">
        <v>41878</v>
      </c>
      <c r="I214" s="152"/>
      <c r="J214" s="157"/>
      <c r="K214" s="154" t="s">
        <v>1991</v>
      </c>
      <c r="L214" s="227">
        <v>12773.62</v>
      </c>
      <c r="M214" s="157" t="s">
        <v>1975</v>
      </c>
      <c r="N214" s="152">
        <f t="shared" si="30"/>
        <v>245461.70776201112</v>
      </c>
      <c r="O214" s="152">
        <f t="shared" si="31"/>
        <v>597350.37376201071</v>
      </c>
    </row>
    <row r="215" spans="1:15" x14ac:dyDescent="0.15">
      <c r="A215" s="154"/>
      <c r="B215" s="151"/>
      <c r="C215" s="152"/>
      <c r="D215" s="323"/>
      <c r="E215" s="155"/>
      <c r="F215" s="157"/>
      <c r="G215" s="152"/>
      <c r="H215" s="323">
        <v>41878</v>
      </c>
      <c r="I215" s="152"/>
      <c r="J215" s="154"/>
      <c r="K215" s="154" t="s">
        <v>1991</v>
      </c>
      <c r="L215" s="227">
        <v>10661.34</v>
      </c>
      <c r="M215" s="157" t="s">
        <v>1975</v>
      </c>
      <c r="N215" s="152">
        <f t="shared" si="30"/>
        <v>234800.36776201113</v>
      </c>
      <c r="O215" s="152">
        <f t="shared" si="31"/>
        <v>586689.03376201075</v>
      </c>
    </row>
    <row r="216" spans="1:15" x14ac:dyDescent="0.15">
      <c r="A216" s="154"/>
      <c r="B216" s="151"/>
      <c r="C216" s="152"/>
      <c r="D216" s="323"/>
      <c r="E216" s="155"/>
      <c r="F216" s="157"/>
      <c r="G216" s="152"/>
      <c r="H216" s="323">
        <v>41878</v>
      </c>
      <c r="I216" s="152"/>
      <c r="J216" s="154"/>
      <c r="K216" s="154" t="s">
        <v>1991</v>
      </c>
      <c r="L216" s="227">
        <v>13012.43</v>
      </c>
      <c r="M216" s="157" t="s">
        <v>1975</v>
      </c>
      <c r="N216" s="152">
        <f t="shared" si="30"/>
        <v>221787.93776201113</v>
      </c>
      <c r="O216" s="152">
        <f t="shared" si="31"/>
        <v>573676.60376201069</v>
      </c>
    </row>
    <row r="217" spans="1:15" x14ac:dyDescent="0.15">
      <c r="A217" s="154"/>
      <c r="B217" s="151"/>
      <c r="C217" s="152"/>
      <c r="D217" s="323"/>
      <c r="E217" s="155"/>
      <c r="F217" s="157"/>
      <c r="G217" s="152"/>
      <c r="H217" s="323">
        <v>41878</v>
      </c>
      <c r="I217" s="152"/>
      <c r="J217" s="154"/>
      <c r="K217" s="154" t="s">
        <v>1991</v>
      </c>
      <c r="L217" s="227">
        <v>11951.29</v>
      </c>
      <c r="M217" s="157" t="s">
        <v>1975</v>
      </c>
      <c r="N217" s="152">
        <f t="shared" si="30"/>
        <v>209836.64776201113</v>
      </c>
      <c r="O217" s="152">
        <f t="shared" si="31"/>
        <v>561725.31376201066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>
        <v>41878</v>
      </c>
      <c r="I218" s="152"/>
      <c r="J218" s="154"/>
      <c r="K218" s="154" t="s">
        <v>1991</v>
      </c>
      <c r="L218" s="227">
        <v>11698.5</v>
      </c>
      <c r="M218" s="157" t="s">
        <v>1975</v>
      </c>
      <c r="N218" s="152">
        <f t="shared" si="30"/>
        <v>198138.14776201113</v>
      </c>
      <c r="O218" s="152">
        <f t="shared" si="31"/>
        <v>550026.81376201066</v>
      </c>
    </row>
    <row r="219" spans="1:15" x14ac:dyDescent="0.15">
      <c r="A219" s="154"/>
      <c r="B219" s="151"/>
      <c r="C219" s="152"/>
      <c r="D219" s="323"/>
      <c r="E219" s="155"/>
      <c r="F219" s="157"/>
      <c r="G219" s="152"/>
      <c r="H219" s="323">
        <v>41878</v>
      </c>
      <c r="I219" s="152"/>
      <c r="J219" s="154"/>
      <c r="K219" s="154" t="s">
        <v>1991</v>
      </c>
      <c r="L219" s="227">
        <v>13985.06</v>
      </c>
      <c r="M219" s="157" t="s">
        <v>1975</v>
      </c>
      <c r="N219" s="152">
        <f t="shared" si="30"/>
        <v>184153.08776201113</v>
      </c>
      <c r="O219" s="152">
        <f t="shared" si="31"/>
        <v>536041.7537620106</v>
      </c>
    </row>
    <row r="220" spans="1:15" x14ac:dyDescent="0.15">
      <c r="A220" s="154"/>
      <c r="B220" s="151"/>
      <c r="C220" s="152"/>
      <c r="D220" s="323">
        <v>41879</v>
      </c>
      <c r="E220" s="154" t="s">
        <v>72</v>
      </c>
      <c r="F220" s="157" t="s">
        <v>1977</v>
      </c>
      <c r="G220" s="152">
        <v>132102.20799999998</v>
      </c>
      <c r="H220" s="323">
        <v>41879</v>
      </c>
      <c r="I220" s="152">
        <v>11808.42</v>
      </c>
      <c r="J220" s="157" t="s">
        <v>1975</v>
      </c>
      <c r="K220" s="154" t="s">
        <v>1991</v>
      </c>
      <c r="L220" s="227">
        <v>15332.66</v>
      </c>
      <c r="M220" s="157" t="s">
        <v>1975</v>
      </c>
      <c r="N220" s="152">
        <f t="shared" si="30"/>
        <v>157012.00776201111</v>
      </c>
      <c r="O220" s="152">
        <f t="shared" si="31"/>
        <v>641002.88176201051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>
        <v>41879</v>
      </c>
      <c r="I221" s="152"/>
      <c r="J221" s="154"/>
      <c r="K221" s="154" t="s">
        <v>1991</v>
      </c>
      <c r="L221" s="227">
        <v>19595.96</v>
      </c>
      <c r="M221" s="157" t="s">
        <v>1975</v>
      </c>
      <c r="N221" s="152">
        <f t="shared" si="30"/>
        <v>137416.04776201112</v>
      </c>
      <c r="O221" s="152">
        <f t="shared" si="31"/>
        <v>621406.92176201055</v>
      </c>
    </row>
    <row r="222" spans="1:15" x14ac:dyDescent="0.15">
      <c r="A222" s="154"/>
      <c r="B222" s="151"/>
      <c r="C222" s="152"/>
      <c r="D222" s="323"/>
      <c r="E222" s="155"/>
      <c r="F222" s="157"/>
      <c r="G222" s="152"/>
      <c r="H222" s="323">
        <v>41879</v>
      </c>
      <c r="I222" s="152"/>
      <c r="J222" s="157"/>
      <c r="K222" s="154" t="s">
        <v>1991</v>
      </c>
      <c r="L222" s="227">
        <v>48774.83</v>
      </c>
      <c r="M222" s="157" t="s">
        <v>1975</v>
      </c>
      <c r="N222" s="152">
        <f t="shared" si="30"/>
        <v>88641.217762011118</v>
      </c>
      <c r="O222" s="152">
        <f t="shared" si="31"/>
        <v>572632.09176201059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>
        <v>41879</v>
      </c>
      <c r="I223" s="152"/>
      <c r="J223" s="157"/>
      <c r="K223" s="154" t="s">
        <v>1991</v>
      </c>
      <c r="L223" s="227">
        <v>14440.39</v>
      </c>
      <c r="M223" s="157" t="s">
        <v>1975</v>
      </c>
      <c r="N223" s="152">
        <f t="shared" si="30"/>
        <v>74200.827762011118</v>
      </c>
      <c r="O223" s="152">
        <f t="shared" si="31"/>
        <v>558191.70176201058</v>
      </c>
    </row>
    <row r="224" spans="1:15" x14ac:dyDescent="0.15">
      <c r="A224" s="154"/>
      <c r="B224" s="151"/>
      <c r="C224" s="152"/>
      <c r="D224" s="323"/>
      <c r="E224" s="155"/>
      <c r="F224" s="157"/>
      <c r="G224" s="152"/>
      <c r="H224" s="323">
        <v>41879</v>
      </c>
      <c r="I224" s="152"/>
      <c r="J224" s="157"/>
      <c r="K224" s="154" t="s">
        <v>1991</v>
      </c>
      <c r="L224" s="227">
        <v>15243.64</v>
      </c>
      <c r="M224" s="157" t="s">
        <v>1975</v>
      </c>
      <c r="N224" s="152">
        <f t="shared" si="30"/>
        <v>58957.187762011119</v>
      </c>
      <c r="O224" s="152">
        <f t="shared" si="31"/>
        <v>542948.06176201056</v>
      </c>
    </row>
    <row r="225" spans="1:15" x14ac:dyDescent="0.15">
      <c r="A225" s="154"/>
      <c r="B225" s="151"/>
      <c r="C225" s="152"/>
      <c r="D225" s="323"/>
      <c r="E225" s="155"/>
      <c r="F225" s="157"/>
      <c r="G225" s="152"/>
      <c r="H225" s="323">
        <v>41879</v>
      </c>
      <c r="I225" s="152"/>
      <c r="J225" s="157"/>
      <c r="K225" s="154" t="s">
        <v>1991</v>
      </c>
      <c r="L225" s="227">
        <v>482.15</v>
      </c>
      <c r="M225" s="157" t="s">
        <v>1975</v>
      </c>
      <c r="N225" s="152">
        <f t="shared" si="30"/>
        <v>58475.037762011118</v>
      </c>
      <c r="O225" s="152">
        <f t="shared" si="31"/>
        <v>542465.91176201054</v>
      </c>
    </row>
    <row r="226" spans="1:15" x14ac:dyDescent="0.15">
      <c r="A226" s="154"/>
      <c r="B226" s="151"/>
      <c r="C226" s="152"/>
      <c r="D226" s="323"/>
      <c r="E226" s="155"/>
      <c r="F226" s="157"/>
      <c r="G226" s="152"/>
      <c r="H226" s="323">
        <v>41879</v>
      </c>
      <c r="I226" s="152"/>
      <c r="J226" s="157"/>
      <c r="K226" s="154" t="s">
        <v>1991</v>
      </c>
      <c r="L226" s="227">
        <v>42863.040000000001</v>
      </c>
      <c r="M226" s="157" t="s">
        <v>1975</v>
      </c>
      <c r="N226" s="152">
        <f t="shared" si="30"/>
        <v>15611.997762011117</v>
      </c>
      <c r="O226" s="152">
        <f t="shared" si="31"/>
        <v>499602.87176201056</v>
      </c>
    </row>
    <row r="227" spans="1:15" x14ac:dyDescent="0.15">
      <c r="A227" s="154"/>
      <c r="B227" s="151"/>
      <c r="C227" s="152"/>
      <c r="D227" s="323"/>
      <c r="E227" s="155"/>
      <c r="F227" s="157"/>
      <c r="G227" s="152"/>
      <c r="H227" s="323">
        <v>41879</v>
      </c>
      <c r="I227" s="152"/>
      <c r="J227" s="157"/>
      <c r="K227" s="154" t="s">
        <v>1991</v>
      </c>
      <c r="L227" s="227">
        <v>13253.24</v>
      </c>
      <c r="M227" s="157" t="s">
        <v>1975</v>
      </c>
      <c r="N227" s="152">
        <f t="shared" si="30"/>
        <v>2358.7577620111169</v>
      </c>
      <c r="O227" s="152">
        <f t="shared" si="31"/>
        <v>486349.63176201057</v>
      </c>
    </row>
    <row r="228" spans="1:15" x14ac:dyDescent="0.15">
      <c r="A228" s="154"/>
      <c r="B228" s="151"/>
      <c r="C228" s="152"/>
      <c r="D228" s="323">
        <v>41880</v>
      </c>
      <c r="E228" s="154" t="s">
        <v>72</v>
      </c>
      <c r="F228" s="157" t="s">
        <v>1977</v>
      </c>
      <c r="G228" s="152">
        <v>132001.98800000001</v>
      </c>
      <c r="H228" s="323">
        <v>41880</v>
      </c>
      <c r="I228" s="152">
        <v>2358.7577620111169</v>
      </c>
      <c r="J228" s="157" t="s">
        <v>1975</v>
      </c>
      <c r="K228" s="154"/>
      <c r="L228" s="227"/>
      <c r="M228" s="157"/>
      <c r="N228" s="152">
        <f t="shared" ref="N228:N232" si="34">+N227-I228-L228</f>
        <v>0</v>
      </c>
      <c r="O228" s="152">
        <f t="shared" ref="O228:O232" si="35">O227+G228-I228-L228</f>
        <v>615992.8619999995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>
        <v>41880</v>
      </c>
      <c r="I229" s="152">
        <v>2977.91223798888</v>
      </c>
      <c r="J229" s="157" t="s">
        <v>1976</v>
      </c>
      <c r="K229" s="154" t="s">
        <v>1991</v>
      </c>
      <c r="L229" s="227">
        <v>10669.24</v>
      </c>
      <c r="M229" s="157" t="s">
        <v>1976</v>
      </c>
      <c r="N229" s="152">
        <f>G200+G207+G212+N228-I229-L229</f>
        <v>294219.59476201108</v>
      </c>
      <c r="O229" s="152">
        <f t="shared" si="35"/>
        <v>602345.70976201061</v>
      </c>
    </row>
    <row r="230" spans="1:15" x14ac:dyDescent="0.15">
      <c r="A230" s="154"/>
      <c r="B230" s="151"/>
      <c r="C230" s="152"/>
      <c r="D230" s="323"/>
      <c r="E230" s="155"/>
      <c r="F230" s="157"/>
      <c r="G230" s="152"/>
      <c r="H230" s="323">
        <v>41880</v>
      </c>
      <c r="I230" s="152"/>
      <c r="J230" s="157"/>
      <c r="K230" s="154" t="s">
        <v>1991</v>
      </c>
      <c r="L230" s="227">
        <v>12920.93</v>
      </c>
      <c r="M230" s="157" t="s">
        <v>1976</v>
      </c>
      <c r="N230" s="152">
        <f t="shared" si="34"/>
        <v>281298.66476201109</v>
      </c>
      <c r="O230" s="152">
        <f t="shared" si="35"/>
        <v>589424.77976201056</v>
      </c>
    </row>
    <row r="231" spans="1:15" x14ac:dyDescent="0.15">
      <c r="A231" s="154"/>
      <c r="B231" s="151"/>
      <c r="C231" s="152"/>
      <c r="D231" s="323"/>
      <c r="E231" s="155"/>
      <c r="F231" s="157"/>
      <c r="G231" s="152"/>
      <c r="H231" s="323">
        <v>41880</v>
      </c>
      <c r="I231" s="152"/>
      <c r="J231" s="157"/>
      <c r="K231" s="154" t="s">
        <v>1991</v>
      </c>
      <c r="L231" s="227">
        <v>13688.16</v>
      </c>
      <c r="M231" s="157" t="s">
        <v>1976</v>
      </c>
      <c r="N231" s="152">
        <f t="shared" si="34"/>
        <v>267610.50476201111</v>
      </c>
      <c r="O231" s="152">
        <f t="shared" si="35"/>
        <v>575736.61976201052</v>
      </c>
    </row>
    <row r="232" spans="1:15" x14ac:dyDescent="0.15">
      <c r="A232" s="154"/>
      <c r="B232" s="151"/>
      <c r="C232" s="152"/>
      <c r="D232" s="323"/>
      <c r="E232" s="155"/>
      <c r="F232" s="157"/>
      <c r="G232" s="152"/>
      <c r="H232" s="323">
        <v>41880</v>
      </c>
      <c r="I232" s="152"/>
      <c r="J232" s="157"/>
      <c r="K232" s="154" t="s">
        <v>1991</v>
      </c>
      <c r="L232" s="227">
        <v>702.21</v>
      </c>
      <c r="M232" s="157" t="s">
        <v>1976</v>
      </c>
      <c r="N232" s="152">
        <f t="shared" si="34"/>
        <v>266908.29476201109</v>
      </c>
      <c r="O232" s="152">
        <f t="shared" si="35"/>
        <v>575034.40976201056</v>
      </c>
    </row>
    <row r="233" spans="1:15" x14ac:dyDescent="0.15">
      <c r="A233" s="154"/>
      <c r="B233" s="151"/>
      <c r="C233" s="152"/>
      <c r="D233" s="323"/>
      <c r="E233" s="155"/>
      <c r="F233" s="157"/>
      <c r="G233" s="152"/>
      <c r="H233" s="323">
        <v>41880</v>
      </c>
      <c r="I233" s="152"/>
      <c r="J233" s="157"/>
      <c r="K233" s="154" t="s">
        <v>1991</v>
      </c>
      <c r="L233" s="227">
        <v>13566.13</v>
      </c>
      <c r="M233" s="157" t="s">
        <v>1976</v>
      </c>
      <c r="N233" s="152">
        <f t="shared" si="30"/>
        <v>253342.16476201109</v>
      </c>
      <c r="O233" s="152">
        <f t="shared" si="31"/>
        <v>561468.27976201056</v>
      </c>
    </row>
    <row r="234" spans="1:15" x14ac:dyDescent="0.15">
      <c r="A234" s="154"/>
      <c r="B234" s="151"/>
      <c r="C234" s="152"/>
      <c r="D234" s="323"/>
      <c r="E234" s="155"/>
      <c r="F234" s="157"/>
      <c r="G234" s="152"/>
      <c r="H234" s="323">
        <v>41880</v>
      </c>
      <c r="I234" s="152"/>
      <c r="J234" s="157"/>
      <c r="K234" s="154" t="s">
        <v>1991</v>
      </c>
      <c r="L234" s="227">
        <v>30115.55</v>
      </c>
      <c r="M234" s="157" t="s">
        <v>1976</v>
      </c>
      <c r="N234" s="152">
        <f t="shared" si="30"/>
        <v>223226.6147620111</v>
      </c>
      <c r="O234" s="152">
        <f t="shared" si="31"/>
        <v>531352.72976201051</v>
      </c>
    </row>
    <row r="235" spans="1:15" x14ac:dyDescent="0.15">
      <c r="A235" s="154"/>
      <c r="B235" s="151"/>
      <c r="C235" s="152"/>
      <c r="D235" s="323">
        <v>41881</v>
      </c>
      <c r="E235" s="154" t="s">
        <v>72</v>
      </c>
      <c r="F235" s="157" t="s">
        <v>1977</v>
      </c>
      <c r="G235" s="152">
        <v>87851.173999999999</v>
      </c>
      <c r="H235" s="323">
        <v>41881</v>
      </c>
      <c r="I235" s="152">
        <v>14872.93</v>
      </c>
      <c r="J235" s="157" t="s">
        <v>1976</v>
      </c>
      <c r="K235" s="154" t="s">
        <v>1991</v>
      </c>
      <c r="L235" s="227">
        <v>11539.02</v>
      </c>
      <c r="M235" s="157" t="s">
        <v>1976</v>
      </c>
      <c r="N235" s="152">
        <f t="shared" si="30"/>
        <v>196814.66476201112</v>
      </c>
      <c r="O235" s="152">
        <f t="shared" si="31"/>
        <v>592791.95376201044</v>
      </c>
    </row>
    <row r="236" spans="1:15" x14ac:dyDescent="0.15">
      <c r="A236" s="154"/>
      <c r="B236" s="151"/>
      <c r="C236" s="152"/>
      <c r="D236" s="323"/>
      <c r="E236" s="155"/>
      <c r="F236" s="157"/>
      <c r="G236" s="152"/>
      <c r="H236" s="323">
        <v>41881</v>
      </c>
      <c r="I236" s="152"/>
      <c r="J236" s="157"/>
      <c r="K236" s="154" t="s">
        <v>1991</v>
      </c>
      <c r="L236" s="227">
        <v>13081.96</v>
      </c>
      <c r="M236" s="157" t="s">
        <v>1976</v>
      </c>
      <c r="N236" s="152">
        <f t="shared" si="30"/>
        <v>183732.70476201113</v>
      </c>
      <c r="O236" s="152">
        <f t="shared" si="31"/>
        <v>579709.99376201048</v>
      </c>
    </row>
    <row r="237" spans="1:15" x14ac:dyDescent="0.15">
      <c r="A237" s="154"/>
      <c r="B237" s="151"/>
      <c r="C237" s="152"/>
      <c r="D237" s="323"/>
      <c r="E237" s="155"/>
      <c r="F237" s="157"/>
      <c r="G237" s="152"/>
      <c r="H237" s="323">
        <v>41881</v>
      </c>
      <c r="I237" s="152"/>
      <c r="J237" s="157"/>
      <c r="K237" s="154" t="s">
        <v>1991</v>
      </c>
      <c r="L237" s="227">
        <v>31729.3</v>
      </c>
      <c r="M237" s="157" t="s">
        <v>1976</v>
      </c>
      <c r="N237" s="152">
        <f t="shared" si="30"/>
        <v>152003.40476201114</v>
      </c>
      <c r="O237" s="152">
        <f t="shared" si="31"/>
        <v>547980.69376201043</v>
      </c>
    </row>
    <row r="238" spans="1:15" x14ac:dyDescent="0.15">
      <c r="A238" s="154"/>
      <c r="B238" s="151"/>
      <c r="C238" s="152"/>
      <c r="D238" s="323"/>
      <c r="E238" s="155"/>
      <c r="F238" s="157"/>
      <c r="G238" s="152"/>
      <c r="H238" s="323">
        <v>41881</v>
      </c>
      <c r="I238" s="152"/>
      <c r="J238" s="157"/>
      <c r="K238" s="154" t="s">
        <v>1991</v>
      </c>
      <c r="L238" s="227">
        <v>11273.86</v>
      </c>
      <c r="M238" s="157" t="s">
        <v>1976</v>
      </c>
      <c r="N238" s="152">
        <f t="shared" si="30"/>
        <v>140729.54476201115</v>
      </c>
      <c r="O238" s="152">
        <f t="shared" si="31"/>
        <v>536706.83376201044</v>
      </c>
    </row>
    <row r="239" spans="1:15" x14ac:dyDescent="0.15">
      <c r="A239" s="154"/>
      <c r="B239" s="151"/>
      <c r="C239" s="152"/>
      <c r="D239" s="323">
        <v>41882</v>
      </c>
      <c r="E239" s="154" t="s">
        <v>72</v>
      </c>
      <c r="F239" s="157" t="s">
        <v>1977</v>
      </c>
      <c r="G239" s="152">
        <v>59984.131999999983</v>
      </c>
      <c r="H239" s="323">
        <v>41882</v>
      </c>
      <c r="I239" s="152">
        <v>12588.89</v>
      </c>
      <c r="J239" s="157" t="s">
        <v>1976</v>
      </c>
      <c r="K239" s="154" t="s">
        <v>1991</v>
      </c>
      <c r="L239" s="227">
        <v>14931.94</v>
      </c>
      <c r="M239" s="157" t="s">
        <v>1976</v>
      </c>
      <c r="N239" s="152">
        <f t="shared" si="30"/>
        <v>113208.71476201115</v>
      </c>
      <c r="O239" s="152">
        <f t="shared" si="31"/>
        <v>569170.13576201047</v>
      </c>
    </row>
    <row r="240" spans="1:15" x14ac:dyDescent="0.15">
      <c r="A240" s="154"/>
      <c r="B240" s="151"/>
      <c r="C240" s="152"/>
      <c r="D240" s="323">
        <v>41882</v>
      </c>
      <c r="E240" s="154" t="s">
        <v>72</v>
      </c>
      <c r="F240" s="157" t="s">
        <v>1978</v>
      </c>
      <c r="G240" s="152">
        <v>71968.850000000006</v>
      </c>
      <c r="H240" s="323">
        <v>41882</v>
      </c>
      <c r="I240" s="152"/>
      <c r="J240" s="157"/>
      <c r="K240" s="154" t="s">
        <v>1991</v>
      </c>
      <c r="L240" s="227">
        <v>13117.67</v>
      </c>
      <c r="M240" s="157" t="s">
        <v>1976</v>
      </c>
      <c r="N240" s="152">
        <f t="shared" si="30"/>
        <v>100091.04476201115</v>
      </c>
      <c r="O240" s="152">
        <f t="shared" si="31"/>
        <v>628021.3157620104</v>
      </c>
    </row>
    <row r="241" spans="1:15" x14ac:dyDescent="0.15">
      <c r="A241" s="154"/>
      <c r="B241" s="151"/>
      <c r="C241" s="152"/>
      <c r="D241" s="323"/>
      <c r="E241" s="155"/>
      <c r="F241" s="157"/>
      <c r="G241" s="152"/>
      <c r="H241" s="323">
        <v>41882</v>
      </c>
      <c r="I241" s="152"/>
      <c r="J241" s="157"/>
      <c r="K241" s="154" t="s">
        <v>1991</v>
      </c>
      <c r="L241" s="227">
        <v>13241.62</v>
      </c>
      <c r="M241" s="157" t="s">
        <v>1976</v>
      </c>
      <c r="N241" s="152">
        <f t="shared" si="30"/>
        <v>86849.424762011156</v>
      </c>
      <c r="O241" s="152">
        <f t="shared" si="31"/>
        <v>614779.69576201041</v>
      </c>
    </row>
    <row r="242" spans="1:15" x14ac:dyDescent="0.15">
      <c r="A242" s="154"/>
      <c r="B242" s="151"/>
      <c r="C242" s="152"/>
      <c r="D242" s="323"/>
      <c r="E242" s="155"/>
      <c r="F242" s="157"/>
      <c r="G242" s="152"/>
      <c r="H242" s="323">
        <v>41882</v>
      </c>
      <c r="I242" s="152"/>
      <c r="J242" s="157"/>
      <c r="K242" s="154" t="s">
        <v>1991</v>
      </c>
      <c r="L242" s="227">
        <v>11149.47</v>
      </c>
      <c r="M242" s="157" t="s">
        <v>1976</v>
      </c>
      <c r="N242" s="152">
        <f t="shared" si="30"/>
        <v>75699.954762011155</v>
      </c>
      <c r="O242" s="152">
        <f t="shared" si="31"/>
        <v>603630.22576201044</v>
      </c>
    </row>
    <row r="243" spans="1:15" x14ac:dyDescent="0.15">
      <c r="A243" s="154"/>
      <c r="B243" s="151"/>
      <c r="C243" s="152"/>
      <c r="D243" s="323"/>
      <c r="E243" s="155"/>
      <c r="F243" s="157"/>
      <c r="G243" s="152"/>
      <c r="H243" s="323">
        <v>41882</v>
      </c>
      <c r="I243" s="152"/>
      <c r="J243" s="157"/>
      <c r="K243" s="154" t="s">
        <v>1991</v>
      </c>
      <c r="L243" s="227">
        <v>38974.17</v>
      </c>
      <c r="M243" s="157" t="s">
        <v>1976</v>
      </c>
      <c r="N243" s="152">
        <f t="shared" ref="N243:N258" si="36">+N242-I243-L243</f>
        <v>36725.784762011157</v>
      </c>
      <c r="O243" s="152">
        <f t="shared" ref="O243:O258" si="37">O242+G243-I243-L243</f>
        <v>564656.05576201039</v>
      </c>
    </row>
    <row r="244" spans="1:15" x14ac:dyDescent="0.15">
      <c r="A244" s="154"/>
      <c r="B244" s="151"/>
      <c r="C244" s="152"/>
      <c r="D244" s="323"/>
      <c r="E244" s="155"/>
      <c r="F244" s="157"/>
      <c r="G244" s="152"/>
      <c r="H244" s="323">
        <v>41882</v>
      </c>
      <c r="I244" s="152"/>
      <c r="J244" s="157"/>
      <c r="K244" s="154" t="s">
        <v>1991</v>
      </c>
      <c r="L244" s="227">
        <v>13772.41</v>
      </c>
      <c r="M244" s="157" t="s">
        <v>1976</v>
      </c>
      <c r="N244" s="152">
        <f t="shared" si="36"/>
        <v>22953.374762011157</v>
      </c>
      <c r="O244" s="152">
        <f t="shared" si="37"/>
        <v>550883.64576201036</v>
      </c>
    </row>
    <row r="245" spans="1:15" hidden="1" x14ac:dyDescent="0.15">
      <c r="A245" s="154"/>
      <c r="B245" s="151"/>
      <c r="C245" s="152"/>
      <c r="D245" s="323"/>
      <c r="E245" s="155"/>
      <c r="F245" s="157"/>
      <c r="G245" s="152"/>
      <c r="H245" s="323"/>
      <c r="I245" s="152"/>
      <c r="J245" s="157"/>
      <c r="K245" s="154"/>
      <c r="L245" s="227"/>
      <c r="M245" s="157"/>
      <c r="N245" s="152">
        <f t="shared" si="36"/>
        <v>22953.374762011157</v>
      </c>
      <c r="O245" s="152">
        <f t="shared" si="37"/>
        <v>550883.64576201036</v>
      </c>
    </row>
    <row r="246" spans="1:15" hidden="1" x14ac:dyDescent="0.15">
      <c r="A246" s="154"/>
      <c r="B246" s="151"/>
      <c r="C246" s="152"/>
      <c r="D246" s="323"/>
      <c r="E246" s="155"/>
      <c r="F246" s="157"/>
      <c r="G246" s="152"/>
      <c r="H246" s="323"/>
      <c r="I246" s="152"/>
      <c r="J246" s="157"/>
      <c r="K246" s="154"/>
      <c r="L246" s="227"/>
      <c r="M246" s="157"/>
      <c r="N246" s="152">
        <f t="shared" si="36"/>
        <v>22953.374762011157</v>
      </c>
      <c r="O246" s="152">
        <f t="shared" si="37"/>
        <v>550883.64576201036</v>
      </c>
    </row>
    <row r="247" spans="1:15" hidden="1" x14ac:dyDescent="0.15">
      <c r="A247" s="154"/>
      <c r="B247" s="151"/>
      <c r="C247" s="152"/>
      <c r="D247" s="323"/>
      <c r="E247" s="154"/>
      <c r="F247" s="157"/>
      <c r="G247" s="152"/>
      <c r="H247" s="323"/>
      <c r="I247" s="152"/>
      <c r="J247" s="157"/>
      <c r="K247" s="154"/>
      <c r="L247" s="227"/>
      <c r="M247" s="157"/>
      <c r="N247" s="152">
        <f t="shared" si="36"/>
        <v>22953.374762011157</v>
      </c>
      <c r="O247" s="152">
        <f t="shared" si="37"/>
        <v>550883.64576201036</v>
      </c>
    </row>
    <row r="248" spans="1:15" hidden="1" x14ac:dyDescent="0.15">
      <c r="A248" s="154"/>
      <c r="B248" s="151"/>
      <c r="C248" s="152"/>
      <c r="D248" s="323"/>
      <c r="E248" s="154"/>
      <c r="F248" s="157"/>
      <c r="G248" s="152"/>
      <c r="H248" s="323"/>
      <c r="I248" s="152"/>
      <c r="J248" s="157"/>
      <c r="K248" s="154"/>
      <c r="L248" s="227"/>
      <c r="M248" s="157"/>
      <c r="N248" s="152">
        <f t="shared" si="36"/>
        <v>22953.374762011157</v>
      </c>
      <c r="O248" s="152">
        <f t="shared" si="37"/>
        <v>550883.64576201036</v>
      </c>
    </row>
    <row r="249" spans="1:15" hidden="1" x14ac:dyDescent="0.15">
      <c r="A249" s="154"/>
      <c r="B249" s="151"/>
      <c r="C249" s="152"/>
      <c r="D249" s="323"/>
      <c r="E249" s="154"/>
      <c r="F249" s="157"/>
      <c r="G249" s="152"/>
      <c r="H249" s="323"/>
      <c r="I249" s="152"/>
      <c r="J249" s="157"/>
      <c r="K249" s="154"/>
      <c r="L249" s="227"/>
      <c r="M249" s="157"/>
      <c r="N249" s="152">
        <f t="shared" si="36"/>
        <v>22953.374762011157</v>
      </c>
      <c r="O249" s="152">
        <f t="shared" si="37"/>
        <v>550883.64576201036</v>
      </c>
    </row>
    <row r="250" spans="1:15" hidden="1" x14ac:dyDescent="0.15">
      <c r="A250" s="154"/>
      <c r="B250" s="151"/>
      <c r="C250" s="152"/>
      <c r="D250" s="323"/>
      <c r="E250" s="154"/>
      <c r="F250" s="157"/>
      <c r="G250" s="152"/>
      <c r="H250" s="323"/>
      <c r="I250" s="152"/>
      <c r="J250" s="157"/>
      <c r="K250" s="154"/>
      <c r="L250" s="227"/>
      <c r="M250" s="157"/>
      <c r="N250" s="152">
        <f t="shared" si="36"/>
        <v>22953.374762011157</v>
      </c>
      <c r="O250" s="152">
        <f t="shared" si="37"/>
        <v>550883.64576201036</v>
      </c>
    </row>
    <row r="251" spans="1:15" hidden="1" x14ac:dyDescent="0.15">
      <c r="A251" s="154"/>
      <c r="B251" s="151"/>
      <c r="C251" s="152"/>
      <c r="D251" s="323"/>
      <c r="E251" s="155"/>
      <c r="F251" s="157"/>
      <c r="G251" s="152"/>
      <c r="H251" s="323"/>
      <c r="I251" s="152"/>
      <c r="J251" s="157"/>
      <c r="K251" s="154"/>
      <c r="L251" s="227"/>
      <c r="M251" s="157"/>
      <c r="N251" s="152">
        <f t="shared" si="36"/>
        <v>22953.374762011157</v>
      </c>
      <c r="O251" s="152">
        <f t="shared" si="37"/>
        <v>550883.64576201036</v>
      </c>
    </row>
    <row r="252" spans="1:15" hidden="1" x14ac:dyDescent="0.15">
      <c r="A252" s="154"/>
      <c r="B252" s="151"/>
      <c r="C252" s="152"/>
      <c r="D252" s="323"/>
      <c r="E252" s="154"/>
      <c r="F252" s="157"/>
      <c r="G252" s="152"/>
      <c r="H252" s="323"/>
      <c r="I252" s="152"/>
      <c r="J252" s="157"/>
      <c r="K252" s="154"/>
      <c r="L252" s="227"/>
      <c r="M252" s="157"/>
      <c r="N252" s="152">
        <f t="shared" si="36"/>
        <v>22953.374762011157</v>
      </c>
      <c r="O252" s="152">
        <f t="shared" si="37"/>
        <v>550883.64576201036</v>
      </c>
    </row>
    <row r="253" spans="1:15" hidden="1" x14ac:dyDescent="0.15">
      <c r="A253" s="154"/>
      <c r="B253" s="151"/>
      <c r="C253" s="152"/>
      <c r="D253" s="323"/>
      <c r="E253" s="154"/>
      <c r="F253" s="157"/>
      <c r="G253" s="152"/>
      <c r="H253" s="323"/>
      <c r="I253" s="152"/>
      <c r="J253" s="154"/>
      <c r="K253" s="154"/>
      <c r="L253" s="227"/>
      <c r="M253" s="157"/>
      <c r="N253" s="152">
        <f t="shared" si="36"/>
        <v>22953.374762011157</v>
      </c>
      <c r="O253" s="152">
        <f t="shared" si="37"/>
        <v>550883.64576201036</v>
      </c>
    </row>
    <row r="254" spans="1:15" hidden="1" x14ac:dyDescent="0.15">
      <c r="A254" s="154"/>
      <c r="B254" s="151"/>
      <c r="C254" s="151"/>
      <c r="D254" s="323"/>
      <c r="E254" s="154"/>
      <c r="F254" s="157"/>
      <c r="G254" s="152"/>
      <c r="H254" s="323"/>
      <c r="I254" s="152"/>
      <c r="J254" s="154"/>
      <c r="K254" s="154"/>
      <c r="L254" s="227"/>
      <c r="M254" s="157"/>
      <c r="N254" s="152">
        <f t="shared" si="36"/>
        <v>22953.374762011157</v>
      </c>
      <c r="O254" s="152">
        <f t="shared" si="37"/>
        <v>550883.64576201036</v>
      </c>
    </row>
    <row r="255" spans="1:15" hidden="1" x14ac:dyDescent="0.15">
      <c r="A255" s="154"/>
      <c r="B255" s="151"/>
      <c r="C255" s="151"/>
      <c r="D255" s="323"/>
      <c r="E255" s="155"/>
      <c r="F255" s="157"/>
      <c r="G255" s="152"/>
      <c r="H255" s="323"/>
      <c r="I255" s="152"/>
      <c r="J255" s="154"/>
      <c r="K255" s="154"/>
      <c r="L255" s="227"/>
      <c r="M255" s="157"/>
      <c r="N255" s="152">
        <f t="shared" si="36"/>
        <v>22953.374762011157</v>
      </c>
      <c r="O255" s="152">
        <f t="shared" si="37"/>
        <v>550883.64576201036</v>
      </c>
    </row>
    <row r="256" spans="1:15" hidden="1" x14ac:dyDescent="0.15">
      <c r="A256" s="154"/>
      <c r="B256" s="151"/>
      <c r="C256" s="151"/>
      <c r="D256" s="323"/>
      <c r="E256" s="154"/>
      <c r="F256" s="160"/>
      <c r="G256" s="152"/>
      <c r="H256" s="323"/>
      <c r="I256" s="152"/>
      <c r="J256" s="157"/>
      <c r="K256" s="154"/>
      <c r="L256" s="227"/>
      <c r="M256" s="157"/>
      <c r="N256" s="152">
        <f t="shared" si="36"/>
        <v>22953.374762011157</v>
      </c>
      <c r="O256" s="152">
        <f t="shared" si="37"/>
        <v>550883.64576201036</v>
      </c>
    </row>
    <row r="257" spans="1:15" hidden="1" x14ac:dyDescent="0.15">
      <c r="A257" s="154"/>
      <c r="B257" s="151"/>
      <c r="C257" s="151"/>
      <c r="D257" s="323"/>
      <c r="E257" s="154"/>
      <c r="F257" s="160"/>
      <c r="G257" s="152"/>
      <c r="H257" s="323"/>
      <c r="I257" s="152"/>
      <c r="J257" s="150"/>
      <c r="K257" s="154"/>
      <c r="L257" s="227"/>
      <c r="M257" s="157"/>
      <c r="N257" s="152">
        <f t="shared" si="36"/>
        <v>22953.374762011157</v>
      </c>
      <c r="O257" s="152">
        <f t="shared" si="37"/>
        <v>550883.64576201036</v>
      </c>
    </row>
    <row r="258" spans="1:15" x14ac:dyDescent="0.15">
      <c r="A258" s="173"/>
      <c r="B258" s="173"/>
      <c r="C258" s="174"/>
      <c r="D258" s="323"/>
      <c r="E258" s="173"/>
      <c r="F258" s="173"/>
      <c r="G258" s="174"/>
      <c r="H258" s="323"/>
      <c r="I258" s="174"/>
      <c r="J258" s="173"/>
      <c r="K258" s="154"/>
      <c r="L258" s="228"/>
      <c r="M258" s="173"/>
      <c r="N258" s="152">
        <f t="shared" si="36"/>
        <v>22953.374762011157</v>
      </c>
      <c r="O258" s="152">
        <f t="shared" si="37"/>
        <v>550883.64576201036</v>
      </c>
    </row>
    <row r="259" spans="1:15" x14ac:dyDescent="0.15">
      <c r="A259" s="177"/>
      <c r="B259" s="177"/>
      <c r="C259" s="178">
        <f>SUM(C7:C257)</f>
        <v>576537.20676201105</v>
      </c>
      <c r="D259" s="177"/>
      <c r="E259" s="177"/>
      <c r="F259" s="177"/>
      <c r="G259" s="178">
        <f>SUM(G7:G258)</f>
        <v>3953979.1889999998</v>
      </c>
      <c r="H259" s="179"/>
      <c r="I259" s="178">
        <f>SUM(I7:I258)</f>
        <v>313688.69000000006</v>
      </c>
      <c r="J259" s="177"/>
      <c r="K259" s="177"/>
      <c r="L259" s="178">
        <f>SUM(L7:L258)</f>
        <v>3665944.060000001</v>
      </c>
      <c r="M259" s="177"/>
      <c r="N259" s="180"/>
      <c r="O259" s="181">
        <f>C259+G259-I259-L259</f>
        <v>550883.64576200908</v>
      </c>
    </row>
    <row r="260" spans="1:15" x14ac:dyDescent="0.15">
      <c r="A260" s="182"/>
      <c r="B260" s="465"/>
      <c r="C260" s="465"/>
      <c r="D260" s="465"/>
      <c r="E260" s="183"/>
      <c r="F260" s="284"/>
      <c r="G260" s="185"/>
      <c r="H260" s="186"/>
      <c r="I260" s="187"/>
      <c r="J260" s="188"/>
      <c r="K260" s="189" t="s">
        <v>139</v>
      </c>
      <c r="L260" s="190">
        <f>+L259+I259</f>
        <v>3979632.7500000009</v>
      </c>
      <c r="M260" s="197"/>
      <c r="N260" s="230">
        <f>+N258</f>
        <v>22953.374762011157</v>
      </c>
      <c r="O260" s="195" t="s">
        <v>1976</v>
      </c>
    </row>
    <row r="261" spans="1:15" x14ac:dyDescent="0.15">
      <c r="A261" s="193" t="s">
        <v>1950</v>
      </c>
      <c r="B261" s="131" t="s">
        <v>1958</v>
      </c>
      <c r="E261" s="183" t="s">
        <v>55</v>
      </c>
      <c r="F261" s="368">
        <v>2641875.91</v>
      </c>
      <c r="G261" s="219" t="s">
        <v>56</v>
      </c>
      <c r="H261" s="186">
        <v>41851</v>
      </c>
      <c r="I261" s="187" t="s">
        <v>71</v>
      </c>
      <c r="J261" s="210">
        <v>29518.594762010769</v>
      </c>
      <c r="K261" s="210"/>
      <c r="N261" s="230">
        <f>+G213+G220+G228+G235+G239</f>
        <v>455961.42099999997</v>
      </c>
      <c r="O261" s="334" t="s">
        <v>1977</v>
      </c>
    </row>
    <row r="262" spans="1:15" x14ac:dyDescent="0.15">
      <c r="A262" s="193" t="s">
        <v>1951</v>
      </c>
      <c r="B262" s="131" t="s">
        <v>1979</v>
      </c>
      <c r="E262" s="183" t="s">
        <v>55</v>
      </c>
      <c r="F262" s="368">
        <v>1896820.42</v>
      </c>
      <c r="G262" s="219" t="s">
        <v>56</v>
      </c>
      <c r="H262" s="186">
        <v>41825</v>
      </c>
      <c r="I262" s="187" t="s">
        <v>71</v>
      </c>
      <c r="J262" s="210">
        <v>338104.36000000034</v>
      </c>
      <c r="K262" s="297"/>
      <c r="N262" s="230">
        <f>+G240</f>
        <v>71968.850000000006</v>
      </c>
      <c r="O262" s="334" t="str">
        <f>+F240</f>
        <v>TOP 240814</v>
      </c>
    </row>
    <row r="263" spans="1:15" x14ac:dyDescent="0.15">
      <c r="A263" s="193" t="s">
        <v>1952</v>
      </c>
      <c r="B263" s="131" t="s">
        <v>1980</v>
      </c>
      <c r="E263" s="183" t="s">
        <v>55</v>
      </c>
      <c r="F263" s="368">
        <v>4011835.86</v>
      </c>
      <c r="G263" s="219" t="s">
        <v>56</v>
      </c>
      <c r="H263" s="186">
        <v>41858</v>
      </c>
      <c r="I263" s="187" t="s">
        <v>71</v>
      </c>
      <c r="J263" s="210">
        <v>321740.97599999991</v>
      </c>
      <c r="K263" s="333"/>
      <c r="N263" s="230"/>
      <c r="O263" s="195"/>
    </row>
    <row r="264" spans="1:15" x14ac:dyDescent="0.15">
      <c r="A264" s="193" t="s">
        <v>1967</v>
      </c>
      <c r="B264" s="131" t="s">
        <v>1981</v>
      </c>
      <c r="E264" s="183" t="s">
        <v>55</v>
      </c>
      <c r="F264" s="368">
        <v>2079020.71</v>
      </c>
      <c r="G264" s="219" t="s">
        <v>56</v>
      </c>
      <c r="H264" s="186">
        <v>41865</v>
      </c>
      <c r="I264" s="187" t="s">
        <v>71</v>
      </c>
      <c r="J264" s="210">
        <v>185957.00100000005</v>
      </c>
      <c r="N264" s="230"/>
      <c r="O264" s="195"/>
    </row>
    <row r="265" spans="1:15" x14ac:dyDescent="0.15">
      <c r="A265" s="193" t="s">
        <v>1968</v>
      </c>
      <c r="B265" s="131" t="s">
        <v>1982</v>
      </c>
      <c r="E265" s="183" t="s">
        <v>55</v>
      </c>
      <c r="F265" s="368">
        <v>684208.88</v>
      </c>
      <c r="G265" s="219" t="s">
        <v>56</v>
      </c>
      <c r="H265" s="186">
        <v>41865</v>
      </c>
      <c r="I265" s="187" t="s">
        <v>71</v>
      </c>
      <c r="J265" s="210">
        <v>326856.35500000004</v>
      </c>
      <c r="K265" s="333"/>
      <c r="N265" s="230"/>
      <c r="O265" s="195"/>
    </row>
    <row r="266" spans="1:15" x14ac:dyDescent="0.15">
      <c r="A266" s="193" t="s">
        <v>1969</v>
      </c>
      <c r="B266" s="131" t="s">
        <v>1983</v>
      </c>
      <c r="E266" s="183" t="s">
        <v>55</v>
      </c>
      <c r="F266" s="368">
        <v>2866350.1</v>
      </c>
      <c r="G266" s="219" t="s">
        <v>56</v>
      </c>
      <c r="H266" s="186">
        <v>41865</v>
      </c>
      <c r="I266" s="187" t="s">
        <v>71</v>
      </c>
      <c r="J266" s="210">
        <v>227092.80600000004</v>
      </c>
      <c r="N266" s="230"/>
      <c r="O266" s="195"/>
    </row>
    <row r="267" spans="1:15" x14ac:dyDescent="0.15">
      <c r="A267" s="193" t="s">
        <v>1970</v>
      </c>
      <c r="B267" s="131" t="s">
        <v>1984</v>
      </c>
      <c r="E267" s="183" t="s">
        <v>55</v>
      </c>
      <c r="F267" s="368">
        <v>577311.59</v>
      </c>
      <c r="G267" s="219" t="s">
        <v>56</v>
      </c>
      <c r="H267" s="186">
        <v>41866</v>
      </c>
      <c r="I267" s="187" t="s">
        <v>71</v>
      </c>
      <c r="J267" s="210">
        <v>377055.79299999995</v>
      </c>
      <c r="N267" s="206" t="s">
        <v>33</v>
      </c>
      <c r="O267" s="207">
        <f>SUM(N260:N266)</f>
        <v>550883.64576201118</v>
      </c>
    </row>
    <row r="268" spans="1:15" x14ac:dyDescent="0.15">
      <c r="A268" s="193" t="s">
        <v>1971</v>
      </c>
      <c r="B268" s="131" t="s">
        <v>1985</v>
      </c>
      <c r="E268" s="183" t="s">
        <v>55</v>
      </c>
      <c r="F268" s="368">
        <v>3928759.18</v>
      </c>
      <c r="G268" s="219" t="s">
        <v>56</v>
      </c>
      <c r="H268" s="186">
        <v>41870</v>
      </c>
      <c r="I268" s="187" t="s">
        <v>71</v>
      </c>
      <c r="J268" s="210">
        <v>174610.41799999992</v>
      </c>
      <c r="K268" s="297"/>
      <c r="O268" s="190">
        <f>+O259-O267</f>
        <v>-2.0954757928848267E-9</v>
      </c>
    </row>
    <row r="269" spans="1:15" s="132" customFormat="1" x14ac:dyDescent="0.15">
      <c r="A269" s="193" t="s">
        <v>1972</v>
      </c>
      <c r="B269" s="131" t="s">
        <v>1986</v>
      </c>
      <c r="D269" s="133"/>
      <c r="E269" s="183" t="s">
        <v>55</v>
      </c>
      <c r="F269" s="368">
        <v>2065219.98</v>
      </c>
      <c r="G269" s="219" t="s">
        <v>56</v>
      </c>
      <c r="H269" s="186">
        <v>41871</v>
      </c>
      <c r="I269" s="187" t="s">
        <v>71</v>
      </c>
      <c r="J269" s="210">
        <v>191754.92500000013</v>
      </c>
      <c r="K269" s="333"/>
      <c r="M269" s="134"/>
    </row>
    <row r="270" spans="1:15" s="132" customFormat="1" x14ac:dyDescent="0.15">
      <c r="A270" s="193" t="s">
        <v>1973</v>
      </c>
      <c r="B270" s="131" t="s">
        <v>1987</v>
      </c>
      <c r="D270" s="133"/>
      <c r="E270" s="183" t="s">
        <v>55</v>
      </c>
      <c r="F270" s="368">
        <v>3846055.19</v>
      </c>
      <c r="G270" s="219" t="s">
        <v>56</v>
      </c>
      <c r="H270" s="186">
        <v>41872</v>
      </c>
      <c r="I270" s="187" t="s">
        <v>71</v>
      </c>
      <c r="J270" s="210">
        <v>371360.89999999997</v>
      </c>
      <c r="K270" s="133"/>
      <c r="M270" s="134"/>
    </row>
    <row r="271" spans="1:15" s="132" customFormat="1" x14ac:dyDescent="0.15">
      <c r="A271" s="193" t="s">
        <v>1974</v>
      </c>
      <c r="B271" s="131" t="s">
        <v>1988</v>
      </c>
      <c r="D271" s="133"/>
      <c r="E271" s="183" t="s">
        <v>55</v>
      </c>
      <c r="F271" s="368">
        <v>4047923.69</v>
      </c>
      <c r="G271" s="219" t="s">
        <v>56</v>
      </c>
      <c r="H271" s="186">
        <v>41873</v>
      </c>
      <c r="I271" s="187" t="s">
        <v>71</v>
      </c>
      <c r="J271" s="210">
        <v>375417.49799999996</v>
      </c>
      <c r="K271" s="333"/>
      <c r="M271" s="134"/>
    </row>
    <row r="272" spans="1:15" s="132" customFormat="1" x14ac:dyDescent="0.15">
      <c r="A272" s="193" t="s">
        <v>1975</v>
      </c>
      <c r="B272" s="131" t="s">
        <v>1989</v>
      </c>
      <c r="D272" s="133"/>
      <c r="E272" s="183" t="s">
        <v>55</v>
      </c>
      <c r="F272" s="368">
        <v>2807329.23</v>
      </c>
      <c r="G272" s="219" t="s">
        <v>56</v>
      </c>
      <c r="H272" s="186">
        <v>41876</v>
      </c>
      <c r="I272" s="187" t="s">
        <v>71</v>
      </c>
      <c r="J272" s="210">
        <v>492000.7932379889</v>
      </c>
      <c r="K272" s="133"/>
      <c r="M272" s="134"/>
    </row>
    <row r="273" spans="1:13" s="132" customFormat="1" x14ac:dyDescent="0.15">
      <c r="A273" s="193" t="s">
        <v>1976</v>
      </c>
      <c r="B273" s="131" t="s">
        <v>1990</v>
      </c>
      <c r="D273" s="133"/>
      <c r="E273" s="183" t="s">
        <v>55</v>
      </c>
      <c r="F273" s="368">
        <v>629636.1</v>
      </c>
      <c r="G273" s="219" t="s">
        <v>56</v>
      </c>
      <c r="H273" s="186">
        <v>41877</v>
      </c>
      <c r="I273" s="187" t="s">
        <v>71</v>
      </c>
      <c r="J273" s="210">
        <v>254473.63999999998</v>
      </c>
      <c r="K273" s="133"/>
      <c r="M273" s="134"/>
    </row>
    <row r="274" spans="1:13" s="132" customFormat="1" ht="12" thickBot="1" x14ac:dyDescent="0.2">
      <c r="A274" s="133"/>
      <c r="B274" s="365"/>
      <c r="C274" s="365"/>
      <c r="D274" s="365"/>
      <c r="E274" s="183"/>
      <c r="F274" s="366"/>
      <c r="G274" s="219"/>
      <c r="H274" s="186"/>
      <c r="I274" s="217" t="s">
        <v>856</v>
      </c>
      <c r="J274" s="211">
        <f>SUM(J261:J273)</f>
        <v>3665944.06</v>
      </c>
      <c r="K274" s="133"/>
      <c r="M274" s="134"/>
    </row>
    <row r="275" spans="1:13" s="132" customFormat="1" ht="12" thickTop="1" x14ac:dyDescent="0.15">
      <c r="A275" s="247"/>
      <c r="B275" s="131"/>
      <c r="D275" s="133"/>
      <c r="E275" s="183"/>
      <c r="F275" s="368"/>
      <c r="G275" s="219"/>
      <c r="H275" s="186"/>
      <c r="I275" s="187"/>
      <c r="J275" s="210"/>
      <c r="K275" s="133"/>
      <c r="M275" s="134"/>
    </row>
    <row r="276" spans="1:13" s="132" customFormat="1" x14ac:dyDescent="0.15">
      <c r="A276" s="247"/>
      <c r="B276" s="131"/>
      <c r="D276" s="133"/>
      <c r="E276" s="183"/>
      <c r="F276" s="368"/>
      <c r="G276" s="219"/>
      <c r="H276" s="186"/>
      <c r="I276" s="187"/>
      <c r="J276" s="210"/>
      <c r="K276" s="133"/>
      <c r="M276" s="134"/>
    </row>
    <row r="277" spans="1:13" s="132" customFormat="1" x14ac:dyDescent="0.15">
      <c r="A277" s="247"/>
      <c r="B277" s="131"/>
      <c r="D277" s="133"/>
      <c r="E277" s="183"/>
      <c r="F277" s="368"/>
      <c r="G277" s="219"/>
      <c r="H277" s="186"/>
      <c r="I277" s="187"/>
      <c r="J277" s="210"/>
      <c r="K277" s="133"/>
      <c r="M277" s="134"/>
    </row>
    <row r="278" spans="1:13" s="132" customFormat="1" x14ac:dyDescent="0.15">
      <c r="A278" s="247"/>
      <c r="B278" s="131"/>
      <c r="D278" s="133"/>
      <c r="E278" s="183"/>
      <c r="F278" s="368"/>
      <c r="G278" s="219"/>
      <c r="H278" s="186"/>
      <c r="I278" s="187"/>
      <c r="J278" s="210"/>
      <c r="K278" s="133"/>
      <c r="M278" s="134"/>
    </row>
    <row r="279" spans="1:13" s="132" customFormat="1" x14ac:dyDescent="0.15">
      <c r="A279" s="247"/>
      <c r="B279" s="131"/>
      <c r="D279" s="133"/>
      <c r="E279" s="183"/>
      <c r="F279" s="368"/>
      <c r="G279" s="219"/>
      <c r="H279" s="186"/>
      <c r="I279" s="187"/>
      <c r="J279" s="210"/>
      <c r="K279" s="133"/>
      <c r="M279" s="134"/>
    </row>
    <row r="280" spans="1:13" s="132" customFormat="1" x14ac:dyDescent="0.15">
      <c r="A280" s="247"/>
      <c r="B280" s="131"/>
      <c r="D280" s="133"/>
      <c r="E280" s="183"/>
      <c r="F280" s="368"/>
      <c r="G280" s="219"/>
      <c r="H280" s="186"/>
      <c r="I280" s="187"/>
      <c r="J280" s="210"/>
      <c r="K280" s="133"/>
      <c r="M280" s="134"/>
    </row>
    <row r="281" spans="1:13" s="132" customFormat="1" x14ac:dyDescent="0.15">
      <c r="A281" s="188"/>
      <c r="B281" s="131"/>
      <c r="D281" s="133"/>
      <c r="E281" s="183"/>
      <c r="F281" s="368"/>
      <c r="G281" s="219"/>
      <c r="H281" s="186"/>
      <c r="I281" s="187"/>
      <c r="J281" s="210"/>
      <c r="K281" s="133"/>
      <c r="M281" s="134"/>
    </row>
    <row r="282" spans="1:13" s="132" customFormat="1" x14ac:dyDescent="0.15">
      <c r="A282" s="247"/>
      <c r="B282" s="131"/>
      <c r="D282" s="133"/>
      <c r="E282" s="183"/>
      <c r="F282" s="368"/>
      <c r="G282" s="219"/>
      <c r="H282" s="186"/>
      <c r="I282" s="187"/>
      <c r="J282" s="210"/>
      <c r="K282" s="133"/>
      <c r="M282" s="134"/>
    </row>
    <row r="283" spans="1:13" s="132" customFormat="1" x14ac:dyDescent="0.15">
      <c r="A283" s="247"/>
      <c r="B283" s="131"/>
      <c r="D283" s="133"/>
      <c r="E283" s="183"/>
      <c r="F283" s="368"/>
      <c r="G283" s="219"/>
      <c r="H283" s="186"/>
      <c r="I283" s="187"/>
      <c r="J283" s="210"/>
      <c r="K283" s="133"/>
      <c r="M283" s="134"/>
    </row>
    <row r="284" spans="1:13" s="132" customFormat="1" x14ac:dyDescent="0.15">
      <c r="A284" s="247"/>
      <c r="B284" s="131"/>
      <c r="D284" s="133"/>
      <c r="E284" s="183"/>
      <c r="F284" s="368"/>
      <c r="G284" s="219"/>
      <c r="H284" s="186"/>
      <c r="I284" s="187"/>
      <c r="J284" s="210"/>
      <c r="K284" s="133"/>
      <c r="M284" s="134"/>
    </row>
    <row r="285" spans="1:13" s="132" customFormat="1" x14ac:dyDescent="0.15">
      <c r="A285" s="247"/>
      <c r="B285" s="131"/>
      <c r="D285" s="133"/>
      <c r="E285" s="183"/>
      <c r="F285" s="368"/>
      <c r="G285" s="219"/>
      <c r="H285" s="186"/>
      <c r="I285" s="187"/>
      <c r="J285" s="210"/>
      <c r="K285" s="133"/>
      <c r="M285" s="134"/>
    </row>
    <row r="286" spans="1:13" s="132" customFormat="1" x14ac:dyDescent="0.15">
      <c r="A286" s="247"/>
      <c r="B286" s="131"/>
      <c r="D286" s="133"/>
      <c r="E286" s="183"/>
      <c r="F286" s="368"/>
      <c r="G286" s="219"/>
      <c r="H286" s="186"/>
      <c r="I286" s="187"/>
      <c r="J286" s="210"/>
      <c r="K286" s="133"/>
      <c r="M286" s="134"/>
    </row>
    <row r="287" spans="1:13" s="132" customFormat="1" x14ac:dyDescent="0.15">
      <c r="A287" s="247"/>
      <c r="B287" s="131"/>
      <c r="D287" s="133"/>
      <c r="E287" s="183"/>
      <c r="F287" s="368"/>
      <c r="G287" s="219"/>
      <c r="H287" s="186"/>
      <c r="I287" s="187"/>
      <c r="J287" s="210"/>
      <c r="K287" s="133"/>
      <c r="M287" s="134"/>
    </row>
    <row r="288" spans="1:13" s="132" customFormat="1" x14ac:dyDescent="0.15">
      <c r="A288" s="133"/>
      <c r="B288" s="365"/>
      <c r="C288" s="365"/>
      <c r="D288" s="365"/>
      <c r="E288" s="183"/>
      <c r="F288" s="366"/>
      <c r="G288" s="219"/>
      <c r="H288" s="186"/>
      <c r="I288" s="187"/>
      <c r="J288" s="210"/>
      <c r="K288" s="133"/>
      <c r="M288" s="134"/>
    </row>
    <row r="289" spans="1:15" s="132" customFormat="1" x14ac:dyDescent="0.15">
      <c r="A289" s="133"/>
      <c r="B289" s="133" t="s">
        <v>9</v>
      </c>
      <c r="C289" s="220" t="s">
        <v>729</v>
      </c>
      <c r="D289" s="220" t="s">
        <v>850</v>
      </c>
      <c r="E289" s="133" t="s">
        <v>570</v>
      </c>
      <c r="F289" s="133" t="s">
        <v>571</v>
      </c>
      <c r="G289" s="133" t="s">
        <v>16</v>
      </c>
      <c r="H289" s="134"/>
      <c r="J289" s="205"/>
      <c r="K289" s="133"/>
      <c r="M289" s="134"/>
    </row>
    <row r="290" spans="1:15" s="132" customFormat="1" x14ac:dyDescent="0.15">
      <c r="A290" s="193" t="s">
        <v>1950</v>
      </c>
      <c r="B290" s="210">
        <v>29519</v>
      </c>
      <c r="C290" s="221">
        <v>24.0121</v>
      </c>
      <c r="D290" s="237">
        <f t="shared" ref="D290:D302" si="38">+B290*C290</f>
        <v>708813.17989999999</v>
      </c>
      <c r="E290" s="235">
        <f t="shared" ref="E290:E302" si="39">+D290*0.01</f>
        <v>7088.1317989999998</v>
      </c>
      <c r="F290" s="235">
        <f t="shared" ref="F290:F302" si="40">+E290*0.1</f>
        <v>708.81317990000002</v>
      </c>
      <c r="G290" s="236">
        <f t="shared" ref="G290:G298" si="41">SUM(E290:F290)</f>
        <v>7796.9449789</v>
      </c>
      <c r="H290" s="134"/>
      <c r="J290" s="205"/>
      <c r="K290" s="133"/>
      <c r="M290" s="134"/>
    </row>
    <row r="291" spans="1:15" s="132" customFormat="1" x14ac:dyDescent="0.15">
      <c r="A291" s="193" t="s">
        <v>1951</v>
      </c>
      <c r="B291" s="210">
        <v>338104</v>
      </c>
      <c r="C291" s="221">
        <v>23.8886</v>
      </c>
      <c r="D291" s="237">
        <f t="shared" si="38"/>
        <v>8076831.2143999999</v>
      </c>
      <c r="E291" s="235">
        <f t="shared" si="39"/>
        <v>80768.312143999996</v>
      </c>
      <c r="F291" s="235">
        <f t="shared" si="40"/>
        <v>8076.8312144000001</v>
      </c>
      <c r="G291" s="236">
        <f t="shared" si="41"/>
        <v>88845.14335839999</v>
      </c>
      <c r="H291" s="133"/>
      <c r="J291" s="205"/>
      <c r="K291" s="133"/>
      <c r="M291" s="134"/>
    </row>
    <row r="292" spans="1:15" s="132" customFormat="1" x14ac:dyDescent="0.15">
      <c r="A292" s="193" t="s">
        <v>1952</v>
      </c>
      <c r="B292" s="210">
        <v>321741</v>
      </c>
      <c r="C292" s="221">
        <v>23.9999</v>
      </c>
      <c r="D292" s="237">
        <f t="shared" si="38"/>
        <v>7721751.8259000005</v>
      </c>
      <c r="E292" s="235">
        <f t="shared" si="39"/>
        <v>77217.518259000004</v>
      </c>
      <c r="F292" s="235">
        <f t="shared" si="40"/>
        <v>7721.7518259000008</v>
      </c>
      <c r="G292" s="236">
        <f t="shared" si="41"/>
        <v>84939.27008490001</v>
      </c>
      <c r="H292" s="133"/>
      <c r="J292" s="205"/>
      <c r="K292" s="133"/>
      <c r="M292" s="134"/>
    </row>
    <row r="293" spans="1:15" s="132" customFormat="1" x14ac:dyDescent="0.15">
      <c r="A293" s="193" t="s">
        <v>1967</v>
      </c>
      <c r="B293" s="210">
        <v>185957</v>
      </c>
      <c r="C293" s="221">
        <v>23.993099999999998</v>
      </c>
      <c r="D293" s="237">
        <f t="shared" si="38"/>
        <v>4461684.8966999995</v>
      </c>
      <c r="E293" s="235">
        <f t="shared" si="39"/>
        <v>44616.848966999998</v>
      </c>
      <c r="F293" s="235">
        <f t="shared" si="40"/>
        <v>4461.6848966999996</v>
      </c>
      <c r="G293" s="236">
        <f t="shared" si="41"/>
        <v>49078.533863699995</v>
      </c>
      <c r="H293" s="134"/>
      <c r="J293" s="205"/>
      <c r="K293" s="133"/>
      <c r="M293" s="134"/>
    </row>
    <row r="294" spans="1:15" s="132" customFormat="1" x14ac:dyDescent="0.15">
      <c r="A294" s="193" t="s">
        <v>1968</v>
      </c>
      <c r="B294" s="210">
        <v>326856</v>
      </c>
      <c r="C294" s="221">
        <v>24.078800000000001</v>
      </c>
      <c r="D294" s="237">
        <f t="shared" si="38"/>
        <v>7870300.2527999999</v>
      </c>
      <c r="E294" s="235">
        <f t="shared" si="39"/>
        <v>78703.002527999997</v>
      </c>
      <c r="F294" s="235">
        <f t="shared" si="40"/>
        <v>7870.3002527999997</v>
      </c>
      <c r="G294" s="236">
        <f t="shared" si="41"/>
        <v>86573.302780800004</v>
      </c>
      <c r="H294" s="133"/>
      <c r="J294" s="205"/>
      <c r="K294" s="133"/>
      <c r="M294" s="134"/>
    </row>
    <row r="295" spans="1:15" s="132" customFormat="1" x14ac:dyDescent="0.15">
      <c r="A295" s="193" t="s">
        <v>1969</v>
      </c>
      <c r="B295" s="210">
        <v>227093</v>
      </c>
      <c r="C295" s="221">
        <v>24.091999999999999</v>
      </c>
      <c r="D295" s="237">
        <f t="shared" si="38"/>
        <v>5471124.5559999999</v>
      </c>
      <c r="E295" s="235">
        <f t="shared" si="39"/>
        <v>54711.245560000003</v>
      </c>
      <c r="F295" s="235">
        <f t="shared" si="40"/>
        <v>5471.1245560000007</v>
      </c>
      <c r="G295" s="236">
        <f t="shared" si="41"/>
        <v>60182.370116000006</v>
      </c>
      <c r="H295" s="133"/>
      <c r="I295" s="134"/>
      <c r="J295" s="205"/>
      <c r="K295" s="133"/>
      <c r="M295" s="134"/>
    </row>
    <row r="296" spans="1:15" s="132" customFormat="1" x14ac:dyDescent="0.15">
      <c r="A296" s="193" t="s">
        <v>1970</v>
      </c>
      <c r="B296" s="210">
        <v>377056</v>
      </c>
      <c r="C296" s="221">
        <v>24.091999999999999</v>
      </c>
      <c r="D296" s="237">
        <f t="shared" si="38"/>
        <v>9084033.1519999988</v>
      </c>
      <c r="E296" s="235">
        <f t="shared" si="39"/>
        <v>90840.331519999992</v>
      </c>
      <c r="F296" s="235">
        <f t="shared" si="40"/>
        <v>9084.033152</v>
      </c>
      <c r="G296" s="236">
        <f t="shared" si="41"/>
        <v>99924.364671999996</v>
      </c>
      <c r="H296" s="134"/>
      <c r="I296" s="134"/>
      <c r="J296" s="134"/>
      <c r="K296" s="133"/>
      <c r="M296" s="134"/>
    </row>
    <row r="297" spans="1:15" s="132" customFormat="1" x14ac:dyDescent="0.15">
      <c r="A297" s="193" t="s">
        <v>1971</v>
      </c>
      <c r="B297" s="210">
        <v>174610</v>
      </c>
      <c r="C297" s="221">
        <v>24.120200000000001</v>
      </c>
      <c r="D297" s="237">
        <f t="shared" si="38"/>
        <v>4211628.1220000004</v>
      </c>
      <c r="E297" s="235">
        <f t="shared" si="39"/>
        <v>42116.281220000004</v>
      </c>
      <c r="F297" s="235">
        <f t="shared" si="40"/>
        <v>4211.628122000001</v>
      </c>
      <c r="G297" s="236">
        <f t="shared" si="41"/>
        <v>46327.909342000006</v>
      </c>
      <c r="H297" s="133"/>
      <c r="J297" s="134"/>
      <c r="K297" s="133"/>
      <c r="M297" s="134"/>
    </row>
    <row r="298" spans="1:15" s="132" customFormat="1" x14ac:dyDescent="0.15">
      <c r="A298" s="193" t="s">
        <v>1972</v>
      </c>
      <c r="B298" s="210">
        <v>191755</v>
      </c>
      <c r="C298" s="221">
        <v>24.120200000000001</v>
      </c>
      <c r="D298" s="237">
        <f t="shared" si="38"/>
        <v>4625168.9510000004</v>
      </c>
      <c r="E298" s="235">
        <f t="shared" si="39"/>
        <v>46251.689510000004</v>
      </c>
      <c r="F298" s="235">
        <f t="shared" si="40"/>
        <v>4625.1689510000006</v>
      </c>
      <c r="G298" s="236">
        <f t="shared" si="41"/>
        <v>50876.858461000003</v>
      </c>
      <c r="H298" s="133"/>
      <c r="J298" s="134"/>
      <c r="K298" s="133"/>
      <c r="M298" s="134"/>
    </row>
    <row r="299" spans="1:15" s="132" customFormat="1" x14ac:dyDescent="0.15">
      <c r="A299" s="193" t="s">
        <v>1973</v>
      </c>
      <c r="B299" s="210">
        <v>371361</v>
      </c>
      <c r="C299" s="221">
        <v>23.894600000000001</v>
      </c>
      <c r="D299" s="237">
        <f t="shared" si="38"/>
        <v>8873522.5505999997</v>
      </c>
      <c r="E299" s="235">
        <f t="shared" si="39"/>
        <v>88735.225506000002</v>
      </c>
      <c r="F299" s="235">
        <f t="shared" si="40"/>
        <v>8873.5225506000006</v>
      </c>
      <c r="G299" s="236">
        <f>SUM(E299:F299)</f>
        <v>97608.748056600001</v>
      </c>
      <c r="H299" s="133"/>
      <c r="J299" s="134"/>
      <c r="K299" s="133"/>
      <c r="M299" s="134"/>
    </row>
    <row r="300" spans="1:15" s="132" customFormat="1" x14ac:dyDescent="0.15">
      <c r="A300" s="193" t="s">
        <v>1974</v>
      </c>
      <c r="B300" s="210">
        <v>375417</v>
      </c>
      <c r="C300" s="221">
        <v>23.894600000000001</v>
      </c>
      <c r="D300" s="237">
        <f t="shared" si="38"/>
        <v>8970439.0482000001</v>
      </c>
      <c r="E300" s="235">
        <f t="shared" si="39"/>
        <v>89704.390482000003</v>
      </c>
      <c r="F300" s="235">
        <f t="shared" si="40"/>
        <v>8970.4390481999999</v>
      </c>
      <c r="G300" s="236">
        <f>SUM(E300:F300)</f>
        <v>98674.829530200004</v>
      </c>
      <c r="H300" s="133"/>
      <c r="J300" s="134"/>
      <c r="K300" s="133"/>
      <c r="M300" s="134"/>
    </row>
    <row r="301" spans="1:15" s="132" customFormat="1" x14ac:dyDescent="0.15">
      <c r="A301" s="193" t="s">
        <v>1975</v>
      </c>
      <c r="B301" s="210">
        <v>492001</v>
      </c>
      <c r="C301" s="221">
        <v>23.694299999999998</v>
      </c>
      <c r="D301" s="237">
        <f t="shared" si="38"/>
        <v>11657619.294299999</v>
      </c>
      <c r="E301" s="235">
        <f t="shared" si="39"/>
        <v>116576.192943</v>
      </c>
      <c r="F301" s="235">
        <f t="shared" si="40"/>
        <v>11657.619294300001</v>
      </c>
      <c r="G301" s="236">
        <f>SUM(E301:F301)</f>
        <v>128233.81223730001</v>
      </c>
      <c r="H301" s="133"/>
      <c r="J301" s="134"/>
      <c r="K301" s="133"/>
      <c r="M301" s="134"/>
    </row>
    <row r="302" spans="1:15" s="132" customFormat="1" x14ac:dyDescent="0.15">
      <c r="A302" s="193" t="s">
        <v>1976</v>
      </c>
      <c r="B302" s="210">
        <v>254474</v>
      </c>
      <c r="C302" s="221">
        <v>23.540299999999998</v>
      </c>
      <c r="D302" s="237">
        <f t="shared" si="38"/>
        <v>5990394.3021999998</v>
      </c>
      <c r="E302" s="235">
        <f t="shared" si="39"/>
        <v>59903.943021999999</v>
      </c>
      <c r="F302" s="235">
        <f t="shared" si="40"/>
        <v>5990.3943022000003</v>
      </c>
      <c r="G302" s="236">
        <f>SUM(E302:F302)</f>
        <v>65894.337324199994</v>
      </c>
      <c r="H302" s="186"/>
      <c r="J302" s="134"/>
      <c r="K302" s="133"/>
      <c r="M302" s="134"/>
    </row>
    <row r="303" spans="1:15" s="132" customFormat="1" ht="12" thickBot="1" x14ac:dyDescent="0.2">
      <c r="A303" s="133"/>
      <c r="B303" s="211">
        <f>SUM(B290:B302)</f>
        <v>3665944</v>
      </c>
      <c r="C303" s="221"/>
      <c r="D303" s="237"/>
      <c r="E303" s="242">
        <f>SUM(E290:E302)</f>
        <v>877233.11346000002</v>
      </c>
      <c r="F303" s="242">
        <f t="shared" ref="F303:G303" si="42">SUM(F290:F302)</f>
        <v>87723.311346000002</v>
      </c>
      <c r="G303" s="242">
        <f t="shared" si="42"/>
        <v>964956.42480599997</v>
      </c>
      <c r="H303" s="186"/>
      <c r="J303" s="134"/>
      <c r="K303" s="133"/>
      <c r="M303" s="134"/>
    </row>
    <row r="304" spans="1:15" s="133" customFormat="1" ht="12" thickTop="1" x14ac:dyDescent="0.15">
      <c r="A304" s="247"/>
      <c r="B304" s="131"/>
      <c r="C304" s="132"/>
      <c r="E304" s="183"/>
      <c r="F304" s="367"/>
      <c r="G304" s="219"/>
      <c r="H304" s="186"/>
      <c r="I304" s="132"/>
      <c r="J304" s="134"/>
      <c r="L304" s="132"/>
      <c r="M304" s="134"/>
      <c r="N304" s="132"/>
      <c r="O304" s="132"/>
    </row>
    <row r="305" spans="1:15" s="133" customFormat="1" x14ac:dyDescent="0.15">
      <c r="A305" s="247"/>
      <c r="B305" s="131"/>
      <c r="C305" s="132"/>
      <c r="E305" s="183"/>
      <c r="F305" s="367"/>
      <c r="G305" s="219"/>
      <c r="H305" s="186"/>
      <c r="I305" s="132"/>
      <c r="J305" s="134"/>
      <c r="L305" s="132"/>
      <c r="M305" s="134"/>
      <c r="N305" s="132"/>
      <c r="O305" s="132"/>
    </row>
    <row r="306" spans="1:15" s="133" customFormat="1" x14ac:dyDescent="0.15">
      <c r="A306" s="247"/>
      <c r="B306" s="131"/>
      <c r="C306" s="132"/>
      <c r="E306" s="183"/>
      <c r="F306" s="367"/>
      <c r="G306" s="219"/>
      <c r="H306" s="186"/>
      <c r="I306" s="132"/>
      <c r="J306" s="134"/>
      <c r="L306" s="132"/>
      <c r="M306" s="134"/>
      <c r="N306" s="132"/>
      <c r="O306" s="132"/>
    </row>
    <row r="307" spans="1:15" s="133" customFormat="1" x14ac:dyDescent="0.15">
      <c r="A307" s="247"/>
      <c r="B307" s="131"/>
      <c r="C307" s="132"/>
      <c r="E307" s="183"/>
      <c r="F307" s="367"/>
      <c r="G307" s="219"/>
      <c r="H307" s="186"/>
      <c r="I307" s="132"/>
      <c r="J307" s="134"/>
      <c r="L307" s="132"/>
      <c r="M307" s="134"/>
      <c r="N307" s="132"/>
      <c r="O307" s="132"/>
    </row>
    <row r="308" spans="1:15" s="133" customFormat="1" x14ac:dyDescent="0.15">
      <c r="A308" s="188"/>
      <c r="B308" s="190"/>
      <c r="C308" s="221"/>
      <c r="D308" s="222"/>
      <c r="E308" s="183"/>
      <c r="F308" s="367"/>
      <c r="G308" s="219"/>
      <c r="H308" s="186"/>
      <c r="I308" s="132"/>
      <c r="J308" s="134"/>
      <c r="L308" s="132"/>
      <c r="M308" s="134"/>
      <c r="N308" s="132"/>
      <c r="O308" s="132"/>
    </row>
    <row r="309" spans="1:15" s="133" customFormat="1" x14ac:dyDescent="0.15">
      <c r="A309" s="247"/>
      <c r="B309" s="190"/>
      <c r="C309" s="221"/>
      <c r="D309" s="222"/>
      <c r="E309" s="183"/>
      <c r="F309" s="367"/>
      <c r="G309" s="219"/>
      <c r="H309" s="186"/>
      <c r="I309" s="132"/>
      <c r="J309" s="134"/>
      <c r="L309" s="132"/>
      <c r="M309" s="134"/>
      <c r="N309" s="132"/>
      <c r="O309" s="132"/>
    </row>
    <row r="310" spans="1:15" s="132" customFormat="1" x14ac:dyDescent="0.15">
      <c r="A310" s="247"/>
      <c r="B310" s="190"/>
      <c r="C310" s="221"/>
      <c r="D310" s="222"/>
      <c r="E310" s="183"/>
      <c r="F310" s="367"/>
      <c r="G310" s="219"/>
      <c r="H310" s="186"/>
      <c r="J310" s="134"/>
      <c r="K310" s="133"/>
      <c r="M310" s="134"/>
    </row>
    <row r="311" spans="1:15" s="132" customFormat="1" x14ac:dyDescent="0.15">
      <c r="A311" s="247"/>
      <c r="B311" s="190"/>
      <c r="C311" s="221"/>
      <c r="D311" s="222"/>
      <c r="E311" s="183"/>
      <c r="F311" s="367"/>
      <c r="G311" s="219"/>
      <c r="H311" s="186"/>
      <c r="J311" s="134"/>
      <c r="K311" s="133"/>
      <c r="M311" s="134"/>
    </row>
    <row r="312" spans="1:15" s="132" customFormat="1" x14ac:dyDescent="0.15">
      <c r="A312" s="247"/>
      <c r="B312" s="190"/>
      <c r="C312" s="221"/>
      <c r="D312" s="222"/>
      <c r="E312" s="183"/>
      <c r="F312" s="367"/>
      <c r="G312" s="219"/>
      <c r="H312" s="186"/>
      <c r="J312" s="134"/>
      <c r="K312" s="133"/>
      <c r="M312" s="134"/>
    </row>
    <row r="313" spans="1:15" s="132" customFormat="1" x14ac:dyDescent="0.15">
      <c r="A313" s="247"/>
      <c r="B313" s="190"/>
      <c r="C313" s="221"/>
      <c r="D313" s="222"/>
      <c r="E313" s="183"/>
      <c r="F313" s="367"/>
      <c r="G313" s="219"/>
      <c r="H313" s="186"/>
      <c r="J313" s="134"/>
      <c r="K313" s="133"/>
      <c r="M313" s="134"/>
    </row>
    <row r="314" spans="1:15" s="132" customFormat="1" x14ac:dyDescent="0.15">
      <c r="A314" s="188"/>
      <c r="B314" s="190"/>
      <c r="C314" s="221"/>
      <c r="D314" s="222"/>
      <c r="E314" s="183"/>
      <c r="F314" s="367"/>
      <c r="G314" s="219"/>
      <c r="H314" s="186"/>
      <c r="J314" s="134"/>
      <c r="K314" s="133"/>
      <c r="M314" s="134"/>
    </row>
    <row r="315" spans="1:15" s="132" customFormat="1" x14ac:dyDescent="0.15">
      <c r="A315" s="247"/>
      <c r="B315" s="190"/>
      <c r="C315" s="221"/>
      <c r="D315" s="222"/>
      <c r="E315" s="183"/>
      <c r="F315" s="367"/>
      <c r="G315" s="219"/>
      <c r="H315" s="186"/>
      <c r="J315" s="134"/>
      <c r="K315" s="133"/>
      <c r="M315" s="134"/>
    </row>
    <row r="316" spans="1:15" s="132" customFormat="1" x14ac:dyDescent="0.15">
      <c r="A316" s="247"/>
      <c r="B316" s="190"/>
      <c r="C316" s="221"/>
      <c r="D316" s="222"/>
      <c r="E316" s="183"/>
      <c r="F316" s="367"/>
      <c r="G316" s="219"/>
      <c r="H316" s="186"/>
      <c r="J316" s="134"/>
      <c r="K316" s="133"/>
      <c r="M316" s="134"/>
    </row>
    <row r="317" spans="1:15" s="132" customFormat="1" x14ac:dyDescent="0.15">
      <c r="A317" s="247"/>
      <c r="B317" s="190"/>
      <c r="C317" s="221"/>
      <c r="D317" s="222"/>
      <c r="E317" s="133"/>
      <c r="F317" s="134"/>
      <c r="H317" s="133"/>
      <c r="J317" s="134"/>
      <c r="K317" s="133"/>
      <c r="M317" s="134"/>
    </row>
    <row r="318" spans="1:15" s="132" customFormat="1" x14ac:dyDescent="0.15">
      <c r="A318" s="247"/>
      <c r="B318" s="190"/>
      <c r="C318" s="221"/>
      <c r="D318" s="222"/>
      <c r="E318" s="133"/>
      <c r="F318" s="134"/>
      <c r="H318" s="133"/>
      <c r="J318" s="134"/>
      <c r="K318" s="133"/>
      <c r="M318" s="134"/>
    </row>
    <row r="319" spans="1:15" s="132" customFormat="1" x14ac:dyDescent="0.15">
      <c r="A319" s="247"/>
      <c r="B319" s="190"/>
      <c r="C319" s="221"/>
      <c r="D319" s="222"/>
      <c r="E319" s="133"/>
      <c r="F319" s="134"/>
      <c r="H319" s="133"/>
      <c r="J319" s="134"/>
      <c r="K319" s="133"/>
      <c r="M319" s="134"/>
    </row>
    <row r="320" spans="1:15" s="132" customFormat="1" x14ac:dyDescent="0.15">
      <c r="A320" s="134"/>
      <c r="B320" s="131"/>
      <c r="D320" s="133"/>
      <c r="E320" s="133"/>
      <c r="F320" s="134"/>
      <c r="H320" s="133"/>
      <c r="J320" s="134"/>
      <c r="K320" s="133"/>
      <c r="M320" s="134"/>
    </row>
    <row r="321" spans="1:15" s="132" customFormat="1" x14ac:dyDescent="0.15">
      <c r="A321" s="134"/>
      <c r="B321" s="131"/>
      <c r="D321" s="133"/>
      <c r="E321" s="133"/>
      <c r="F321" s="134"/>
      <c r="H321" s="133"/>
      <c r="J321" s="134"/>
      <c r="K321" s="133"/>
      <c r="M321" s="134"/>
    </row>
    <row r="322" spans="1:15" s="132" customFormat="1" x14ac:dyDescent="0.15">
      <c r="A322" s="134"/>
      <c r="B322" s="131"/>
      <c r="D322" s="133"/>
      <c r="E322" s="133"/>
      <c r="F322" s="134"/>
      <c r="H322" s="133"/>
      <c r="J322" s="134"/>
      <c r="K322" s="133"/>
      <c r="M322" s="134"/>
    </row>
    <row r="323" spans="1:15" s="132" customFormat="1" x14ac:dyDescent="0.15">
      <c r="A323" s="247"/>
      <c r="B323" s="131"/>
      <c r="D323" s="133"/>
      <c r="E323" s="183"/>
      <c r="F323" s="367"/>
      <c r="G323" s="219"/>
      <c r="H323" s="186"/>
      <c r="J323" s="134"/>
      <c r="K323" s="133"/>
      <c r="M323" s="134"/>
    </row>
    <row r="324" spans="1:15" s="132" customFormat="1" x14ac:dyDescent="0.15">
      <c r="A324" s="134"/>
      <c r="B324" s="131"/>
      <c r="D324" s="133"/>
      <c r="E324" s="133"/>
      <c r="F324" s="134"/>
      <c r="H324" s="133"/>
      <c r="J324" s="134"/>
      <c r="K324" s="133"/>
      <c r="M324" s="134"/>
    </row>
    <row r="325" spans="1:15" s="132" customFormat="1" x14ac:dyDescent="0.15">
      <c r="A325" s="134"/>
      <c r="B325" s="131"/>
      <c r="D325" s="133"/>
      <c r="E325" s="133"/>
      <c r="F325" s="134"/>
      <c r="H325" s="133"/>
      <c r="J325" s="134"/>
      <c r="K325" s="133"/>
      <c r="M325" s="134"/>
    </row>
    <row r="326" spans="1:15" s="132" customFormat="1" x14ac:dyDescent="0.15">
      <c r="A326" s="134"/>
      <c r="B326" s="131"/>
      <c r="D326" s="133"/>
      <c r="E326" s="133"/>
      <c r="F326" s="134"/>
      <c r="H326" s="133"/>
      <c r="J326" s="134"/>
      <c r="K326" s="133"/>
      <c r="M326" s="134"/>
    </row>
    <row r="327" spans="1:15" s="133" customFormat="1" x14ac:dyDescent="0.15">
      <c r="A327" s="134"/>
      <c r="B327" s="131"/>
      <c r="C327" s="132"/>
      <c r="F327" s="134"/>
      <c r="G327" s="132"/>
      <c r="I327" s="132"/>
      <c r="J327" s="134"/>
      <c r="L327" s="132"/>
      <c r="M327" s="134"/>
      <c r="N327" s="132"/>
      <c r="O327" s="132"/>
    </row>
    <row r="328" spans="1:15" s="133" customFormat="1" x14ac:dyDescent="0.15">
      <c r="A328" s="134"/>
      <c r="B328" s="131"/>
      <c r="C328" s="132"/>
      <c r="F328" s="134"/>
      <c r="G328" s="132"/>
      <c r="I328" s="132"/>
      <c r="J328" s="134"/>
      <c r="L328" s="132"/>
      <c r="M328" s="134"/>
      <c r="N328" s="132"/>
      <c r="O328" s="132"/>
    </row>
  </sheetData>
  <mergeCells count="7">
    <mergeCell ref="B260:D260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77"/>
  <sheetViews>
    <sheetView zoomScale="115" zoomScaleNormal="115" workbookViewId="0">
      <pane ySplit="6" topLeftCell="A229" activePane="bottomLeft" state="frozen"/>
      <selection pane="bottomLeft" activeCell="B235" sqref="B235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7.7109375" style="134" bestFit="1" customWidth="1"/>
    <col min="14" max="14" width="10.5703125" style="132" bestFit="1" customWidth="1"/>
    <col min="15" max="15" width="9.85546875" style="132" bestFit="1" customWidth="1"/>
    <col min="16" max="16384" width="18.5703125" style="134"/>
  </cols>
  <sheetData>
    <row r="1" spans="1:15" x14ac:dyDescent="0.15">
      <c r="A1" s="130" t="s">
        <v>1942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1929</v>
      </c>
      <c r="B7" s="146"/>
      <c r="C7" s="152">
        <v>69245.225062010722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69245.225062010722</v>
      </c>
      <c r="O7" s="147">
        <f>+C221</f>
        <v>420954.16206201079</v>
      </c>
    </row>
    <row r="8" spans="1:15" x14ac:dyDescent="0.15">
      <c r="A8" s="154" t="s">
        <v>1930</v>
      </c>
      <c r="B8" s="151"/>
      <c r="C8" s="152">
        <v>175895.97700000001</v>
      </c>
      <c r="D8" s="323"/>
      <c r="E8" s="154"/>
      <c r="F8" s="154"/>
      <c r="G8" s="152"/>
      <c r="H8" s="323"/>
      <c r="I8" s="152"/>
      <c r="J8" s="154"/>
      <c r="K8" s="156"/>
      <c r="L8" s="227"/>
      <c r="M8" s="157"/>
      <c r="N8" s="227">
        <f>+N7-I8-L8</f>
        <v>69245.225062010722</v>
      </c>
      <c r="O8" s="152">
        <f t="shared" ref="O8:O9" si="0">O7+G8-I8-L8</f>
        <v>420954.16206201079</v>
      </c>
    </row>
    <row r="9" spans="1:15" x14ac:dyDescent="0.15">
      <c r="A9" s="157" t="s">
        <v>1931</v>
      </c>
      <c r="B9" s="151"/>
      <c r="C9" s="152">
        <v>131898.66200000001</v>
      </c>
      <c r="D9" s="323"/>
      <c r="E9" s="154"/>
      <c r="F9" s="157"/>
      <c r="G9" s="152"/>
      <c r="H9" s="323"/>
      <c r="I9" s="152"/>
      <c r="J9" s="157"/>
      <c r="K9" s="154"/>
      <c r="L9" s="227"/>
      <c r="M9" s="157"/>
      <c r="N9" s="227">
        <f t="shared" ref="N9" si="1">+N8-I9-L9</f>
        <v>69245.225062010722</v>
      </c>
      <c r="O9" s="152">
        <f t="shared" si="0"/>
        <v>420954.16206201079</v>
      </c>
    </row>
    <row r="10" spans="1:15" x14ac:dyDescent="0.15">
      <c r="A10" s="154" t="s">
        <v>1932</v>
      </c>
      <c r="B10" s="151"/>
      <c r="C10" s="152">
        <v>43914.298000000003</v>
      </c>
      <c r="D10" s="323"/>
      <c r="E10" s="154"/>
      <c r="F10" s="154"/>
      <c r="G10" s="152"/>
      <c r="H10" s="323"/>
      <c r="I10" s="152"/>
      <c r="J10" s="157"/>
      <c r="K10" s="154"/>
      <c r="L10" s="227"/>
      <c r="M10" s="157"/>
      <c r="N10" s="227">
        <f t="shared" ref="N10" si="2">+N9-I10-L10</f>
        <v>69245.225062010722</v>
      </c>
      <c r="O10" s="152">
        <f t="shared" ref="O10" si="3">O9+G10-I10-L10</f>
        <v>420954.16206201079</v>
      </c>
    </row>
    <row r="11" spans="1:15" x14ac:dyDescent="0.15">
      <c r="A11" s="154"/>
      <c r="B11" s="151"/>
      <c r="C11" s="152"/>
      <c r="D11" s="323">
        <v>41821</v>
      </c>
      <c r="E11" s="154" t="s">
        <v>72</v>
      </c>
      <c r="F11" s="157" t="s">
        <v>1932</v>
      </c>
      <c r="G11" s="152">
        <v>43963.209000000003</v>
      </c>
      <c r="H11" s="323">
        <v>41821</v>
      </c>
      <c r="I11" s="152">
        <v>3568.1</v>
      </c>
      <c r="J11" s="157" t="s">
        <v>1929</v>
      </c>
      <c r="K11" s="154" t="s">
        <v>1964</v>
      </c>
      <c r="L11" s="227">
        <v>12962.94</v>
      </c>
      <c r="M11" s="157" t="s">
        <v>1929</v>
      </c>
      <c r="N11" s="152">
        <f t="shared" ref="N11:N77" si="4">+N10-I11-L11</f>
        <v>52714.185062010714</v>
      </c>
      <c r="O11" s="152">
        <f t="shared" ref="O11:O77" si="5">O10+G11-I11-L11</f>
        <v>448386.33106201078</v>
      </c>
    </row>
    <row r="12" spans="1:15" x14ac:dyDescent="0.15">
      <c r="A12" s="154"/>
      <c r="B12" s="151"/>
      <c r="C12" s="152"/>
      <c r="D12" s="323">
        <v>41822</v>
      </c>
      <c r="E12" s="154" t="s">
        <v>72</v>
      </c>
      <c r="F12" s="157" t="s">
        <v>1943</v>
      </c>
      <c r="G12" s="152">
        <v>43948.188999999998</v>
      </c>
      <c r="H12" s="323">
        <v>41822</v>
      </c>
      <c r="I12" s="152">
        <v>13070.39</v>
      </c>
      <c r="J12" s="157" t="s">
        <v>1929</v>
      </c>
      <c r="K12" s="154" t="s">
        <v>1964</v>
      </c>
      <c r="L12" s="227">
        <v>14796.5</v>
      </c>
      <c r="M12" s="157" t="s">
        <v>1929</v>
      </c>
      <c r="N12" s="152">
        <f t="shared" si="4"/>
        <v>24847.295062010715</v>
      </c>
      <c r="O12" s="152">
        <f t="shared" si="5"/>
        <v>464467.63006201078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41822</v>
      </c>
      <c r="I13" s="152"/>
      <c r="J13" s="157"/>
      <c r="K13" s="154" t="s">
        <v>1964</v>
      </c>
      <c r="L13" s="227">
        <v>13549.12</v>
      </c>
      <c r="M13" s="157" t="s">
        <v>1929</v>
      </c>
      <c r="N13" s="152">
        <f t="shared" ref="N13:N18" si="6">+N12-I13-L13</f>
        <v>11298.175062010714</v>
      </c>
      <c r="O13" s="152">
        <f t="shared" ref="O13:O18" si="7">O12+G13-I13-L13</f>
        <v>450918.51006201078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>
        <v>41822</v>
      </c>
      <c r="I14" s="152"/>
      <c r="J14" s="157"/>
      <c r="K14" s="154" t="s">
        <v>1964</v>
      </c>
      <c r="L14" s="227">
        <v>11298.175062010714</v>
      </c>
      <c r="M14" s="157" t="s">
        <v>1929</v>
      </c>
      <c r="N14" s="152">
        <f t="shared" si="6"/>
        <v>0</v>
      </c>
      <c r="O14" s="152">
        <f t="shared" si="7"/>
        <v>439620.33500000008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>
        <v>41822</v>
      </c>
      <c r="I15" s="152"/>
      <c r="J15" s="157"/>
      <c r="K15" s="154" t="s">
        <v>1965</v>
      </c>
      <c r="L15" s="227">
        <v>25463.004937989299</v>
      </c>
      <c r="M15" s="157" t="s">
        <v>1930</v>
      </c>
      <c r="N15" s="152">
        <f>C8+N14-I15-L15</f>
        <v>150432.97206201073</v>
      </c>
      <c r="O15" s="152">
        <f t="shared" si="7"/>
        <v>414157.33006201079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>
        <v>41822</v>
      </c>
      <c r="I16" s="152"/>
      <c r="J16" s="157"/>
      <c r="K16" s="154" t="s">
        <v>1965</v>
      </c>
      <c r="L16" s="227">
        <v>539.55999999999995</v>
      </c>
      <c r="M16" s="154" t="s">
        <v>1930</v>
      </c>
      <c r="N16" s="152">
        <f t="shared" si="6"/>
        <v>149893.41206201073</v>
      </c>
      <c r="O16" s="152">
        <f t="shared" si="7"/>
        <v>413617.77006201079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>
        <v>41822</v>
      </c>
      <c r="I17" s="152"/>
      <c r="J17" s="157"/>
      <c r="K17" s="154" t="s">
        <v>1965</v>
      </c>
      <c r="L17" s="227">
        <v>54605.67</v>
      </c>
      <c r="M17" s="154" t="s">
        <v>1930</v>
      </c>
      <c r="N17" s="152">
        <f t="shared" si="6"/>
        <v>95287.74206201073</v>
      </c>
      <c r="O17" s="152">
        <f t="shared" si="7"/>
        <v>359012.10006201081</v>
      </c>
    </row>
    <row r="18" spans="1:15" x14ac:dyDescent="0.15">
      <c r="A18" s="154"/>
      <c r="B18" s="151"/>
      <c r="C18" s="152"/>
      <c r="D18" s="323">
        <v>41823</v>
      </c>
      <c r="E18" s="154" t="s">
        <v>72</v>
      </c>
      <c r="F18" s="157" t="s">
        <v>1943</v>
      </c>
      <c r="G18" s="152">
        <v>87827.497999999992</v>
      </c>
      <c r="H18" s="323">
        <v>41823</v>
      </c>
      <c r="I18" s="152">
        <v>11267.92</v>
      </c>
      <c r="J18" s="154" t="s">
        <v>1930</v>
      </c>
      <c r="K18" s="154" t="s">
        <v>1965</v>
      </c>
      <c r="L18" s="227">
        <v>13339.06</v>
      </c>
      <c r="M18" s="154" t="s">
        <v>1930</v>
      </c>
      <c r="N18" s="152">
        <f t="shared" si="6"/>
        <v>70680.762062010734</v>
      </c>
      <c r="O18" s="152">
        <f t="shared" si="7"/>
        <v>422232.61806201085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>
        <v>41823</v>
      </c>
      <c r="I19" s="152"/>
      <c r="J19" s="157"/>
      <c r="K19" s="154" t="s">
        <v>1965</v>
      </c>
      <c r="L19" s="227">
        <v>14739.48</v>
      </c>
      <c r="M19" s="154" t="s">
        <v>1930</v>
      </c>
      <c r="N19" s="152">
        <f t="shared" si="4"/>
        <v>55941.282062010738</v>
      </c>
      <c r="O19" s="152">
        <f t="shared" si="5"/>
        <v>407493.13806201087</v>
      </c>
    </row>
    <row r="20" spans="1:15" x14ac:dyDescent="0.15">
      <c r="A20" s="154"/>
      <c r="B20" s="151"/>
      <c r="C20" s="152"/>
      <c r="D20" s="323">
        <v>41824</v>
      </c>
      <c r="E20" s="154" t="s">
        <v>72</v>
      </c>
      <c r="F20" s="157" t="s">
        <v>1943</v>
      </c>
      <c r="G20" s="152">
        <v>43949.447</v>
      </c>
      <c r="H20" s="323">
        <v>41824</v>
      </c>
      <c r="I20" s="152">
        <v>9508.4500000000007</v>
      </c>
      <c r="J20" s="154" t="s">
        <v>1930</v>
      </c>
      <c r="K20" s="154" t="s">
        <v>1965</v>
      </c>
      <c r="L20" s="227">
        <v>10221.11</v>
      </c>
      <c r="M20" s="154" t="s">
        <v>1930</v>
      </c>
      <c r="N20" s="152">
        <f t="shared" si="4"/>
        <v>36211.72206201074</v>
      </c>
      <c r="O20" s="152">
        <f t="shared" si="5"/>
        <v>431713.02506201086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>
        <v>41824</v>
      </c>
      <c r="I21" s="152"/>
      <c r="J21" s="157"/>
      <c r="K21" s="154" t="s">
        <v>1965</v>
      </c>
      <c r="L21" s="227">
        <v>15185.62</v>
      </c>
      <c r="M21" s="154" t="s">
        <v>1930</v>
      </c>
      <c r="N21" s="152">
        <f t="shared" si="4"/>
        <v>21026.102062010737</v>
      </c>
      <c r="O21" s="152">
        <f t="shared" si="5"/>
        <v>416527.40506201086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41824</v>
      </c>
      <c r="I22" s="152"/>
      <c r="J22" s="157"/>
      <c r="K22" s="154" t="s">
        <v>1965</v>
      </c>
      <c r="L22" s="227">
        <v>13873.22</v>
      </c>
      <c r="M22" s="154" t="s">
        <v>1930</v>
      </c>
      <c r="N22" s="152">
        <f t="shared" si="4"/>
        <v>7152.8820620107381</v>
      </c>
      <c r="O22" s="152">
        <f t="shared" si="5"/>
        <v>402654.18506201089</v>
      </c>
    </row>
    <row r="23" spans="1:15" x14ac:dyDescent="0.15">
      <c r="A23" s="154"/>
      <c r="B23" s="151"/>
      <c r="C23" s="152"/>
      <c r="D23" s="323">
        <v>41825</v>
      </c>
      <c r="E23" s="154" t="s">
        <v>72</v>
      </c>
      <c r="F23" s="157" t="s">
        <v>1943</v>
      </c>
      <c r="G23" s="152">
        <v>87688.619000000006</v>
      </c>
      <c r="H23" s="323">
        <v>41825</v>
      </c>
      <c r="I23" s="152">
        <v>635.48</v>
      </c>
      <c r="J23" s="154" t="s">
        <v>1930</v>
      </c>
      <c r="K23" s="154" t="s">
        <v>1965</v>
      </c>
      <c r="L23" s="227">
        <v>6517.4020620107385</v>
      </c>
      <c r="M23" s="154" t="s">
        <v>1930</v>
      </c>
      <c r="N23" s="152">
        <f t="shared" si="4"/>
        <v>0</v>
      </c>
      <c r="O23" s="152">
        <f t="shared" si="5"/>
        <v>483189.9220000002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>
        <v>41825</v>
      </c>
      <c r="I24" s="152"/>
      <c r="J24" s="157"/>
      <c r="K24" s="154" t="s">
        <v>1964</v>
      </c>
      <c r="L24" s="227">
        <v>6622.5979379892597</v>
      </c>
      <c r="M24" s="157" t="s">
        <v>1931</v>
      </c>
      <c r="N24" s="152">
        <f>C9+N23-I24-L24</f>
        <v>125276.06406201076</v>
      </c>
      <c r="O24" s="152">
        <f t="shared" ref="O24:O28" si="8">O23+G24-I24-L24</f>
        <v>476567.32406201091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41826</v>
      </c>
      <c r="I25" s="152">
        <v>3575.1</v>
      </c>
      <c r="J25" s="157" t="s">
        <v>1931</v>
      </c>
      <c r="K25" s="154" t="s">
        <v>1964</v>
      </c>
      <c r="L25" s="227">
        <v>13655.15</v>
      </c>
      <c r="M25" s="157" t="s">
        <v>1931</v>
      </c>
      <c r="N25" s="152">
        <f t="shared" ref="N25:N28" si="9">+N24-I25-L25</f>
        <v>108045.81406201076</v>
      </c>
      <c r="O25" s="152">
        <f t="shared" si="8"/>
        <v>459337.07406201091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>
        <v>41826</v>
      </c>
      <c r="I26" s="152"/>
      <c r="J26" s="157"/>
      <c r="K26" s="154" t="s">
        <v>1964</v>
      </c>
      <c r="L26" s="227">
        <v>11287.43</v>
      </c>
      <c r="M26" s="157" t="s">
        <v>1931</v>
      </c>
      <c r="N26" s="152">
        <f t="shared" si="9"/>
        <v>96758.384062010766</v>
      </c>
      <c r="O26" s="152">
        <f t="shared" si="8"/>
        <v>448049.64406201092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>
        <v>41826</v>
      </c>
      <c r="I27" s="152"/>
      <c r="J27" s="157"/>
      <c r="K27" s="154" t="s">
        <v>1964</v>
      </c>
      <c r="L27" s="227">
        <v>13591.13</v>
      </c>
      <c r="M27" s="157" t="s">
        <v>1931</v>
      </c>
      <c r="N27" s="152">
        <f t="shared" si="9"/>
        <v>83167.254062010761</v>
      </c>
      <c r="O27" s="152">
        <f t="shared" si="8"/>
        <v>434458.51406201092</v>
      </c>
    </row>
    <row r="28" spans="1:15" x14ac:dyDescent="0.15">
      <c r="A28" s="154"/>
      <c r="B28" s="151"/>
      <c r="C28" s="152"/>
      <c r="D28" s="323">
        <v>41827</v>
      </c>
      <c r="E28" s="154" t="s">
        <v>72</v>
      </c>
      <c r="F28" s="157" t="s">
        <v>1943</v>
      </c>
      <c r="G28" s="152">
        <v>43913.220999999998</v>
      </c>
      <c r="H28" s="323">
        <v>41827</v>
      </c>
      <c r="I28" s="152">
        <v>9697.130000000001</v>
      </c>
      <c r="J28" s="157" t="s">
        <v>1931</v>
      </c>
      <c r="K28" s="154" t="s">
        <v>1964</v>
      </c>
      <c r="L28" s="227">
        <v>12959.94</v>
      </c>
      <c r="M28" s="157" t="s">
        <v>1931</v>
      </c>
      <c r="N28" s="152">
        <f t="shared" si="9"/>
        <v>60510.184062010754</v>
      </c>
      <c r="O28" s="152">
        <f t="shared" si="8"/>
        <v>455714.66506201093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>
        <v>41827</v>
      </c>
      <c r="I29" s="152"/>
      <c r="J29" s="157"/>
      <c r="K29" s="154" t="s">
        <v>1964</v>
      </c>
      <c r="L29" s="227">
        <v>48044.61</v>
      </c>
      <c r="M29" s="157" t="s">
        <v>1931</v>
      </c>
      <c r="N29" s="152">
        <f t="shared" si="4"/>
        <v>12465.574062010754</v>
      </c>
      <c r="O29" s="152">
        <f t="shared" si="5"/>
        <v>407670.05506201094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>
        <v>41827</v>
      </c>
      <c r="I30" s="152"/>
      <c r="J30" s="157"/>
      <c r="K30" s="154" t="s">
        <v>1964</v>
      </c>
      <c r="L30" s="227">
        <v>12465.574062010754</v>
      </c>
      <c r="M30" s="157" t="s">
        <v>1931</v>
      </c>
      <c r="N30" s="152">
        <f t="shared" ref="N30:N33" si="10">+N29-I30-L30</f>
        <v>0</v>
      </c>
      <c r="O30" s="152">
        <f t="shared" ref="O30:O33" si="11">O29+G30-I30-L30</f>
        <v>395204.4810000002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>
        <v>41827</v>
      </c>
      <c r="I31" s="152"/>
      <c r="J31" s="157"/>
      <c r="K31" s="154" t="s">
        <v>1965</v>
      </c>
      <c r="L31" s="227">
        <v>28146.775937989201</v>
      </c>
      <c r="M31" s="154" t="s">
        <v>1932</v>
      </c>
      <c r="N31" s="152">
        <f>C10+G11+N30-I31-L31</f>
        <v>59730.731062010811</v>
      </c>
      <c r="O31" s="152">
        <f t="shared" si="11"/>
        <v>367057.70506201102</v>
      </c>
    </row>
    <row r="32" spans="1:15" x14ac:dyDescent="0.15">
      <c r="A32" s="154"/>
      <c r="B32" s="151"/>
      <c r="C32" s="152"/>
      <c r="D32" s="323">
        <v>41828</v>
      </c>
      <c r="E32" s="154" t="s">
        <v>72</v>
      </c>
      <c r="F32" s="157" t="s">
        <v>1944</v>
      </c>
      <c r="G32" s="152">
        <v>87940.881999999998</v>
      </c>
      <c r="H32" s="323">
        <v>41828</v>
      </c>
      <c r="I32" s="152">
        <v>26899.220100000002</v>
      </c>
      <c r="J32" s="157" t="s">
        <v>1932</v>
      </c>
      <c r="K32" s="154" t="s">
        <v>1965</v>
      </c>
      <c r="L32" s="227">
        <v>14726.48</v>
      </c>
      <c r="M32" s="157" t="s">
        <v>1932</v>
      </c>
      <c r="N32" s="152">
        <f t="shared" si="10"/>
        <v>18105.030962010813</v>
      </c>
      <c r="O32" s="152">
        <f t="shared" si="11"/>
        <v>413372.88696201105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>
        <v>41828</v>
      </c>
      <c r="I33" s="152"/>
      <c r="J33" s="157"/>
      <c r="K33" s="154" t="s">
        <v>1965</v>
      </c>
      <c r="L33" s="227">
        <v>13969.25</v>
      </c>
      <c r="M33" s="157" t="s">
        <v>1932</v>
      </c>
      <c r="N33" s="152">
        <f t="shared" si="10"/>
        <v>4135.7809620108128</v>
      </c>
      <c r="O33" s="152">
        <f t="shared" si="11"/>
        <v>399403.63696201105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>
        <v>41828</v>
      </c>
      <c r="I34" s="152"/>
      <c r="J34" s="157"/>
      <c r="K34" s="154" t="s">
        <v>1965</v>
      </c>
      <c r="L34" s="227">
        <v>4135.7809620108128</v>
      </c>
      <c r="M34" s="157" t="s">
        <v>1932</v>
      </c>
      <c r="N34" s="152">
        <f t="shared" ref="N34:N38" si="12">+N33-I34-L34</f>
        <v>0</v>
      </c>
      <c r="O34" s="152">
        <f t="shared" ref="O34:O38" si="13">O33+G34-I34-L34</f>
        <v>395267.85600000026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>
        <v>41828</v>
      </c>
      <c r="I35" s="152"/>
      <c r="J35" s="157"/>
      <c r="K35" s="154" t="s">
        <v>1964</v>
      </c>
      <c r="L35" s="227">
        <v>12359.2390379892</v>
      </c>
      <c r="M35" s="157" t="s">
        <v>1943</v>
      </c>
      <c r="N35" s="152">
        <f>G12+G18+G20+G23+G28+N34-I35-L35</f>
        <v>294967.73496201081</v>
      </c>
      <c r="O35" s="152">
        <f t="shared" si="13"/>
        <v>382908.61696201109</v>
      </c>
    </row>
    <row r="36" spans="1:15" x14ac:dyDescent="0.15">
      <c r="A36" s="154"/>
      <c r="B36" s="151"/>
      <c r="C36" s="152"/>
      <c r="D36" s="323">
        <v>41829</v>
      </c>
      <c r="E36" s="154" t="s">
        <v>72</v>
      </c>
      <c r="F36" s="157" t="s">
        <v>1944</v>
      </c>
      <c r="G36" s="152">
        <v>223839.39</v>
      </c>
      <c r="H36" s="323">
        <v>41829</v>
      </c>
      <c r="I36" s="152">
        <v>7352.4961999999996</v>
      </c>
      <c r="J36" s="157" t="s">
        <v>1943</v>
      </c>
      <c r="K36" s="154" t="s">
        <v>1964</v>
      </c>
      <c r="L36" s="227">
        <v>16135.91</v>
      </c>
      <c r="M36" s="157" t="s">
        <v>1943</v>
      </c>
      <c r="N36" s="152">
        <f t="shared" si="12"/>
        <v>271479.32876201085</v>
      </c>
      <c r="O36" s="152">
        <f t="shared" si="13"/>
        <v>583259.60076201102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>
        <v>41829</v>
      </c>
      <c r="I37" s="152"/>
      <c r="J37" s="157"/>
      <c r="K37" s="154" t="s">
        <v>1964</v>
      </c>
      <c r="L37" s="227">
        <v>13001.95</v>
      </c>
      <c r="M37" s="157" t="s">
        <v>1943</v>
      </c>
      <c r="N37" s="152">
        <f t="shared" si="12"/>
        <v>258477.37876201083</v>
      </c>
      <c r="O37" s="152">
        <f t="shared" si="13"/>
        <v>570257.65076201106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>
        <v>41829</v>
      </c>
      <c r="I38" s="152"/>
      <c r="J38" s="157"/>
      <c r="K38" s="154" t="s">
        <v>1964</v>
      </c>
      <c r="L38" s="227">
        <v>10078.06</v>
      </c>
      <c r="M38" s="157" t="s">
        <v>1943</v>
      </c>
      <c r="N38" s="152">
        <f t="shared" si="12"/>
        <v>248399.31876201084</v>
      </c>
      <c r="O38" s="152">
        <f t="shared" si="13"/>
        <v>560179.59076201101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>
        <v>41829</v>
      </c>
      <c r="I39" s="152"/>
      <c r="J39" s="157"/>
      <c r="K39" s="154" t="s">
        <v>1964</v>
      </c>
      <c r="L39" s="227">
        <v>12717.68</v>
      </c>
      <c r="M39" s="157" t="s">
        <v>1943</v>
      </c>
      <c r="N39" s="152">
        <f t="shared" si="4"/>
        <v>235681.63876201084</v>
      </c>
      <c r="O39" s="152">
        <f t="shared" si="5"/>
        <v>547461.91076201096</v>
      </c>
    </row>
    <row r="40" spans="1:15" x14ac:dyDescent="0.15">
      <c r="A40" s="154"/>
      <c r="B40" s="151"/>
      <c r="C40" s="152"/>
      <c r="D40" s="323">
        <v>41830</v>
      </c>
      <c r="E40" s="154" t="s">
        <v>72</v>
      </c>
      <c r="F40" s="157" t="s">
        <v>1944</v>
      </c>
      <c r="G40" s="152">
        <v>43984.794000000002</v>
      </c>
      <c r="H40" s="323">
        <v>41830</v>
      </c>
      <c r="I40" s="152">
        <v>6686.5700000000006</v>
      </c>
      <c r="J40" s="157" t="s">
        <v>1943</v>
      </c>
      <c r="K40" s="154" t="s">
        <v>1964</v>
      </c>
      <c r="L40" s="227">
        <v>12936.62</v>
      </c>
      <c r="M40" s="157" t="s">
        <v>1943</v>
      </c>
      <c r="N40" s="152">
        <f t="shared" si="4"/>
        <v>216058.44876201084</v>
      </c>
      <c r="O40" s="152">
        <f t="shared" si="5"/>
        <v>571823.51476201101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>
        <v>41830</v>
      </c>
      <c r="I41" s="152"/>
      <c r="J41" s="157"/>
      <c r="K41" s="154" t="s">
        <v>1964</v>
      </c>
      <c r="L41" s="227">
        <v>27497.68</v>
      </c>
      <c r="M41" s="157" t="s">
        <v>1943</v>
      </c>
      <c r="N41" s="152">
        <f t="shared" si="4"/>
        <v>188560.76876201085</v>
      </c>
      <c r="O41" s="152">
        <f t="shared" si="5"/>
        <v>544325.83476201096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>
        <v>41831</v>
      </c>
      <c r="I42" s="152">
        <v>12490.859999999999</v>
      </c>
      <c r="J42" s="157" t="s">
        <v>1943</v>
      </c>
      <c r="K42" s="154" t="s">
        <v>1964</v>
      </c>
      <c r="L42" s="227">
        <v>12209.71</v>
      </c>
      <c r="M42" s="157" t="s">
        <v>1943</v>
      </c>
      <c r="N42" s="152">
        <f t="shared" si="4"/>
        <v>163860.19876201087</v>
      </c>
      <c r="O42" s="152">
        <f t="shared" si="5"/>
        <v>519625.26476201095</v>
      </c>
    </row>
    <row r="43" spans="1:15" x14ac:dyDescent="0.15">
      <c r="A43" s="154"/>
      <c r="B43" s="151"/>
      <c r="C43" s="152"/>
      <c r="D43" s="323">
        <v>41831</v>
      </c>
      <c r="E43" s="154" t="s">
        <v>72</v>
      </c>
      <c r="F43" s="157" t="s">
        <v>1944</v>
      </c>
      <c r="G43" s="152">
        <v>43925.580999999998</v>
      </c>
      <c r="H43" s="323">
        <v>41831</v>
      </c>
      <c r="I43" s="152"/>
      <c r="J43" s="157"/>
      <c r="K43" s="154" t="s">
        <v>1964</v>
      </c>
      <c r="L43" s="227">
        <v>10989.34</v>
      </c>
      <c r="M43" s="157" t="s">
        <v>1943</v>
      </c>
      <c r="N43" s="152">
        <f t="shared" si="4"/>
        <v>152870.85876201087</v>
      </c>
      <c r="O43" s="152">
        <f t="shared" si="5"/>
        <v>552561.50576201093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41831</v>
      </c>
      <c r="I44" s="152"/>
      <c r="J44" s="157"/>
      <c r="K44" s="154" t="s">
        <v>1964</v>
      </c>
      <c r="L44" s="227">
        <v>14306.35</v>
      </c>
      <c r="M44" s="157" t="s">
        <v>1943</v>
      </c>
      <c r="N44" s="152">
        <f t="shared" si="4"/>
        <v>138564.50876201087</v>
      </c>
      <c r="O44" s="152">
        <f t="shared" si="5"/>
        <v>538255.15576201095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>
        <v>41831</v>
      </c>
      <c r="I45" s="152"/>
      <c r="J45" s="157"/>
      <c r="K45" s="154" t="s">
        <v>1964</v>
      </c>
      <c r="L45" s="227">
        <v>14632.45</v>
      </c>
      <c r="M45" s="157" t="s">
        <v>1943</v>
      </c>
      <c r="N45" s="152">
        <f t="shared" si="4"/>
        <v>123932.05876201087</v>
      </c>
      <c r="O45" s="152">
        <f t="shared" si="5"/>
        <v>523622.70576201094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41831</v>
      </c>
      <c r="I46" s="152"/>
      <c r="J46" s="157"/>
      <c r="K46" s="154" t="s">
        <v>1964</v>
      </c>
      <c r="L46" s="227">
        <v>33800.28</v>
      </c>
      <c r="M46" s="157" t="s">
        <v>1943</v>
      </c>
      <c r="N46" s="152">
        <f t="shared" si="4"/>
        <v>90131.778762010872</v>
      </c>
      <c r="O46" s="152">
        <f t="shared" si="5"/>
        <v>489822.42576201097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>
        <v>41831</v>
      </c>
      <c r="I47" s="152"/>
      <c r="J47" s="157"/>
      <c r="K47" s="154" t="s">
        <v>1964</v>
      </c>
      <c r="L47" s="227">
        <v>953.23</v>
      </c>
      <c r="M47" s="157" t="s">
        <v>1943</v>
      </c>
      <c r="N47" s="152">
        <f t="shared" si="4"/>
        <v>89178.548762010876</v>
      </c>
      <c r="O47" s="152">
        <f t="shared" si="5"/>
        <v>488869.19576201099</v>
      </c>
    </row>
    <row r="48" spans="1:15" x14ac:dyDescent="0.15">
      <c r="A48" s="154"/>
      <c r="B48" s="151"/>
      <c r="C48" s="152"/>
      <c r="D48" s="323">
        <v>41832</v>
      </c>
      <c r="E48" s="154" t="s">
        <v>72</v>
      </c>
      <c r="F48" s="157" t="s">
        <v>1944</v>
      </c>
      <c r="G48" s="152">
        <v>43903.275000000031</v>
      </c>
      <c r="H48" s="323">
        <v>41832</v>
      </c>
      <c r="I48" s="152">
        <v>13567.74</v>
      </c>
      <c r="J48" s="157" t="s">
        <v>1943</v>
      </c>
      <c r="K48" s="154" t="s">
        <v>1964</v>
      </c>
      <c r="L48" s="227">
        <v>12672.85</v>
      </c>
      <c r="M48" s="157" t="s">
        <v>1943</v>
      </c>
      <c r="N48" s="152">
        <f t="shared" si="4"/>
        <v>62937.958762010872</v>
      </c>
      <c r="O48" s="152">
        <f t="shared" si="5"/>
        <v>506531.88076201105</v>
      </c>
    </row>
    <row r="49" spans="1:15" x14ac:dyDescent="0.15">
      <c r="A49" s="154"/>
      <c r="B49" s="151"/>
      <c r="C49" s="152"/>
      <c r="D49" s="323">
        <v>41832</v>
      </c>
      <c r="E49" s="154" t="s">
        <v>72</v>
      </c>
      <c r="F49" s="157" t="s">
        <v>1945</v>
      </c>
      <c r="G49" s="152">
        <v>43982.141000000003</v>
      </c>
      <c r="H49" s="323">
        <v>41832</v>
      </c>
      <c r="I49" s="152"/>
      <c r="J49" s="157"/>
      <c r="K49" s="154" t="s">
        <v>1964</v>
      </c>
      <c r="L49" s="227">
        <v>40352.269999999997</v>
      </c>
      <c r="M49" s="157" t="s">
        <v>1943</v>
      </c>
      <c r="N49" s="152">
        <f t="shared" si="4"/>
        <v>22585.688762010876</v>
      </c>
      <c r="O49" s="152">
        <f t="shared" si="5"/>
        <v>510161.75176201109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41832</v>
      </c>
      <c r="I50" s="152"/>
      <c r="J50" s="157"/>
      <c r="K50" s="154" t="s">
        <v>1964</v>
      </c>
      <c r="L50" s="227">
        <v>13660.68</v>
      </c>
      <c r="M50" s="157" t="s">
        <v>1943</v>
      </c>
      <c r="N50" s="152">
        <f t="shared" si="4"/>
        <v>8925.0087620108752</v>
      </c>
      <c r="O50" s="152">
        <f t="shared" si="5"/>
        <v>496501.0717620111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>
        <v>41832</v>
      </c>
      <c r="I51" s="152"/>
      <c r="J51" s="157"/>
      <c r="K51" s="154" t="s">
        <v>1964</v>
      </c>
      <c r="L51" s="227">
        <v>8925.0087620108752</v>
      </c>
      <c r="M51" s="157" t="s">
        <v>1943</v>
      </c>
      <c r="N51" s="152">
        <f t="shared" si="4"/>
        <v>0</v>
      </c>
      <c r="O51" s="152">
        <f t="shared" si="5"/>
        <v>487576.0630000002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>
        <v>41832</v>
      </c>
      <c r="I52" s="152"/>
      <c r="J52" s="157"/>
      <c r="K52" s="154" t="s">
        <v>1965</v>
      </c>
      <c r="L52" s="227">
        <v>5044.4912379891202</v>
      </c>
      <c r="M52" s="157" t="s">
        <v>1944</v>
      </c>
      <c r="N52" s="152">
        <f>G32+G36+G40+G43+G48+N51-I52-L52</f>
        <v>438549.43076201092</v>
      </c>
      <c r="O52" s="152">
        <f t="shared" ref="O52:O56" si="14">O51+G52-I52-L52</f>
        <v>482531.5717620111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>
        <v>41833</v>
      </c>
      <c r="I53" s="152">
        <v>7727.7199999999993</v>
      </c>
      <c r="J53" s="157" t="s">
        <v>1944</v>
      </c>
      <c r="K53" s="154" t="s">
        <v>1965</v>
      </c>
      <c r="L53" s="227">
        <v>13460.07</v>
      </c>
      <c r="M53" s="157" t="s">
        <v>1944</v>
      </c>
      <c r="N53" s="152">
        <f t="shared" ref="N53:N56" si="15">+N52-I53-L53</f>
        <v>417361.64076201094</v>
      </c>
      <c r="O53" s="152">
        <f t="shared" si="14"/>
        <v>461343.78176201112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>
        <v>41833</v>
      </c>
      <c r="I54" s="152"/>
      <c r="J54" s="157"/>
      <c r="K54" s="154" t="s">
        <v>1965</v>
      </c>
      <c r="L54" s="227">
        <v>11213.89</v>
      </c>
      <c r="M54" s="157" t="s">
        <v>1944</v>
      </c>
      <c r="N54" s="152">
        <f t="shared" si="15"/>
        <v>406147.75076201092</v>
      </c>
      <c r="O54" s="152">
        <f t="shared" si="14"/>
        <v>450129.8917620111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>
        <v>41833</v>
      </c>
      <c r="I55" s="152"/>
      <c r="J55" s="157"/>
      <c r="K55" s="154" t="s">
        <v>1965</v>
      </c>
      <c r="L55" s="227">
        <v>13056.39</v>
      </c>
      <c r="M55" s="157" t="s">
        <v>1944</v>
      </c>
      <c r="N55" s="152">
        <f t="shared" si="15"/>
        <v>393091.36076201091</v>
      </c>
      <c r="O55" s="152">
        <f t="shared" si="14"/>
        <v>437073.50176201109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41833</v>
      </c>
      <c r="I56" s="152"/>
      <c r="J56" s="157"/>
      <c r="K56" s="154" t="s">
        <v>1965</v>
      </c>
      <c r="L56" s="227">
        <v>14815.97</v>
      </c>
      <c r="M56" s="157" t="s">
        <v>1944</v>
      </c>
      <c r="N56" s="152">
        <f t="shared" si="15"/>
        <v>378275.39076201094</v>
      </c>
      <c r="O56" s="152">
        <f t="shared" si="14"/>
        <v>422257.53176201112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41833</v>
      </c>
      <c r="I57" s="152"/>
      <c r="J57" s="157"/>
      <c r="K57" s="154" t="s">
        <v>1965</v>
      </c>
      <c r="L57" s="227">
        <v>15855.12</v>
      </c>
      <c r="M57" s="157" t="s">
        <v>1944</v>
      </c>
      <c r="N57" s="152">
        <f t="shared" si="4"/>
        <v>362420.27076201094</v>
      </c>
      <c r="O57" s="152">
        <f t="shared" si="5"/>
        <v>406402.41176201112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>
        <v>41833</v>
      </c>
      <c r="I58" s="152"/>
      <c r="J58" s="157"/>
      <c r="K58" s="154" t="s">
        <v>1965</v>
      </c>
      <c r="L58" s="227">
        <v>12029.23</v>
      </c>
      <c r="M58" s="157" t="s">
        <v>1944</v>
      </c>
      <c r="N58" s="152">
        <f t="shared" si="4"/>
        <v>350391.04076201096</v>
      </c>
      <c r="O58" s="152">
        <f t="shared" si="5"/>
        <v>394373.18176201114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>
        <v>41833</v>
      </c>
      <c r="I59" s="152"/>
      <c r="J59" s="157"/>
      <c r="K59" s="154" t="s">
        <v>1965</v>
      </c>
      <c r="L59" s="227">
        <v>303.75</v>
      </c>
      <c r="M59" s="157" t="s">
        <v>1944</v>
      </c>
      <c r="N59" s="152">
        <f t="shared" si="4"/>
        <v>350087.29076201096</v>
      </c>
      <c r="O59" s="152">
        <f t="shared" si="5"/>
        <v>394069.43176201114</v>
      </c>
    </row>
    <row r="60" spans="1:15" x14ac:dyDescent="0.15">
      <c r="A60" s="154"/>
      <c r="B60" s="151"/>
      <c r="C60" s="152"/>
      <c r="D60" s="323">
        <v>41834</v>
      </c>
      <c r="E60" s="154" t="s">
        <v>72</v>
      </c>
      <c r="F60" s="157" t="s">
        <v>1945</v>
      </c>
      <c r="G60" s="152">
        <v>43957.66</v>
      </c>
      <c r="H60" s="323">
        <v>41834</v>
      </c>
      <c r="I60" s="152">
        <v>13989.640000000001</v>
      </c>
      <c r="J60" s="157" t="s">
        <v>1944</v>
      </c>
      <c r="K60" s="154" t="s">
        <v>1965</v>
      </c>
      <c r="L60" s="227">
        <v>17028.169999999998</v>
      </c>
      <c r="M60" s="157" t="s">
        <v>1944</v>
      </c>
      <c r="N60" s="152">
        <f t="shared" si="4"/>
        <v>319069.48076201096</v>
      </c>
      <c r="O60" s="152">
        <f t="shared" si="5"/>
        <v>407009.28176201117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>
        <v>41834</v>
      </c>
      <c r="I61" s="152"/>
      <c r="J61" s="157"/>
      <c r="K61" s="154" t="s">
        <v>1965</v>
      </c>
      <c r="L61" s="227">
        <v>13343.16</v>
      </c>
      <c r="M61" s="157" t="s">
        <v>1944</v>
      </c>
      <c r="N61" s="152">
        <f t="shared" si="4"/>
        <v>305726.32076201099</v>
      </c>
      <c r="O61" s="152">
        <f t="shared" si="5"/>
        <v>393666.1217620112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>
        <v>41834</v>
      </c>
      <c r="I62" s="152"/>
      <c r="J62" s="157"/>
      <c r="K62" s="154" t="s">
        <v>1965</v>
      </c>
      <c r="L62" s="227">
        <v>13350.15</v>
      </c>
      <c r="M62" s="157" t="s">
        <v>1944</v>
      </c>
      <c r="N62" s="152">
        <f t="shared" si="4"/>
        <v>292376.17076201097</v>
      </c>
      <c r="O62" s="152">
        <f t="shared" si="5"/>
        <v>380315.97176201118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>
        <v>41834</v>
      </c>
      <c r="I63" s="152"/>
      <c r="J63" s="157"/>
      <c r="K63" s="154" t="s">
        <v>1965</v>
      </c>
      <c r="L63" s="227">
        <v>9718.1</v>
      </c>
      <c r="M63" s="157" t="s">
        <v>1944</v>
      </c>
      <c r="N63" s="152">
        <f t="shared" si="4"/>
        <v>282658.07076201099</v>
      </c>
      <c r="O63" s="152">
        <f t="shared" si="5"/>
        <v>370597.8717620112</v>
      </c>
    </row>
    <row r="64" spans="1:15" x14ac:dyDescent="0.15">
      <c r="A64" s="154"/>
      <c r="B64" s="151"/>
      <c r="C64" s="152"/>
      <c r="D64" s="323">
        <v>41835</v>
      </c>
      <c r="E64" s="154" t="s">
        <v>72</v>
      </c>
      <c r="F64" s="157" t="s">
        <v>1946</v>
      </c>
      <c r="G64" s="152">
        <v>131966.935</v>
      </c>
      <c r="H64" s="323">
        <v>41835</v>
      </c>
      <c r="I64" s="152">
        <v>12812.9</v>
      </c>
      <c r="J64" s="157" t="s">
        <v>1944</v>
      </c>
      <c r="K64" s="154" t="s">
        <v>1965</v>
      </c>
      <c r="L64" s="227">
        <v>14645.57</v>
      </c>
      <c r="M64" s="157" t="s">
        <v>1944</v>
      </c>
      <c r="N64" s="152">
        <f t="shared" si="4"/>
        <v>255199.60076201096</v>
      </c>
      <c r="O64" s="152">
        <f t="shared" si="5"/>
        <v>475106.33676201117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>
        <v>41835</v>
      </c>
      <c r="I65" s="152"/>
      <c r="J65" s="157"/>
      <c r="K65" s="154" t="s">
        <v>1965</v>
      </c>
      <c r="L65" s="227">
        <v>25225.07</v>
      </c>
      <c r="M65" s="157" t="s">
        <v>1944</v>
      </c>
      <c r="N65" s="152">
        <f t="shared" si="4"/>
        <v>229974.53076201095</v>
      </c>
      <c r="O65" s="152">
        <f t="shared" si="5"/>
        <v>449881.26676201116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>
        <v>41835</v>
      </c>
      <c r="I66" s="152"/>
      <c r="J66" s="157"/>
      <c r="K66" s="154" t="s">
        <v>1965</v>
      </c>
      <c r="L66" s="227">
        <v>352.75</v>
      </c>
      <c r="M66" s="157" t="s">
        <v>1944</v>
      </c>
      <c r="N66" s="152">
        <f t="shared" si="4"/>
        <v>229621.78076201095</v>
      </c>
      <c r="O66" s="152">
        <f t="shared" si="5"/>
        <v>449528.51676201116</v>
      </c>
    </row>
    <row r="67" spans="1:15" x14ac:dyDescent="0.15">
      <c r="A67" s="154"/>
      <c r="B67" s="151"/>
      <c r="C67" s="152"/>
      <c r="D67" s="323">
        <v>41836</v>
      </c>
      <c r="E67" s="154" t="s">
        <v>72</v>
      </c>
      <c r="F67" s="157" t="s">
        <v>1946</v>
      </c>
      <c r="G67" s="152">
        <v>218010.76400000002</v>
      </c>
      <c r="H67" s="323">
        <v>41836</v>
      </c>
      <c r="I67" s="152">
        <v>12074.19</v>
      </c>
      <c r="J67" s="157" t="s">
        <v>1944</v>
      </c>
      <c r="K67" s="154" t="s">
        <v>1965</v>
      </c>
      <c r="L67" s="227">
        <v>10065.82</v>
      </c>
      <c r="M67" s="157" t="s">
        <v>1944</v>
      </c>
      <c r="N67" s="152">
        <f t="shared" si="4"/>
        <v>207481.77076201094</v>
      </c>
      <c r="O67" s="152">
        <f t="shared" si="5"/>
        <v>645399.27076201129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>
        <v>41836</v>
      </c>
      <c r="I68" s="152"/>
      <c r="J68" s="157"/>
      <c r="K68" s="154" t="s">
        <v>1965</v>
      </c>
      <c r="L68" s="227">
        <v>12944.49</v>
      </c>
      <c r="M68" s="157" t="s">
        <v>1944</v>
      </c>
      <c r="N68" s="152">
        <f t="shared" si="4"/>
        <v>194537.28076201095</v>
      </c>
      <c r="O68" s="152">
        <f t="shared" si="5"/>
        <v>632454.7807620113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>
        <v>41836</v>
      </c>
      <c r="I69" s="152"/>
      <c r="J69" s="157"/>
      <c r="K69" s="154" t="s">
        <v>1965</v>
      </c>
      <c r="L69" s="227">
        <v>15575.35</v>
      </c>
      <c r="M69" s="157" t="s">
        <v>1944</v>
      </c>
      <c r="N69" s="152">
        <f t="shared" si="4"/>
        <v>178961.93076201095</v>
      </c>
      <c r="O69" s="152">
        <f t="shared" si="5"/>
        <v>616879.43076201132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>
        <v>41836</v>
      </c>
      <c r="I70" s="152"/>
      <c r="J70" s="157"/>
      <c r="K70" s="154" t="s">
        <v>1965</v>
      </c>
      <c r="L70" s="227">
        <v>13743.84</v>
      </c>
      <c r="M70" s="157" t="s">
        <v>1944</v>
      </c>
      <c r="N70" s="152">
        <f t="shared" si="4"/>
        <v>165218.09076201095</v>
      </c>
      <c r="O70" s="152">
        <f t="shared" si="5"/>
        <v>603135.59076201136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>
        <v>41836</v>
      </c>
      <c r="I71" s="152"/>
      <c r="J71" s="157"/>
      <c r="K71" s="154" t="s">
        <v>1965</v>
      </c>
      <c r="L71" s="227">
        <v>12008.25</v>
      </c>
      <c r="M71" s="157" t="s">
        <v>1944</v>
      </c>
      <c r="N71" s="152">
        <f t="shared" si="4"/>
        <v>153209.84076201095</v>
      </c>
      <c r="O71" s="152">
        <f t="shared" si="5"/>
        <v>591127.34076201136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>
        <v>41836</v>
      </c>
      <c r="I72" s="152"/>
      <c r="J72" s="157"/>
      <c r="K72" s="154" t="s">
        <v>1965</v>
      </c>
      <c r="L72" s="227">
        <v>31974.03</v>
      </c>
      <c r="M72" s="157" t="s">
        <v>1944</v>
      </c>
      <c r="N72" s="152">
        <f t="shared" si="4"/>
        <v>121235.81076201095</v>
      </c>
      <c r="O72" s="152">
        <f t="shared" si="5"/>
        <v>559153.31076201133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>
        <v>41836</v>
      </c>
      <c r="I73" s="152"/>
      <c r="J73" s="157"/>
      <c r="K73" s="154" t="s">
        <v>1965</v>
      </c>
      <c r="L73" s="227">
        <v>33352.910000000003</v>
      </c>
      <c r="M73" s="157" t="s">
        <v>1944</v>
      </c>
      <c r="N73" s="152">
        <f t="shared" si="4"/>
        <v>87882.900762010948</v>
      </c>
      <c r="O73" s="152">
        <f t="shared" si="5"/>
        <v>525800.4007620113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>
        <v>41836</v>
      </c>
      <c r="I74" s="152"/>
      <c r="J74" s="157"/>
      <c r="K74" s="154" t="s">
        <v>1965</v>
      </c>
      <c r="L74" s="227">
        <v>15239.62</v>
      </c>
      <c r="M74" s="157" t="s">
        <v>1944</v>
      </c>
      <c r="N74" s="152">
        <f t="shared" si="4"/>
        <v>72643.280762010952</v>
      </c>
      <c r="O74" s="152">
        <f t="shared" si="5"/>
        <v>510560.7807620113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>
        <v>41836</v>
      </c>
      <c r="I75" s="152"/>
      <c r="J75" s="157"/>
      <c r="K75" s="154" t="s">
        <v>1965</v>
      </c>
      <c r="L75" s="227">
        <v>922.25</v>
      </c>
      <c r="M75" s="157" t="s">
        <v>1944</v>
      </c>
      <c r="N75" s="152">
        <f t="shared" si="4"/>
        <v>71721.030762010952</v>
      </c>
      <c r="O75" s="152">
        <f t="shared" si="5"/>
        <v>509638.5307620113</v>
      </c>
    </row>
    <row r="76" spans="1:15" x14ac:dyDescent="0.15">
      <c r="A76" s="154"/>
      <c r="B76" s="151"/>
      <c r="C76" s="152"/>
      <c r="D76" s="323">
        <v>41837</v>
      </c>
      <c r="E76" s="154" t="s">
        <v>72</v>
      </c>
      <c r="F76" s="157" t="s">
        <v>1946</v>
      </c>
      <c r="G76" s="152">
        <v>131919.101</v>
      </c>
      <c r="H76" s="323">
        <v>41837</v>
      </c>
      <c r="I76" s="152">
        <v>9449.33</v>
      </c>
      <c r="J76" s="157" t="s">
        <v>1944</v>
      </c>
      <c r="K76" s="154" t="s">
        <v>1965</v>
      </c>
      <c r="L76" s="227">
        <v>16279.43</v>
      </c>
      <c r="M76" s="157" t="s">
        <v>1944</v>
      </c>
      <c r="N76" s="152">
        <f t="shared" si="4"/>
        <v>45992.27076201095</v>
      </c>
      <c r="O76" s="152">
        <f t="shared" si="5"/>
        <v>615828.87176201132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>
        <v>41837</v>
      </c>
      <c r="I77" s="152"/>
      <c r="J77" s="157"/>
      <c r="K77" s="154" t="s">
        <v>1965</v>
      </c>
      <c r="L77" s="227">
        <v>14061.01</v>
      </c>
      <c r="M77" s="157" t="s">
        <v>1944</v>
      </c>
      <c r="N77" s="152">
        <f t="shared" si="4"/>
        <v>31931.260762010948</v>
      </c>
      <c r="O77" s="152">
        <f t="shared" si="5"/>
        <v>601767.86176201131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>
        <v>41837</v>
      </c>
      <c r="I78" s="152"/>
      <c r="J78" s="157"/>
      <c r="K78" s="154" t="s">
        <v>1965</v>
      </c>
      <c r="L78" s="227">
        <v>31931.260762010948</v>
      </c>
      <c r="M78" s="157" t="s">
        <v>1944</v>
      </c>
      <c r="N78" s="152">
        <f t="shared" ref="N78:N83" si="16">+N77-I78-L78</f>
        <v>0</v>
      </c>
      <c r="O78" s="152">
        <f t="shared" ref="O78:O83" si="17">O77+G78-I78-L78</f>
        <v>569836.60100000037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>
        <v>41837</v>
      </c>
      <c r="I79" s="152"/>
      <c r="J79" s="157"/>
      <c r="K79" s="154" t="s">
        <v>1964</v>
      </c>
      <c r="L79" s="227">
        <v>6131.6892379890496</v>
      </c>
      <c r="M79" s="157" t="s">
        <v>1945</v>
      </c>
      <c r="N79" s="152">
        <f>G49+G60+N78-I79-L79</f>
        <v>81808.111762010958</v>
      </c>
      <c r="O79" s="152">
        <f t="shared" si="17"/>
        <v>563704.91176201135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>
        <v>41837</v>
      </c>
      <c r="I80" s="152"/>
      <c r="J80" s="157"/>
      <c r="K80" s="154" t="s">
        <v>1964</v>
      </c>
      <c r="L80" s="227">
        <v>14746.02</v>
      </c>
      <c r="M80" s="157" t="s">
        <v>1945</v>
      </c>
      <c r="N80" s="152">
        <f t="shared" si="16"/>
        <v>67062.091762010954</v>
      </c>
      <c r="O80" s="152">
        <f t="shared" si="17"/>
        <v>548958.89176201134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>
        <v>41837</v>
      </c>
      <c r="I81" s="152"/>
      <c r="J81" s="157"/>
      <c r="K81" s="154" t="s">
        <v>1964</v>
      </c>
      <c r="L81" s="227">
        <v>14281.4</v>
      </c>
      <c r="M81" s="157" t="s">
        <v>1945</v>
      </c>
      <c r="N81" s="152">
        <f t="shared" si="16"/>
        <v>52780.691762010953</v>
      </c>
      <c r="O81" s="152">
        <f t="shared" si="17"/>
        <v>534677.49176201131</v>
      </c>
    </row>
    <row r="82" spans="1:15" x14ac:dyDescent="0.15">
      <c r="A82" s="154"/>
      <c r="B82" s="151"/>
      <c r="C82" s="152"/>
      <c r="D82" s="323">
        <v>41838</v>
      </c>
      <c r="E82" s="154" t="s">
        <v>72</v>
      </c>
      <c r="F82" s="157" t="s">
        <v>1947</v>
      </c>
      <c r="G82" s="152">
        <v>131951.99900000001</v>
      </c>
      <c r="H82" s="323">
        <v>41838</v>
      </c>
      <c r="I82" s="152">
        <v>9050.39</v>
      </c>
      <c r="J82" s="157" t="s">
        <v>1945</v>
      </c>
      <c r="K82" s="154" t="s">
        <v>1964</v>
      </c>
      <c r="L82" s="227">
        <v>12783.61</v>
      </c>
      <c r="M82" s="157" t="s">
        <v>1945</v>
      </c>
      <c r="N82" s="152">
        <f t="shared" si="16"/>
        <v>30946.691762010953</v>
      </c>
      <c r="O82" s="152">
        <f t="shared" si="17"/>
        <v>644795.49076201138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>
        <v>41838</v>
      </c>
      <c r="I83" s="152"/>
      <c r="J83" s="157"/>
      <c r="K83" s="154" t="s">
        <v>1964</v>
      </c>
      <c r="L83" s="227">
        <v>16163.87</v>
      </c>
      <c r="M83" s="157" t="s">
        <v>1945</v>
      </c>
      <c r="N83" s="152">
        <f t="shared" si="16"/>
        <v>14782.821762010952</v>
      </c>
      <c r="O83" s="152">
        <f t="shared" si="17"/>
        <v>628631.62076201139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>
        <v>41838</v>
      </c>
      <c r="I84" s="152"/>
      <c r="J84" s="157"/>
      <c r="K84" s="154" t="s">
        <v>1964</v>
      </c>
      <c r="L84" s="227">
        <v>14782.821762010952</v>
      </c>
      <c r="M84" s="157" t="s">
        <v>1945</v>
      </c>
      <c r="N84" s="152">
        <f t="shared" ref="N84:N147" si="18">+N83-I84-L84</f>
        <v>0</v>
      </c>
      <c r="O84" s="152">
        <f t="shared" ref="O84:O147" si="19">O83+G84-I84-L84</f>
        <v>613848.79900000046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>
        <v>41838</v>
      </c>
      <c r="I85" s="152"/>
      <c r="J85" s="157"/>
      <c r="K85" s="154" t="s">
        <v>1964</v>
      </c>
      <c r="L85" s="227">
        <v>2725.9582379890498</v>
      </c>
      <c r="M85" s="157" t="s">
        <v>1946</v>
      </c>
      <c r="N85" s="152">
        <f>G64+G67+G76+N84-I85-L85</f>
        <v>479170.841762011</v>
      </c>
      <c r="O85" s="152">
        <f t="shared" ref="O85:O87" si="20">O84+G85-I85-L85</f>
        <v>611122.84076201136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>
        <v>41838</v>
      </c>
      <c r="I86" s="152"/>
      <c r="J86" s="157"/>
      <c r="K86" s="154" t="s">
        <v>1964</v>
      </c>
      <c r="L86" s="227">
        <v>13662.9</v>
      </c>
      <c r="M86" s="157" t="s">
        <v>1946</v>
      </c>
      <c r="N86" s="152">
        <f t="shared" ref="N86:N87" si="21">+N85-I86-L86</f>
        <v>465507.94176201097</v>
      </c>
      <c r="O86" s="152">
        <f t="shared" si="20"/>
        <v>597459.94076201133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>
        <v>41838</v>
      </c>
      <c r="I87" s="152"/>
      <c r="J87" s="157"/>
      <c r="K87" s="154" t="s">
        <v>1964</v>
      </c>
      <c r="L87" s="227">
        <v>11750.45</v>
      </c>
      <c r="M87" s="157" t="s">
        <v>1946</v>
      </c>
      <c r="N87" s="152">
        <f t="shared" si="21"/>
        <v>453757.49176201096</v>
      </c>
      <c r="O87" s="152">
        <f t="shared" si="20"/>
        <v>585709.49076201138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>
        <v>41838</v>
      </c>
      <c r="I88" s="152"/>
      <c r="J88" s="157"/>
      <c r="K88" s="154" t="s">
        <v>1964</v>
      </c>
      <c r="L88" s="227">
        <v>12136.14</v>
      </c>
      <c r="M88" s="157" t="s">
        <v>1946</v>
      </c>
      <c r="N88" s="152">
        <f t="shared" si="18"/>
        <v>441621.35176201095</v>
      </c>
      <c r="O88" s="152">
        <f t="shared" si="19"/>
        <v>573573.35076201137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>
        <v>41838</v>
      </c>
      <c r="I89" s="152"/>
      <c r="J89" s="157"/>
      <c r="K89" s="154" t="s">
        <v>1964</v>
      </c>
      <c r="L89" s="227">
        <v>13851.52</v>
      </c>
      <c r="M89" s="157" t="s">
        <v>1946</v>
      </c>
      <c r="N89" s="152">
        <f t="shared" si="18"/>
        <v>427769.83176201093</v>
      </c>
      <c r="O89" s="152">
        <f t="shared" si="19"/>
        <v>559721.83076201135</v>
      </c>
    </row>
    <row r="90" spans="1:15" x14ac:dyDescent="0.15">
      <c r="A90" s="154"/>
      <c r="B90" s="151"/>
      <c r="C90" s="152"/>
      <c r="D90" s="323">
        <v>41839</v>
      </c>
      <c r="E90" s="154" t="s">
        <v>72</v>
      </c>
      <c r="F90" s="157" t="s">
        <v>1947</v>
      </c>
      <c r="G90" s="152">
        <v>87859.184999999998</v>
      </c>
      <c r="H90" s="323">
        <v>41839</v>
      </c>
      <c r="I90" s="152">
        <v>8079.3600000000006</v>
      </c>
      <c r="J90" s="157" t="s">
        <v>1946</v>
      </c>
      <c r="K90" s="154" t="s">
        <v>1964</v>
      </c>
      <c r="L90" s="227">
        <v>14167.44</v>
      </c>
      <c r="M90" s="157" t="s">
        <v>1946</v>
      </c>
      <c r="N90" s="152">
        <f t="shared" si="18"/>
        <v>405523.03176201094</v>
      </c>
      <c r="O90" s="152">
        <f t="shared" si="19"/>
        <v>625334.21576201136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>
        <v>41839</v>
      </c>
      <c r="I91" s="152"/>
      <c r="J91" s="157"/>
      <c r="K91" s="154" t="s">
        <v>1964</v>
      </c>
      <c r="L91" s="227">
        <v>14946.52</v>
      </c>
      <c r="M91" s="157" t="s">
        <v>1946</v>
      </c>
      <c r="N91" s="152">
        <f t="shared" si="18"/>
        <v>390576.51176201092</v>
      </c>
      <c r="O91" s="152">
        <f t="shared" si="19"/>
        <v>610387.69576201134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>
        <v>41839</v>
      </c>
      <c r="I92" s="152"/>
      <c r="J92" s="157"/>
      <c r="K92" s="154" t="s">
        <v>1964</v>
      </c>
      <c r="L92" s="227">
        <v>12224.24</v>
      </c>
      <c r="M92" s="157" t="s">
        <v>1946</v>
      </c>
      <c r="N92" s="152">
        <f t="shared" si="18"/>
        <v>378352.27176201093</v>
      </c>
      <c r="O92" s="152">
        <f t="shared" si="19"/>
        <v>598163.45576201135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>
        <v>41839</v>
      </c>
      <c r="I93" s="152"/>
      <c r="J93" s="157"/>
      <c r="K93" s="154" t="s">
        <v>1964</v>
      </c>
      <c r="L93" s="227">
        <v>523.04999999999995</v>
      </c>
      <c r="M93" s="157" t="s">
        <v>1946</v>
      </c>
      <c r="N93" s="152">
        <f t="shared" si="18"/>
        <v>377829.22176201094</v>
      </c>
      <c r="O93" s="152">
        <f t="shared" si="19"/>
        <v>597640.4057620113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>
        <v>41839</v>
      </c>
      <c r="I94" s="152"/>
      <c r="J94" s="157"/>
      <c r="K94" s="154" t="s">
        <v>1964</v>
      </c>
      <c r="L94" s="227">
        <v>38813.94</v>
      </c>
      <c r="M94" s="157" t="s">
        <v>1946</v>
      </c>
      <c r="N94" s="152">
        <f t="shared" si="18"/>
        <v>339015.28176201094</v>
      </c>
      <c r="O94" s="152">
        <f t="shared" si="19"/>
        <v>558826.46576201124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>
        <v>41839</v>
      </c>
      <c r="I95" s="152"/>
      <c r="J95" s="157"/>
      <c r="K95" s="154" t="s">
        <v>1964</v>
      </c>
      <c r="L95" s="227">
        <v>14546.05</v>
      </c>
      <c r="M95" s="157" t="s">
        <v>1946</v>
      </c>
      <c r="N95" s="152">
        <f t="shared" si="18"/>
        <v>324469.23176201095</v>
      </c>
      <c r="O95" s="152">
        <f t="shared" si="19"/>
        <v>544280.41576201119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>
        <v>41839</v>
      </c>
      <c r="I96" s="152"/>
      <c r="J96" s="157"/>
      <c r="K96" s="154" t="s">
        <v>1964</v>
      </c>
      <c r="L96" s="227">
        <v>14923.97</v>
      </c>
      <c r="M96" s="157" t="s">
        <v>1946</v>
      </c>
      <c r="N96" s="152">
        <f t="shared" si="18"/>
        <v>309545.26176201098</v>
      </c>
      <c r="O96" s="152">
        <f t="shared" si="19"/>
        <v>529356.44576201122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>
        <v>41840</v>
      </c>
      <c r="I97" s="152">
        <v>3526.78</v>
      </c>
      <c r="J97" s="157" t="s">
        <v>1946</v>
      </c>
      <c r="K97" s="154" t="s">
        <v>1964</v>
      </c>
      <c r="L97" s="227">
        <v>15292.58</v>
      </c>
      <c r="M97" s="157" t="s">
        <v>1946</v>
      </c>
      <c r="N97" s="152">
        <f t="shared" si="18"/>
        <v>290725.90176201094</v>
      </c>
      <c r="O97" s="152">
        <f t="shared" si="19"/>
        <v>510537.08576201118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>
        <v>41840</v>
      </c>
      <c r="I98" s="152"/>
      <c r="J98" s="157"/>
      <c r="K98" s="154" t="s">
        <v>1964</v>
      </c>
      <c r="L98" s="227">
        <v>11386.75</v>
      </c>
      <c r="M98" s="157" t="s">
        <v>1946</v>
      </c>
      <c r="N98" s="152">
        <f t="shared" si="18"/>
        <v>279339.15176201094</v>
      </c>
      <c r="O98" s="152">
        <f t="shared" si="19"/>
        <v>499150.33576201118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>
        <v>41840</v>
      </c>
      <c r="I99" s="152"/>
      <c r="J99" s="157"/>
      <c r="K99" s="154" t="s">
        <v>1964</v>
      </c>
      <c r="L99" s="227">
        <v>10447.51</v>
      </c>
      <c r="M99" s="157" t="s">
        <v>1946</v>
      </c>
      <c r="N99" s="152">
        <f t="shared" si="18"/>
        <v>268891.64176201093</v>
      </c>
      <c r="O99" s="152">
        <f t="shared" si="19"/>
        <v>488702.82576201117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>
        <v>41840</v>
      </c>
      <c r="I100" s="152"/>
      <c r="J100" s="157"/>
      <c r="K100" s="154" t="s">
        <v>1964</v>
      </c>
      <c r="L100" s="227">
        <v>11906.33</v>
      </c>
      <c r="M100" s="157" t="s">
        <v>1946</v>
      </c>
      <c r="N100" s="152">
        <f t="shared" si="18"/>
        <v>256985.31176201094</v>
      </c>
      <c r="O100" s="152">
        <f t="shared" si="19"/>
        <v>476796.49576201115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>
        <v>41840</v>
      </c>
      <c r="I101" s="152"/>
      <c r="J101" s="157"/>
      <c r="K101" s="154" t="s">
        <v>1964</v>
      </c>
      <c r="L101" s="227">
        <v>14290.39</v>
      </c>
      <c r="M101" s="157" t="s">
        <v>1946</v>
      </c>
      <c r="N101" s="152">
        <f t="shared" si="18"/>
        <v>242694.92176201096</v>
      </c>
      <c r="O101" s="152">
        <f t="shared" si="19"/>
        <v>462506.10576201114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>
        <v>41840</v>
      </c>
      <c r="I102" s="152"/>
      <c r="J102" s="157"/>
      <c r="K102" s="154" t="s">
        <v>1964</v>
      </c>
      <c r="L102" s="227">
        <v>17087.12</v>
      </c>
      <c r="M102" s="157" t="s">
        <v>1946</v>
      </c>
      <c r="N102" s="152">
        <f t="shared" si="18"/>
        <v>225607.80176201096</v>
      </c>
      <c r="O102" s="152">
        <f t="shared" si="19"/>
        <v>445418.98576201114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>
        <v>41840</v>
      </c>
      <c r="I103" s="152"/>
      <c r="J103" s="157"/>
      <c r="K103" s="154" t="s">
        <v>1964</v>
      </c>
      <c r="L103" s="227">
        <v>14799.47</v>
      </c>
      <c r="M103" s="157" t="s">
        <v>1946</v>
      </c>
      <c r="N103" s="152">
        <f t="shared" si="18"/>
        <v>210808.33176201096</v>
      </c>
      <c r="O103" s="152">
        <f t="shared" si="19"/>
        <v>430619.51576201117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>
        <v>41840</v>
      </c>
      <c r="I104" s="152"/>
      <c r="J104" s="157"/>
      <c r="K104" s="154" t="s">
        <v>1964</v>
      </c>
      <c r="L104" s="227">
        <v>32800.019999999997</v>
      </c>
      <c r="M104" s="157" t="s">
        <v>1946</v>
      </c>
      <c r="N104" s="152">
        <f t="shared" si="18"/>
        <v>178008.31176201097</v>
      </c>
      <c r="O104" s="152">
        <f t="shared" si="19"/>
        <v>397819.49576201115</v>
      </c>
    </row>
    <row r="105" spans="1:15" x14ac:dyDescent="0.15">
      <c r="A105" s="154"/>
      <c r="B105" s="151"/>
      <c r="C105" s="152"/>
      <c r="D105" s="323">
        <v>41841</v>
      </c>
      <c r="E105" s="154" t="s">
        <v>72</v>
      </c>
      <c r="F105" s="157" t="s">
        <v>1947</v>
      </c>
      <c r="G105" s="152">
        <v>146329.0619999998</v>
      </c>
      <c r="H105" s="323">
        <v>41841</v>
      </c>
      <c r="I105" s="152">
        <v>16291.779999999999</v>
      </c>
      <c r="J105" s="157" t="s">
        <v>1946</v>
      </c>
      <c r="K105" s="154" t="s">
        <v>1964</v>
      </c>
      <c r="L105" s="227">
        <v>13787.2</v>
      </c>
      <c r="M105" s="157" t="s">
        <v>1946</v>
      </c>
      <c r="N105" s="152">
        <f t="shared" si="18"/>
        <v>147929.33176201096</v>
      </c>
      <c r="O105" s="152">
        <f t="shared" si="19"/>
        <v>514069.57776201091</v>
      </c>
    </row>
    <row r="106" spans="1:15" x14ac:dyDescent="0.15">
      <c r="A106" s="154"/>
      <c r="B106" s="151"/>
      <c r="C106" s="152"/>
      <c r="D106" s="323">
        <v>41841</v>
      </c>
      <c r="E106" s="154" t="s">
        <v>72</v>
      </c>
      <c r="F106" s="157" t="s">
        <v>1948</v>
      </c>
      <c r="G106" s="152">
        <v>29468.601000000199</v>
      </c>
      <c r="H106" s="323">
        <v>41841</v>
      </c>
      <c r="I106" s="152"/>
      <c r="J106" s="157"/>
      <c r="K106" s="154" t="s">
        <v>1964</v>
      </c>
      <c r="L106" s="227">
        <v>12660</v>
      </c>
      <c r="M106" s="157" t="s">
        <v>1946</v>
      </c>
      <c r="N106" s="152">
        <f t="shared" si="18"/>
        <v>135269.33176201096</v>
      </c>
      <c r="O106" s="152">
        <f t="shared" si="19"/>
        <v>530878.17876201111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>
        <v>41841</v>
      </c>
      <c r="I107" s="152"/>
      <c r="J107" s="157"/>
      <c r="K107" s="154" t="s">
        <v>1964</v>
      </c>
      <c r="L107" s="227">
        <v>35025.11</v>
      </c>
      <c r="M107" s="157" t="s">
        <v>1946</v>
      </c>
      <c r="N107" s="152">
        <f t="shared" si="18"/>
        <v>100244.22176201096</v>
      </c>
      <c r="O107" s="152">
        <f t="shared" si="19"/>
        <v>495853.06876201113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>
        <v>41841</v>
      </c>
      <c r="I108" s="152"/>
      <c r="J108" s="157"/>
      <c r="K108" s="154" t="s">
        <v>1964</v>
      </c>
      <c r="L108" s="227">
        <v>2217.42</v>
      </c>
      <c r="M108" s="157" t="s">
        <v>1946</v>
      </c>
      <c r="N108" s="152">
        <f t="shared" si="18"/>
        <v>98026.80176201096</v>
      </c>
      <c r="O108" s="152">
        <f t="shared" si="19"/>
        <v>493635.64876201114</v>
      </c>
    </row>
    <row r="109" spans="1:15" x14ac:dyDescent="0.15">
      <c r="A109" s="154"/>
      <c r="B109" s="151"/>
      <c r="C109" s="152"/>
      <c r="D109" s="323">
        <v>41842</v>
      </c>
      <c r="E109" s="154" t="s">
        <v>72</v>
      </c>
      <c r="F109" s="157" t="s">
        <v>1948</v>
      </c>
      <c r="G109" s="152">
        <v>88032.375</v>
      </c>
      <c r="H109" s="323">
        <v>41842</v>
      </c>
      <c r="I109" s="152">
        <v>5966.7900000000009</v>
      </c>
      <c r="J109" s="157" t="s">
        <v>1946</v>
      </c>
      <c r="K109" s="154" t="s">
        <v>1964</v>
      </c>
      <c r="L109" s="227">
        <v>15719.81</v>
      </c>
      <c r="M109" s="157" t="s">
        <v>1946</v>
      </c>
      <c r="N109" s="152">
        <f t="shared" si="18"/>
        <v>76340.201762010955</v>
      </c>
      <c r="O109" s="152">
        <f t="shared" si="19"/>
        <v>559981.42376201111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>
        <v>41842</v>
      </c>
      <c r="I110" s="152"/>
      <c r="J110" s="157"/>
      <c r="K110" s="154" t="s">
        <v>1964</v>
      </c>
      <c r="L110" s="227">
        <v>12110.54</v>
      </c>
      <c r="M110" s="157" t="s">
        <v>1946</v>
      </c>
      <c r="N110" s="152">
        <f t="shared" si="18"/>
        <v>64229.661762010954</v>
      </c>
      <c r="O110" s="152">
        <f t="shared" si="19"/>
        <v>547870.88376201107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>
        <v>41842</v>
      </c>
      <c r="I111" s="152"/>
      <c r="J111" s="157"/>
      <c r="K111" s="154" t="s">
        <v>1964</v>
      </c>
      <c r="L111" s="227">
        <v>44211.03</v>
      </c>
      <c r="M111" s="157" t="s">
        <v>1946</v>
      </c>
      <c r="N111" s="152">
        <f t="shared" si="18"/>
        <v>20018.631762010955</v>
      </c>
      <c r="O111" s="152">
        <f t="shared" si="19"/>
        <v>503659.85376201104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>
        <v>41842</v>
      </c>
      <c r="I112" s="152"/>
      <c r="J112" s="157"/>
      <c r="K112" s="154" t="s">
        <v>1964</v>
      </c>
      <c r="L112" s="227">
        <v>13733.21</v>
      </c>
      <c r="M112" s="157" t="s">
        <v>1946</v>
      </c>
      <c r="N112" s="152">
        <f t="shared" si="18"/>
        <v>6285.4217620109557</v>
      </c>
      <c r="O112" s="152">
        <f t="shared" si="19"/>
        <v>489926.64376201102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>
        <v>41842</v>
      </c>
      <c r="I113" s="152"/>
      <c r="J113" s="157"/>
      <c r="K113" s="154" t="s">
        <v>1964</v>
      </c>
      <c r="L113" s="227">
        <v>6285.4217620109557</v>
      </c>
      <c r="M113" s="157" t="s">
        <v>1946</v>
      </c>
      <c r="N113" s="152">
        <f t="shared" ref="N113:N118" si="22">+N112-I113-L113</f>
        <v>0</v>
      </c>
      <c r="O113" s="152">
        <f t="shared" ref="O113:O118" si="23">O112+G113-I113-L113</f>
        <v>483641.22200000007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>
        <v>41842</v>
      </c>
      <c r="I114" s="152"/>
      <c r="J114" s="157"/>
      <c r="K114" s="154" t="s">
        <v>1965</v>
      </c>
      <c r="L114" s="227">
        <v>7634.75823798904</v>
      </c>
      <c r="M114" s="157" t="s">
        <v>1947</v>
      </c>
      <c r="N114" s="152">
        <f>G82+G90+G105+N113-I114-L114</f>
        <v>358505.48776201077</v>
      </c>
      <c r="O114" s="152">
        <f t="shared" si="23"/>
        <v>476006.46376201103</v>
      </c>
    </row>
    <row r="115" spans="1:15" x14ac:dyDescent="0.15">
      <c r="A115" s="154"/>
      <c r="B115" s="151"/>
      <c r="C115" s="152"/>
      <c r="D115" s="323">
        <v>41843</v>
      </c>
      <c r="E115" s="154" t="s">
        <v>72</v>
      </c>
      <c r="F115" s="157" t="s">
        <v>1948</v>
      </c>
      <c r="G115" s="152">
        <v>175890.87500000003</v>
      </c>
      <c r="H115" s="323">
        <v>41843</v>
      </c>
      <c r="I115" s="152">
        <v>7517.52</v>
      </c>
      <c r="J115" s="157" t="s">
        <v>1947</v>
      </c>
      <c r="K115" s="154" t="s">
        <v>1965</v>
      </c>
      <c r="L115" s="227">
        <v>24140.2</v>
      </c>
      <c r="M115" s="157" t="s">
        <v>1947</v>
      </c>
      <c r="N115" s="152">
        <f t="shared" si="22"/>
        <v>326847.76776201074</v>
      </c>
      <c r="O115" s="152">
        <f t="shared" si="23"/>
        <v>620239.61876201106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>
        <v>41843</v>
      </c>
      <c r="I116" s="152"/>
      <c r="J116" s="157"/>
      <c r="K116" s="154" t="s">
        <v>1965</v>
      </c>
      <c r="L116" s="227">
        <v>14073.29</v>
      </c>
      <c r="M116" s="157" t="s">
        <v>1947</v>
      </c>
      <c r="N116" s="152">
        <f t="shared" si="22"/>
        <v>312774.47776201076</v>
      </c>
      <c r="O116" s="152">
        <f t="shared" si="23"/>
        <v>606166.32876201102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>
        <v>41843</v>
      </c>
      <c r="I117" s="152"/>
      <c r="J117" s="157"/>
      <c r="K117" s="154" t="s">
        <v>1965</v>
      </c>
      <c r="L117" s="227">
        <v>16513.29</v>
      </c>
      <c r="M117" s="157" t="s">
        <v>1947</v>
      </c>
      <c r="N117" s="152">
        <f t="shared" si="22"/>
        <v>296261.18776201078</v>
      </c>
      <c r="O117" s="152">
        <f t="shared" si="23"/>
        <v>589653.03876201098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>
        <v>41843</v>
      </c>
      <c r="I118" s="152"/>
      <c r="J118" s="157"/>
      <c r="K118" s="154" t="s">
        <v>1965</v>
      </c>
      <c r="L118" s="227">
        <v>13303.4</v>
      </c>
      <c r="M118" s="157" t="s">
        <v>1947</v>
      </c>
      <c r="N118" s="152">
        <f t="shared" si="22"/>
        <v>282957.78776201076</v>
      </c>
      <c r="O118" s="152">
        <f t="shared" si="23"/>
        <v>576349.63876201096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>
        <v>41843</v>
      </c>
      <c r="I119" s="152"/>
      <c r="J119" s="157"/>
      <c r="K119" s="154" t="s">
        <v>1965</v>
      </c>
      <c r="L119" s="227">
        <v>12690.15</v>
      </c>
      <c r="M119" s="157" t="s">
        <v>1947</v>
      </c>
      <c r="N119" s="152">
        <f t="shared" si="18"/>
        <v>270267.63776201074</v>
      </c>
      <c r="O119" s="152">
        <f t="shared" si="19"/>
        <v>563659.48876201094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>
        <v>41843</v>
      </c>
      <c r="I120" s="152"/>
      <c r="J120" s="157"/>
      <c r="K120" s="154" t="s">
        <v>1965</v>
      </c>
      <c r="L120" s="227">
        <v>15927.46</v>
      </c>
      <c r="M120" s="157" t="s">
        <v>1947</v>
      </c>
      <c r="N120" s="152">
        <f t="shared" si="18"/>
        <v>254340.17776201075</v>
      </c>
      <c r="O120" s="152">
        <f t="shared" si="19"/>
        <v>547732.02876201097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>
        <v>41843</v>
      </c>
      <c r="I121" s="152"/>
      <c r="J121" s="157"/>
      <c r="K121" s="154" t="s">
        <v>1965</v>
      </c>
      <c r="L121" s="227">
        <v>1194.48</v>
      </c>
      <c r="M121" s="157" t="s">
        <v>1947</v>
      </c>
      <c r="N121" s="152">
        <f t="shared" si="18"/>
        <v>253145.69776201074</v>
      </c>
      <c r="O121" s="152">
        <f t="shared" si="19"/>
        <v>546537.54876201099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>
        <v>41843</v>
      </c>
      <c r="I122" s="152"/>
      <c r="J122" s="157"/>
      <c r="K122" s="154" t="s">
        <v>1965</v>
      </c>
      <c r="L122" s="227">
        <v>12294.99</v>
      </c>
      <c r="M122" s="157" t="s">
        <v>1947</v>
      </c>
      <c r="N122" s="152">
        <f t="shared" si="18"/>
        <v>240850.70776201074</v>
      </c>
      <c r="O122" s="152">
        <f t="shared" si="19"/>
        <v>534242.558762011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>
        <v>41843</v>
      </c>
      <c r="I123" s="152"/>
      <c r="J123" s="157"/>
      <c r="K123" s="154" t="s">
        <v>1965</v>
      </c>
      <c r="L123" s="227">
        <v>37965.4</v>
      </c>
      <c r="M123" s="157" t="s">
        <v>1947</v>
      </c>
      <c r="N123" s="152">
        <f t="shared" si="18"/>
        <v>202885.30776201075</v>
      </c>
      <c r="O123" s="152">
        <f t="shared" si="19"/>
        <v>496277.15876201098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>
        <v>41843</v>
      </c>
      <c r="I124" s="152"/>
      <c r="J124" s="157"/>
      <c r="K124" s="154" t="s">
        <v>1965</v>
      </c>
      <c r="L124" s="227">
        <v>13355.42</v>
      </c>
      <c r="M124" s="157" t="s">
        <v>1947</v>
      </c>
      <c r="N124" s="152">
        <f t="shared" si="18"/>
        <v>189529.88776201074</v>
      </c>
      <c r="O124" s="152">
        <f t="shared" si="19"/>
        <v>482921.73876201099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>
        <v>41843</v>
      </c>
      <c r="I125" s="152"/>
      <c r="J125" s="157"/>
      <c r="K125" s="154" t="s">
        <v>1965</v>
      </c>
      <c r="L125" s="227">
        <v>14220.88</v>
      </c>
      <c r="M125" s="157" t="s">
        <v>1947</v>
      </c>
      <c r="N125" s="152">
        <f t="shared" si="18"/>
        <v>175309.00776201073</v>
      </c>
      <c r="O125" s="152">
        <f t="shared" si="19"/>
        <v>468700.85876201099</v>
      </c>
    </row>
    <row r="126" spans="1:15" x14ac:dyDescent="0.15">
      <c r="A126" s="154"/>
      <c r="B126" s="151"/>
      <c r="C126" s="152"/>
      <c r="D126" s="323">
        <v>41844</v>
      </c>
      <c r="E126" s="154" t="s">
        <v>72</v>
      </c>
      <c r="F126" s="157" t="s">
        <v>1949</v>
      </c>
      <c r="G126" s="152">
        <v>132102.97500000001</v>
      </c>
      <c r="H126" s="323">
        <v>41844</v>
      </c>
      <c r="I126" s="152">
        <v>8718.9399999999987</v>
      </c>
      <c r="J126" s="157" t="s">
        <v>1947</v>
      </c>
      <c r="K126" s="154" t="s">
        <v>1965</v>
      </c>
      <c r="L126" s="227">
        <v>13292.04</v>
      </c>
      <c r="M126" s="157" t="s">
        <v>1947</v>
      </c>
      <c r="N126" s="152">
        <f t="shared" si="18"/>
        <v>153298.02776201072</v>
      </c>
      <c r="O126" s="152">
        <f t="shared" si="19"/>
        <v>578792.85376201104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>
        <v>41844</v>
      </c>
      <c r="I127" s="152"/>
      <c r="J127" s="157"/>
      <c r="K127" s="154" t="s">
        <v>1965</v>
      </c>
      <c r="L127" s="227">
        <v>13222.02</v>
      </c>
      <c r="M127" s="157" t="s">
        <v>1947</v>
      </c>
      <c r="N127" s="152">
        <f t="shared" si="18"/>
        <v>140076.00776201073</v>
      </c>
      <c r="O127" s="152">
        <f t="shared" si="19"/>
        <v>565570.83376201103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>
        <v>41844</v>
      </c>
      <c r="I128" s="152"/>
      <c r="J128" s="157"/>
      <c r="K128" s="154" t="s">
        <v>1965</v>
      </c>
      <c r="L128" s="227">
        <v>1215.3699999999999</v>
      </c>
      <c r="M128" s="157" t="s">
        <v>1947</v>
      </c>
      <c r="N128" s="152">
        <f t="shared" si="18"/>
        <v>138860.63776201074</v>
      </c>
      <c r="O128" s="152">
        <f t="shared" si="19"/>
        <v>564355.46376201103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>
        <v>41844</v>
      </c>
      <c r="I129" s="152"/>
      <c r="J129" s="157"/>
      <c r="K129" s="154" t="s">
        <v>1965</v>
      </c>
      <c r="L129" s="227">
        <v>40752.39</v>
      </c>
      <c r="M129" s="157" t="s">
        <v>1947</v>
      </c>
      <c r="N129" s="152">
        <f t="shared" si="18"/>
        <v>98108.247762010738</v>
      </c>
      <c r="O129" s="152">
        <f t="shared" si="19"/>
        <v>523603.07376201102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>
        <v>41844</v>
      </c>
      <c r="I130" s="152"/>
      <c r="J130" s="157"/>
      <c r="K130" s="154" t="s">
        <v>1965</v>
      </c>
      <c r="L130" s="227">
        <v>13482.06</v>
      </c>
      <c r="M130" s="157" t="s">
        <v>1947</v>
      </c>
      <c r="N130" s="152">
        <f t="shared" si="18"/>
        <v>84626.187762010741</v>
      </c>
      <c r="O130" s="152">
        <f t="shared" si="19"/>
        <v>510121.01376201102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>
        <v>41844</v>
      </c>
      <c r="I131" s="152"/>
      <c r="J131" s="157"/>
      <c r="K131" s="154" t="s">
        <v>1965</v>
      </c>
      <c r="L131" s="227">
        <v>13186.3</v>
      </c>
      <c r="M131" s="157" t="s">
        <v>1947</v>
      </c>
      <c r="N131" s="152">
        <f t="shared" si="18"/>
        <v>71439.887762010738</v>
      </c>
      <c r="O131" s="152">
        <f t="shared" si="19"/>
        <v>496934.71376201103</v>
      </c>
    </row>
    <row r="132" spans="1:15" x14ac:dyDescent="0.15">
      <c r="A132" s="154"/>
      <c r="B132" s="151"/>
      <c r="C132" s="152"/>
      <c r="D132" s="323">
        <v>41845</v>
      </c>
      <c r="E132" s="154" t="s">
        <v>72</v>
      </c>
      <c r="F132" s="157" t="s">
        <v>1949</v>
      </c>
      <c r="G132" s="152">
        <v>83819.171999999788</v>
      </c>
      <c r="H132" s="323">
        <v>41845</v>
      </c>
      <c r="I132" s="152">
        <v>7879.8</v>
      </c>
      <c r="J132" s="157" t="s">
        <v>1947</v>
      </c>
      <c r="K132" s="154" t="s">
        <v>1965</v>
      </c>
      <c r="L132" s="227">
        <v>13805.59</v>
      </c>
      <c r="M132" s="157" t="s">
        <v>1947</v>
      </c>
      <c r="N132" s="152">
        <f t="shared" si="18"/>
        <v>49754.497762010738</v>
      </c>
      <c r="O132" s="152">
        <f t="shared" si="19"/>
        <v>559068.4957620108</v>
      </c>
    </row>
    <row r="133" spans="1:15" x14ac:dyDescent="0.15">
      <c r="A133" s="154"/>
      <c r="B133" s="151"/>
      <c r="C133" s="152"/>
      <c r="D133" s="323">
        <v>41845</v>
      </c>
      <c r="E133" s="154" t="s">
        <v>72</v>
      </c>
      <c r="F133" s="157" t="s">
        <v>1950</v>
      </c>
      <c r="G133" s="152">
        <v>4293.1270000002096</v>
      </c>
      <c r="H133" s="323">
        <v>41845</v>
      </c>
      <c r="I133" s="152"/>
      <c r="J133" s="157"/>
      <c r="K133" s="154" t="s">
        <v>1965</v>
      </c>
      <c r="L133" s="227">
        <v>11383.07</v>
      </c>
      <c r="M133" s="157" t="s">
        <v>1947</v>
      </c>
      <c r="N133" s="152">
        <f t="shared" si="18"/>
        <v>38371.427762010739</v>
      </c>
      <c r="O133" s="152">
        <f t="shared" si="19"/>
        <v>551978.55276201107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>
        <v>41845</v>
      </c>
      <c r="I134" s="152"/>
      <c r="J134" s="157"/>
      <c r="K134" s="154" t="s">
        <v>1965</v>
      </c>
      <c r="L134" s="227">
        <v>12699.26</v>
      </c>
      <c r="M134" s="157" t="s">
        <v>1947</v>
      </c>
      <c r="N134" s="152">
        <f t="shared" si="18"/>
        <v>25672.167762010737</v>
      </c>
      <c r="O134" s="152">
        <f t="shared" si="19"/>
        <v>539279.29276201106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>
        <v>41845</v>
      </c>
      <c r="I135" s="152"/>
      <c r="J135" s="157"/>
      <c r="K135" s="154" t="s">
        <v>1965</v>
      </c>
      <c r="L135" s="227">
        <v>14990.87</v>
      </c>
      <c r="M135" s="157" t="s">
        <v>1947</v>
      </c>
      <c r="N135" s="152">
        <f t="shared" si="18"/>
        <v>10681.297762010736</v>
      </c>
      <c r="O135" s="152">
        <f t="shared" si="19"/>
        <v>524288.42276201106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>
        <v>41845</v>
      </c>
      <c r="I136" s="152"/>
      <c r="J136" s="157"/>
      <c r="K136" s="154" t="s">
        <v>1965</v>
      </c>
      <c r="L136" s="227">
        <v>10681.297762010736</v>
      </c>
      <c r="M136" s="157" t="s">
        <v>1947</v>
      </c>
      <c r="N136" s="152">
        <f t="shared" si="18"/>
        <v>0</v>
      </c>
      <c r="O136" s="152">
        <f t="shared" si="19"/>
        <v>513607.12500000035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>
        <v>41845</v>
      </c>
      <c r="I137" s="152"/>
      <c r="J137" s="157"/>
      <c r="K137" s="154" t="s">
        <v>1964</v>
      </c>
      <c r="L137" s="227">
        <v>1291.4122379892599</v>
      </c>
      <c r="M137" s="157" t="s">
        <v>1948</v>
      </c>
      <c r="N137" s="152">
        <f>G106+G109+G115+N136-I137-L137</f>
        <v>292100.43876201101</v>
      </c>
      <c r="O137" s="152">
        <f t="shared" ref="O137:O140" si="24">O136+G137-I137-L137</f>
        <v>512315.7127620111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>
        <v>41845</v>
      </c>
      <c r="I138" s="152"/>
      <c r="J138" s="157"/>
      <c r="K138" s="154" t="s">
        <v>1964</v>
      </c>
      <c r="L138" s="227">
        <v>13308.89</v>
      </c>
      <c r="M138" s="157" t="s">
        <v>1948</v>
      </c>
      <c r="N138" s="152">
        <f t="shared" ref="N138:N140" si="25">+N137-I138-L138</f>
        <v>278791.54876201099</v>
      </c>
      <c r="O138" s="152">
        <f t="shared" si="24"/>
        <v>499006.82276201108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>
        <v>41845</v>
      </c>
      <c r="I139" s="152"/>
      <c r="J139" s="157"/>
      <c r="K139" s="154" t="s">
        <v>1964</v>
      </c>
      <c r="L139" s="227">
        <v>13708.43</v>
      </c>
      <c r="M139" s="157" t="s">
        <v>1948</v>
      </c>
      <c r="N139" s="152">
        <f t="shared" si="25"/>
        <v>265083.118762011</v>
      </c>
      <c r="O139" s="152">
        <f t="shared" si="24"/>
        <v>485298.39276201109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>
        <v>41845</v>
      </c>
      <c r="I140" s="152"/>
      <c r="J140" s="157"/>
      <c r="K140" s="154" t="s">
        <v>1964</v>
      </c>
      <c r="L140" s="227">
        <v>27818.71</v>
      </c>
      <c r="M140" s="157" t="s">
        <v>1948</v>
      </c>
      <c r="N140" s="152">
        <f t="shared" si="25"/>
        <v>237264.40876201101</v>
      </c>
      <c r="O140" s="152">
        <f t="shared" si="24"/>
        <v>457479.68276201107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>
        <v>41845</v>
      </c>
      <c r="I141" s="152"/>
      <c r="J141" s="157"/>
      <c r="K141" s="154" t="s">
        <v>1964</v>
      </c>
      <c r="L141" s="227">
        <v>16398.34</v>
      </c>
      <c r="M141" s="157" t="s">
        <v>1948</v>
      </c>
      <c r="N141" s="152">
        <f t="shared" si="18"/>
        <v>220866.06876201101</v>
      </c>
      <c r="O141" s="152">
        <f t="shared" si="19"/>
        <v>441081.34276201105</v>
      </c>
    </row>
    <row r="142" spans="1:15" x14ac:dyDescent="0.15">
      <c r="A142" s="154"/>
      <c r="B142" s="151"/>
      <c r="C142" s="152"/>
      <c r="D142" s="323">
        <v>41846</v>
      </c>
      <c r="E142" s="154" t="s">
        <v>72</v>
      </c>
      <c r="F142" s="157" t="s">
        <v>1950</v>
      </c>
      <c r="G142" s="152">
        <v>176162.00200000001</v>
      </c>
      <c r="H142" s="323">
        <v>41846</v>
      </c>
      <c r="I142" s="152">
        <v>13720.86</v>
      </c>
      <c r="J142" s="157" t="s">
        <v>1948</v>
      </c>
      <c r="K142" s="154" t="s">
        <v>1964</v>
      </c>
      <c r="L142" s="227">
        <v>12719.67</v>
      </c>
      <c r="M142" s="157" t="s">
        <v>1948</v>
      </c>
      <c r="N142" s="152">
        <f t="shared" si="18"/>
        <v>194425.53876201101</v>
      </c>
      <c r="O142" s="152">
        <f t="shared" si="19"/>
        <v>590802.81476201105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>
        <v>41846</v>
      </c>
      <c r="I143" s="152"/>
      <c r="J143" s="157"/>
      <c r="K143" s="154" t="s">
        <v>1964</v>
      </c>
      <c r="L143" s="227">
        <v>13366.14</v>
      </c>
      <c r="M143" s="157" t="s">
        <v>1948</v>
      </c>
      <c r="N143" s="152">
        <f t="shared" si="18"/>
        <v>181059.39876201103</v>
      </c>
      <c r="O143" s="152">
        <f t="shared" si="19"/>
        <v>577436.67476201104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>
        <v>41846</v>
      </c>
      <c r="I144" s="152"/>
      <c r="J144" s="157"/>
      <c r="K144" s="154" t="s">
        <v>1964</v>
      </c>
      <c r="L144" s="227">
        <v>36370.46</v>
      </c>
      <c r="M144" s="157" t="s">
        <v>1948</v>
      </c>
      <c r="N144" s="152">
        <f t="shared" si="18"/>
        <v>144688.93876201104</v>
      </c>
      <c r="O144" s="152">
        <f t="shared" si="19"/>
        <v>541066.21476201108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>
        <v>41846</v>
      </c>
      <c r="I145" s="152"/>
      <c r="J145" s="157"/>
      <c r="K145" s="154" t="s">
        <v>1964</v>
      </c>
      <c r="L145" s="227">
        <v>13882.72</v>
      </c>
      <c r="M145" s="157" t="s">
        <v>1948</v>
      </c>
      <c r="N145" s="152">
        <f t="shared" si="18"/>
        <v>130806.21876201103</v>
      </c>
      <c r="O145" s="152">
        <f t="shared" si="19"/>
        <v>527183.49476201111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>
        <v>41846</v>
      </c>
      <c r="I146" s="152"/>
      <c r="J146" s="157"/>
      <c r="K146" s="154" t="s">
        <v>1964</v>
      </c>
      <c r="L146" s="227">
        <v>179.85</v>
      </c>
      <c r="M146" s="157" t="s">
        <v>1948</v>
      </c>
      <c r="N146" s="152">
        <f t="shared" si="18"/>
        <v>130626.36876201103</v>
      </c>
      <c r="O146" s="152">
        <f t="shared" si="19"/>
        <v>527003.64476201113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>
        <v>41847</v>
      </c>
      <c r="I147" s="152">
        <v>3889.6000000000004</v>
      </c>
      <c r="J147" s="157" t="s">
        <v>1948</v>
      </c>
      <c r="K147" s="154" t="s">
        <v>1964</v>
      </c>
      <c r="L147" s="227">
        <v>11100.59</v>
      </c>
      <c r="M147" s="157" t="s">
        <v>1948</v>
      </c>
      <c r="N147" s="152">
        <f t="shared" si="18"/>
        <v>115636.17876201103</v>
      </c>
      <c r="O147" s="152">
        <f t="shared" si="19"/>
        <v>512013.45476201113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>
        <v>41847</v>
      </c>
      <c r="I148" s="152"/>
      <c r="J148" s="157"/>
      <c r="K148" s="154" t="s">
        <v>1964</v>
      </c>
      <c r="L148" s="227">
        <v>12740.08</v>
      </c>
      <c r="M148" s="157" t="s">
        <v>1948</v>
      </c>
      <c r="N148" s="152">
        <f t="shared" ref="N148:N183" si="26">+N147-I148-L148</f>
        <v>102896.09876201102</v>
      </c>
      <c r="O148" s="152">
        <f t="shared" ref="O148:O183" si="27">O147+G148-I148-L148</f>
        <v>499273.37476201111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>
        <v>41847</v>
      </c>
      <c r="I149" s="152"/>
      <c r="J149" s="157"/>
      <c r="K149" s="154" t="s">
        <v>1964</v>
      </c>
      <c r="L149" s="227">
        <v>14357.52</v>
      </c>
      <c r="M149" s="157" t="s">
        <v>1948</v>
      </c>
      <c r="N149" s="152">
        <f t="shared" si="26"/>
        <v>88538.57876201102</v>
      </c>
      <c r="O149" s="152">
        <f t="shared" si="27"/>
        <v>484915.85476201109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>
        <v>41847</v>
      </c>
      <c r="I150" s="152"/>
      <c r="J150" s="157"/>
      <c r="K150" s="154" t="s">
        <v>1964</v>
      </c>
      <c r="L150" s="227">
        <v>15119.14</v>
      </c>
      <c r="M150" s="157" t="s">
        <v>1948</v>
      </c>
      <c r="N150" s="152">
        <f t="shared" si="26"/>
        <v>73419.438762011021</v>
      </c>
      <c r="O150" s="152">
        <f t="shared" si="27"/>
        <v>469796.71476201108</v>
      </c>
    </row>
    <row r="151" spans="1:15" x14ac:dyDescent="0.15">
      <c r="A151" s="154"/>
      <c r="B151" s="151"/>
      <c r="C151" s="152"/>
      <c r="D151" s="323"/>
      <c r="E151" s="155"/>
      <c r="F151" s="157"/>
      <c r="G151" s="152"/>
      <c r="H151" s="323">
        <v>41847</v>
      </c>
      <c r="I151" s="152"/>
      <c r="J151" s="157"/>
      <c r="K151" s="154" t="s">
        <v>1964</v>
      </c>
      <c r="L151" s="227">
        <v>40616.33</v>
      </c>
      <c r="M151" s="157" t="s">
        <v>1948</v>
      </c>
      <c r="N151" s="152">
        <f t="shared" si="26"/>
        <v>32803.108762011019</v>
      </c>
      <c r="O151" s="152">
        <f t="shared" si="27"/>
        <v>429180.38476201106</v>
      </c>
    </row>
    <row r="152" spans="1:15" x14ac:dyDescent="0.15">
      <c r="A152" s="154"/>
      <c r="B152" s="151"/>
      <c r="C152" s="152"/>
      <c r="D152" s="323"/>
      <c r="E152" s="155"/>
      <c r="F152" s="157"/>
      <c r="G152" s="152"/>
      <c r="H152" s="323">
        <v>41847</v>
      </c>
      <c r="I152" s="152"/>
      <c r="J152" s="157"/>
      <c r="K152" s="154" t="s">
        <v>1964</v>
      </c>
      <c r="L152" s="227">
        <v>13336.69</v>
      </c>
      <c r="M152" s="157" t="s">
        <v>1948</v>
      </c>
      <c r="N152" s="152">
        <f t="shared" si="26"/>
        <v>19466.418762011017</v>
      </c>
      <c r="O152" s="152">
        <f t="shared" si="27"/>
        <v>415843.69476201106</v>
      </c>
    </row>
    <row r="153" spans="1:15" x14ac:dyDescent="0.15">
      <c r="A153" s="154"/>
      <c r="B153" s="151"/>
      <c r="C153" s="152"/>
      <c r="D153" s="323"/>
      <c r="E153" s="155"/>
      <c r="F153" s="157"/>
      <c r="G153" s="152"/>
      <c r="H153" s="323">
        <v>41847</v>
      </c>
      <c r="I153" s="152"/>
      <c r="J153" s="157"/>
      <c r="K153" s="154" t="s">
        <v>1964</v>
      </c>
      <c r="L153" s="227">
        <v>13512.08</v>
      </c>
      <c r="M153" s="157" t="s">
        <v>1948</v>
      </c>
      <c r="N153" s="152">
        <f t="shared" si="26"/>
        <v>5954.338762011017</v>
      </c>
      <c r="O153" s="152">
        <f t="shared" si="27"/>
        <v>402331.61476201104</v>
      </c>
    </row>
    <row r="154" spans="1:15" x14ac:dyDescent="0.15">
      <c r="A154" s="154"/>
      <c r="B154" s="151"/>
      <c r="C154" s="152"/>
      <c r="D154" s="323"/>
      <c r="E154" s="155"/>
      <c r="F154" s="154"/>
      <c r="G154" s="152"/>
      <c r="H154" s="323">
        <v>41847</v>
      </c>
      <c r="I154" s="152"/>
      <c r="J154" s="157"/>
      <c r="K154" s="154" t="s">
        <v>1964</v>
      </c>
      <c r="L154" s="227">
        <v>5954.338762011017</v>
      </c>
      <c r="M154" s="157" t="s">
        <v>1948</v>
      </c>
      <c r="N154" s="152">
        <f t="shared" si="26"/>
        <v>0</v>
      </c>
      <c r="O154" s="152">
        <f t="shared" si="27"/>
        <v>396377.27600000001</v>
      </c>
    </row>
    <row r="155" spans="1:15" x14ac:dyDescent="0.15">
      <c r="A155" s="154"/>
      <c r="B155" s="151"/>
      <c r="C155" s="152"/>
      <c r="D155" s="323"/>
      <c r="E155" s="155"/>
      <c r="F155" s="154"/>
      <c r="G155" s="152"/>
      <c r="H155" s="323">
        <v>41847</v>
      </c>
      <c r="I155" s="152"/>
      <c r="J155" s="157"/>
      <c r="K155" s="154" t="s">
        <v>1965</v>
      </c>
      <c r="L155" s="227">
        <v>10001.181237989</v>
      </c>
      <c r="M155" s="157" t="s">
        <v>1949</v>
      </c>
      <c r="N155" s="152">
        <f>G126+G132+N154-I155-L155</f>
        <v>205920.9657620108</v>
      </c>
      <c r="O155" s="152">
        <f t="shared" si="27"/>
        <v>386376.09476201102</v>
      </c>
    </row>
    <row r="156" spans="1:15" x14ac:dyDescent="0.15">
      <c r="A156" s="154"/>
      <c r="B156" s="151"/>
      <c r="C156" s="152"/>
      <c r="D156" s="323">
        <v>41848</v>
      </c>
      <c r="E156" s="154" t="s">
        <v>72</v>
      </c>
      <c r="F156" s="157" t="s">
        <v>1950</v>
      </c>
      <c r="G156" s="152">
        <v>199445.70999999982</v>
      </c>
      <c r="H156" s="323">
        <v>41848</v>
      </c>
      <c r="I156" s="152">
        <v>8958.82</v>
      </c>
      <c r="J156" s="157" t="s">
        <v>1949</v>
      </c>
      <c r="K156" s="154" t="s">
        <v>1965</v>
      </c>
      <c r="L156" s="227">
        <v>13236.8</v>
      </c>
      <c r="M156" s="157" t="s">
        <v>1949</v>
      </c>
      <c r="N156" s="152">
        <f t="shared" si="26"/>
        <v>183725.34576201081</v>
      </c>
      <c r="O156" s="152">
        <f t="shared" si="27"/>
        <v>563626.18476201082</v>
      </c>
    </row>
    <row r="157" spans="1:15" x14ac:dyDescent="0.15">
      <c r="A157" s="154"/>
      <c r="B157" s="151"/>
      <c r="C157" s="152"/>
      <c r="D157" s="323">
        <v>41848</v>
      </c>
      <c r="E157" s="154" t="s">
        <v>72</v>
      </c>
      <c r="F157" s="157" t="s">
        <v>1951</v>
      </c>
      <c r="G157" s="152">
        <v>23613.933000000201</v>
      </c>
      <c r="H157" s="323">
        <v>41848</v>
      </c>
      <c r="I157" s="152"/>
      <c r="J157" s="157"/>
      <c r="K157" s="154" t="s">
        <v>1965</v>
      </c>
      <c r="L157" s="227">
        <v>15825.04</v>
      </c>
      <c r="M157" s="157" t="s">
        <v>1949</v>
      </c>
      <c r="N157" s="152">
        <f t="shared" si="26"/>
        <v>167900.3057620108</v>
      </c>
      <c r="O157" s="152">
        <f t="shared" si="27"/>
        <v>571415.07776201097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>
        <v>41848</v>
      </c>
      <c r="I158" s="152"/>
      <c r="J158" s="157"/>
      <c r="K158" s="154" t="s">
        <v>1965</v>
      </c>
      <c r="L158" s="227">
        <v>45702.53</v>
      </c>
      <c r="M158" s="157" t="s">
        <v>1949</v>
      </c>
      <c r="N158" s="152">
        <f t="shared" si="26"/>
        <v>122197.7757620108</v>
      </c>
      <c r="O158" s="152">
        <f t="shared" si="27"/>
        <v>525712.54776201095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>
        <v>41848</v>
      </c>
      <c r="I159" s="152"/>
      <c r="J159" s="157"/>
      <c r="K159" s="154" t="s">
        <v>1965</v>
      </c>
      <c r="L159" s="227">
        <v>10020.290000000001</v>
      </c>
      <c r="M159" s="157" t="s">
        <v>1949</v>
      </c>
      <c r="N159" s="152">
        <f t="shared" si="26"/>
        <v>112177.48576201079</v>
      </c>
      <c r="O159" s="152">
        <f t="shared" si="27"/>
        <v>515692.25776201097</v>
      </c>
    </row>
    <row r="160" spans="1:15" x14ac:dyDescent="0.15">
      <c r="A160" s="154"/>
      <c r="B160" s="151"/>
      <c r="C160" s="152"/>
      <c r="D160" s="323"/>
      <c r="E160" s="155"/>
      <c r="F160" s="157"/>
      <c r="G160" s="152"/>
      <c r="H160" s="323">
        <v>41848</v>
      </c>
      <c r="I160" s="152"/>
      <c r="J160" s="157"/>
      <c r="K160" s="154" t="s">
        <v>1965</v>
      </c>
      <c r="L160" s="227">
        <v>13999.76</v>
      </c>
      <c r="M160" s="157" t="s">
        <v>1949</v>
      </c>
      <c r="N160" s="152">
        <f t="shared" si="26"/>
        <v>98177.725762010799</v>
      </c>
      <c r="O160" s="152">
        <f t="shared" si="27"/>
        <v>501692.49776201096</v>
      </c>
    </row>
    <row r="161" spans="1:15" x14ac:dyDescent="0.15">
      <c r="A161" s="154"/>
      <c r="B161" s="151"/>
      <c r="C161" s="152"/>
      <c r="D161" s="323">
        <v>41849</v>
      </c>
      <c r="E161" s="154" t="s">
        <v>72</v>
      </c>
      <c r="F161" s="157" t="s">
        <v>1951</v>
      </c>
      <c r="G161" s="152">
        <v>88071.353000000003</v>
      </c>
      <c r="H161" s="323">
        <v>41849</v>
      </c>
      <c r="I161" s="152">
        <v>2281.62</v>
      </c>
      <c r="J161" s="157" t="s">
        <v>1949</v>
      </c>
      <c r="K161" s="154" t="s">
        <v>1965</v>
      </c>
      <c r="L161" s="227">
        <v>16001</v>
      </c>
      <c r="M161" s="157" t="s">
        <v>1949</v>
      </c>
      <c r="N161" s="152">
        <f t="shared" si="26"/>
        <v>79895.105762010804</v>
      </c>
      <c r="O161" s="152">
        <f t="shared" si="27"/>
        <v>571481.23076201102</v>
      </c>
    </row>
    <row r="162" spans="1:15" ht="12.75" customHeight="1" x14ac:dyDescent="0.15">
      <c r="A162" s="154"/>
      <c r="B162" s="151"/>
      <c r="C162" s="152"/>
      <c r="D162" s="323"/>
      <c r="E162" s="154"/>
      <c r="F162" s="157"/>
      <c r="G162" s="152"/>
      <c r="H162" s="323">
        <v>41849</v>
      </c>
      <c r="I162" s="152"/>
      <c r="J162" s="157"/>
      <c r="K162" s="154" t="s">
        <v>1965</v>
      </c>
      <c r="L162" s="227">
        <v>24349.31</v>
      </c>
      <c r="M162" s="157" t="s">
        <v>1949</v>
      </c>
      <c r="N162" s="152">
        <f t="shared" si="26"/>
        <v>55545.795762010806</v>
      </c>
      <c r="O162" s="152">
        <f t="shared" si="27"/>
        <v>547131.92076201097</v>
      </c>
    </row>
    <row r="163" spans="1:15" ht="12.75" customHeight="1" x14ac:dyDescent="0.15">
      <c r="A163" s="154"/>
      <c r="B163" s="151"/>
      <c r="C163" s="152"/>
      <c r="D163" s="323"/>
      <c r="E163" s="155"/>
      <c r="F163" s="157"/>
      <c r="G163" s="152"/>
      <c r="H163" s="323">
        <v>41849</v>
      </c>
      <c r="I163" s="152"/>
      <c r="J163" s="157"/>
      <c r="K163" s="154" t="s">
        <v>1965</v>
      </c>
      <c r="L163" s="227">
        <v>14191.74</v>
      </c>
      <c r="M163" s="157" t="s">
        <v>1949</v>
      </c>
      <c r="N163" s="152">
        <f t="shared" si="26"/>
        <v>41354.055762010808</v>
      </c>
      <c r="O163" s="152">
        <f t="shared" si="27"/>
        <v>532940.18076201098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>
        <v>41849</v>
      </c>
      <c r="I164" s="152"/>
      <c r="J164" s="154"/>
      <c r="K164" s="154" t="s">
        <v>1965</v>
      </c>
      <c r="L164" s="227">
        <v>13321.98</v>
      </c>
      <c r="M164" s="157" t="s">
        <v>1949</v>
      </c>
      <c r="N164" s="152">
        <f t="shared" si="26"/>
        <v>28032.075762010809</v>
      </c>
      <c r="O164" s="152">
        <f t="shared" si="27"/>
        <v>519618.20076201099</v>
      </c>
    </row>
    <row r="165" spans="1:15" x14ac:dyDescent="0.15">
      <c r="A165" s="154"/>
      <c r="B165" s="151"/>
      <c r="C165" s="152"/>
      <c r="D165" s="323"/>
      <c r="E165" s="155"/>
      <c r="F165" s="157"/>
      <c r="G165" s="152"/>
      <c r="H165" s="323">
        <v>41849</v>
      </c>
      <c r="I165" s="152"/>
      <c r="J165" s="154"/>
      <c r="K165" s="154" t="s">
        <v>1965</v>
      </c>
      <c r="L165" s="227">
        <v>28032.075762010809</v>
      </c>
      <c r="M165" s="157" t="s">
        <v>1949</v>
      </c>
      <c r="N165" s="152">
        <f t="shared" si="26"/>
        <v>0</v>
      </c>
      <c r="O165" s="152">
        <f t="shared" si="27"/>
        <v>491586.12500000017</v>
      </c>
    </row>
    <row r="166" spans="1:15" x14ac:dyDescent="0.15">
      <c r="A166" s="154"/>
      <c r="B166" s="151"/>
      <c r="C166" s="152"/>
      <c r="D166" s="323"/>
      <c r="E166" s="155"/>
      <c r="F166" s="157"/>
      <c r="G166" s="152"/>
      <c r="H166" s="323">
        <v>41849</v>
      </c>
      <c r="I166" s="152"/>
      <c r="J166" s="154"/>
      <c r="K166" s="154" t="s">
        <v>1964</v>
      </c>
      <c r="L166" s="227">
        <v>12870.7442379892</v>
      </c>
      <c r="M166" s="157" t="s">
        <v>1950</v>
      </c>
      <c r="N166" s="152">
        <f>G133+G142+G156+N165-I166-L166</f>
        <v>367030.09476201085</v>
      </c>
      <c r="O166" s="152">
        <f t="shared" si="27"/>
        <v>478715.38076201099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>
        <v>41849</v>
      </c>
      <c r="I167" s="152"/>
      <c r="J167" s="154"/>
      <c r="K167" s="154" t="s">
        <v>1964</v>
      </c>
      <c r="L167" s="227">
        <v>14649.14</v>
      </c>
      <c r="M167" s="154" t="s">
        <v>1950</v>
      </c>
      <c r="N167" s="152">
        <f t="shared" si="26"/>
        <v>352380.95476201084</v>
      </c>
      <c r="O167" s="152">
        <f t="shared" si="27"/>
        <v>464066.24076201097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>
        <v>41849</v>
      </c>
      <c r="I168" s="152"/>
      <c r="J168" s="154"/>
      <c r="K168" s="154" t="s">
        <v>1964</v>
      </c>
      <c r="L168" s="227">
        <v>14297.4</v>
      </c>
      <c r="M168" s="157" t="s">
        <v>1950</v>
      </c>
      <c r="N168" s="152">
        <f t="shared" si="26"/>
        <v>338083.55476201081</v>
      </c>
      <c r="O168" s="152">
        <f t="shared" si="27"/>
        <v>449768.84076201095</v>
      </c>
    </row>
    <row r="169" spans="1:15" x14ac:dyDescent="0.15">
      <c r="A169" s="154"/>
      <c r="B169" s="151"/>
      <c r="C169" s="152"/>
      <c r="D169" s="323"/>
      <c r="E169" s="155"/>
      <c r="F169" s="157"/>
      <c r="G169" s="152"/>
      <c r="H169" s="323">
        <v>41849</v>
      </c>
      <c r="I169" s="152"/>
      <c r="J169" s="157"/>
      <c r="K169" s="154" t="s">
        <v>1964</v>
      </c>
      <c r="L169" s="227">
        <v>1701.62</v>
      </c>
      <c r="M169" s="157" t="s">
        <v>1950</v>
      </c>
      <c r="N169" s="152">
        <f t="shared" si="26"/>
        <v>336381.93476201082</v>
      </c>
      <c r="O169" s="152">
        <f t="shared" si="27"/>
        <v>448067.22076201095</v>
      </c>
    </row>
    <row r="170" spans="1:15" x14ac:dyDescent="0.15">
      <c r="A170" s="154"/>
      <c r="B170" s="151"/>
      <c r="C170" s="152"/>
      <c r="D170" s="323"/>
      <c r="E170" s="155"/>
      <c r="F170" s="157"/>
      <c r="G170" s="152"/>
      <c r="H170" s="323">
        <v>41849</v>
      </c>
      <c r="I170" s="152"/>
      <c r="J170" s="157"/>
      <c r="K170" s="154" t="s">
        <v>1964</v>
      </c>
      <c r="L170" s="227">
        <v>3997.5</v>
      </c>
      <c r="M170" s="157" t="s">
        <v>1950</v>
      </c>
      <c r="N170" s="152">
        <f t="shared" si="26"/>
        <v>332384.43476201082</v>
      </c>
      <c r="O170" s="152">
        <f t="shared" si="27"/>
        <v>444069.72076201095</v>
      </c>
    </row>
    <row r="171" spans="1:15" x14ac:dyDescent="0.15">
      <c r="A171" s="154"/>
      <c r="B171" s="151"/>
      <c r="C171" s="152"/>
      <c r="D171" s="323"/>
      <c r="E171" s="155"/>
      <c r="F171" s="157"/>
      <c r="G171" s="152"/>
      <c r="H171" s="323">
        <v>41849</v>
      </c>
      <c r="I171" s="152"/>
      <c r="J171" s="157"/>
      <c r="K171" s="154" t="s">
        <v>1964</v>
      </c>
      <c r="L171" s="227">
        <v>24141.32</v>
      </c>
      <c r="M171" s="157" t="s">
        <v>1950</v>
      </c>
      <c r="N171" s="152">
        <f t="shared" si="26"/>
        <v>308243.11476201081</v>
      </c>
      <c r="O171" s="152">
        <f t="shared" si="27"/>
        <v>419928.40076201095</v>
      </c>
    </row>
    <row r="172" spans="1:15" x14ac:dyDescent="0.15">
      <c r="A172" s="154"/>
      <c r="B172" s="151"/>
      <c r="C172" s="152"/>
      <c r="D172" s="323"/>
      <c r="E172" s="155"/>
      <c r="F172" s="157"/>
      <c r="G172" s="152"/>
      <c r="H172" s="323">
        <v>41849</v>
      </c>
      <c r="I172" s="152"/>
      <c r="J172" s="157"/>
      <c r="K172" s="154" t="s">
        <v>1964</v>
      </c>
      <c r="L172" s="227">
        <v>36076.699999999997</v>
      </c>
      <c r="M172" s="157" t="s">
        <v>1950</v>
      </c>
      <c r="N172" s="152">
        <f t="shared" si="26"/>
        <v>272166.4147620108</v>
      </c>
      <c r="O172" s="152">
        <f t="shared" si="27"/>
        <v>383851.70076201094</v>
      </c>
    </row>
    <row r="173" spans="1:15" x14ac:dyDescent="0.15">
      <c r="A173" s="154"/>
      <c r="B173" s="151"/>
      <c r="C173" s="152"/>
      <c r="D173" s="323">
        <v>41850</v>
      </c>
      <c r="E173" s="154" t="s">
        <v>72</v>
      </c>
      <c r="F173" s="157" t="s">
        <v>1951</v>
      </c>
      <c r="G173" s="152">
        <v>253786.60400000002</v>
      </c>
      <c r="H173" s="323">
        <v>41850</v>
      </c>
      <c r="I173" s="152">
        <v>7764.6999999999989</v>
      </c>
      <c r="J173" s="157" t="s">
        <v>1950</v>
      </c>
      <c r="K173" s="154" t="s">
        <v>1964</v>
      </c>
      <c r="L173" s="227">
        <v>14384.29</v>
      </c>
      <c r="M173" s="157" t="s">
        <v>1950</v>
      </c>
      <c r="N173" s="152">
        <f t="shared" si="26"/>
        <v>250017.42476201078</v>
      </c>
      <c r="O173" s="152">
        <f t="shared" si="27"/>
        <v>615489.31476201094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>
        <v>41850</v>
      </c>
      <c r="I174" s="152"/>
      <c r="J174" s="157"/>
      <c r="K174" s="154" t="s">
        <v>1964</v>
      </c>
      <c r="L174" s="227">
        <v>12566.37</v>
      </c>
      <c r="M174" s="157" t="s">
        <v>1950</v>
      </c>
      <c r="N174" s="152">
        <f t="shared" si="26"/>
        <v>237451.05476201078</v>
      </c>
      <c r="O174" s="152">
        <f t="shared" si="27"/>
        <v>602922.94476201094</v>
      </c>
    </row>
    <row r="175" spans="1:15" x14ac:dyDescent="0.15">
      <c r="A175" s="154"/>
      <c r="B175" s="151"/>
      <c r="C175" s="152"/>
      <c r="D175" s="323"/>
      <c r="E175" s="155"/>
      <c r="F175" s="157"/>
      <c r="G175" s="152"/>
      <c r="H175" s="323">
        <v>41850</v>
      </c>
      <c r="I175" s="152"/>
      <c r="J175" s="157"/>
      <c r="K175" s="154" t="s">
        <v>1964</v>
      </c>
      <c r="L175" s="227">
        <v>11430.64</v>
      </c>
      <c r="M175" s="154" t="s">
        <v>1950</v>
      </c>
      <c r="N175" s="152">
        <f t="shared" si="26"/>
        <v>226020.4147620108</v>
      </c>
      <c r="O175" s="152">
        <f t="shared" si="27"/>
        <v>591492.30476201093</v>
      </c>
    </row>
    <row r="176" spans="1:15" x14ac:dyDescent="0.15">
      <c r="A176" s="154"/>
      <c r="B176" s="151"/>
      <c r="C176" s="152"/>
      <c r="D176" s="323"/>
      <c r="E176" s="155"/>
      <c r="F176" s="157"/>
      <c r="G176" s="152"/>
      <c r="H176" s="323">
        <v>41850</v>
      </c>
      <c r="I176" s="152"/>
      <c r="J176" s="154"/>
      <c r="K176" s="154" t="s">
        <v>1964</v>
      </c>
      <c r="L176" s="227">
        <v>12376.27</v>
      </c>
      <c r="M176" s="154" t="s">
        <v>1950</v>
      </c>
      <c r="N176" s="152">
        <f t="shared" si="26"/>
        <v>213644.14476201081</v>
      </c>
      <c r="O176" s="152">
        <f t="shared" si="27"/>
        <v>579116.03476201091</v>
      </c>
    </row>
    <row r="177" spans="1:15" x14ac:dyDescent="0.15">
      <c r="A177" s="154"/>
      <c r="B177" s="151"/>
      <c r="C177" s="152"/>
      <c r="D177" s="323"/>
      <c r="E177" s="155"/>
      <c r="F177" s="157"/>
      <c r="G177" s="152"/>
      <c r="H177" s="323">
        <v>41850</v>
      </c>
      <c r="I177" s="152"/>
      <c r="J177" s="157"/>
      <c r="K177" s="154" t="s">
        <v>1964</v>
      </c>
      <c r="L177" s="227">
        <v>11765.96</v>
      </c>
      <c r="M177" s="154" t="s">
        <v>1950</v>
      </c>
      <c r="N177" s="152">
        <f t="shared" si="26"/>
        <v>201878.18476201082</v>
      </c>
      <c r="O177" s="152">
        <f t="shared" si="27"/>
        <v>567350.07476201095</v>
      </c>
    </row>
    <row r="178" spans="1:15" x14ac:dyDescent="0.15">
      <c r="A178" s="154"/>
      <c r="B178" s="151"/>
      <c r="C178" s="152"/>
      <c r="D178" s="323"/>
      <c r="E178" s="155"/>
      <c r="F178" s="157"/>
      <c r="G178" s="152"/>
      <c r="H178" s="323">
        <v>41850</v>
      </c>
      <c r="I178" s="152"/>
      <c r="J178" s="154"/>
      <c r="K178" s="154" t="s">
        <v>1964</v>
      </c>
      <c r="L178" s="227">
        <v>445.64</v>
      </c>
      <c r="M178" s="154" t="s">
        <v>1950</v>
      </c>
      <c r="N178" s="152">
        <f t="shared" si="26"/>
        <v>201432.5447620108</v>
      </c>
      <c r="O178" s="152">
        <f t="shared" si="27"/>
        <v>566904.43476201093</v>
      </c>
    </row>
    <row r="179" spans="1:15" x14ac:dyDescent="0.15">
      <c r="A179" s="154"/>
      <c r="B179" s="151"/>
      <c r="C179" s="152"/>
      <c r="D179" s="323"/>
      <c r="E179" s="155"/>
      <c r="F179" s="157"/>
      <c r="G179" s="152"/>
      <c r="H179" s="323">
        <v>41850</v>
      </c>
      <c r="I179" s="152"/>
      <c r="J179" s="154"/>
      <c r="K179" s="154" t="s">
        <v>1964</v>
      </c>
      <c r="L179" s="227">
        <v>13139.34</v>
      </c>
      <c r="M179" s="154" t="s">
        <v>1950</v>
      </c>
      <c r="N179" s="152">
        <f t="shared" si="26"/>
        <v>188293.20476201081</v>
      </c>
      <c r="O179" s="152">
        <f t="shared" si="27"/>
        <v>553765.09476201097</v>
      </c>
    </row>
    <row r="180" spans="1:15" x14ac:dyDescent="0.15">
      <c r="A180" s="154"/>
      <c r="B180" s="151"/>
      <c r="C180" s="152"/>
      <c r="D180" s="323"/>
      <c r="E180" s="155"/>
      <c r="F180" s="157"/>
      <c r="G180" s="152"/>
      <c r="H180" s="323">
        <v>41850</v>
      </c>
      <c r="I180" s="152"/>
      <c r="J180" s="154"/>
      <c r="K180" s="154" t="s">
        <v>1964</v>
      </c>
      <c r="L180" s="227">
        <v>31134.73</v>
      </c>
      <c r="M180" s="154" t="s">
        <v>1950</v>
      </c>
      <c r="N180" s="152">
        <f t="shared" si="26"/>
        <v>157158.4747620108</v>
      </c>
      <c r="O180" s="152">
        <f t="shared" si="27"/>
        <v>522630.36476201098</v>
      </c>
    </row>
    <row r="181" spans="1:15" x14ac:dyDescent="0.15">
      <c r="A181" s="154"/>
      <c r="B181" s="151"/>
      <c r="C181" s="152"/>
      <c r="D181" s="323">
        <v>41851</v>
      </c>
      <c r="E181" s="154" t="s">
        <v>72</v>
      </c>
      <c r="F181" s="157" t="s">
        <v>1952</v>
      </c>
      <c r="G181" s="152">
        <v>172831.372</v>
      </c>
      <c r="H181" s="323">
        <v>41851</v>
      </c>
      <c r="I181" s="152">
        <v>12008.67</v>
      </c>
      <c r="J181" s="154" t="s">
        <v>1950</v>
      </c>
      <c r="K181" s="154" t="s">
        <v>1964</v>
      </c>
      <c r="L181" s="227">
        <v>13888.44</v>
      </c>
      <c r="M181" s="154" t="s">
        <v>1950</v>
      </c>
      <c r="N181" s="227">
        <f t="shared" si="26"/>
        <v>131261.36476201078</v>
      </c>
      <c r="O181" s="152">
        <f t="shared" si="27"/>
        <v>669564.62676201097</v>
      </c>
    </row>
    <row r="182" spans="1:15" x14ac:dyDescent="0.15">
      <c r="A182" s="154"/>
      <c r="B182" s="151"/>
      <c r="C182" s="152"/>
      <c r="D182" s="323"/>
      <c r="E182" s="155"/>
      <c r="F182" s="157"/>
      <c r="G182" s="152"/>
      <c r="H182" s="323">
        <v>41851</v>
      </c>
      <c r="I182" s="152"/>
      <c r="J182" s="154"/>
      <c r="K182" s="154" t="s">
        <v>1964</v>
      </c>
      <c r="L182" s="227">
        <v>13798.39</v>
      </c>
      <c r="M182" s="157" t="s">
        <v>1950</v>
      </c>
      <c r="N182" s="227">
        <f t="shared" si="26"/>
        <v>117462.97476201078</v>
      </c>
      <c r="O182" s="152">
        <f t="shared" si="27"/>
        <v>655766.23676201096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>
        <v>41851</v>
      </c>
      <c r="I183" s="152"/>
      <c r="J183" s="154"/>
      <c r="K183" s="154" t="s">
        <v>1964</v>
      </c>
      <c r="L183" s="227">
        <v>12540.63</v>
      </c>
      <c r="M183" s="157" t="s">
        <v>1950</v>
      </c>
      <c r="N183" s="227">
        <f t="shared" si="26"/>
        <v>104922.34476201078</v>
      </c>
      <c r="O183" s="152">
        <f t="shared" si="27"/>
        <v>643225.60676201095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>
        <v>41851</v>
      </c>
      <c r="I184" s="152"/>
      <c r="J184" s="154"/>
      <c r="K184" s="154" t="s">
        <v>1964</v>
      </c>
      <c r="L184" s="227">
        <v>36772.36</v>
      </c>
      <c r="M184" s="157" t="s">
        <v>1950</v>
      </c>
      <c r="N184" s="227">
        <f t="shared" ref="N184:N220" si="28">+N183-I184-L184</f>
        <v>68149.984762010776</v>
      </c>
      <c r="O184" s="152">
        <f t="shared" ref="O184:O220" si="29">O183+G184-I184-L184</f>
        <v>606453.24676201097</v>
      </c>
    </row>
    <row r="185" spans="1:15" x14ac:dyDescent="0.15">
      <c r="A185" s="154"/>
      <c r="B185" s="151"/>
      <c r="C185" s="152"/>
      <c r="D185" s="323"/>
      <c r="E185" s="155"/>
      <c r="F185" s="157"/>
      <c r="G185" s="152"/>
      <c r="H185" s="323">
        <v>41851</v>
      </c>
      <c r="I185" s="152"/>
      <c r="J185" s="157"/>
      <c r="K185" s="154" t="s">
        <v>1964</v>
      </c>
      <c r="L185" s="227">
        <v>16426.990000000002</v>
      </c>
      <c r="M185" s="157" t="s">
        <v>1950</v>
      </c>
      <c r="N185" s="227">
        <f t="shared" si="28"/>
        <v>51722.994762010771</v>
      </c>
      <c r="O185" s="152">
        <f t="shared" si="29"/>
        <v>590026.25676201098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>
        <v>41851</v>
      </c>
      <c r="I186" s="152"/>
      <c r="J186" s="157"/>
      <c r="K186" s="154" t="s">
        <v>1964</v>
      </c>
      <c r="L186" s="227">
        <v>13489.05</v>
      </c>
      <c r="M186" s="157" t="s">
        <v>1950</v>
      </c>
      <c r="N186" s="227">
        <f t="shared" si="28"/>
        <v>38233.944762010768</v>
      </c>
      <c r="O186" s="152">
        <f t="shared" si="29"/>
        <v>576537.20676201093</v>
      </c>
    </row>
    <row r="187" spans="1:15" hidden="1" x14ac:dyDescent="0.15">
      <c r="A187" s="154"/>
      <c r="B187" s="151"/>
      <c r="C187" s="152"/>
      <c r="D187" s="323"/>
      <c r="E187" s="155"/>
      <c r="F187" s="157"/>
      <c r="G187" s="152"/>
      <c r="H187" s="323"/>
      <c r="I187" s="152"/>
      <c r="J187" s="157"/>
      <c r="K187" s="154"/>
      <c r="L187" s="227"/>
      <c r="M187" s="157"/>
      <c r="N187" s="227">
        <f t="shared" si="28"/>
        <v>38233.944762010768</v>
      </c>
      <c r="O187" s="152">
        <f t="shared" si="29"/>
        <v>576537.20676201093</v>
      </c>
    </row>
    <row r="188" spans="1:15" hidden="1" x14ac:dyDescent="0.15">
      <c r="A188" s="154"/>
      <c r="B188" s="151"/>
      <c r="C188" s="152"/>
      <c r="D188" s="323"/>
      <c r="E188" s="155"/>
      <c r="F188" s="157"/>
      <c r="G188" s="152"/>
      <c r="H188" s="323"/>
      <c r="I188" s="152"/>
      <c r="J188" s="157"/>
      <c r="K188" s="154"/>
      <c r="L188" s="227"/>
      <c r="M188" s="157"/>
      <c r="N188" s="227">
        <f t="shared" si="28"/>
        <v>38233.944762010768</v>
      </c>
      <c r="O188" s="152">
        <f t="shared" si="29"/>
        <v>576537.20676201093</v>
      </c>
    </row>
    <row r="189" spans="1:15" hidden="1" x14ac:dyDescent="0.15">
      <c r="A189" s="154"/>
      <c r="B189" s="151"/>
      <c r="C189" s="152"/>
      <c r="D189" s="323"/>
      <c r="E189" s="155"/>
      <c r="F189" s="157"/>
      <c r="G189" s="152"/>
      <c r="H189" s="323"/>
      <c r="I189" s="152"/>
      <c r="J189" s="157"/>
      <c r="K189" s="154"/>
      <c r="L189" s="227"/>
      <c r="M189" s="157"/>
      <c r="N189" s="227">
        <f t="shared" si="28"/>
        <v>38233.944762010768</v>
      </c>
      <c r="O189" s="152">
        <f t="shared" si="29"/>
        <v>576537.20676201093</v>
      </c>
    </row>
    <row r="190" spans="1:15" hidden="1" x14ac:dyDescent="0.15">
      <c r="A190" s="154"/>
      <c r="B190" s="151"/>
      <c r="C190" s="152"/>
      <c r="D190" s="323"/>
      <c r="E190" s="155"/>
      <c r="F190" s="157"/>
      <c r="G190" s="152"/>
      <c r="H190" s="323"/>
      <c r="I190" s="152"/>
      <c r="J190" s="157"/>
      <c r="K190" s="154"/>
      <c r="L190" s="227"/>
      <c r="M190" s="157"/>
      <c r="N190" s="227">
        <f t="shared" si="28"/>
        <v>38233.944762010768</v>
      </c>
      <c r="O190" s="152">
        <f t="shared" si="29"/>
        <v>576537.20676201093</v>
      </c>
    </row>
    <row r="191" spans="1:15" hidden="1" x14ac:dyDescent="0.15">
      <c r="A191" s="154"/>
      <c r="B191" s="151"/>
      <c r="C191" s="152"/>
      <c r="D191" s="323"/>
      <c r="E191" s="155"/>
      <c r="F191" s="157"/>
      <c r="G191" s="152"/>
      <c r="H191" s="323"/>
      <c r="I191" s="152"/>
      <c r="J191" s="157"/>
      <c r="K191" s="154"/>
      <c r="L191" s="227"/>
      <c r="M191" s="157"/>
      <c r="N191" s="227">
        <f t="shared" si="28"/>
        <v>38233.944762010768</v>
      </c>
      <c r="O191" s="152">
        <f t="shared" si="29"/>
        <v>576537.20676201093</v>
      </c>
    </row>
    <row r="192" spans="1:15" hidden="1" x14ac:dyDescent="0.15">
      <c r="A192" s="154"/>
      <c r="B192" s="151"/>
      <c r="C192" s="152"/>
      <c r="D192" s="323"/>
      <c r="E192" s="155"/>
      <c r="F192" s="157"/>
      <c r="G192" s="152"/>
      <c r="H192" s="323"/>
      <c r="I192" s="152"/>
      <c r="J192" s="157"/>
      <c r="K192" s="154"/>
      <c r="L192" s="227"/>
      <c r="M192" s="157"/>
      <c r="N192" s="227">
        <f t="shared" si="28"/>
        <v>38233.944762010768</v>
      </c>
      <c r="O192" s="152">
        <f t="shared" si="29"/>
        <v>576537.20676201093</v>
      </c>
    </row>
    <row r="193" spans="1:15" hidden="1" x14ac:dyDescent="0.15">
      <c r="A193" s="154"/>
      <c r="B193" s="151"/>
      <c r="C193" s="152"/>
      <c r="D193" s="323"/>
      <c r="E193" s="155"/>
      <c r="F193" s="157"/>
      <c r="G193" s="152"/>
      <c r="H193" s="323"/>
      <c r="I193" s="152"/>
      <c r="J193" s="157"/>
      <c r="K193" s="154"/>
      <c r="L193" s="227"/>
      <c r="M193" s="157"/>
      <c r="N193" s="227">
        <f t="shared" si="28"/>
        <v>38233.944762010768</v>
      </c>
      <c r="O193" s="152">
        <f t="shared" si="29"/>
        <v>576537.20676201093</v>
      </c>
    </row>
    <row r="194" spans="1:15" hidden="1" x14ac:dyDescent="0.15">
      <c r="A194" s="154"/>
      <c r="B194" s="151"/>
      <c r="C194" s="152"/>
      <c r="D194" s="323"/>
      <c r="E194" s="155"/>
      <c r="F194" s="157"/>
      <c r="G194" s="152"/>
      <c r="H194" s="323"/>
      <c r="I194" s="152"/>
      <c r="J194" s="157"/>
      <c r="K194" s="154"/>
      <c r="L194" s="227"/>
      <c r="M194" s="157"/>
      <c r="N194" s="227">
        <f t="shared" si="28"/>
        <v>38233.944762010768</v>
      </c>
      <c r="O194" s="152">
        <f t="shared" si="29"/>
        <v>576537.20676201093</v>
      </c>
    </row>
    <row r="195" spans="1:15" hidden="1" x14ac:dyDescent="0.15">
      <c r="A195" s="154"/>
      <c r="B195" s="151"/>
      <c r="C195" s="152"/>
      <c r="D195" s="323"/>
      <c r="E195" s="155"/>
      <c r="F195" s="157"/>
      <c r="G195" s="152"/>
      <c r="H195" s="323"/>
      <c r="I195" s="152"/>
      <c r="J195" s="157"/>
      <c r="K195" s="154"/>
      <c r="L195" s="227"/>
      <c r="M195" s="157"/>
      <c r="N195" s="227">
        <f t="shared" si="28"/>
        <v>38233.944762010768</v>
      </c>
      <c r="O195" s="152">
        <f t="shared" si="29"/>
        <v>576537.20676201093</v>
      </c>
    </row>
    <row r="196" spans="1:15" hidden="1" x14ac:dyDescent="0.15">
      <c r="A196" s="154"/>
      <c r="B196" s="151"/>
      <c r="C196" s="152"/>
      <c r="D196" s="323"/>
      <c r="E196" s="155"/>
      <c r="F196" s="157"/>
      <c r="G196" s="152"/>
      <c r="H196" s="323"/>
      <c r="I196" s="152"/>
      <c r="J196" s="157"/>
      <c r="K196" s="154"/>
      <c r="L196" s="227"/>
      <c r="M196" s="157"/>
      <c r="N196" s="227">
        <f t="shared" si="28"/>
        <v>38233.944762010768</v>
      </c>
      <c r="O196" s="152">
        <f t="shared" si="29"/>
        <v>576537.20676201093</v>
      </c>
    </row>
    <row r="197" spans="1:15" hidden="1" x14ac:dyDescent="0.15">
      <c r="A197" s="154"/>
      <c r="B197" s="151"/>
      <c r="C197" s="152"/>
      <c r="D197" s="323"/>
      <c r="E197" s="155"/>
      <c r="F197" s="157"/>
      <c r="G197" s="152"/>
      <c r="H197" s="323"/>
      <c r="I197" s="152"/>
      <c r="J197" s="157"/>
      <c r="K197" s="154"/>
      <c r="L197" s="227"/>
      <c r="M197" s="157"/>
      <c r="N197" s="227">
        <f t="shared" si="28"/>
        <v>38233.944762010768</v>
      </c>
      <c r="O197" s="152">
        <f t="shared" si="29"/>
        <v>576537.20676201093</v>
      </c>
    </row>
    <row r="198" spans="1:15" hidden="1" x14ac:dyDescent="0.15">
      <c r="A198" s="154"/>
      <c r="B198" s="151"/>
      <c r="C198" s="152"/>
      <c r="D198" s="323"/>
      <c r="E198" s="155"/>
      <c r="F198" s="157"/>
      <c r="G198" s="152"/>
      <c r="H198" s="323"/>
      <c r="I198" s="152"/>
      <c r="J198" s="157"/>
      <c r="K198" s="154"/>
      <c r="L198" s="227"/>
      <c r="M198" s="157"/>
      <c r="N198" s="227">
        <f t="shared" si="28"/>
        <v>38233.944762010768</v>
      </c>
      <c r="O198" s="152">
        <f t="shared" si="29"/>
        <v>576537.20676201093</v>
      </c>
    </row>
    <row r="199" spans="1:15" hidden="1" x14ac:dyDescent="0.15">
      <c r="A199" s="154"/>
      <c r="B199" s="151"/>
      <c r="C199" s="152"/>
      <c r="D199" s="323"/>
      <c r="E199" s="155"/>
      <c r="F199" s="157"/>
      <c r="G199" s="152"/>
      <c r="H199" s="323"/>
      <c r="I199" s="152"/>
      <c r="J199" s="157"/>
      <c r="K199" s="154"/>
      <c r="L199" s="227"/>
      <c r="M199" s="157"/>
      <c r="N199" s="227">
        <f t="shared" si="28"/>
        <v>38233.944762010768</v>
      </c>
      <c r="O199" s="152">
        <f t="shared" si="29"/>
        <v>576537.20676201093</v>
      </c>
    </row>
    <row r="200" spans="1:15" hidden="1" x14ac:dyDescent="0.15">
      <c r="A200" s="154"/>
      <c r="B200" s="151"/>
      <c r="C200" s="152"/>
      <c r="D200" s="323"/>
      <c r="E200" s="155"/>
      <c r="F200" s="157"/>
      <c r="G200" s="152"/>
      <c r="H200" s="323"/>
      <c r="I200" s="152"/>
      <c r="J200" s="157"/>
      <c r="K200" s="154"/>
      <c r="L200" s="227"/>
      <c r="M200" s="157"/>
      <c r="N200" s="227">
        <f t="shared" si="28"/>
        <v>38233.944762010768</v>
      </c>
      <c r="O200" s="152">
        <f t="shared" si="29"/>
        <v>576537.20676201093</v>
      </c>
    </row>
    <row r="201" spans="1:15" hidden="1" x14ac:dyDescent="0.15">
      <c r="A201" s="154"/>
      <c r="B201" s="151"/>
      <c r="C201" s="152"/>
      <c r="D201" s="323"/>
      <c r="E201" s="155"/>
      <c r="F201" s="157"/>
      <c r="G201" s="152"/>
      <c r="H201" s="323"/>
      <c r="I201" s="152"/>
      <c r="J201" s="157"/>
      <c r="K201" s="154"/>
      <c r="L201" s="227"/>
      <c r="M201" s="157"/>
      <c r="N201" s="227">
        <f t="shared" si="28"/>
        <v>38233.944762010768</v>
      </c>
      <c r="O201" s="152">
        <f t="shared" si="29"/>
        <v>576537.20676201093</v>
      </c>
    </row>
    <row r="202" spans="1:15" hidden="1" x14ac:dyDescent="0.15">
      <c r="A202" s="154"/>
      <c r="B202" s="151"/>
      <c r="C202" s="152"/>
      <c r="D202" s="323"/>
      <c r="E202" s="155"/>
      <c r="F202" s="157"/>
      <c r="G202" s="152"/>
      <c r="H202" s="323"/>
      <c r="I202" s="152"/>
      <c r="J202" s="157"/>
      <c r="K202" s="154"/>
      <c r="L202" s="227"/>
      <c r="M202" s="157"/>
      <c r="N202" s="227">
        <f t="shared" si="28"/>
        <v>38233.944762010768</v>
      </c>
      <c r="O202" s="152">
        <f t="shared" si="29"/>
        <v>576537.20676201093</v>
      </c>
    </row>
    <row r="203" spans="1:15" hidden="1" x14ac:dyDescent="0.15">
      <c r="A203" s="154"/>
      <c r="B203" s="151"/>
      <c r="C203" s="152"/>
      <c r="D203" s="323"/>
      <c r="E203" s="155"/>
      <c r="F203" s="157"/>
      <c r="G203" s="152"/>
      <c r="H203" s="323"/>
      <c r="I203" s="152"/>
      <c r="J203" s="157"/>
      <c r="K203" s="154"/>
      <c r="L203" s="227"/>
      <c r="M203" s="157"/>
      <c r="N203" s="227">
        <f t="shared" si="28"/>
        <v>38233.944762010768</v>
      </c>
      <c r="O203" s="152">
        <f t="shared" si="29"/>
        <v>576537.20676201093</v>
      </c>
    </row>
    <row r="204" spans="1:15" hidden="1" x14ac:dyDescent="0.15">
      <c r="A204" s="154"/>
      <c r="B204" s="151"/>
      <c r="C204" s="152"/>
      <c r="D204" s="323"/>
      <c r="E204" s="155"/>
      <c r="F204" s="157"/>
      <c r="G204" s="152"/>
      <c r="H204" s="323"/>
      <c r="I204" s="152"/>
      <c r="J204" s="157"/>
      <c r="K204" s="154"/>
      <c r="L204" s="227"/>
      <c r="M204" s="157"/>
      <c r="N204" s="227">
        <f t="shared" si="28"/>
        <v>38233.944762010768</v>
      </c>
      <c r="O204" s="152">
        <f t="shared" si="29"/>
        <v>576537.20676201093</v>
      </c>
    </row>
    <row r="205" spans="1:15" hidden="1" x14ac:dyDescent="0.15">
      <c r="A205" s="154"/>
      <c r="B205" s="151"/>
      <c r="C205" s="152"/>
      <c r="D205" s="323"/>
      <c r="E205" s="155"/>
      <c r="F205" s="157"/>
      <c r="G205" s="152"/>
      <c r="H205" s="323"/>
      <c r="I205" s="152"/>
      <c r="J205" s="157"/>
      <c r="K205" s="154"/>
      <c r="L205" s="227"/>
      <c r="M205" s="157"/>
      <c r="N205" s="227">
        <f t="shared" si="28"/>
        <v>38233.944762010768</v>
      </c>
      <c r="O205" s="152">
        <f t="shared" si="29"/>
        <v>576537.20676201093</v>
      </c>
    </row>
    <row r="206" spans="1:15" hidden="1" x14ac:dyDescent="0.15">
      <c r="A206" s="154"/>
      <c r="B206" s="151"/>
      <c r="C206" s="152"/>
      <c r="D206" s="323"/>
      <c r="E206" s="155"/>
      <c r="F206" s="157"/>
      <c r="G206" s="152"/>
      <c r="H206" s="323"/>
      <c r="I206" s="152"/>
      <c r="J206" s="157"/>
      <c r="K206" s="154"/>
      <c r="L206" s="227"/>
      <c r="M206" s="157"/>
      <c r="N206" s="227">
        <f t="shared" si="28"/>
        <v>38233.944762010768</v>
      </c>
      <c r="O206" s="152">
        <f t="shared" si="29"/>
        <v>576537.20676201093</v>
      </c>
    </row>
    <row r="207" spans="1:15" hidden="1" x14ac:dyDescent="0.15">
      <c r="A207" s="154"/>
      <c r="B207" s="151"/>
      <c r="C207" s="152"/>
      <c r="D207" s="323"/>
      <c r="E207" s="155"/>
      <c r="F207" s="157"/>
      <c r="G207" s="152"/>
      <c r="H207" s="323"/>
      <c r="I207" s="152"/>
      <c r="J207" s="157"/>
      <c r="K207" s="154"/>
      <c r="L207" s="227"/>
      <c r="M207" s="157"/>
      <c r="N207" s="227">
        <f t="shared" si="28"/>
        <v>38233.944762010768</v>
      </c>
      <c r="O207" s="152">
        <f t="shared" si="29"/>
        <v>576537.20676201093</v>
      </c>
    </row>
    <row r="208" spans="1:15" hidden="1" x14ac:dyDescent="0.15">
      <c r="A208" s="154"/>
      <c r="B208" s="151"/>
      <c r="C208" s="152"/>
      <c r="D208" s="323"/>
      <c r="E208" s="155"/>
      <c r="F208" s="157"/>
      <c r="G208" s="152"/>
      <c r="H208" s="323"/>
      <c r="I208" s="152"/>
      <c r="J208" s="157"/>
      <c r="K208" s="154"/>
      <c r="L208" s="227"/>
      <c r="M208" s="157"/>
      <c r="N208" s="227">
        <f t="shared" si="28"/>
        <v>38233.944762010768</v>
      </c>
      <c r="O208" s="152">
        <f t="shared" si="29"/>
        <v>576537.20676201093</v>
      </c>
    </row>
    <row r="209" spans="1:15" hidden="1" x14ac:dyDescent="0.15">
      <c r="A209" s="154"/>
      <c r="B209" s="151"/>
      <c r="C209" s="152"/>
      <c r="D209" s="323"/>
      <c r="E209" s="154"/>
      <c r="F209" s="157"/>
      <c r="G209" s="152"/>
      <c r="H209" s="323"/>
      <c r="I209" s="152"/>
      <c r="J209" s="157"/>
      <c r="K209" s="154"/>
      <c r="L209" s="227"/>
      <c r="M209" s="157"/>
      <c r="N209" s="227">
        <f t="shared" si="28"/>
        <v>38233.944762010768</v>
      </c>
      <c r="O209" s="152">
        <f t="shared" si="29"/>
        <v>576537.20676201093</v>
      </c>
    </row>
    <row r="210" spans="1:15" hidden="1" x14ac:dyDescent="0.15">
      <c r="A210" s="154"/>
      <c r="B210" s="151"/>
      <c r="C210" s="152"/>
      <c r="D210" s="323"/>
      <c r="E210" s="154"/>
      <c r="F210" s="157"/>
      <c r="G210" s="152"/>
      <c r="H210" s="323"/>
      <c r="I210" s="152"/>
      <c r="J210" s="157"/>
      <c r="K210" s="154"/>
      <c r="L210" s="227"/>
      <c r="M210" s="157"/>
      <c r="N210" s="227">
        <f t="shared" si="28"/>
        <v>38233.944762010768</v>
      </c>
      <c r="O210" s="152">
        <f t="shared" si="29"/>
        <v>576537.20676201093</v>
      </c>
    </row>
    <row r="211" spans="1:15" hidden="1" x14ac:dyDescent="0.15">
      <c r="A211" s="154"/>
      <c r="B211" s="151"/>
      <c r="C211" s="152"/>
      <c r="D211" s="323"/>
      <c r="E211" s="154"/>
      <c r="F211" s="157"/>
      <c r="G211" s="152"/>
      <c r="H211" s="323"/>
      <c r="I211" s="152"/>
      <c r="J211" s="157"/>
      <c r="K211" s="154"/>
      <c r="L211" s="227"/>
      <c r="M211" s="157"/>
      <c r="N211" s="227">
        <f t="shared" si="28"/>
        <v>38233.944762010768</v>
      </c>
      <c r="O211" s="152">
        <f t="shared" si="29"/>
        <v>576537.20676201093</v>
      </c>
    </row>
    <row r="212" spans="1:15" hidden="1" x14ac:dyDescent="0.15">
      <c r="A212" s="154"/>
      <c r="B212" s="151"/>
      <c r="C212" s="152"/>
      <c r="D212" s="323"/>
      <c r="E212" s="154"/>
      <c r="F212" s="157"/>
      <c r="G212" s="152"/>
      <c r="H212" s="323"/>
      <c r="I212" s="152"/>
      <c r="J212" s="157"/>
      <c r="K212" s="154"/>
      <c r="L212" s="227"/>
      <c r="M212" s="157"/>
      <c r="N212" s="227">
        <f t="shared" si="28"/>
        <v>38233.944762010768</v>
      </c>
      <c r="O212" s="152">
        <f t="shared" si="29"/>
        <v>576537.20676201093</v>
      </c>
    </row>
    <row r="213" spans="1:15" hidden="1" x14ac:dyDescent="0.15">
      <c r="A213" s="154"/>
      <c r="B213" s="151"/>
      <c r="C213" s="152"/>
      <c r="D213" s="323"/>
      <c r="E213" s="155"/>
      <c r="F213" s="157"/>
      <c r="G213" s="152"/>
      <c r="H213" s="323"/>
      <c r="I213" s="152"/>
      <c r="J213" s="157"/>
      <c r="K213" s="154"/>
      <c r="L213" s="227"/>
      <c r="M213" s="157"/>
      <c r="N213" s="227">
        <f t="shared" si="28"/>
        <v>38233.944762010768</v>
      </c>
      <c r="O213" s="152">
        <f t="shared" si="29"/>
        <v>576537.20676201093</v>
      </c>
    </row>
    <row r="214" spans="1:15" hidden="1" x14ac:dyDescent="0.15">
      <c r="A214" s="154"/>
      <c r="B214" s="151"/>
      <c r="C214" s="152"/>
      <c r="D214" s="323"/>
      <c r="E214" s="154"/>
      <c r="F214" s="157"/>
      <c r="G214" s="152"/>
      <c r="H214" s="323"/>
      <c r="I214" s="152"/>
      <c r="J214" s="157"/>
      <c r="K214" s="154"/>
      <c r="L214" s="227"/>
      <c r="M214" s="157"/>
      <c r="N214" s="227">
        <f t="shared" si="28"/>
        <v>38233.944762010768</v>
      </c>
      <c r="O214" s="152">
        <f t="shared" si="29"/>
        <v>576537.20676201093</v>
      </c>
    </row>
    <row r="215" spans="1:15" hidden="1" x14ac:dyDescent="0.15">
      <c r="A215" s="154"/>
      <c r="B215" s="151"/>
      <c r="C215" s="152"/>
      <c r="D215" s="323"/>
      <c r="E215" s="154"/>
      <c r="F215" s="157"/>
      <c r="G215" s="152"/>
      <c r="H215" s="323"/>
      <c r="I215" s="152"/>
      <c r="J215" s="154"/>
      <c r="K215" s="154"/>
      <c r="L215" s="227"/>
      <c r="M215" s="157"/>
      <c r="N215" s="227">
        <f t="shared" si="28"/>
        <v>38233.944762010768</v>
      </c>
      <c r="O215" s="152">
        <f t="shared" si="29"/>
        <v>576537.20676201093</v>
      </c>
    </row>
    <row r="216" spans="1:15" hidden="1" x14ac:dyDescent="0.15">
      <c r="A216" s="154"/>
      <c r="B216" s="151"/>
      <c r="C216" s="151"/>
      <c r="D216" s="323"/>
      <c r="E216" s="154"/>
      <c r="F216" s="157"/>
      <c r="G216" s="152"/>
      <c r="H216" s="323"/>
      <c r="I216" s="152"/>
      <c r="J216" s="154"/>
      <c r="K216" s="154"/>
      <c r="L216" s="227"/>
      <c r="M216" s="157"/>
      <c r="N216" s="227">
        <f t="shared" si="28"/>
        <v>38233.944762010768</v>
      </c>
      <c r="O216" s="152">
        <f t="shared" si="29"/>
        <v>576537.20676201093</v>
      </c>
    </row>
    <row r="217" spans="1:15" hidden="1" x14ac:dyDescent="0.15">
      <c r="A217" s="154"/>
      <c r="B217" s="151"/>
      <c r="C217" s="151"/>
      <c r="D217" s="323"/>
      <c r="E217" s="155"/>
      <c r="F217" s="157"/>
      <c r="G217" s="152"/>
      <c r="H217" s="323"/>
      <c r="I217" s="152"/>
      <c r="J217" s="154"/>
      <c r="K217" s="154"/>
      <c r="L217" s="227"/>
      <c r="M217" s="157"/>
      <c r="N217" s="227">
        <f t="shared" si="28"/>
        <v>38233.944762010768</v>
      </c>
      <c r="O217" s="152">
        <f t="shared" si="29"/>
        <v>576537.20676201093</v>
      </c>
    </row>
    <row r="218" spans="1:15" hidden="1" x14ac:dyDescent="0.15">
      <c r="A218" s="154"/>
      <c r="B218" s="151"/>
      <c r="C218" s="151"/>
      <c r="D218" s="323"/>
      <c r="E218" s="154"/>
      <c r="F218" s="160"/>
      <c r="G218" s="152"/>
      <c r="H218" s="323"/>
      <c r="I218" s="152"/>
      <c r="J218" s="157"/>
      <c r="K218" s="154"/>
      <c r="L218" s="227"/>
      <c r="M218" s="157"/>
      <c r="N218" s="227">
        <f t="shared" si="28"/>
        <v>38233.944762010768</v>
      </c>
      <c r="O218" s="152">
        <f t="shared" si="29"/>
        <v>576537.20676201093</v>
      </c>
    </row>
    <row r="219" spans="1:15" hidden="1" x14ac:dyDescent="0.15">
      <c r="A219" s="154"/>
      <c r="B219" s="151"/>
      <c r="C219" s="151"/>
      <c r="D219" s="323"/>
      <c r="E219" s="154"/>
      <c r="F219" s="160"/>
      <c r="G219" s="152"/>
      <c r="H219" s="323"/>
      <c r="I219" s="152"/>
      <c r="J219" s="150"/>
      <c r="K219" s="154"/>
      <c r="L219" s="227"/>
      <c r="M219" s="157"/>
      <c r="N219" s="227">
        <f t="shared" si="28"/>
        <v>38233.944762010768</v>
      </c>
      <c r="O219" s="152">
        <f t="shared" si="29"/>
        <v>576537.20676201093</v>
      </c>
    </row>
    <row r="220" spans="1:15" x14ac:dyDescent="0.15">
      <c r="A220" s="173"/>
      <c r="B220" s="173"/>
      <c r="C220" s="174"/>
      <c r="D220" s="323"/>
      <c r="E220" s="173"/>
      <c r="F220" s="173"/>
      <c r="G220" s="174"/>
      <c r="H220" s="323"/>
      <c r="I220" s="174"/>
      <c r="J220" s="173"/>
      <c r="K220" s="154"/>
      <c r="L220" s="228"/>
      <c r="M220" s="173"/>
      <c r="N220" s="227">
        <f t="shared" si="28"/>
        <v>38233.944762010768</v>
      </c>
      <c r="O220" s="152">
        <f t="shared" si="29"/>
        <v>576537.20676201093</v>
      </c>
    </row>
    <row r="221" spans="1:15" x14ac:dyDescent="0.15">
      <c r="A221" s="177"/>
      <c r="B221" s="177"/>
      <c r="C221" s="178">
        <f>SUM(C7:C219)</f>
        <v>420954.16206201079</v>
      </c>
      <c r="D221" s="177"/>
      <c r="E221" s="177"/>
      <c r="F221" s="177"/>
      <c r="G221" s="178">
        <f>SUM(G7:G220)</f>
        <v>3158379.0510000004</v>
      </c>
      <c r="H221" s="179"/>
      <c r="I221" s="178">
        <f>SUM(I7:I220)</f>
        <v>290028.86629999994</v>
      </c>
      <c r="J221" s="177"/>
      <c r="K221" s="177"/>
      <c r="L221" s="178">
        <f>SUM(L7:L220)</f>
        <v>2712767.1399999997</v>
      </c>
      <c r="M221" s="177"/>
      <c r="N221" s="180"/>
      <c r="O221" s="181">
        <f>C221+G221-I221-L221</f>
        <v>576537.20676201163</v>
      </c>
    </row>
    <row r="222" spans="1:15" x14ac:dyDescent="0.15">
      <c r="A222" s="182"/>
      <c r="B222" s="465"/>
      <c r="C222" s="465"/>
      <c r="D222" s="465"/>
      <c r="E222" s="183"/>
      <c r="F222" s="284"/>
      <c r="G222" s="185"/>
      <c r="H222" s="186"/>
      <c r="I222" s="187"/>
      <c r="J222" s="188"/>
      <c r="K222" s="189" t="s">
        <v>139</v>
      </c>
      <c r="L222" s="190">
        <f>+L221+I221</f>
        <v>3002796.0062999995</v>
      </c>
      <c r="M222" s="197"/>
      <c r="N222" s="230">
        <f>+N220</f>
        <v>38233.944762010768</v>
      </c>
      <c r="O222" s="195" t="s">
        <v>1950</v>
      </c>
    </row>
    <row r="223" spans="1:15" x14ac:dyDescent="0.15">
      <c r="A223" s="193" t="s">
        <v>1929</v>
      </c>
      <c r="B223" s="131" t="s">
        <v>1941</v>
      </c>
      <c r="E223" s="183" t="s">
        <v>55</v>
      </c>
      <c r="F223" s="364">
        <v>1945374.02</v>
      </c>
      <c r="G223" s="219" t="s">
        <v>56</v>
      </c>
      <c r="H223" s="186">
        <v>41820</v>
      </c>
      <c r="I223" s="187" t="s">
        <v>71</v>
      </c>
      <c r="J223" s="210">
        <v>52606.735062010717</v>
      </c>
      <c r="K223" s="210"/>
      <c r="N223" s="230">
        <v>365471.89000000025</v>
      </c>
      <c r="O223" s="334" t="s">
        <v>1951</v>
      </c>
    </row>
    <row r="224" spans="1:15" x14ac:dyDescent="0.15">
      <c r="A224" s="193" t="s">
        <v>1931</v>
      </c>
      <c r="B224" s="131" t="s">
        <v>1953</v>
      </c>
      <c r="E224" s="183" t="s">
        <v>55</v>
      </c>
      <c r="F224" s="364">
        <v>5455911.8300000001</v>
      </c>
      <c r="G224" s="219" t="s">
        <v>56</v>
      </c>
      <c r="H224" s="186">
        <v>41823</v>
      </c>
      <c r="I224" s="187" t="s">
        <v>71</v>
      </c>
      <c r="J224" s="210">
        <v>118626.43200000002</v>
      </c>
      <c r="K224" s="297"/>
      <c r="N224" s="230">
        <v>172831.372</v>
      </c>
      <c r="O224" s="334" t="s">
        <v>1952</v>
      </c>
    </row>
    <row r="225" spans="1:15" x14ac:dyDescent="0.15">
      <c r="A225" s="193" t="s">
        <v>1943</v>
      </c>
      <c r="B225" s="131" t="s">
        <v>1954</v>
      </c>
      <c r="E225" s="183" t="s">
        <v>55</v>
      </c>
      <c r="F225" s="364">
        <v>4040338.29</v>
      </c>
      <c r="G225" s="219" t="s">
        <v>56</v>
      </c>
      <c r="H225" s="186">
        <v>41835</v>
      </c>
      <c r="I225" s="187" t="s">
        <v>71</v>
      </c>
      <c r="J225" s="210">
        <v>267229.30780000007</v>
      </c>
      <c r="K225" s="333"/>
      <c r="N225" s="230"/>
      <c r="O225" s="195"/>
    </row>
    <row r="226" spans="1:15" x14ac:dyDescent="0.15">
      <c r="A226" s="193" t="s">
        <v>1945</v>
      </c>
      <c r="B226" s="131" t="s">
        <v>1955</v>
      </c>
      <c r="E226" s="183" t="s">
        <v>55</v>
      </c>
      <c r="F226" s="364">
        <v>5326463.46</v>
      </c>
      <c r="G226" s="219" t="s">
        <v>56</v>
      </c>
      <c r="H226" s="186">
        <v>41838</v>
      </c>
      <c r="I226" s="187" t="s">
        <v>71</v>
      </c>
      <c r="J226" s="210">
        <v>78889.411000000007</v>
      </c>
      <c r="N226" s="230"/>
      <c r="O226" s="195"/>
    </row>
    <row r="227" spans="1:15" x14ac:dyDescent="0.15">
      <c r="A227" s="193" t="s">
        <v>1946</v>
      </c>
      <c r="B227" s="131" t="s">
        <v>1956</v>
      </c>
      <c r="E227" s="183" t="s">
        <v>55</v>
      </c>
      <c r="F227" s="364">
        <v>622670.27</v>
      </c>
      <c r="G227" s="219" t="s">
        <v>56</v>
      </c>
      <c r="H227" s="186">
        <v>41842</v>
      </c>
      <c r="I227" s="187" t="s">
        <v>71</v>
      </c>
      <c r="J227" s="210">
        <v>448032.08999999997</v>
      </c>
      <c r="K227" s="333"/>
      <c r="N227" s="230"/>
      <c r="O227" s="195"/>
    </row>
    <row r="228" spans="1:15" x14ac:dyDescent="0.15">
      <c r="A228" s="193" t="s">
        <v>1948</v>
      </c>
      <c r="B228" s="131" t="s">
        <v>1957</v>
      </c>
      <c r="E228" s="183" t="s">
        <v>55</v>
      </c>
      <c r="F228" s="364">
        <v>1903135.81</v>
      </c>
      <c r="G228" s="219" t="s">
        <v>56</v>
      </c>
      <c r="H228" s="186">
        <v>41849</v>
      </c>
      <c r="I228" s="187" t="s">
        <v>71</v>
      </c>
      <c r="J228" s="210">
        <v>275781.39100000029</v>
      </c>
      <c r="N228" s="230"/>
      <c r="O228" s="195"/>
    </row>
    <row r="229" spans="1:15" x14ac:dyDescent="0.15">
      <c r="A229" s="193" t="s">
        <v>1950</v>
      </c>
      <c r="B229" s="131" t="s">
        <v>1958</v>
      </c>
      <c r="E229" s="183" t="s">
        <v>55</v>
      </c>
      <c r="F229" s="364">
        <v>2641875.91</v>
      </c>
      <c r="G229" s="219" t="s">
        <v>56</v>
      </c>
      <c r="H229" s="186">
        <v>41851</v>
      </c>
      <c r="I229" s="187" t="s">
        <v>71</v>
      </c>
      <c r="J229" s="210">
        <v>321893.52423798916</v>
      </c>
      <c r="N229" s="206" t="s">
        <v>33</v>
      </c>
      <c r="O229" s="207">
        <f>SUM(N222:N228)</f>
        <v>576537.20676201105</v>
      </c>
    </row>
    <row r="230" spans="1:15" ht="12" thickBot="1" x14ac:dyDescent="0.2">
      <c r="A230" s="133"/>
      <c r="B230" s="361"/>
      <c r="C230" s="361"/>
      <c r="D230" s="361"/>
      <c r="E230" s="183"/>
      <c r="F230" s="362"/>
      <c r="G230" s="219"/>
      <c r="H230" s="186"/>
      <c r="I230" s="217" t="s">
        <v>856</v>
      </c>
      <c r="J230" s="211">
        <f>SUM(J223:J229)</f>
        <v>1563058.8911000004</v>
      </c>
      <c r="K230" s="297"/>
      <c r="O230" s="190">
        <f>+O221-O229</f>
        <v>0</v>
      </c>
    </row>
    <row r="231" spans="1:15" s="132" customFormat="1" ht="12" thickTop="1" x14ac:dyDescent="0.15">
      <c r="A231" s="133" t="s">
        <v>1930</v>
      </c>
      <c r="B231" s="131" t="s">
        <v>1959</v>
      </c>
      <c r="D231" s="133"/>
      <c r="E231" s="183" t="s">
        <v>55</v>
      </c>
      <c r="F231" s="364">
        <v>64681601.270000003</v>
      </c>
      <c r="G231" s="219" t="s">
        <v>56</v>
      </c>
      <c r="H231" s="186">
        <v>41812</v>
      </c>
      <c r="I231" s="187" t="s">
        <v>71</v>
      </c>
      <c r="J231" s="210">
        <v>154484.12700000004</v>
      </c>
      <c r="K231" s="333"/>
      <c r="M231" s="134"/>
    </row>
    <row r="232" spans="1:15" s="132" customFormat="1" x14ac:dyDescent="0.15">
      <c r="A232" s="133" t="s">
        <v>1932</v>
      </c>
      <c r="B232" s="131" t="s">
        <v>1960</v>
      </c>
      <c r="D232" s="133"/>
      <c r="E232" s="183" t="s">
        <v>55</v>
      </c>
      <c r="F232" s="364">
        <v>89066358.909999996</v>
      </c>
      <c r="G232" s="219" t="s">
        <v>56</v>
      </c>
      <c r="H232" s="186">
        <v>41827</v>
      </c>
      <c r="I232" s="187" t="s">
        <v>71</v>
      </c>
      <c r="J232" s="210">
        <v>60978.286900000021</v>
      </c>
      <c r="K232" s="133"/>
      <c r="M232" s="134"/>
    </row>
    <row r="233" spans="1:15" s="132" customFormat="1" x14ac:dyDescent="0.15">
      <c r="A233" s="133" t="s">
        <v>1944</v>
      </c>
      <c r="B233" s="131" t="s">
        <v>1961</v>
      </c>
      <c r="D233" s="133"/>
      <c r="E233" s="183" t="s">
        <v>55</v>
      </c>
      <c r="F233" s="364">
        <v>28653264.93</v>
      </c>
      <c r="G233" s="219" t="s">
        <v>56</v>
      </c>
      <c r="H233" s="186">
        <v>41835</v>
      </c>
      <c r="I233" s="187" t="s">
        <v>71</v>
      </c>
      <c r="J233" s="210">
        <v>387540.14200000005</v>
      </c>
      <c r="K233" s="333"/>
      <c r="M233" s="134"/>
    </row>
    <row r="234" spans="1:15" s="132" customFormat="1" x14ac:dyDescent="0.15">
      <c r="A234" s="133" t="s">
        <v>1947</v>
      </c>
      <c r="B234" s="131" t="s">
        <v>1962</v>
      </c>
      <c r="D234" s="133"/>
      <c r="E234" s="183" t="s">
        <v>55</v>
      </c>
      <c r="F234" s="364">
        <v>25222665.489999998</v>
      </c>
      <c r="G234" s="219" t="s">
        <v>56</v>
      </c>
      <c r="H234" s="186"/>
      <c r="I234" s="187" t="s">
        <v>71</v>
      </c>
      <c r="J234" s="210">
        <v>342023.9859999998</v>
      </c>
      <c r="K234" s="133"/>
      <c r="M234" s="134"/>
    </row>
    <row r="235" spans="1:15" s="132" customFormat="1" x14ac:dyDescent="0.15">
      <c r="A235" s="133" t="s">
        <v>1949</v>
      </c>
      <c r="B235" s="131" t="s">
        <v>1963</v>
      </c>
      <c r="D235" s="133"/>
      <c r="E235" s="183" t="s">
        <v>55</v>
      </c>
      <c r="F235" s="364">
        <v>20437207.109999999</v>
      </c>
      <c r="G235" s="219" t="s">
        <v>56</v>
      </c>
      <c r="H235" s="186">
        <v>41848</v>
      </c>
      <c r="I235" s="187" t="s">
        <v>71</v>
      </c>
      <c r="J235" s="210">
        <v>204681.70699999982</v>
      </c>
      <c r="K235" s="133"/>
      <c r="M235" s="134"/>
    </row>
    <row r="236" spans="1:15" s="132" customFormat="1" ht="12" thickBot="1" x14ac:dyDescent="0.2">
      <c r="A236" s="193"/>
      <c r="B236" s="210"/>
      <c r="C236" s="221"/>
      <c r="D236" s="237"/>
      <c r="E236" s="235"/>
      <c r="F236" s="235"/>
      <c r="H236" s="133"/>
      <c r="I236" s="218" t="s">
        <v>106</v>
      </c>
      <c r="J236" s="212">
        <f>SUM(J231:J235)</f>
        <v>1149708.2488999995</v>
      </c>
      <c r="K236" s="133"/>
      <c r="M236" s="134"/>
    </row>
    <row r="237" spans="1:15" s="132" customFormat="1" ht="12" thickTop="1" x14ac:dyDescent="0.15">
      <c r="A237" s="193"/>
      <c r="B237" s="210"/>
      <c r="C237" s="221"/>
      <c r="D237" s="237"/>
      <c r="E237" s="235"/>
      <c r="F237" s="235"/>
      <c r="H237" s="133"/>
      <c r="I237" s="138"/>
      <c r="J237" s="216"/>
      <c r="K237" s="133"/>
      <c r="M237" s="134"/>
    </row>
    <row r="238" spans="1:15" s="132" customFormat="1" x14ac:dyDescent="0.15">
      <c r="A238" s="133"/>
      <c r="B238" s="133" t="s">
        <v>9</v>
      </c>
      <c r="C238" s="220" t="s">
        <v>729</v>
      </c>
      <c r="D238" s="220" t="s">
        <v>850</v>
      </c>
      <c r="E238" s="133" t="s">
        <v>570</v>
      </c>
      <c r="F238" s="133" t="s">
        <v>571</v>
      </c>
      <c r="G238" s="133" t="s">
        <v>16</v>
      </c>
      <c r="H238" s="134"/>
      <c r="J238" s="205"/>
      <c r="K238" s="133"/>
      <c r="M238" s="134"/>
    </row>
    <row r="239" spans="1:15" s="132" customFormat="1" x14ac:dyDescent="0.15">
      <c r="A239" s="193" t="s">
        <v>1929</v>
      </c>
      <c r="B239" s="210">
        <v>52607</v>
      </c>
      <c r="C239" s="221">
        <v>25.0839</v>
      </c>
      <c r="D239" s="237">
        <f t="shared" ref="D239:D245" si="30">+B239*C239</f>
        <v>1319588.7272999999</v>
      </c>
      <c r="E239" s="235">
        <f t="shared" ref="E239:E245" si="31">+D239*0.01</f>
        <v>13195.887273</v>
      </c>
      <c r="F239" s="235">
        <f t="shared" ref="F239:F245" si="32">+E239*0.1</f>
        <v>1319.5887273000001</v>
      </c>
      <c r="G239" s="236">
        <f t="shared" ref="G239:G245" si="33">SUM(E239:F239)</f>
        <v>14515.476000300001</v>
      </c>
      <c r="H239" s="134"/>
      <c r="J239" s="205"/>
      <c r="K239" s="133"/>
      <c r="M239" s="134"/>
    </row>
    <row r="240" spans="1:15" s="132" customFormat="1" x14ac:dyDescent="0.15">
      <c r="A240" s="193" t="s">
        <v>1931</v>
      </c>
      <c r="B240" s="210">
        <v>118626</v>
      </c>
      <c r="C240" s="221">
        <v>25.5471</v>
      </c>
      <c r="D240" s="237">
        <f t="shared" si="30"/>
        <v>3030550.2845999999</v>
      </c>
      <c r="E240" s="235">
        <f t="shared" si="31"/>
        <v>30305.502845999999</v>
      </c>
      <c r="F240" s="235">
        <f t="shared" si="32"/>
        <v>3030.5502845999999</v>
      </c>
      <c r="G240" s="236">
        <f t="shared" si="33"/>
        <v>33336.053130599998</v>
      </c>
      <c r="H240" s="133"/>
      <c r="J240" s="205"/>
      <c r="K240" s="133"/>
      <c r="M240" s="134"/>
    </row>
    <row r="241" spans="1:15" s="132" customFormat="1" x14ac:dyDescent="0.15">
      <c r="A241" s="193" t="s">
        <v>1943</v>
      </c>
      <c r="B241" s="210">
        <v>267229</v>
      </c>
      <c r="C241" s="221">
        <v>25.104399999999998</v>
      </c>
      <c r="D241" s="237">
        <f t="shared" si="30"/>
        <v>6708623.7075999994</v>
      </c>
      <c r="E241" s="235">
        <f t="shared" si="31"/>
        <v>67086.23707599999</v>
      </c>
      <c r="F241" s="235">
        <f t="shared" si="32"/>
        <v>6708.6237075999998</v>
      </c>
      <c r="G241" s="236">
        <f t="shared" si="33"/>
        <v>73794.860783599986</v>
      </c>
      <c r="H241" s="133"/>
      <c r="J241" s="205"/>
      <c r="K241" s="133"/>
      <c r="M241" s="134"/>
    </row>
    <row r="242" spans="1:15" s="132" customFormat="1" x14ac:dyDescent="0.15">
      <c r="A242" s="193" t="s">
        <v>1945</v>
      </c>
      <c r="B242" s="210">
        <v>78889</v>
      </c>
      <c r="C242" s="221">
        <v>24.513400000000001</v>
      </c>
      <c r="D242" s="237">
        <f t="shared" si="30"/>
        <v>1933837.6126000001</v>
      </c>
      <c r="E242" s="235">
        <f t="shared" si="31"/>
        <v>19338.376126000003</v>
      </c>
      <c r="F242" s="235">
        <f t="shared" si="32"/>
        <v>1933.8376126000003</v>
      </c>
      <c r="G242" s="236">
        <f t="shared" si="33"/>
        <v>21272.213738600003</v>
      </c>
      <c r="H242" s="134"/>
      <c r="J242" s="205"/>
      <c r="K242" s="133"/>
      <c r="M242" s="134"/>
    </row>
    <row r="243" spans="1:15" s="132" customFormat="1" x14ac:dyDescent="0.15">
      <c r="A243" s="193" t="s">
        <v>1946</v>
      </c>
      <c r="B243" s="210">
        <v>448032</v>
      </c>
      <c r="C243" s="221">
        <v>24.046399999999998</v>
      </c>
      <c r="D243" s="237">
        <f t="shared" si="30"/>
        <v>10773556.684799999</v>
      </c>
      <c r="E243" s="235">
        <f t="shared" si="31"/>
        <v>107735.56684799999</v>
      </c>
      <c r="F243" s="235">
        <f t="shared" si="32"/>
        <v>10773.5566848</v>
      </c>
      <c r="G243" s="236">
        <f t="shared" si="33"/>
        <v>118509.12353279999</v>
      </c>
      <c r="H243" s="133"/>
      <c r="J243" s="205"/>
      <c r="K243" s="133"/>
      <c r="M243" s="134"/>
    </row>
    <row r="244" spans="1:15" s="132" customFormat="1" x14ac:dyDescent="0.15">
      <c r="A244" s="193" t="s">
        <v>1948</v>
      </c>
      <c r="B244" s="210">
        <v>275781</v>
      </c>
      <c r="C244" s="221">
        <v>24.1005</v>
      </c>
      <c r="D244" s="237">
        <f t="shared" si="30"/>
        <v>6646459.9905000003</v>
      </c>
      <c r="E244" s="235">
        <f t="shared" si="31"/>
        <v>66464.59990500001</v>
      </c>
      <c r="F244" s="235">
        <f t="shared" si="32"/>
        <v>6646.4599905000014</v>
      </c>
      <c r="G244" s="236">
        <f t="shared" si="33"/>
        <v>73111.059895500017</v>
      </c>
      <c r="H244" s="133"/>
      <c r="I244" s="134"/>
      <c r="J244" s="205"/>
      <c r="K244" s="133"/>
      <c r="M244" s="134"/>
    </row>
    <row r="245" spans="1:15" s="132" customFormat="1" x14ac:dyDescent="0.15">
      <c r="A245" s="193" t="s">
        <v>1950</v>
      </c>
      <c r="B245" s="210">
        <v>321894</v>
      </c>
      <c r="C245" s="221">
        <v>24.0121</v>
      </c>
      <c r="D245" s="237">
        <f t="shared" si="30"/>
        <v>7729350.9173999997</v>
      </c>
      <c r="E245" s="235">
        <f t="shared" si="31"/>
        <v>77293.509173999992</v>
      </c>
      <c r="F245" s="235">
        <f t="shared" si="32"/>
        <v>7729.3509173999992</v>
      </c>
      <c r="G245" s="236">
        <f t="shared" si="33"/>
        <v>85022.860091399984</v>
      </c>
      <c r="H245" s="134"/>
      <c r="I245" s="134"/>
      <c r="J245" s="134"/>
      <c r="K245" s="133"/>
      <c r="M245" s="134"/>
    </row>
    <row r="246" spans="1:15" s="132" customFormat="1" ht="12" thickBot="1" x14ac:dyDescent="0.2">
      <c r="A246" s="133"/>
      <c r="B246" s="211">
        <f>SUM(B239:B245)</f>
        <v>1563058</v>
      </c>
      <c r="C246" s="221"/>
      <c r="D246" s="237"/>
      <c r="E246" s="242">
        <f>SUM(E239:E245)</f>
        <v>381419.67924800003</v>
      </c>
      <c r="F246" s="242">
        <f t="shared" ref="F246:G246" si="34">SUM(F239:F245)</f>
        <v>38141.967924799996</v>
      </c>
      <c r="G246" s="242">
        <f t="shared" si="34"/>
        <v>419561.64717279997</v>
      </c>
      <c r="H246" s="133"/>
      <c r="J246" s="134"/>
      <c r="K246" s="133"/>
      <c r="M246" s="134"/>
    </row>
    <row r="247" spans="1:15" s="132" customFormat="1" ht="12" thickTop="1" x14ac:dyDescent="0.15">
      <c r="A247" s="133" t="s">
        <v>1930</v>
      </c>
      <c r="B247" s="210">
        <v>154484</v>
      </c>
      <c r="C247" s="221">
        <v>25.358000000000001</v>
      </c>
      <c r="D247" s="237">
        <f t="shared" ref="D247:D251" si="35">+B247*C247</f>
        <v>3917405.2719999999</v>
      </c>
      <c r="E247" s="235">
        <f t="shared" ref="E247:E251" si="36">+D247*0.01</f>
        <v>39174.05272</v>
      </c>
      <c r="F247" s="235">
        <f t="shared" ref="F247:F251" si="37">+E247*0.1</f>
        <v>3917.405272</v>
      </c>
      <c r="G247" s="236">
        <f>SUM(E247:F247)</f>
        <v>43091.457991999996</v>
      </c>
      <c r="H247" s="133"/>
      <c r="J247" s="134"/>
      <c r="K247" s="133"/>
      <c r="M247" s="134"/>
    </row>
    <row r="248" spans="1:15" s="132" customFormat="1" x14ac:dyDescent="0.15">
      <c r="A248" s="133" t="s">
        <v>1932</v>
      </c>
      <c r="B248" s="210">
        <v>60978</v>
      </c>
      <c r="C248" s="221">
        <v>25.547699999999999</v>
      </c>
      <c r="D248" s="237">
        <f t="shared" si="35"/>
        <v>1557847.6506000001</v>
      </c>
      <c r="E248" s="235">
        <f t="shared" si="36"/>
        <v>15578.476506000001</v>
      </c>
      <c r="F248" s="235">
        <f t="shared" si="37"/>
        <v>1557.8476506000002</v>
      </c>
      <c r="G248" s="236">
        <f>SUM(E248:F248)</f>
        <v>17136.3241566</v>
      </c>
      <c r="H248" s="133"/>
      <c r="J248" s="134"/>
      <c r="K248" s="133"/>
      <c r="M248" s="134"/>
    </row>
    <row r="249" spans="1:15" s="132" customFormat="1" x14ac:dyDescent="0.15">
      <c r="A249" s="133" t="s">
        <v>1944</v>
      </c>
      <c r="B249" s="210">
        <v>387540</v>
      </c>
      <c r="C249" s="221">
        <v>24.900200000000002</v>
      </c>
      <c r="D249" s="237">
        <f t="shared" si="35"/>
        <v>9649823.5080000013</v>
      </c>
      <c r="E249" s="235">
        <f t="shared" si="36"/>
        <v>96498.235080000013</v>
      </c>
      <c r="F249" s="235">
        <f t="shared" si="37"/>
        <v>9649.8235080000013</v>
      </c>
      <c r="G249" s="236">
        <f>SUM(E249:F249)</f>
        <v>106148.05858800001</v>
      </c>
      <c r="H249" s="133"/>
      <c r="J249" s="134"/>
      <c r="K249" s="133"/>
      <c r="M249" s="134"/>
    </row>
    <row r="250" spans="1:15" s="132" customFormat="1" x14ac:dyDescent="0.15">
      <c r="A250" s="133" t="s">
        <v>1947</v>
      </c>
      <c r="B250" s="210">
        <v>342024</v>
      </c>
      <c r="C250" s="221">
        <v>25.1738</v>
      </c>
      <c r="D250" s="237">
        <f t="shared" si="35"/>
        <v>8610043.7711999994</v>
      </c>
      <c r="E250" s="235">
        <f t="shared" si="36"/>
        <v>86100.437711999999</v>
      </c>
      <c r="F250" s="235">
        <f t="shared" si="37"/>
        <v>8610.0437712000003</v>
      </c>
      <c r="G250" s="236">
        <f>SUM(E250:F250)</f>
        <v>94710.481483199997</v>
      </c>
      <c r="H250" s="133"/>
      <c r="J250" s="134"/>
      <c r="K250" s="133"/>
      <c r="M250" s="134"/>
    </row>
    <row r="251" spans="1:15" s="132" customFormat="1" x14ac:dyDescent="0.15">
      <c r="A251" s="133" t="s">
        <v>1949</v>
      </c>
      <c r="B251" s="210">
        <v>204682</v>
      </c>
      <c r="C251" s="221">
        <v>24.243300000000001</v>
      </c>
      <c r="D251" s="237">
        <f t="shared" si="35"/>
        <v>4962167.1306000007</v>
      </c>
      <c r="E251" s="235">
        <f t="shared" si="36"/>
        <v>49621.671306000011</v>
      </c>
      <c r="F251" s="235">
        <f t="shared" si="37"/>
        <v>4962.1671306000017</v>
      </c>
      <c r="G251" s="236">
        <f>SUM(E251:F251)</f>
        <v>54583.83843660001</v>
      </c>
      <c r="H251" s="186"/>
      <c r="J251" s="134"/>
      <c r="K251" s="133"/>
      <c r="M251" s="134"/>
    </row>
    <row r="252" spans="1:15" s="133" customFormat="1" ht="12" thickBot="1" x14ac:dyDescent="0.2">
      <c r="B252" s="211">
        <f>SUM(B247:B251)</f>
        <v>1149708</v>
      </c>
      <c r="C252" s="221"/>
      <c r="D252" s="237"/>
      <c r="E252" s="242">
        <f>SUM(E247:E251)</f>
        <v>286972.87332400004</v>
      </c>
      <c r="F252" s="242">
        <f t="shared" ref="F252:G252" si="38">SUM(F247:F251)</f>
        <v>28697.287332400007</v>
      </c>
      <c r="G252" s="242">
        <f t="shared" si="38"/>
        <v>315670.16065640002</v>
      </c>
      <c r="H252" s="186"/>
      <c r="I252" s="132"/>
      <c r="J252" s="134"/>
      <c r="L252" s="132"/>
      <c r="M252" s="134"/>
      <c r="N252" s="132"/>
      <c r="O252" s="132"/>
    </row>
    <row r="253" spans="1:15" s="133" customFormat="1" ht="12" thickTop="1" x14ac:dyDescent="0.15">
      <c r="A253" s="247"/>
      <c r="B253" s="131"/>
      <c r="C253" s="132"/>
      <c r="E253" s="183"/>
      <c r="F253" s="363"/>
      <c r="G253" s="219"/>
      <c r="H253" s="186"/>
      <c r="I253" s="132"/>
      <c r="J253" s="134"/>
      <c r="L253" s="132"/>
      <c r="M253" s="134"/>
      <c r="N253" s="132"/>
      <c r="O253" s="132"/>
    </row>
    <row r="254" spans="1:15" s="133" customFormat="1" x14ac:dyDescent="0.15">
      <c r="A254" s="247"/>
      <c r="B254" s="131"/>
      <c r="C254" s="132"/>
      <c r="E254" s="183"/>
      <c r="F254" s="363"/>
      <c r="G254" s="219"/>
      <c r="H254" s="186"/>
      <c r="I254" s="132"/>
      <c r="J254" s="134"/>
      <c r="L254" s="132"/>
      <c r="M254" s="134"/>
      <c r="N254" s="132"/>
      <c r="O254" s="132"/>
    </row>
    <row r="255" spans="1:15" s="133" customFormat="1" x14ac:dyDescent="0.15">
      <c r="A255" s="247"/>
      <c r="B255" s="131"/>
      <c r="C255" s="132"/>
      <c r="E255" s="183"/>
      <c r="F255" s="363"/>
      <c r="G255" s="219"/>
      <c r="H255" s="186"/>
      <c r="I255" s="132"/>
      <c r="J255" s="134"/>
      <c r="L255" s="132"/>
      <c r="M255" s="134"/>
      <c r="N255" s="132"/>
      <c r="O255" s="132"/>
    </row>
    <row r="256" spans="1:15" s="133" customFormat="1" x14ac:dyDescent="0.15">
      <c r="A256" s="247"/>
      <c r="B256" s="131"/>
      <c r="C256" s="132"/>
      <c r="E256" s="183"/>
      <c r="F256" s="363"/>
      <c r="G256" s="219"/>
      <c r="H256" s="186"/>
      <c r="I256" s="132"/>
      <c r="J256" s="134"/>
      <c r="L256" s="132"/>
      <c r="M256" s="134"/>
      <c r="N256" s="132"/>
      <c r="O256" s="132"/>
    </row>
    <row r="257" spans="1:15" s="133" customFormat="1" x14ac:dyDescent="0.15">
      <c r="A257" s="247"/>
      <c r="B257" s="131"/>
      <c r="C257" s="132"/>
      <c r="E257" s="183"/>
      <c r="F257" s="363"/>
      <c r="G257" s="219"/>
      <c r="H257" s="186"/>
      <c r="I257" s="132"/>
      <c r="J257" s="134"/>
      <c r="L257" s="132"/>
      <c r="M257" s="134"/>
      <c r="N257" s="132"/>
      <c r="O257" s="132"/>
    </row>
    <row r="258" spans="1:15" x14ac:dyDescent="0.15">
      <c r="A258" s="247"/>
      <c r="E258" s="183"/>
      <c r="F258" s="363"/>
      <c r="G258" s="219"/>
      <c r="H258" s="186"/>
    </row>
    <row r="259" spans="1:15" s="132" customFormat="1" x14ac:dyDescent="0.15">
      <c r="A259" s="247"/>
      <c r="B259" s="131"/>
      <c r="D259" s="133"/>
      <c r="E259" s="183"/>
      <c r="F259" s="363"/>
      <c r="G259" s="219"/>
      <c r="H259" s="186"/>
      <c r="J259" s="134"/>
      <c r="K259" s="133"/>
      <c r="M259" s="134"/>
    </row>
    <row r="260" spans="1:15" s="132" customFormat="1" x14ac:dyDescent="0.15">
      <c r="A260" s="349"/>
      <c r="B260" s="131"/>
      <c r="D260" s="133"/>
      <c r="E260" s="183"/>
      <c r="F260" s="363"/>
      <c r="G260" s="219"/>
      <c r="H260" s="186"/>
      <c r="J260" s="134"/>
      <c r="K260" s="133"/>
      <c r="M260" s="134"/>
    </row>
    <row r="261" spans="1:15" s="132" customFormat="1" x14ac:dyDescent="0.15">
      <c r="A261" s="349"/>
      <c r="B261" s="131"/>
      <c r="D261" s="133"/>
      <c r="E261" s="183"/>
      <c r="F261" s="363"/>
      <c r="G261" s="219"/>
      <c r="H261" s="186"/>
      <c r="J261" s="134"/>
      <c r="K261" s="133"/>
      <c r="M261" s="134"/>
    </row>
    <row r="262" spans="1:15" s="132" customFormat="1" x14ac:dyDescent="0.15">
      <c r="A262" s="247"/>
      <c r="B262" s="131"/>
      <c r="D262" s="133"/>
      <c r="E262" s="183"/>
      <c r="F262" s="363"/>
      <c r="G262" s="219"/>
      <c r="H262" s="186"/>
      <c r="J262" s="134"/>
      <c r="K262" s="133"/>
      <c r="M262" s="134"/>
    </row>
    <row r="263" spans="1:15" s="132" customFormat="1" x14ac:dyDescent="0.15">
      <c r="A263" s="349"/>
      <c r="B263" s="131"/>
      <c r="D263" s="133"/>
      <c r="E263" s="183"/>
      <c r="F263" s="363"/>
      <c r="G263" s="219"/>
      <c r="H263" s="186"/>
      <c r="J263" s="134"/>
      <c r="K263" s="133"/>
      <c r="M263" s="134"/>
    </row>
    <row r="264" spans="1:15" s="132" customFormat="1" x14ac:dyDescent="0.15">
      <c r="A264" s="349"/>
      <c r="B264" s="131"/>
      <c r="D264" s="133"/>
      <c r="E264" s="183"/>
      <c r="F264" s="363"/>
      <c r="G264" s="219"/>
      <c r="H264" s="186"/>
      <c r="J264" s="134"/>
      <c r="K264" s="133"/>
      <c r="M264" s="134"/>
    </row>
    <row r="265" spans="1:15" s="132" customFormat="1" x14ac:dyDescent="0.15">
      <c r="A265" s="349"/>
      <c r="B265" s="131"/>
      <c r="D265" s="133"/>
      <c r="E265" s="183"/>
      <c r="F265" s="363"/>
      <c r="G265" s="219"/>
      <c r="H265" s="186"/>
      <c r="J265" s="134"/>
      <c r="K265" s="133"/>
      <c r="M265" s="134"/>
    </row>
    <row r="266" spans="1:15" s="132" customFormat="1" x14ac:dyDescent="0.15">
      <c r="A266" s="247"/>
      <c r="B266" s="131"/>
      <c r="D266" s="133"/>
      <c r="E266" s="183"/>
      <c r="F266" s="363"/>
      <c r="G266" s="219"/>
      <c r="H266" s="186"/>
      <c r="J266" s="134"/>
      <c r="K266" s="133"/>
      <c r="M266" s="134"/>
    </row>
    <row r="267" spans="1:15" s="132" customFormat="1" x14ac:dyDescent="0.15">
      <c r="A267" s="134"/>
      <c r="B267" s="131"/>
      <c r="D267" s="133"/>
      <c r="E267" s="133"/>
      <c r="F267" s="134"/>
      <c r="H267" s="133"/>
      <c r="J267" s="134"/>
      <c r="K267" s="133"/>
      <c r="M267" s="134"/>
    </row>
    <row r="268" spans="1:15" s="132" customFormat="1" x14ac:dyDescent="0.15">
      <c r="A268" s="134"/>
      <c r="B268" s="131"/>
      <c r="D268" s="133"/>
      <c r="E268" s="133"/>
      <c r="F268" s="134"/>
      <c r="H268" s="133"/>
      <c r="J268" s="134"/>
      <c r="K268" s="133"/>
      <c r="M268" s="134"/>
    </row>
    <row r="269" spans="1:15" s="132" customFormat="1" x14ac:dyDescent="0.15">
      <c r="A269" s="134"/>
      <c r="B269" s="131"/>
      <c r="D269" s="133"/>
      <c r="E269" s="133"/>
      <c r="F269" s="134"/>
      <c r="H269" s="133"/>
      <c r="J269" s="134"/>
      <c r="K269" s="133"/>
      <c r="M269" s="134"/>
    </row>
    <row r="270" spans="1:15" s="132" customFormat="1" x14ac:dyDescent="0.15">
      <c r="A270" s="134"/>
      <c r="B270" s="131"/>
      <c r="D270" s="133"/>
      <c r="E270" s="133"/>
      <c r="F270" s="134"/>
      <c r="H270" s="133"/>
      <c r="J270" s="134"/>
      <c r="K270" s="133"/>
      <c r="M270" s="134"/>
    </row>
    <row r="271" spans="1:15" s="132" customFormat="1" x14ac:dyDescent="0.15">
      <c r="A271" s="134"/>
      <c r="B271" s="131"/>
      <c r="D271" s="133"/>
      <c r="E271" s="133"/>
      <c r="F271" s="134"/>
      <c r="H271" s="133"/>
      <c r="J271" s="134"/>
      <c r="K271" s="133"/>
      <c r="M271" s="134"/>
    </row>
    <row r="272" spans="1:15" s="132" customFormat="1" x14ac:dyDescent="0.15">
      <c r="A272" s="134"/>
      <c r="B272" s="131"/>
      <c r="D272" s="133"/>
      <c r="E272" s="133"/>
      <c r="F272" s="134"/>
      <c r="H272" s="133"/>
      <c r="J272" s="134"/>
      <c r="K272" s="133"/>
      <c r="M272" s="134"/>
    </row>
    <row r="273" spans="1:15" s="132" customFormat="1" x14ac:dyDescent="0.15">
      <c r="A273" s="134"/>
      <c r="B273" s="131"/>
      <c r="D273" s="133"/>
      <c r="E273" s="133"/>
      <c r="F273" s="134"/>
      <c r="H273" s="133"/>
      <c r="J273" s="134"/>
      <c r="K273" s="133"/>
      <c r="M273" s="134"/>
    </row>
    <row r="274" spans="1:15" s="132" customFormat="1" x14ac:dyDescent="0.15">
      <c r="A274" s="134"/>
      <c r="B274" s="131"/>
      <c r="D274" s="133"/>
      <c r="E274" s="133"/>
      <c r="F274" s="134"/>
      <c r="H274" s="133"/>
      <c r="J274" s="134"/>
      <c r="K274" s="133"/>
      <c r="M274" s="134"/>
    </row>
    <row r="275" spans="1:15" s="132" customFormat="1" x14ac:dyDescent="0.15">
      <c r="A275" s="134"/>
      <c r="B275" s="131"/>
      <c r="D275" s="133"/>
      <c r="E275" s="133"/>
      <c r="F275" s="134"/>
      <c r="H275" s="133"/>
      <c r="J275" s="134"/>
      <c r="K275" s="133"/>
      <c r="M275" s="134"/>
    </row>
    <row r="276" spans="1:15" s="133" customFormat="1" x14ac:dyDescent="0.15">
      <c r="A276" s="134"/>
      <c r="B276" s="131"/>
      <c r="C276" s="132"/>
      <c r="F276" s="134"/>
      <c r="G276" s="132"/>
      <c r="I276" s="132"/>
      <c r="J276" s="134"/>
      <c r="L276" s="132"/>
      <c r="M276" s="134"/>
      <c r="N276" s="132"/>
      <c r="O276" s="132"/>
    </row>
    <row r="277" spans="1:15" s="133" customFormat="1" x14ac:dyDescent="0.15">
      <c r="A277" s="134"/>
      <c r="B277" s="131"/>
      <c r="C277" s="132"/>
      <c r="F277" s="134"/>
      <c r="G277" s="132"/>
      <c r="I277" s="132"/>
      <c r="J277" s="134"/>
      <c r="L277" s="132"/>
      <c r="M277" s="134"/>
      <c r="N277" s="132"/>
      <c r="O277" s="132"/>
    </row>
  </sheetData>
  <mergeCells count="7">
    <mergeCell ref="B222:D222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69"/>
  <sheetViews>
    <sheetView topLeftCell="B1" zoomScale="115" zoomScaleNormal="115" workbookViewId="0">
      <pane ySplit="6" topLeftCell="A91" activePane="bottomLeft" state="frozen"/>
      <selection pane="bottomLeft" activeCell="O111" sqref="O111:O116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7.7109375" style="134" bestFit="1" customWidth="1"/>
    <col min="14" max="14" width="10.5703125" style="132" bestFit="1" customWidth="1"/>
    <col min="15" max="15" width="11" style="132" bestFit="1" customWidth="1"/>
    <col min="16" max="16384" width="18.5703125" style="134"/>
  </cols>
  <sheetData>
    <row r="1" spans="1:15" x14ac:dyDescent="0.15">
      <c r="A1" s="130" t="s">
        <v>1925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1909</v>
      </c>
      <c r="B7" s="146"/>
      <c r="C7" s="152">
        <v>171084.52126201059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171084.52126201059</v>
      </c>
      <c r="O7" s="147">
        <f>+C110</f>
        <v>566037.46426201065</v>
      </c>
    </row>
    <row r="8" spans="1:15" x14ac:dyDescent="0.15">
      <c r="A8" s="154" t="s">
        <v>1910</v>
      </c>
      <c r="B8" s="151"/>
      <c r="C8" s="152">
        <v>131658.62900000002</v>
      </c>
      <c r="D8" s="323"/>
      <c r="E8" s="154"/>
      <c r="F8" s="154"/>
      <c r="G8" s="152"/>
      <c r="H8" s="323"/>
      <c r="I8" s="152"/>
      <c r="J8" s="154"/>
      <c r="K8" s="156"/>
      <c r="L8" s="227"/>
      <c r="M8" s="157"/>
      <c r="N8" s="227">
        <f>+N7-I8-L8</f>
        <v>171084.52126201059</v>
      </c>
      <c r="O8" s="152">
        <f t="shared" ref="O8:O11" si="0">O7+G8-I8-L8</f>
        <v>566037.46426201065</v>
      </c>
    </row>
    <row r="9" spans="1:15" x14ac:dyDescent="0.15">
      <c r="A9" s="157" t="s">
        <v>1911</v>
      </c>
      <c r="B9" s="151"/>
      <c r="C9" s="152">
        <v>175563.29399999999</v>
      </c>
      <c r="D9" s="323"/>
      <c r="E9" s="154"/>
      <c r="F9" s="157"/>
      <c r="G9" s="152"/>
      <c r="H9" s="323"/>
      <c r="I9" s="152"/>
      <c r="J9" s="157"/>
      <c r="K9" s="154"/>
      <c r="L9" s="227"/>
      <c r="M9" s="157"/>
      <c r="N9" s="227">
        <f t="shared" ref="N9:N11" si="1">+N8-I9-L9</f>
        <v>171084.52126201059</v>
      </c>
      <c r="O9" s="152">
        <f t="shared" si="0"/>
        <v>566037.46426201065</v>
      </c>
    </row>
    <row r="10" spans="1:15" x14ac:dyDescent="0.15">
      <c r="A10" s="154" t="s">
        <v>1912</v>
      </c>
      <c r="B10" s="151"/>
      <c r="C10" s="152">
        <v>87731.02</v>
      </c>
      <c r="D10" s="323"/>
      <c r="E10" s="154"/>
      <c r="F10" s="154"/>
      <c r="G10" s="152"/>
      <c r="H10" s="323"/>
      <c r="I10" s="152"/>
      <c r="J10" s="157"/>
      <c r="K10" s="154"/>
      <c r="L10" s="227"/>
      <c r="M10" s="157"/>
      <c r="N10" s="227">
        <f t="shared" si="1"/>
        <v>171084.52126201059</v>
      </c>
      <c r="O10" s="152">
        <f t="shared" si="0"/>
        <v>566037.46426201065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>
        <v>41791</v>
      </c>
      <c r="I11" s="152">
        <v>692.09</v>
      </c>
      <c r="J11" s="157" t="s">
        <v>1909</v>
      </c>
      <c r="K11" s="154" t="s">
        <v>1934</v>
      </c>
      <c r="L11" s="227">
        <v>11560.52</v>
      </c>
      <c r="M11" s="157" t="s">
        <v>1909</v>
      </c>
      <c r="N11" s="227">
        <f t="shared" si="1"/>
        <v>158831.9112620106</v>
      </c>
      <c r="O11" s="152">
        <f t="shared" si="0"/>
        <v>553784.85426201066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41791</v>
      </c>
      <c r="I12" s="152"/>
      <c r="J12" s="157"/>
      <c r="K12" s="154" t="s">
        <v>1934</v>
      </c>
      <c r="L12" s="227">
        <v>13123.99</v>
      </c>
      <c r="M12" s="157" t="s">
        <v>1909</v>
      </c>
      <c r="N12" s="227">
        <f t="shared" ref="N12" si="2">+N11-I12-L12</f>
        <v>145707.92126201061</v>
      </c>
      <c r="O12" s="152">
        <f t="shared" ref="O12" si="3">O11+G12-I12-L12</f>
        <v>540660.86426201067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41791</v>
      </c>
      <c r="I13" s="152"/>
      <c r="J13" s="157"/>
      <c r="K13" s="154" t="s">
        <v>1934</v>
      </c>
      <c r="L13" s="227">
        <v>12266.73</v>
      </c>
      <c r="M13" s="157" t="s">
        <v>1909</v>
      </c>
      <c r="N13" s="227">
        <f t="shared" ref="N13:N75" si="4">+N12-I13-L13</f>
        <v>133441.1912620106</v>
      </c>
      <c r="O13" s="152">
        <f t="shared" ref="O13:O75" si="5">O12+G13-I13-L13</f>
        <v>528394.13426201069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>
        <v>41791</v>
      </c>
      <c r="I14" s="152"/>
      <c r="J14" s="157"/>
      <c r="K14" s="154" t="s">
        <v>1934</v>
      </c>
      <c r="L14" s="227">
        <v>1098.33</v>
      </c>
      <c r="M14" s="157" t="s">
        <v>1909</v>
      </c>
      <c r="N14" s="227">
        <f t="shared" si="4"/>
        <v>132342.86126201061</v>
      </c>
      <c r="O14" s="152">
        <f t="shared" si="5"/>
        <v>527295.80426201073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>
        <v>41791</v>
      </c>
      <c r="I15" s="152"/>
      <c r="J15" s="157"/>
      <c r="K15" s="154" t="s">
        <v>1934</v>
      </c>
      <c r="L15" s="227">
        <v>832.9</v>
      </c>
      <c r="M15" s="157" t="s">
        <v>1909</v>
      </c>
      <c r="N15" s="227">
        <f t="shared" si="4"/>
        <v>131509.96126201062</v>
      </c>
      <c r="O15" s="152">
        <f t="shared" si="5"/>
        <v>526462.90426201071</v>
      </c>
    </row>
    <row r="16" spans="1:15" x14ac:dyDescent="0.15">
      <c r="A16" s="154"/>
      <c r="B16" s="151"/>
      <c r="C16" s="152"/>
      <c r="D16" s="323"/>
      <c r="E16" s="155"/>
      <c r="F16" s="157"/>
      <c r="G16" s="152"/>
      <c r="H16" s="323">
        <v>41791</v>
      </c>
      <c r="I16" s="152"/>
      <c r="J16" s="157"/>
      <c r="K16" s="154" t="s">
        <v>1934</v>
      </c>
      <c r="L16" s="227">
        <v>35862.660000000003</v>
      </c>
      <c r="M16" s="157" t="s">
        <v>1909</v>
      </c>
      <c r="N16" s="227">
        <f t="shared" si="4"/>
        <v>95647.301262010616</v>
      </c>
      <c r="O16" s="152">
        <f t="shared" si="5"/>
        <v>490600.24426201067</v>
      </c>
    </row>
    <row r="17" spans="1:15" x14ac:dyDescent="0.15">
      <c r="A17" s="154"/>
      <c r="B17" s="151"/>
      <c r="C17" s="152"/>
      <c r="D17" s="323">
        <v>41792</v>
      </c>
      <c r="E17" s="155" t="s">
        <v>72</v>
      </c>
      <c r="F17" s="157" t="s">
        <v>1912</v>
      </c>
      <c r="G17" s="152">
        <v>43851.45</v>
      </c>
      <c r="H17" s="323">
        <v>41792</v>
      </c>
      <c r="I17" s="152">
        <v>2934.72</v>
      </c>
      <c r="J17" s="157" t="s">
        <v>1909</v>
      </c>
      <c r="K17" s="154" t="s">
        <v>1934</v>
      </c>
      <c r="L17" s="227">
        <v>13016.46</v>
      </c>
      <c r="M17" s="157" t="s">
        <v>1909</v>
      </c>
      <c r="N17" s="227">
        <f t="shared" si="4"/>
        <v>79696.121262010623</v>
      </c>
      <c r="O17" s="152">
        <f t="shared" si="5"/>
        <v>518500.51426201063</v>
      </c>
    </row>
    <row r="18" spans="1:15" x14ac:dyDescent="0.15">
      <c r="A18" s="154"/>
      <c r="B18" s="151"/>
      <c r="C18" s="152"/>
      <c r="D18" s="323">
        <v>41793</v>
      </c>
      <c r="E18" s="155" t="s">
        <v>72</v>
      </c>
      <c r="F18" s="157" t="s">
        <v>1912</v>
      </c>
      <c r="G18" s="152">
        <v>43878.353999999999</v>
      </c>
      <c r="H18" s="323">
        <v>41793</v>
      </c>
      <c r="I18" s="152"/>
      <c r="J18" s="157"/>
      <c r="K18" s="154" t="s">
        <v>1934</v>
      </c>
      <c r="L18" s="227">
        <v>12202.37</v>
      </c>
      <c r="M18" s="157" t="s">
        <v>1909</v>
      </c>
      <c r="N18" s="227">
        <f t="shared" si="4"/>
        <v>67493.751262010628</v>
      </c>
      <c r="O18" s="152">
        <f t="shared" si="5"/>
        <v>550176.49826201063</v>
      </c>
    </row>
    <row r="19" spans="1:15" x14ac:dyDescent="0.15">
      <c r="A19" s="154"/>
      <c r="B19" s="151"/>
      <c r="C19" s="152"/>
      <c r="D19" s="323"/>
      <c r="E19" s="155"/>
      <c r="F19" s="154"/>
      <c r="G19" s="152"/>
      <c r="H19" s="323">
        <v>41793</v>
      </c>
      <c r="I19" s="152"/>
      <c r="J19" s="157"/>
      <c r="K19" s="154" t="s">
        <v>1934</v>
      </c>
      <c r="L19" s="227">
        <v>12535</v>
      </c>
      <c r="M19" s="157" t="s">
        <v>1909</v>
      </c>
      <c r="N19" s="227">
        <f t="shared" si="4"/>
        <v>54958.751262010628</v>
      </c>
      <c r="O19" s="152">
        <f t="shared" si="5"/>
        <v>537641.49826201063</v>
      </c>
    </row>
    <row r="20" spans="1:15" x14ac:dyDescent="0.15">
      <c r="A20" s="154"/>
      <c r="B20" s="151"/>
      <c r="C20" s="152"/>
      <c r="D20" s="323">
        <v>41794</v>
      </c>
      <c r="E20" s="155" t="s">
        <v>72</v>
      </c>
      <c r="F20" s="157" t="s">
        <v>1926</v>
      </c>
      <c r="G20" s="152">
        <v>43890.184999999998</v>
      </c>
      <c r="H20" s="323">
        <v>41794</v>
      </c>
      <c r="I20" s="152">
        <v>1094.78</v>
      </c>
      <c r="J20" s="157" t="s">
        <v>1909</v>
      </c>
      <c r="K20" s="154" t="s">
        <v>1934</v>
      </c>
      <c r="L20" s="227">
        <v>12781.22</v>
      </c>
      <c r="M20" s="157" t="s">
        <v>1909</v>
      </c>
      <c r="N20" s="227">
        <f t="shared" si="4"/>
        <v>41082.751262010628</v>
      </c>
      <c r="O20" s="152">
        <f t="shared" si="5"/>
        <v>567655.68326201057</v>
      </c>
    </row>
    <row r="21" spans="1:15" x14ac:dyDescent="0.15">
      <c r="A21" s="154"/>
      <c r="B21" s="151"/>
      <c r="C21" s="152"/>
      <c r="D21" s="323"/>
      <c r="E21" s="155"/>
      <c r="F21" s="157"/>
      <c r="G21" s="152"/>
      <c r="H21" s="323">
        <v>41794</v>
      </c>
      <c r="I21" s="152"/>
      <c r="J21" s="157"/>
      <c r="K21" s="154" t="s">
        <v>1934</v>
      </c>
      <c r="L21" s="227">
        <v>366.59</v>
      </c>
      <c r="M21" s="157" t="s">
        <v>1909</v>
      </c>
      <c r="N21" s="227">
        <f t="shared" si="4"/>
        <v>40716.161262010632</v>
      </c>
      <c r="O21" s="152">
        <f t="shared" si="5"/>
        <v>567289.0932620106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41794</v>
      </c>
      <c r="I22" s="152"/>
      <c r="J22" s="157"/>
      <c r="K22" s="154" t="s">
        <v>1934</v>
      </c>
      <c r="L22" s="227">
        <v>40716.161262010632</v>
      </c>
      <c r="M22" s="157" t="s">
        <v>1909</v>
      </c>
      <c r="N22" s="227">
        <f t="shared" ref="N22:N29" si="6">+N21-I22-L22</f>
        <v>0</v>
      </c>
      <c r="O22" s="152">
        <f t="shared" ref="O22:O29" si="7">O21+G22-I22-L22</f>
        <v>526572.93200000003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>
        <v>41794</v>
      </c>
      <c r="I23" s="152"/>
      <c r="J23" s="157"/>
      <c r="K23" s="154" t="s">
        <v>1934</v>
      </c>
      <c r="L23" s="227">
        <v>16190.258737989399</v>
      </c>
      <c r="M23" s="157" t="s">
        <v>1910</v>
      </c>
      <c r="N23" s="227">
        <f>C8+N22-I23-L23</f>
        <v>115468.37026201062</v>
      </c>
      <c r="O23" s="152">
        <f t="shared" si="7"/>
        <v>510382.67326201062</v>
      </c>
    </row>
    <row r="24" spans="1:15" x14ac:dyDescent="0.15">
      <c r="A24" s="154"/>
      <c r="B24" s="151"/>
      <c r="C24" s="152"/>
      <c r="D24" s="323">
        <v>41795</v>
      </c>
      <c r="E24" s="155" t="s">
        <v>72</v>
      </c>
      <c r="F24" s="157" t="s">
        <v>1926</v>
      </c>
      <c r="G24" s="152">
        <v>43918.964999999997</v>
      </c>
      <c r="H24" s="323">
        <v>41795</v>
      </c>
      <c r="I24" s="152"/>
      <c r="J24" s="157"/>
      <c r="K24" s="154" t="s">
        <v>1934</v>
      </c>
      <c r="L24" s="227">
        <v>11700.19</v>
      </c>
      <c r="M24" s="157" t="s">
        <v>1910</v>
      </c>
      <c r="N24" s="227">
        <f t="shared" si="6"/>
        <v>103768.18026201062</v>
      </c>
      <c r="O24" s="152">
        <f t="shared" si="7"/>
        <v>542601.4482620107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41795</v>
      </c>
      <c r="I25" s="152"/>
      <c r="J25" s="157"/>
      <c r="K25" s="154" t="s">
        <v>1934</v>
      </c>
      <c r="L25" s="227">
        <v>1142.1199999999999</v>
      </c>
      <c r="M25" s="157" t="s">
        <v>1910</v>
      </c>
      <c r="N25" s="227">
        <f t="shared" si="6"/>
        <v>102626.06026201062</v>
      </c>
      <c r="O25" s="152">
        <f t="shared" si="7"/>
        <v>541459.32826201071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>
        <v>41795</v>
      </c>
      <c r="I26" s="152"/>
      <c r="J26" s="157"/>
      <c r="K26" s="154" t="s">
        <v>1934</v>
      </c>
      <c r="L26" s="227">
        <v>36310</v>
      </c>
      <c r="M26" s="157" t="s">
        <v>1910</v>
      </c>
      <c r="N26" s="227">
        <f t="shared" si="6"/>
        <v>66316.060262010622</v>
      </c>
      <c r="O26" s="152">
        <f t="shared" si="7"/>
        <v>505149.32826201071</v>
      </c>
    </row>
    <row r="27" spans="1:15" ht="12.75" customHeight="1" x14ac:dyDescent="0.15">
      <c r="A27" s="154"/>
      <c r="B27" s="151"/>
      <c r="C27" s="152"/>
      <c r="D27" s="323">
        <v>41796</v>
      </c>
      <c r="E27" s="155" t="s">
        <v>72</v>
      </c>
      <c r="F27" s="157" t="s">
        <v>1926</v>
      </c>
      <c r="G27" s="152">
        <v>43895.659</v>
      </c>
      <c r="H27" s="323">
        <v>41796</v>
      </c>
      <c r="I27" s="152">
        <v>8265.9599999999991</v>
      </c>
      <c r="J27" s="157" t="s">
        <v>1910</v>
      </c>
      <c r="K27" s="154" t="s">
        <v>1934</v>
      </c>
      <c r="L27" s="227">
        <v>11889.72</v>
      </c>
      <c r="M27" s="157" t="s">
        <v>1910</v>
      </c>
      <c r="N27" s="227">
        <f t="shared" si="6"/>
        <v>46160.380262010622</v>
      </c>
      <c r="O27" s="152">
        <f t="shared" si="7"/>
        <v>528889.30726201076</v>
      </c>
    </row>
    <row r="28" spans="1:15" ht="12.75" customHeight="1" x14ac:dyDescent="0.15">
      <c r="A28" s="154"/>
      <c r="B28" s="151"/>
      <c r="C28" s="152"/>
      <c r="D28" s="323"/>
      <c r="E28" s="154"/>
      <c r="F28" s="157"/>
      <c r="G28" s="152"/>
      <c r="H28" s="323">
        <v>41796</v>
      </c>
      <c r="I28" s="152"/>
      <c r="J28" s="154"/>
      <c r="K28" s="154" t="s">
        <v>1934</v>
      </c>
      <c r="L28" s="227">
        <v>14011.35</v>
      </c>
      <c r="M28" s="157" t="s">
        <v>1910</v>
      </c>
      <c r="N28" s="227">
        <f t="shared" si="6"/>
        <v>32149.030262010623</v>
      </c>
      <c r="O28" s="152">
        <f t="shared" si="7"/>
        <v>514877.95726201078</v>
      </c>
    </row>
    <row r="29" spans="1:15" x14ac:dyDescent="0.15">
      <c r="A29" s="154"/>
      <c r="B29" s="151"/>
      <c r="C29" s="152"/>
      <c r="D29" s="323"/>
      <c r="E29" s="155"/>
      <c r="F29" s="157"/>
      <c r="G29" s="152"/>
      <c r="H29" s="323">
        <v>41796</v>
      </c>
      <c r="I29" s="152"/>
      <c r="J29" s="154"/>
      <c r="K29" s="154" t="s">
        <v>1934</v>
      </c>
      <c r="L29" s="227">
        <v>12623.9</v>
      </c>
      <c r="M29" s="157" t="s">
        <v>1910</v>
      </c>
      <c r="N29" s="227">
        <f t="shared" si="6"/>
        <v>19525.130262010622</v>
      </c>
      <c r="O29" s="152">
        <f t="shared" si="7"/>
        <v>502254.05726201076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>
        <v>41796</v>
      </c>
      <c r="I30" s="152"/>
      <c r="J30" s="154"/>
      <c r="K30" s="154" t="s">
        <v>1934</v>
      </c>
      <c r="L30" s="227">
        <v>19525.130262010622</v>
      </c>
      <c r="M30" s="154" t="s">
        <v>1910</v>
      </c>
      <c r="N30" s="227">
        <f t="shared" ref="N30:N35" si="8">+N29-I30-L30</f>
        <v>0</v>
      </c>
      <c r="O30" s="152">
        <f t="shared" ref="O30:O35" si="9">O29+G30-I30-L30</f>
        <v>482728.92700000014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>
        <v>41796</v>
      </c>
      <c r="I31" s="152"/>
      <c r="J31" s="154"/>
      <c r="K31" s="154" t="s">
        <v>1934</v>
      </c>
      <c r="L31" s="227">
        <v>18121.9397379894</v>
      </c>
      <c r="M31" s="157" t="s">
        <v>1911</v>
      </c>
      <c r="N31" s="227">
        <f>C9+N30-I31-L31</f>
        <v>157441.3542620106</v>
      </c>
      <c r="O31" s="152">
        <f t="shared" si="9"/>
        <v>464606.98726201075</v>
      </c>
    </row>
    <row r="32" spans="1:15" x14ac:dyDescent="0.15">
      <c r="A32" s="154"/>
      <c r="B32" s="151"/>
      <c r="C32" s="152"/>
      <c r="D32" s="323">
        <v>41797</v>
      </c>
      <c r="E32" s="155" t="s">
        <v>72</v>
      </c>
      <c r="F32" s="157" t="s">
        <v>1926</v>
      </c>
      <c r="G32" s="152">
        <v>43950.921999999999</v>
      </c>
      <c r="H32" s="323">
        <v>41797</v>
      </c>
      <c r="I32" s="152">
        <v>3446</v>
      </c>
      <c r="J32" s="157" t="s">
        <v>1911</v>
      </c>
      <c r="K32" s="154" t="s">
        <v>1934</v>
      </c>
      <c r="L32" s="227">
        <v>11848</v>
      </c>
      <c r="M32" s="157" t="s">
        <v>1911</v>
      </c>
      <c r="N32" s="227">
        <f t="shared" si="8"/>
        <v>142147.3542620106</v>
      </c>
      <c r="O32" s="152">
        <f t="shared" si="9"/>
        <v>493263.90926201077</v>
      </c>
    </row>
    <row r="33" spans="1:15" x14ac:dyDescent="0.15">
      <c r="A33" s="154"/>
      <c r="B33" s="151"/>
      <c r="C33" s="152"/>
      <c r="D33" s="323"/>
      <c r="E33" s="155"/>
      <c r="F33" s="157"/>
      <c r="G33" s="152"/>
      <c r="H33" s="323">
        <v>41798</v>
      </c>
      <c r="I33" s="152">
        <v>13890.54</v>
      </c>
      <c r="J33" s="157" t="s">
        <v>1911</v>
      </c>
      <c r="K33" s="154" t="s">
        <v>1934</v>
      </c>
      <c r="L33" s="227">
        <v>14688.06</v>
      </c>
      <c r="M33" s="157" t="s">
        <v>1911</v>
      </c>
      <c r="N33" s="227">
        <f t="shared" si="8"/>
        <v>113568.7542620106</v>
      </c>
      <c r="O33" s="152">
        <f t="shared" si="9"/>
        <v>464685.30926201079</v>
      </c>
    </row>
    <row r="34" spans="1:15" x14ac:dyDescent="0.15">
      <c r="A34" s="154"/>
      <c r="B34" s="151"/>
      <c r="C34" s="152"/>
      <c r="D34" s="323"/>
      <c r="E34" s="155"/>
      <c r="F34" s="157"/>
      <c r="G34" s="152"/>
      <c r="H34" s="323">
        <v>41798</v>
      </c>
      <c r="I34" s="152"/>
      <c r="J34" s="157"/>
      <c r="K34" s="154" t="s">
        <v>1934</v>
      </c>
      <c r="L34" s="227">
        <v>12251.54</v>
      </c>
      <c r="M34" s="157" t="s">
        <v>1911</v>
      </c>
      <c r="N34" s="227">
        <f t="shared" si="8"/>
        <v>101317.21426201059</v>
      </c>
      <c r="O34" s="152">
        <f t="shared" si="9"/>
        <v>452433.76926201081</v>
      </c>
    </row>
    <row r="35" spans="1:15" x14ac:dyDescent="0.15">
      <c r="A35" s="154"/>
      <c r="B35" s="151"/>
      <c r="C35" s="152"/>
      <c r="D35" s="323">
        <v>41799</v>
      </c>
      <c r="E35" s="155" t="s">
        <v>72</v>
      </c>
      <c r="F35" s="157" t="s">
        <v>1926</v>
      </c>
      <c r="G35" s="152">
        <v>43944.88</v>
      </c>
      <c r="H35" s="323">
        <v>41799</v>
      </c>
      <c r="I35" s="152">
        <v>2668.62</v>
      </c>
      <c r="J35" s="157" t="s">
        <v>1911</v>
      </c>
      <c r="K35" s="154" t="s">
        <v>1934</v>
      </c>
      <c r="L35" s="227">
        <v>13452.18</v>
      </c>
      <c r="M35" s="157" t="s">
        <v>1911</v>
      </c>
      <c r="N35" s="227">
        <f t="shared" si="8"/>
        <v>85196.414262010599</v>
      </c>
      <c r="O35" s="152">
        <f t="shared" si="9"/>
        <v>480257.84926201083</v>
      </c>
    </row>
    <row r="36" spans="1:15" x14ac:dyDescent="0.15">
      <c r="A36" s="154"/>
      <c r="B36" s="151"/>
      <c r="C36" s="152"/>
      <c r="D36" s="323">
        <v>41800</v>
      </c>
      <c r="E36" s="155" t="s">
        <v>72</v>
      </c>
      <c r="F36" s="157" t="s">
        <v>1926</v>
      </c>
      <c r="G36" s="152">
        <v>43912.491999999998</v>
      </c>
      <c r="H36" s="323">
        <v>41800</v>
      </c>
      <c r="I36" s="152">
        <v>5247.8099999999995</v>
      </c>
      <c r="J36" s="157" t="s">
        <v>1911</v>
      </c>
      <c r="K36" s="154" t="s">
        <v>1934</v>
      </c>
      <c r="L36" s="227">
        <v>62461.96</v>
      </c>
      <c r="M36" s="157" t="s">
        <v>1911</v>
      </c>
      <c r="N36" s="227">
        <f t="shared" si="4"/>
        <v>17486.644262010603</v>
      </c>
      <c r="O36" s="152">
        <f t="shared" si="5"/>
        <v>456460.57126201084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>
        <v>41800</v>
      </c>
      <c r="I37" s="152"/>
      <c r="J37" s="157"/>
      <c r="K37" s="154" t="s">
        <v>1934</v>
      </c>
      <c r="L37" s="227">
        <v>13145.99</v>
      </c>
      <c r="M37" s="157" t="s">
        <v>1911</v>
      </c>
      <c r="N37" s="227">
        <f t="shared" si="4"/>
        <v>4340.6542620106029</v>
      </c>
      <c r="O37" s="152">
        <f t="shared" si="5"/>
        <v>443314.58126201085</v>
      </c>
    </row>
    <row r="38" spans="1:15" x14ac:dyDescent="0.15">
      <c r="A38" s="154"/>
      <c r="B38" s="151"/>
      <c r="C38" s="152"/>
      <c r="D38" s="323">
        <v>41801</v>
      </c>
      <c r="E38" s="155" t="s">
        <v>72</v>
      </c>
      <c r="F38" s="157" t="s">
        <v>1927</v>
      </c>
      <c r="G38" s="152">
        <v>43892.398999999998</v>
      </c>
      <c r="H38" s="323">
        <v>41801</v>
      </c>
      <c r="I38" s="152">
        <v>4340.6542620106029</v>
      </c>
      <c r="J38" s="157" t="s">
        <v>1911</v>
      </c>
      <c r="K38" s="154"/>
      <c r="L38" s="227"/>
      <c r="M38" s="154"/>
      <c r="N38" s="227">
        <f t="shared" ref="N38:N43" si="10">+N37-I38-L38</f>
        <v>0</v>
      </c>
      <c r="O38" s="152">
        <f t="shared" ref="O38:O43" si="11">O37+G38-I38-L38</f>
        <v>482866.32600000023</v>
      </c>
    </row>
    <row r="39" spans="1:15" x14ac:dyDescent="0.15">
      <c r="A39" s="154"/>
      <c r="B39" s="151"/>
      <c r="C39" s="152"/>
      <c r="D39" s="323"/>
      <c r="E39" s="155"/>
      <c r="F39" s="157"/>
      <c r="G39" s="152"/>
      <c r="H39" s="323">
        <v>41801</v>
      </c>
      <c r="I39" s="152">
        <v>3149.4057379894002</v>
      </c>
      <c r="J39" s="154" t="s">
        <v>1912</v>
      </c>
      <c r="K39" s="154" t="s">
        <v>1934</v>
      </c>
      <c r="L39" s="227">
        <v>11402.06</v>
      </c>
      <c r="M39" s="154" t="s">
        <v>1912</v>
      </c>
      <c r="N39" s="227">
        <f>C10+G17+G18+N38-I39-L39</f>
        <v>160909.35826201059</v>
      </c>
      <c r="O39" s="152">
        <f t="shared" si="11"/>
        <v>468314.86026201083</v>
      </c>
    </row>
    <row r="40" spans="1:15" x14ac:dyDescent="0.15">
      <c r="A40" s="154"/>
      <c r="B40" s="151"/>
      <c r="C40" s="152"/>
      <c r="D40" s="323"/>
      <c r="E40" s="155"/>
      <c r="F40" s="157"/>
      <c r="G40" s="152"/>
      <c r="H40" s="323">
        <v>41801</v>
      </c>
      <c r="I40" s="152"/>
      <c r="J40" s="157"/>
      <c r="K40" s="154" t="s">
        <v>1934</v>
      </c>
      <c r="L40" s="227">
        <v>13727.64</v>
      </c>
      <c r="M40" s="154" t="s">
        <v>1912</v>
      </c>
      <c r="N40" s="227">
        <f t="shared" si="10"/>
        <v>147181.7182620106</v>
      </c>
      <c r="O40" s="152">
        <f t="shared" si="11"/>
        <v>454587.22026201081</v>
      </c>
    </row>
    <row r="41" spans="1:15" x14ac:dyDescent="0.15">
      <c r="A41" s="154"/>
      <c r="B41" s="151"/>
      <c r="C41" s="152"/>
      <c r="D41" s="323"/>
      <c r="E41" s="155"/>
      <c r="F41" s="157"/>
      <c r="G41" s="152"/>
      <c r="H41" s="323">
        <v>41801</v>
      </c>
      <c r="I41" s="152"/>
      <c r="J41" s="154"/>
      <c r="K41" s="154" t="s">
        <v>1934</v>
      </c>
      <c r="L41" s="227">
        <v>43803.32</v>
      </c>
      <c r="M41" s="154" t="s">
        <v>1912</v>
      </c>
      <c r="N41" s="227">
        <f t="shared" si="10"/>
        <v>103378.3982620106</v>
      </c>
      <c r="O41" s="152">
        <f t="shared" si="11"/>
        <v>410783.90026201081</v>
      </c>
    </row>
    <row r="42" spans="1:15" x14ac:dyDescent="0.15">
      <c r="A42" s="154"/>
      <c r="B42" s="151"/>
      <c r="C42" s="152"/>
      <c r="D42" s="323"/>
      <c r="E42" s="155"/>
      <c r="F42" s="157"/>
      <c r="G42" s="152"/>
      <c r="H42" s="323">
        <v>41801</v>
      </c>
      <c r="I42" s="152"/>
      <c r="J42" s="154"/>
      <c r="K42" s="154" t="s">
        <v>1934</v>
      </c>
      <c r="L42" s="227">
        <v>36197.46</v>
      </c>
      <c r="M42" s="154" t="s">
        <v>1912</v>
      </c>
      <c r="N42" s="227">
        <f t="shared" si="10"/>
        <v>67180.938262010604</v>
      </c>
      <c r="O42" s="152">
        <f t="shared" si="11"/>
        <v>374586.44026201079</v>
      </c>
    </row>
    <row r="43" spans="1:15" x14ac:dyDescent="0.15">
      <c r="A43" s="154"/>
      <c r="B43" s="151"/>
      <c r="C43" s="152"/>
      <c r="D43" s="323"/>
      <c r="E43" s="155"/>
      <c r="F43" s="157"/>
      <c r="G43" s="152"/>
      <c r="H43" s="323">
        <v>41801</v>
      </c>
      <c r="I43" s="152"/>
      <c r="J43" s="154"/>
      <c r="K43" s="154" t="s">
        <v>1934</v>
      </c>
      <c r="L43" s="227">
        <v>42776.1</v>
      </c>
      <c r="M43" s="154" t="s">
        <v>1912</v>
      </c>
      <c r="N43" s="227">
        <f t="shared" si="10"/>
        <v>24404.838262010606</v>
      </c>
      <c r="O43" s="152">
        <f t="shared" si="11"/>
        <v>331810.34026201081</v>
      </c>
    </row>
    <row r="44" spans="1:15" x14ac:dyDescent="0.15">
      <c r="A44" s="154"/>
      <c r="B44" s="151"/>
      <c r="C44" s="152"/>
      <c r="D44" s="323">
        <v>41802</v>
      </c>
      <c r="E44" s="155" t="s">
        <v>72</v>
      </c>
      <c r="F44" s="157" t="s">
        <v>1927</v>
      </c>
      <c r="G44" s="152">
        <v>43888.748</v>
      </c>
      <c r="H44" s="323">
        <v>41802</v>
      </c>
      <c r="I44" s="152">
        <v>7326.54</v>
      </c>
      <c r="J44" s="154" t="s">
        <v>1912</v>
      </c>
      <c r="K44" s="154" t="s">
        <v>1934</v>
      </c>
      <c r="L44" s="227">
        <v>17078.298262010605</v>
      </c>
      <c r="M44" s="154" t="s">
        <v>1912</v>
      </c>
      <c r="N44" s="227">
        <f t="shared" si="4"/>
        <v>0</v>
      </c>
      <c r="O44" s="152">
        <f t="shared" si="5"/>
        <v>351294.25000000023</v>
      </c>
    </row>
    <row r="45" spans="1:15" x14ac:dyDescent="0.15">
      <c r="A45" s="154"/>
      <c r="B45" s="151"/>
      <c r="C45" s="152"/>
      <c r="D45" s="323"/>
      <c r="E45" s="155"/>
      <c r="F45" s="157"/>
      <c r="G45" s="152"/>
      <c r="H45" s="323">
        <v>41802</v>
      </c>
      <c r="I45" s="152"/>
      <c r="J45" s="154"/>
      <c r="K45" s="154" t="s">
        <v>1934</v>
      </c>
      <c r="L45" s="227">
        <v>23791.701737989399</v>
      </c>
      <c r="M45" s="157" t="s">
        <v>1926</v>
      </c>
      <c r="N45" s="227">
        <f>G20+G24+G27+G32+G35+G36+N44-I45-L45</f>
        <v>239721.40126201059</v>
      </c>
      <c r="O45" s="152">
        <f t="shared" ref="O45:O48" si="12">O44+G45-I45-L45</f>
        <v>327502.54826201085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41802</v>
      </c>
      <c r="I46" s="152"/>
      <c r="J46" s="154"/>
      <c r="K46" s="154" t="s">
        <v>1934</v>
      </c>
      <c r="L46" s="227">
        <v>12504.38</v>
      </c>
      <c r="M46" s="157" t="s">
        <v>1926</v>
      </c>
      <c r="N46" s="227">
        <f t="shared" ref="N46:N48" si="13">+N45-I46-L46</f>
        <v>227217.02126201059</v>
      </c>
      <c r="O46" s="152">
        <f t="shared" si="12"/>
        <v>314998.16826201085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>
        <v>41802</v>
      </c>
      <c r="I47" s="152"/>
      <c r="J47" s="154"/>
      <c r="K47" s="154" t="s">
        <v>1934</v>
      </c>
      <c r="L47" s="227">
        <v>402.75</v>
      </c>
      <c r="M47" s="157" t="s">
        <v>1926</v>
      </c>
      <c r="N47" s="227">
        <f t="shared" si="13"/>
        <v>226814.27126201059</v>
      </c>
      <c r="O47" s="152">
        <f t="shared" si="12"/>
        <v>314595.41826201085</v>
      </c>
    </row>
    <row r="48" spans="1:15" x14ac:dyDescent="0.15">
      <c r="A48" s="154"/>
      <c r="B48" s="151"/>
      <c r="C48" s="152"/>
      <c r="D48" s="323">
        <v>41803</v>
      </c>
      <c r="E48" s="155" t="s">
        <v>72</v>
      </c>
      <c r="F48" s="157" t="s">
        <v>1927</v>
      </c>
      <c r="G48" s="152">
        <v>192763.41200000001</v>
      </c>
      <c r="H48" s="323">
        <v>41803</v>
      </c>
      <c r="I48" s="152">
        <v>8214.83</v>
      </c>
      <c r="J48" s="157" t="s">
        <v>1926</v>
      </c>
      <c r="K48" s="154" t="s">
        <v>1934</v>
      </c>
      <c r="L48" s="227">
        <v>16346.74</v>
      </c>
      <c r="M48" s="157" t="s">
        <v>1926</v>
      </c>
      <c r="N48" s="227">
        <f t="shared" si="13"/>
        <v>202252.70126201061</v>
      </c>
      <c r="O48" s="152">
        <f t="shared" si="12"/>
        <v>482797.26026201085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41803</v>
      </c>
      <c r="I49" s="152"/>
      <c r="J49" s="157"/>
      <c r="K49" s="154" t="s">
        <v>1934</v>
      </c>
      <c r="L49" s="227">
        <v>12148.43</v>
      </c>
      <c r="M49" s="157" t="s">
        <v>1926</v>
      </c>
      <c r="N49" s="227">
        <f t="shared" si="4"/>
        <v>190104.27126201062</v>
      </c>
      <c r="O49" s="152">
        <f t="shared" si="5"/>
        <v>470648.83026201086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41803</v>
      </c>
      <c r="I50" s="152"/>
      <c r="J50" s="157"/>
      <c r="K50" s="154" t="s">
        <v>1934</v>
      </c>
      <c r="L50" s="227">
        <v>861.04</v>
      </c>
      <c r="M50" s="157" t="s">
        <v>1926</v>
      </c>
      <c r="N50" s="227">
        <f t="shared" si="4"/>
        <v>189243.23126201061</v>
      </c>
      <c r="O50" s="152">
        <f t="shared" si="5"/>
        <v>469787.79026201088</v>
      </c>
    </row>
    <row r="51" spans="1:15" x14ac:dyDescent="0.15">
      <c r="A51" s="154"/>
      <c r="B51" s="151"/>
      <c r="C51" s="152"/>
      <c r="D51" s="323">
        <v>41804</v>
      </c>
      <c r="E51" s="155" t="s">
        <v>72</v>
      </c>
      <c r="F51" s="157" t="s">
        <v>1927</v>
      </c>
      <c r="G51" s="152">
        <v>43920.004000000001</v>
      </c>
      <c r="H51" s="323">
        <v>41804</v>
      </c>
      <c r="I51" s="152">
        <v>5644.67</v>
      </c>
      <c r="J51" s="157" t="s">
        <v>1926</v>
      </c>
      <c r="K51" s="154" t="s">
        <v>1934</v>
      </c>
      <c r="L51" s="227">
        <v>13148.94</v>
      </c>
      <c r="M51" s="157" t="s">
        <v>1926</v>
      </c>
      <c r="N51" s="227">
        <f t="shared" si="4"/>
        <v>170449.62126201059</v>
      </c>
      <c r="O51" s="152">
        <f t="shared" si="5"/>
        <v>494914.18426201091</v>
      </c>
    </row>
    <row r="52" spans="1:15" x14ac:dyDescent="0.15">
      <c r="A52" s="154"/>
      <c r="B52" s="151"/>
      <c r="C52" s="152"/>
      <c r="D52" s="323"/>
      <c r="E52" s="155"/>
      <c r="F52" s="157"/>
      <c r="G52" s="152"/>
      <c r="H52" s="323">
        <v>41804</v>
      </c>
      <c r="I52" s="152"/>
      <c r="J52" s="157"/>
      <c r="K52" s="154" t="s">
        <v>1934</v>
      </c>
      <c r="L52" s="227">
        <v>2849.79</v>
      </c>
      <c r="M52" s="157" t="s">
        <v>1926</v>
      </c>
      <c r="N52" s="227">
        <f t="shared" si="4"/>
        <v>167599.83126201059</v>
      </c>
      <c r="O52" s="152">
        <f t="shared" si="5"/>
        <v>492064.39426201093</v>
      </c>
    </row>
    <row r="53" spans="1:15" x14ac:dyDescent="0.15">
      <c r="A53" s="154"/>
      <c r="B53" s="151"/>
      <c r="C53" s="152"/>
      <c r="D53" s="323"/>
      <c r="E53" s="155"/>
      <c r="F53" s="157"/>
      <c r="G53" s="152"/>
      <c r="H53" s="323">
        <v>41805</v>
      </c>
      <c r="I53" s="152">
        <v>12323</v>
      </c>
      <c r="J53" s="157" t="s">
        <v>1926</v>
      </c>
      <c r="K53" s="154" t="s">
        <v>1934</v>
      </c>
      <c r="L53" s="227">
        <v>11297</v>
      </c>
      <c r="M53" s="157" t="s">
        <v>1926</v>
      </c>
      <c r="N53" s="227">
        <f t="shared" si="4"/>
        <v>143979.83126201059</v>
      </c>
      <c r="O53" s="152">
        <f t="shared" si="5"/>
        <v>468444.39426201093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>
        <v>41805</v>
      </c>
      <c r="I54" s="152"/>
      <c r="J54" s="154"/>
      <c r="K54" s="154" t="s">
        <v>1934</v>
      </c>
      <c r="L54" s="227">
        <v>12477</v>
      </c>
      <c r="M54" s="157" t="s">
        <v>1926</v>
      </c>
      <c r="N54" s="227">
        <f t="shared" si="4"/>
        <v>131502.83126201059</v>
      </c>
      <c r="O54" s="152">
        <f t="shared" si="5"/>
        <v>455967.39426201093</v>
      </c>
    </row>
    <row r="55" spans="1:15" x14ac:dyDescent="0.15">
      <c r="A55" s="154"/>
      <c r="B55" s="151"/>
      <c r="C55" s="152"/>
      <c r="D55" s="323">
        <v>41806</v>
      </c>
      <c r="E55" s="155" t="s">
        <v>72</v>
      </c>
      <c r="F55" s="157" t="s">
        <v>1928</v>
      </c>
      <c r="G55" s="152">
        <v>43911.961000000003</v>
      </c>
      <c r="H55" s="323">
        <v>41806</v>
      </c>
      <c r="I55" s="152">
        <v>9315</v>
      </c>
      <c r="J55" s="157" t="s">
        <v>1926</v>
      </c>
      <c r="K55" s="154" t="s">
        <v>1934</v>
      </c>
      <c r="L55" s="227">
        <v>11655</v>
      </c>
      <c r="M55" s="157" t="s">
        <v>1926</v>
      </c>
      <c r="N55" s="227">
        <f t="shared" si="4"/>
        <v>110532.83126201059</v>
      </c>
      <c r="O55" s="152">
        <f t="shared" si="5"/>
        <v>478909.35526201094</v>
      </c>
    </row>
    <row r="56" spans="1:15" x14ac:dyDescent="0.15">
      <c r="A56" s="154"/>
      <c r="B56" s="151"/>
      <c r="C56" s="152"/>
      <c r="D56" s="323"/>
      <c r="E56" s="155"/>
      <c r="F56" s="157"/>
      <c r="G56" s="152"/>
      <c r="H56" s="323">
        <v>41806</v>
      </c>
      <c r="I56" s="152"/>
      <c r="J56" s="157"/>
      <c r="K56" s="154" t="s">
        <v>1934</v>
      </c>
      <c r="L56" s="227">
        <v>1109</v>
      </c>
      <c r="M56" s="157" t="s">
        <v>1926</v>
      </c>
      <c r="N56" s="227">
        <f t="shared" si="4"/>
        <v>109423.83126201059</v>
      </c>
      <c r="O56" s="152">
        <f t="shared" si="5"/>
        <v>477800.35526201094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41806</v>
      </c>
      <c r="I57" s="152"/>
      <c r="J57" s="157"/>
      <c r="K57" s="154" t="s">
        <v>1934</v>
      </c>
      <c r="L57" s="227">
        <v>39990</v>
      </c>
      <c r="M57" s="157" t="s">
        <v>1926</v>
      </c>
      <c r="N57" s="227">
        <f t="shared" si="4"/>
        <v>69433.831262010586</v>
      </c>
      <c r="O57" s="152">
        <f t="shared" si="5"/>
        <v>437810.35526201094</v>
      </c>
    </row>
    <row r="58" spans="1:15" x14ac:dyDescent="0.15">
      <c r="A58" s="154"/>
      <c r="B58" s="151"/>
      <c r="C58" s="152"/>
      <c r="D58" s="323">
        <v>41807</v>
      </c>
      <c r="E58" s="155" t="s">
        <v>72</v>
      </c>
      <c r="F58" s="157" t="s">
        <v>1928</v>
      </c>
      <c r="G58" s="152">
        <v>43983.167000000001</v>
      </c>
      <c r="H58" s="323">
        <v>41807</v>
      </c>
      <c r="I58" s="152">
        <v>7442.59</v>
      </c>
      <c r="J58" s="157" t="s">
        <v>1926</v>
      </c>
      <c r="K58" s="154" t="s">
        <v>1934</v>
      </c>
      <c r="L58" s="227">
        <v>13432.91</v>
      </c>
      <c r="M58" s="157" t="s">
        <v>1926</v>
      </c>
      <c r="N58" s="227">
        <f t="shared" si="4"/>
        <v>48558.331262010586</v>
      </c>
      <c r="O58" s="152">
        <f t="shared" si="5"/>
        <v>460918.02226201096</v>
      </c>
    </row>
    <row r="59" spans="1:15" x14ac:dyDescent="0.15">
      <c r="A59" s="154"/>
      <c r="B59" s="151"/>
      <c r="C59" s="152"/>
      <c r="D59" s="323">
        <v>41808</v>
      </c>
      <c r="E59" s="155" t="s">
        <v>72</v>
      </c>
      <c r="F59" s="157" t="s">
        <v>1928</v>
      </c>
      <c r="G59" s="152">
        <v>43971.040000000001</v>
      </c>
      <c r="H59" s="323">
        <v>41808</v>
      </c>
      <c r="I59" s="152">
        <v>13011.58</v>
      </c>
      <c r="J59" s="157" t="s">
        <v>1926</v>
      </c>
      <c r="K59" s="154" t="s">
        <v>1934</v>
      </c>
      <c r="L59" s="227">
        <v>14235.89</v>
      </c>
      <c r="M59" s="157" t="s">
        <v>1926</v>
      </c>
      <c r="N59" s="227">
        <f t="shared" si="4"/>
        <v>21310.861262010585</v>
      </c>
      <c r="O59" s="152">
        <f t="shared" si="5"/>
        <v>477641.5922620109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>
        <v>41808</v>
      </c>
      <c r="I60" s="152"/>
      <c r="J60" s="157"/>
      <c r="K60" s="154" t="s">
        <v>1934</v>
      </c>
      <c r="L60" s="227">
        <v>13600.76</v>
      </c>
      <c r="M60" s="157" t="s">
        <v>1926</v>
      </c>
      <c r="N60" s="227">
        <f t="shared" si="4"/>
        <v>7710.1012620105848</v>
      </c>
      <c r="O60" s="152">
        <f t="shared" si="5"/>
        <v>464040.8322620109</v>
      </c>
    </row>
    <row r="61" spans="1:15" x14ac:dyDescent="0.15">
      <c r="A61" s="154"/>
      <c r="B61" s="151"/>
      <c r="C61" s="152"/>
      <c r="D61" s="323">
        <v>41809</v>
      </c>
      <c r="E61" s="155" t="s">
        <v>72</v>
      </c>
      <c r="F61" s="157" t="s">
        <v>1928</v>
      </c>
      <c r="G61" s="152">
        <v>43840.991000000002</v>
      </c>
      <c r="H61" s="323">
        <v>41809</v>
      </c>
      <c r="I61" s="152">
        <v>7710.1012620105848</v>
      </c>
      <c r="J61" s="157" t="s">
        <v>1926</v>
      </c>
      <c r="K61" s="154"/>
      <c r="L61" s="227"/>
      <c r="M61" s="157"/>
      <c r="N61" s="227">
        <f t="shared" ref="N61:N65" si="14">+N60-I61-L61</f>
        <v>0</v>
      </c>
      <c r="O61" s="152">
        <f t="shared" ref="O61:O65" si="15">O60+G61-I61-L61</f>
        <v>500171.7220000003</v>
      </c>
    </row>
    <row r="62" spans="1:15" x14ac:dyDescent="0.15">
      <c r="A62" s="154"/>
      <c r="B62" s="151"/>
      <c r="C62" s="152"/>
      <c r="D62" s="323"/>
      <c r="E62" s="155"/>
      <c r="F62" s="157"/>
      <c r="G62" s="152"/>
      <c r="H62" s="323">
        <v>41809</v>
      </c>
      <c r="I62" s="152">
        <v>1130.4887379894201</v>
      </c>
      <c r="J62" s="157" t="s">
        <v>1927</v>
      </c>
      <c r="K62" s="154" t="s">
        <v>1933</v>
      </c>
      <c r="L62" s="227">
        <v>13912.05</v>
      </c>
      <c r="M62" s="157" t="s">
        <v>1927</v>
      </c>
      <c r="N62" s="227">
        <f>G38+G44+G48+G51+N61-I62-L62</f>
        <v>309422.02426201064</v>
      </c>
      <c r="O62" s="152">
        <f t="shared" si="15"/>
        <v>485129.18326201092</v>
      </c>
    </row>
    <row r="63" spans="1:15" x14ac:dyDescent="0.15">
      <c r="A63" s="154"/>
      <c r="B63" s="151"/>
      <c r="C63" s="152"/>
      <c r="D63" s="323">
        <v>41810</v>
      </c>
      <c r="E63" s="155" t="s">
        <v>72</v>
      </c>
      <c r="F63" s="157" t="s">
        <v>1928</v>
      </c>
      <c r="G63" s="152">
        <v>64521.635000000424</v>
      </c>
      <c r="H63" s="323">
        <v>41810</v>
      </c>
      <c r="I63" s="152">
        <v>6517.73</v>
      </c>
      <c r="J63" s="157" t="s">
        <v>1927</v>
      </c>
      <c r="K63" s="154" t="s">
        <v>1933</v>
      </c>
      <c r="L63" s="227">
        <v>10268.120000000001</v>
      </c>
      <c r="M63" s="157" t="s">
        <v>1927</v>
      </c>
      <c r="N63" s="227">
        <f t="shared" si="14"/>
        <v>292636.17426201067</v>
      </c>
      <c r="O63" s="152">
        <f t="shared" si="15"/>
        <v>532864.96826201142</v>
      </c>
    </row>
    <row r="64" spans="1:15" x14ac:dyDescent="0.15">
      <c r="A64" s="154"/>
      <c r="B64" s="151"/>
      <c r="C64" s="152"/>
      <c r="D64" s="323">
        <v>41810</v>
      </c>
      <c r="E64" s="155" t="s">
        <v>72</v>
      </c>
      <c r="F64" s="157" t="s">
        <v>1929</v>
      </c>
      <c r="G64" s="152">
        <v>23312.460999999599</v>
      </c>
      <c r="H64" s="323">
        <v>41810</v>
      </c>
      <c r="I64" s="152"/>
      <c r="J64" s="157"/>
      <c r="K64" s="154" t="s">
        <v>1933</v>
      </c>
      <c r="L64" s="227">
        <v>12788.89</v>
      </c>
      <c r="M64" s="157" t="s">
        <v>1927</v>
      </c>
      <c r="N64" s="227">
        <f t="shared" si="14"/>
        <v>279847.28426201065</v>
      </c>
      <c r="O64" s="152">
        <f t="shared" si="15"/>
        <v>543388.53926201095</v>
      </c>
    </row>
    <row r="65" spans="1:15" x14ac:dyDescent="0.15">
      <c r="A65" s="154"/>
      <c r="B65" s="151"/>
      <c r="C65" s="152"/>
      <c r="D65" s="323"/>
      <c r="E65" s="155"/>
      <c r="F65" s="157"/>
      <c r="G65" s="152"/>
      <c r="H65" s="323">
        <v>41810</v>
      </c>
      <c r="I65" s="152"/>
      <c r="J65" s="157"/>
      <c r="K65" s="154" t="s">
        <v>1933</v>
      </c>
      <c r="L65" s="227">
        <v>749.16</v>
      </c>
      <c r="M65" s="157" t="s">
        <v>1927</v>
      </c>
      <c r="N65" s="227">
        <f t="shared" si="14"/>
        <v>279098.12426201068</v>
      </c>
      <c r="O65" s="152">
        <f t="shared" si="15"/>
        <v>542639.37926201092</v>
      </c>
    </row>
    <row r="66" spans="1:15" x14ac:dyDescent="0.15">
      <c r="A66" s="154"/>
      <c r="B66" s="151"/>
      <c r="C66" s="152"/>
      <c r="D66" s="323">
        <v>41811</v>
      </c>
      <c r="E66" s="155" t="s">
        <v>72</v>
      </c>
      <c r="F66" s="157" t="s">
        <v>1929</v>
      </c>
      <c r="G66" s="152">
        <v>43946.446000000004</v>
      </c>
      <c r="H66" s="323">
        <v>41811</v>
      </c>
      <c r="I66" s="152">
        <v>5102.3</v>
      </c>
      <c r="J66" s="157" t="s">
        <v>1927</v>
      </c>
      <c r="K66" s="154" t="s">
        <v>1933</v>
      </c>
      <c r="L66" s="227">
        <v>43311.61</v>
      </c>
      <c r="M66" s="157" t="s">
        <v>1927</v>
      </c>
      <c r="N66" s="227">
        <f t="shared" si="4"/>
        <v>230684.2142620107</v>
      </c>
      <c r="O66" s="152">
        <f t="shared" si="5"/>
        <v>538171.91526201088</v>
      </c>
    </row>
    <row r="67" spans="1:15" x14ac:dyDescent="0.15">
      <c r="A67" s="154"/>
      <c r="B67" s="151"/>
      <c r="C67" s="152"/>
      <c r="D67" s="323"/>
      <c r="E67" s="155"/>
      <c r="F67" s="157"/>
      <c r="G67" s="152"/>
      <c r="H67" s="323">
        <v>41811</v>
      </c>
      <c r="I67" s="152"/>
      <c r="J67" s="157"/>
      <c r="K67" s="154" t="s">
        <v>1933</v>
      </c>
      <c r="L67" s="227">
        <v>12898.59</v>
      </c>
      <c r="M67" s="157" t="s">
        <v>1927</v>
      </c>
      <c r="N67" s="227">
        <f t="shared" si="4"/>
        <v>217785.62426201071</v>
      </c>
      <c r="O67" s="152">
        <f t="shared" si="5"/>
        <v>525273.32526201091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>
        <v>41812</v>
      </c>
      <c r="I68" s="152">
        <v>5646.45</v>
      </c>
      <c r="J68" s="157" t="s">
        <v>1927</v>
      </c>
      <c r="K68" s="154" t="s">
        <v>1933</v>
      </c>
      <c r="L68" s="227">
        <v>38342.76</v>
      </c>
      <c r="M68" s="157" t="s">
        <v>1927</v>
      </c>
      <c r="N68" s="227">
        <f t="shared" si="4"/>
        <v>173796.41426201069</v>
      </c>
      <c r="O68" s="152">
        <f t="shared" si="5"/>
        <v>481284.11526201089</v>
      </c>
    </row>
    <row r="69" spans="1:15" x14ac:dyDescent="0.15">
      <c r="A69" s="154"/>
      <c r="B69" s="151"/>
      <c r="C69" s="152"/>
      <c r="D69" s="323"/>
      <c r="E69" s="155"/>
      <c r="F69" s="157"/>
      <c r="G69" s="152"/>
      <c r="H69" s="323">
        <v>41812</v>
      </c>
      <c r="I69" s="152"/>
      <c r="J69" s="157"/>
      <c r="K69" s="154" t="s">
        <v>1933</v>
      </c>
      <c r="L69" s="227">
        <v>12423.17</v>
      </c>
      <c r="M69" s="157" t="s">
        <v>1927</v>
      </c>
      <c r="N69" s="227">
        <f t="shared" si="4"/>
        <v>161373.24426201067</v>
      </c>
      <c r="O69" s="152">
        <f t="shared" si="5"/>
        <v>468860.94526201091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>
        <v>41812</v>
      </c>
      <c r="I70" s="152"/>
      <c r="J70" s="154"/>
      <c r="K70" s="154" t="s">
        <v>1933</v>
      </c>
      <c r="L70" s="227">
        <v>11513.82</v>
      </c>
      <c r="M70" s="157" t="s">
        <v>1927</v>
      </c>
      <c r="N70" s="227">
        <f t="shared" si="4"/>
        <v>149859.42426201067</v>
      </c>
      <c r="O70" s="152">
        <f t="shared" si="5"/>
        <v>457347.1252620109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>
        <v>41812</v>
      </c>
      <c r="I71" s="152"/>
      <c r="J71" s="154"/>
      <c r="K71" s="154" t="s">
        <v>1933</v>
      </c>
      <c r="L71" s="227">
        <v>1115.21</v>
      </c>
      <c r="M71" s="157" t="s">
        <v>1927</v>
      </c>
      <c r="N71" s="227">
        <f t="shared" si="4"/>
        <v>148744.21426201068</v>
      </c>
      <c r="O71" s="152">
        <f t="shared" si="5"/>
        <v>456231.91526201088</v>
      </c>
    </row>
    <row r="72" spans="1:15" x14ac:dyDescent="0.15">
      <c r="A72" s="154"/>
      <c r="B72" s="151"/>
      <c r="C72" s="152"/>
      <c r="D72" s="323">
        <v>41813</v>
      </c>
      <c r="E72" s="155" t="s">
        <v>72</v>
      </c>
      <c r="F72" s="157" t="s">
        <v>1929</v>
      </c>
      <c r="G72" s="152">
        <v>43993.09</v>
      </c>
      <c r="H72" s="323">
        <v>41813</v>
      </c>
      <c r="I72" s="152">
        <v>13397.79</v>
      </c>
      <c r="J72" s="157" t="s">
        <v>1927</v>
      </c>
      <c r="K72" s="154" t="s">
        <v>1933</v>
      </c>
      <c r="L72" s="227">
        <v>68073.81</v>
      </c>
      <c r="M72" s="157" t="s">
        <v>1927</v>
      </c>
      <c r="N72" s="227">
        <f t="shared" si="4"/>
        <v>67272.614262010669</v>
      </c>
      <c r="O72" s="152">
        <f t="shared" si="5"/>
        <v>418753.40526201087</v>
      </c>
    </row>
    <row r="73" spans="1:15" x14ac:dyDescent="0.15">
      <c r="A73" s="154"/>
      <c r="B73" s="151"/>
      <c r="C73" s="152"/>
      <c r="D73" s="323"/>
      <c r="E73" s="155"/>
      <c r="F73" s="157"/>
      <c r="G73" s="152"/>
      <c r="H73" s="323">
        <v>41813</v>
      </c>
      <c r="I73" s="152"/>
      <c r="J73" s="157"/>
      <c r="K73" s="154" t="s">
        <v>1933</v>
      </c>
      <c r="L73" s="227">
        <v>16393.330000000002</v>
      </c>
      <c r="M73" s="157" t="s">
        <v>1927</v>
      </c>
      <c r="N73" s="227">
        <f t="shared" si="4"/>
        <v>50879.284262010668</v>
      </c>
      <c r="O73" s="152">
        <f t="shared" si="5"/>
        <v>402360.07526201085</v>
      </c>
    </row>
    <row r="74" spans="1:15" x14ac:dyDescent="0.15">
      <c r="A74" s="154"/>
      <c r="B74" s="151"/>
      <c r="C74" s="152"/>
      <c r="D74" s="323"/>
      <c r="E74" s="155"/>
      <c r="F74" s="157"/>
      <c r="G74" s="152"/>
      <c r="H74" s="323">
        <v>41813</v>
      </c>
      <c r="I74" s="152"/>
      <c r="J74" s="157"/>
      <c r="K74" s="154" t="s">
        <v>1933</v>
      </c>
      <c r="L74" s="227">
        <v>12819.6</v>
      </c>
      <c r="M74" s="157" t="s">
        <v>1927</v>
      </c>
      <c r="N74" s="227">
        <f t="shared" si="4"/>
        <v>38059.684262010669</v>
      </c>
      <c r="O74" s="152">
        <f t="shared" si="5"/>
        <v>389540.47526201088</v>
      </c>
    </row>
    <row r="75" spans="1:15" x14ac:dyDescent="0.15">
      <c r="A75" s="154"/>
      <c r="B75" s="151"/>
      <c r="C75" s="152"/>
      <c r="D75" s="323">
        <v>41814</v>
      </c>
      <c r="E75" s="155" t="s">
        <v>72</v>
      </c>
      <c r="F75" s="157" t="s">
        <v>1929</v>
      </c>
      <c r="G75" s="152">
        <v>43955.065000000002</v>
      </c>
      <c r="H75" s="323">
        <v>41814</v>
      </c>
      <c r="I75" s="152">
        <v>4945.63</v>
      </c>
      <c r="J75" s="157" t="s">
        <v>1927</v>
      </c>
      <c r="K75" s="154" t="s">
        <v>1933</v>
      </c>
      <c r="L75" s="227">
        <v>13313.77</v>
      </c>
      <c r="M75" s="157" t="s">
        <v>1927</v>
      </c>
      <c r="N75" s="227">
        <f t="shared" si="4"/>
        <v>19800.284262010671</v>
      </c>
      <c r="O75" s="152">
        <f t="shared" si="5"/>
        <v>415236.14026201086</v>
      </c>
    </row>
    <row r="76" spans="1:15" x14ac:dyDescent="0.15">
      <c r="A76" s="154"/>
      <c r="B76" s="151"/>
      <c r="C76" s="152"/>
      <c r="D76" s="323">
        <v>41814</v>
      </c>
      <c r="E76" s="155" t="s">
        <v>72</v>
      </c>
      <c r="F76" s="157" t="s">
        <v>1930</v>
      </c>
      <c r="G76" s="152">
        <v>43953.663999999997</v>
      </c>
      <c r="H76" s="323">
        <v>41814</v>
      </c>
      <c r="I76" s="152"/>
      <c r="J76" s="157"/>
      <c r="K76" s="154" t="s">
        <v>1933</v>
      </c>
      <c r="L76" s="227">
        <v>19800.284262010671</v>
      </c>
      <c r="M76" s="157" t="s">
        <v>1927</v>
      </c>
      <c r="N76" s="227">
        <f t="shared" ref="N76:N83" si="16">+N75-I76-L76</f>
        <v>0</v>
      </c>
      <c r="O76" s="152">
        <f t="shared" ref="O76:O83" si="17">O75+G76-I76-L76</f>
        <v>439389.52000000019</v>
      </c>
    </row>
    <row r="77" spans="1:15" x14ac:dyDescent="0.15">
      <c r="A77" s="154"/>
      <c r="B77" s="151"/>
      <c r="C77" s="152"/>
      <c r="D77" s="323"/>
      <c r="E77" s="155"/>
      <c r="F77" s="157"/>
      <c r="G77" s="152"/>
      <c r="H77" s="323">
        <v>41814</v>
      </c>
      <c r="I77" s="152"/>
      <c r="J77" s="157"/>
      <c r="K77" s="154" t="s">
        <v>1934</v>
      </c>
      <c r="L77" s="227">
        <v>25474.515737989299</v>
      </c>
      <c r="M77" s="157" t="s">
        <v>1928</v>
      </c>
      <c r="N77" s="227">
        <f>G55+G58+G59+G61+G63+N76-I77-L77</f>
        <v>214754.27826201112</v>
      </c>
      <c r="O77" s="152">
        <f t="shared" si="17"/>
        <v>413915.00426201092</v>
      </c>
    </row>
    <row r="78" spans="1:15" x14ac:dyDescent="0.15">
      <c r="A78" s="154"/>
      <c r="B78" s="151"/>
      <c r="C78" s="152"/>
      <c r="D78" s="323">
        <v>41815</v>
      </c>
      <c r="E78" s="155" t="s">
        <v>72</v>
      </c>
      <c r="F78" s="157" t="s">
        <v>1930</v>
      </c>
      <c r="G78" s="152">
        <v>43957.919000000002</v>
      </c>
      <c r="H78" s="323">
        <v>41815</v>
      </c>
      <c r="I78" s="152">
        <v>5117.9452000000001</v>
      </c>
      <c r="J78" s="157" t="s">
        <v>1928</v>
      </c>
      <c r="K78" s="154" t="s">
        <v>1934</v>
      </c>
      <c r="L78" s="227">
        <v>11194.73</v>
      </c>
      <c r="M78" s="157" t="s">
        <v>1928</v>
      </c>
      <c r="N78" s="227">
        <f t="shared" si="16"/>
        <v>198441.60306201113</v>
      </c>
      <c r="O78" s="152">
        <f t="shared" si="17"/>
        <v>441560.24806201091</v>
      </c>
    </row>
    <row r="79" spans="1:15" x14ac:dyDescent="0.15">
      <c r="A79" s="154"/>
      <c r="B79" s="151"/>
      <c r="C79" s="152"/>
      <c r="D79" s="323"/>
      <c r="E79" s="155"/>
      <c r="F79" s="157"/>
      <c r="G79" s="152"/>
      <c r="H79" s="323">
        <v>41815</v>
      </c>
      <c r="I79" s="152"/>
      <c r="J79" s="157"/>
      <c r="K79" s="154" t="s">
        <v>1934</v>
      </c>
      <c r="L79" s="227">
        <v>11445.68</v>
      </c>
      <c r="M79" s="157" t="s">
        <v>1928</v>
      </c>
      <c r="N79" s="227">
        <f t="shared" si="16"/>
        <v>186995.92306201113</v>
      </c>
      <c r="O79" s="152">
        <f t="shared" si="17"/>
        <v>430114.56806201092</v>
      </c>
    </row>
    <row r="80" spans="1:15" x14ac:dyDescent="0.15">
      <c r="A80" s="154"/>
      <c r="B80" s="151"/>
      <c r="C80" s="152"/>
      <c r="D80" s="323"/>
      <c r="E80" s="155"/>
      <c r="F80" s="157"/>
      <c r="G80" s="152"/>
      <c r="H80" s="323">
        <v>41815</v>
      </c>
      <c r="I80" s="152"/>
      <c r="J80" s="157"/>
      <c r="K80" s="154" t="s">
        <v>1934</v>
      </c>
      <c r="L80" s="227">
        <v>36652.559999999998</v>
      </c>
      <c r="M80" s="157" t="s">
        <v>1928</v>
      </c>
      <c r="N80" s="227">
        <f t="shared" si="16"/>
        <v>150343.36306201114</v>
      </c>
      <c r="O80" s="152">
        <f t="shared" si="17"/>
        <v>393462.00806201092</v>
      </c>
    </row>
    <row r="81" spans="1:15" x14ac:dyDescent="0.15">
      <c r="A81" s="154"/>
      <c r="B81" s="151"/>
      <c r="C81" s="152"/>
      <c r="D81" s="323"/>
      <c r="E81" s="155"/>
      <c r="F81" s="157"/>
      <c r="G81" s="152"/>
      <c r="H81" s="323">
        <v>41815</v>
      </c>
      <c r="I81" s="152"/>
      <c r="J81" s="157"/>
      <c r="K81" s="154" t="s">
        <v>1934</v>
      </c>
      <c r="L81" s="227">
        <v>13213.32</v>
      </c>
      <c r="M81" s="157" t="s">
        <v>1928</v>
      </c>
      <c r="N81" s="227">
        <f t="shared" si="16"/>
        <v>137130.04306201113</v>
      </c>
      <c r="O81" s="152">
        <f t="shared" si="17"/>
        <v>380248.68806201092</v>
      </c>
    </row>
    <row r="82" spans="1:15" x14ac:dyDescent="0.15">
      <c r="A82" s="154"/>
      <c r="B82" s="151"/>
      <c r="C82" s="152"/>
      <c r="D82" s="323">
        <v>41816</v>
      </c>
      <c r="E82" s="155" t="s">
        <v>72</v>
      </c>
      <c r="F82" s="157" t="s">
        <v>1930</v>
      </c>
      <c r="G82" s="152">
        <v>87984.394</v>
      </c>
      <c r="H82" s="323">
        <v>41816</v>
      </c>
      <c r="I82" s="152">
        <v>5662.82</v>
      </c>
      <c r="J82" s="157" t="s">
        <v>1928</v>
      </c>
      <c r="K82" s="154" t="s">
        <v>1934</v>
      </c>
      <c r="L82" s="227">
        <v>12809.6</v>
      </c>
      <c r="M82" s="157" t="s">
        <v>1928</v>
      </c>
      <c r="N82" s="227">
        <f t="shared" si="16"/>
        <v>118657.62306201112</v>
      </c>
      <c r="O82" s="152">
        <f t="shared" si="17"/>
        <v>449760.6620620109</v>
      </c>
    </row>
    <row r="83" spans="1:15" x14ac:dyDescent="0.15">
      <c r="A83" s="154"/>
      <c r="B83" s="151"/>
      <c r="C83" s="152"/>
      <c r="D83" s="323"/>
      <c r="E83" s="155"/>
      <c r="F83" s="157"/>
      <c r="G83" s="152"/>
      <c r="H83" s="323">
        <v>41816</v>
      </c>
      <c r="I83" s="152"/>
      <c r="J83" s="157"/>
      <c r="K83" s="154" t="s">
        <v>1934</v>
      </c>
      <c r="L83" s="227">
        <v>36596.550000000003</v>
      </c>
      <c r="M83" s="157" t="s">
        <v>1928</v>
      </c>
      <c r="N83" s="227">
        <f t="shared" si="16"/>
        <v>82061.073062011114</v>
      </c>
      <c r="O83" s="152">
        <f t="shared" si="17"/>
        <v>413164.11206201091</v>
      </c>
    </row>
    <row r="84" spans="1:15" x14ac:dyDescent="0.15">
      <c r="A84" s="154"/>
      <c r="B84" s="151"/>
      <c r="C84" s="152"/>
      <c r="D84" s="323">
        <v>41817</v>
      </c>
      <c r="E84" s="155" t="s">
        <v>72</v>
      </c>
      <c r="F84" s="157" t="s">
        <v>1931</v>
      </c>
      <c r="G84" s="152">
        <v>87969.042000000001</v>
      </c>
      <c r="H84" s="323">
        <v>41817</v>
      </c>
      <c r="I84" s="152">
        <v>3711.36</v>
      </c>
      <c r="J84" s="157" t="s">
        <v>1928</v>
      </c>
      <c r="K84" s="154" t="s">
        <v>1934</v>
      </c>
      <c r="L84" s="227">
        <v>17129.310000000001</v>
      </c>
      <c r="M84" s="157" t="s">
        <v>1928</v>
      </c>
      <c r="N84" s="227">
        <f t="shared" ref="N84:N109" si="18">+N83-I84-L84</f>
        <v>61220.403062011115</v>
      </c>
      <c r="O84" s="152">
        <f t="shared" ref="O84:O109" si="19">O83+G84-I84-L84</f>
        <v>480292.48406201095</v>
      </c>
    </row>
    <row r="85" spans="1:15" x14ac:dyDescent="0.15">
      <c r="A85" s="154"/>
      <c r="B85" s="151"/>
      <c r="C85" s="152"/>
      <c r="D85" s="323"/>
      <c r="E85" s="155"/>
      <c r="F85" s="157"/>
      <c r="G85" s="152"/>
      <c r="H85" s="323">
        <v>41817</v>
      </c>
      <c r="I85" s="152"/>
      <c r="J85" s="157"/>
      <c r="K85" s="154" t="s">
        <v>1934</v>
      </c>
      <c r="L85" s="227">
        <v>11903.96</v>
      </c>
      <c r="M85" s="157" t="s">
        <v>1928</v>
      </c>
      <c r="N85" s="227">
        <f t="shared" si="18"/>
        <v>49316.443062011116</v>
      </c>
      <c r="O85" s="152">
        <f t="shared" si="19"/>
        <v>468388.52406201093</v>
      </c>
    </row>
    <row r="86" spans="1:15" x14ac:dyDescent="0.15">
      <c r="A86" s="154"/>
      <c r="B86" s="151"/>
      <c r="C86" s="152"/>
      <c r="D86" s="323"/>
      <c r="E86" s="155"/>
      <c r="F86" s="157"/>
      <c r="G86" s="152"/>
      <c r="H86" s="323">
        <v>41817</v>
      </c>
      <c r="I86" s="152"/>
      <c r="J86" s="157"/>
      <c r="K86" s="154" t="s">
        <v>1934</v>
      </c>
      <c r="L86" s="227">
        <v>1139.19</v>
      </c>
      <c r="M86" s="157" t="s">
        <v>1928</v>
      </c>
      <c r="N86" s="227">
        <f t="shared" si="18"/>
        <v>48177.253062011114</v>
      </c>
      <c r="O86" s="152">
        <f t="shared" si="19"/>
        <v>467249.33406201092</v>
      </c>
    </row>
    <row r="87" spans="1:15" x14ac:dyDescent="0.15">
      <c r="A87" s="154"/>
      <c r="B87" s="151"/>
      <c r="C87" s="152"/>
      <c r="D87" s="323"/>
      <c r="E87" s="155"/>
      <c r="F87" s="157"/>
      <c r="G87" s="152"/>
      <c r="H87" s="323">
        <v>41818</v>
      </c>
      <c r="I87" s="152">
        <v>8901</v>
      </c>
      <c r="J87" s="157" t="s">
        <v>1928</v>
      </c>
      <c r="K87" s="154" t="s">
        <v>1934</v>
      </c>
      <c r="L87" s="227">
        <v>15509</v>
      </c>
      <c r="M87" s="157" t="s">
        <v>1928</v>
      </c>
      <c r="N87" s="227">
        <f t="shared" si="18"/>
        <v>23767.253062011114</v>
      </c>
      <c r="O87" s="152">
        <f t="shared" si="19"/>
        <v>442839.33406201092</v>
      </c>
    </row>
    <row r="88" spans="1:15" x14ac:dyDescent="0.15">
      <c r="A88" s="154"/>
      <c r="B88" s="151"/>
      <c r="C88" s="152"/>
      <c r="D88" s="323"/>
      <c r="E88" s="155"/>
      <c r="F88" s="157"/>
      <c r="G88" s="152"/>
      <c r="H88" s="323">
        <v>41818</v>
      </c>
      <c r="I88" s="152"/>
      <c r="J88" s="157"/>
      <c r="K88" s="154" t="s">
        <v>1934</v>
      </c>
      <c r="L88" s="227">
        <v>13219</v>
      </c>
      <c r="M88" s="157" t="s">
        <v>1928</v>
      </c>
      <c r="N88" s="227">
        <f t="shared" si="18"/>
        <v>10548.253062011114</v>
      </c>
      <c r="O88" s="152">
        <f t="shared" si="19"/>
        <v>429620.33406201092</v>
      </c>
    </row>
    <row r="89" spans="1:15" x14ac:dyDescent="0.15">
      <c r="A89" s="154"/>
      <c r="B89" s="151"/>
      <c r="C89" s="152"/>
      <c r="D89" s="323"/>
      <c r="E89" s="155"/>
      <c r="F89" s="157"/>
      <c r="G89" s="152"/>
      <c r="H89" s="323">
        <v>41818</v>
      </c>
      <c r="I89" s="152"/>
      <c r="J89" s="157"/>
      <c r="K89" s="154" t="s">
        <v>1934</v>
      </c>
      <c r="L89" s="227">
        <v>10548.253062011114</v>
      </c>
      <c r="M89" s="157" t="s">
        <v>1928</v>
      </c>
      <c r="N89" s="227">
        <f t="shared" si="18"/>
        <v>0</v>
      </c>
      <c r="O89" s="152">
        <f t="shared" si="19"/>
        <v>419072.08099999983</v>
      </c>
    </row>
    <row r="90" spans="1:15" x14ac:dyDescent="0.15">
      <c r="A90" s="154"/>
      <c r="B90" s="151"/>
      <c r="C90" s="152"/>
      <c r="D90" s="323"/>
      <c r="E90" s="155"/>
      <c r="F90" s="157"/>
      <c r="G90" s="152"/>
      <c r="H90" s="323">
        <v>41818</v>
      </c>
      <c r="I90" s="152"/>
      <c r="J90" s="157"/>
      <c r="K90" s="154" t="s">
        <v>1934</v>
      </c>
      <c r="L90" s="227">
        <v>5708.7469379888898</v>
      </c>
      <c r="M90" s="157" t="s">
        <v>1929</v>
      </c>
      <c r="N90" s="227">
        <f>G64+G66+G72+G75+N89-I90-L90</f>
        <v>149498.31506201072</v>
      </c>
      <c r="O90" s="152">
        <f t="shared" si="19"/>
        <v>413363.33406201092</v>
      </c>
    </row>
    <row r="91" spans="1:15" x14ac:dyDescent="0.15">
      <c r="A91" s="154"/>
      <c r="B91" s="151"/>
      <c r="C91" s="152"/>
      <c r="D91" s="323"/>
      <c r="E91" s="155"/>
      <c r="F91" s="157"/>
      <c r="G91" s="152"/>
      <c r="H91" s="323">
        <v>41818</v>
      </c>
      <c r="I91" s="152"/>
      <c r="J91" s="157"/>
      <c r="K91" s="154" t="s">
        <v>1934</v>
      </c>
      <c r="L91" s="227">
        <v>14442</v>
      </c>
      <c r="M91" s="157" t="s">
        <v>1929</v>
      </c>
      <c r="N91" s="227">
        <f t="shared" si="18"/>
        <v>135056.31506201072</v>
      </c>
      <c r="O91" s="152">
        <f t="shared" si="19"/>
        <v>398921.33406201092</v>
      </c>
    </row>
    <row r="92" spans="1:15" x14ac:dyDescent="0.15">
      <c r="A92" s="154"/>
      <c r="B92" s="151"/>
      <c r="C92" s="152"/>
      <c r="D92" s="323"/>
      <c r="E92" s="155"/>
      <c r="F92" s="157"/>
      <c r="G92" s="152"/>
      <c r="H92" s="323">
        <v>41819</v>
      </c>
      <c r="I92" s="152">
        <v>5025.41</v>
      </c>
      <c r="J92" s="157" t="s">
        <v>1929</v>
      </c>
      <c r="K92" s="154" t="s">
        <v>1934</v>
      </c>
      <c r="L92" s="227">
        <v>11198.04</v>
      </c>
      <c r="M92" s="157" t="s">
        <v>1929</v>
      </c>
      <c r="N92" s="227">
        <f t="shared" si="18"/>
        <v>118832.86506201071</v>
      </c>
      <c r="O92" s="152">
        <f t="shared" si="19"/>
        <v>382697.88406201097</v>
      </c>
    </row>
    <row r="93" spans="1:15" x14ac:dyDescent="0.15">
      <c r="A93" s="154"/>
      <c r="B93" s="151"/>
      <c r="C93" s="152"/>
      <c r="D93" s="323"/>
      <c r="E93" s="155"/>
      <c r="F93" s="157"/>
      <c r="G93" s="152"/>
      <c r="H93" s="323">
        <v>41819</v>
      </c>
      <c r="I93" s="152"/>
      <c r="J93" s="157"/>
      <c r="K93" s="154" t="s">
        <v>1934</v>
      </c>
      <c r="L93" s="227">
        <v>13200.62</v>
      </c>
      <c r="M93" s="157" t="s">
        <v>1929</v>
      </c>
      <c r="N93" s="227">
        <f t="shared" si="18"/>
        <v>105632.24506201071</v>
      </c>
      <c r="O93" s="152">
        <f t="shared" si="19"/>
        <v>369497.26406201097</v>
      </c>
    </row>
    <row r="94" spans="1:15" x14ac:dyDescent="0.15">
      <c r="A94" s="154"/>
      <c r="B94" s="151"/>
      <c r="C94" s="152"/>
      <c r="D94" s="323"/>
      <c r="E94" s="155"/>
      <c r="F94" s="157"/>
      <c r="G94" s="152"/>
      <c r="H94" s="323">
        <v>41819</v>
      </c>
      <c r="I94" s="152"/>
      <c r="J94" s="157"/>
      <c r="K94" s="154" t="s">
        <v>1934</v>
      </c>
      <c r="L94" s="227">
        <v>16268.44</v>
      </c>
      <c r="M94" s="157" t="s">
        <v>1929</v>
      </c>
      <c r="N94" s="227">
        <f t="shared" si="18"/>
        <v>89363.80506201071</v>
      </c>
      <c r="O94" s="152">
        <f t="shared" si="19"/>
        <v>353228.82406201097</v>
      </c>
    </row>
    <row r="95" spans="1:15" x14ac:dyDescent="0.15">
      <c r="A95" s="154"/>
      <c r="B95" s="151"/>
      <c r="C95" s="152"/>
      <c r="D95" s="323"/>
      <c r="E95" s="155"/>
      <c r="F95" s="157"/>
      <c r="G95" s="152"/>
      <c r="H95" s="323">
        <v>41819</v>
      </c>
      <c r="I95" s="152"/>
      <c r="J95" s="157"/>
      <c r="K95" s="154" t="s">
        <v>1934</v>
      </c>
      <c r="L95" s="227">
        <v>1037.05</v>
      </c>
      <c r="M95" s="157" t="s">
        <v>1929</v>
      </c>
      <c r="N95" s="227">
        <f t="shared" si="18"/>
        <v>88326.755062010707</v>
      </c>
      <c r="O95" s="152">
        <f t="shared" si="19"/>
        <v>352191.77406201098</v>
      </c>
    </row>
    <row r="96" spans="1:15" x14ac:dyDescent="0.15">
      <c r="A96" s="154"/>
      <c r="B96" s="151"/>
      <c r="C96" s="152"/>
      <c r="D96" s="323">
        <v>41820</v>
      </c>
      <c r="E96" s="155" t="s">
        <v>72</v>
      </c>
      <c r="F96" s="157" t="s">
        <v>1931</v>
      </c>
      <c r="G96" s="152">
        <v>43929.62000000001</v>
      </c>
      <c r="H96" s="323">
        <v>41820</v>
      </c>
      <c r="I96" s="152">
        <v>5779.3099999999995</v>
      </c>
      <c r="J96" s="157" t="s">
        <v>1929</v>
      </c>
      <c r="K96" s="154" t="s">
        <v>1934</v>
      </c>
      <c r="L96" s="227">
        <v>12905.54</v>
      </c>
      <c r="M96" s="157" t="s">
        <v>1929</v>
      </c>
      <c r="N96" s="227">
        <f t="shared" si="18"/>
        <v>69641.905062010715</v>
      </c>
      <c r="O96" s="152">
        <f t="shared" si="19"/>
        <v>377436.544062011</v>
      </c>
    </row>
    <row r="97" spans="1:15" x14ac:dyDescent="0.15">
      <c r="A97" s="154"/>
      <c r="B97" s="151"/>
      <c r="C97" s="152"/>
      <c r="D97" s="323">
        <v>41820</v>
      </c>
      <c r="E97" s="155" t="s">
        <v>72</v>
      </c>
      <c r="F97" s="157" t="s">
        <v>1932</v>
      </c>
      <c r="G97" s="152">
        <v>43914.298000000003</v>
      </c>
      <c r="H97" s="323">
        <v>41820</v>
      </c>
      <c r="I97" s="152"/>
      <c r="J97" s="157"/>
      <c r="K97" s="154" t="s">
        <v>1934</v>
      </c>
      <c r="L97" s="227">
        <v>396.68</v>
      </c>
      <c r="M97" s="157" t="s">
        <v>1929</v>
      </c>
      <c r="N97" s="227">
        <f t="shared" si="18"/>
        <v>69245.225062010722</v>
      </c>
      <c r="O97" s="152">
        <f t="shared" si="19"/>
        <v>420954.16206201102</v>
      </c>
    </row>
    <row r="98" spans="1:15" hidden="1" x14ac:dyDescent="0.15">
      <c r="A98" s="154"/>
      <c r="B98" s="151"/>
      <c r="C98" s="152"/>
      <c r="D98" s="323"/>
      <c r="E98" s="154"/>
      <c r="F98" s="157"/>
      <c r="G98" s="152"/>
      <c r="H98" s="323"/>
      <c r="I98" s="152"/>
      <c r="J98" s="157"/>
      <c r="K98" s="154"/>
      <c r="L98" s="227"/>
      <c r="M98" s="157"/>
      <c r="N98" s="227">
        <f t="shared" si="18"/>
        <v>69245.225062010722</v>
      </c>
      <c r="O98" s="152">
        <f t="shared" si="19"/>
        <v>420954.16206201102</v>
      </c>
    </row>
    <row r="99" spans="1:15" hidden="1" x14ac:dyDescent="0.15">
      <c r="A99" s="154"/>
      <c r="B99" s="151"/>
      <c r="C99" s="152"/>
      <c r="D99" s="323"/>
      <c r="E99" s="154"/>
      <c r="F99" s="157"/>
      <c r="G99" s="152"/>
      <c r="H99" s="323"/>
      <c r="I99" s="152"/>
      <c r="J99" s="157"/>
      <c r="K99" s="154"/>
      <c r="L99" s="227"/>
      <c r="M99" s="157"/>
      <c r="N99" s="227">
        <f t="shared" si="18"/>
        <v>69245.225062010722</v>
      </c>
      <c r="O99" s="152">
        <f t="shared" si="19"/>
        <v>420954.16206201102</v>
      </c>
    </row>
    <row r="100" spans="1:15" hidden="1" x14ac:dyDescent="0.15">
      <c r="A100" s="154"/>
      <c r="B100" s="151"/>
      <c r="C100" s="152"/>
      <c r="D100" s="323"/>
      <c r="E100" s="154"/>
      <c r="F100" s="157"/>
      <c r="G100" s="152"/>
      <c r="H100" s="323"/>
      <c r="I100" s="152"/>
      <c r="J100" s="157"/>
      <c r="K100" s="154"/>
      <c r="L100" s="227"/>
      <c r="M100" s="157"/>
      <c r="N100" s="227">
        <f t="shared" si="18"/>
        <v>69245.225062010722</v>
      </c>
      <c r="O100" s="152">
        <f t="shared" si="19"/>
        <v>420954.16206201102</v>
      </c>
    </row>
    <row r="101" spans="1:15" hidden="1" x14ac:dyDescent="0.15">
      <c r="A101" s="154"/>
      <c r="B101" s="151"/>
      <c r="C101" s="152"/>
      <c r="D101" s="323"/>
      <c r="E101" s="154"/>
      <c r="F101" s="157"/>
      <c r="G101" s="152"/>
      <c r="H101" s="323"/>
      <c r="I101" s="152"/>
      <c r="J101" s="157"/>
      <c r="K101" s="154"/>
      <c r="L101" s="227"/>
      <c r="M101" s="157"/>
      <c r="N101" s="227">
        <f t="shared" si="18"/>
        <v>69245.225062010722</v>
      </c>
      <c r="O101" s="152">
        <f t="shared" si="19"/>
        <v>420954.16206201102</v>
      </c>
    </row>
    <row r="102" spans="1:15" hidden="1" x14ac:dyDescent="0.15">
      <c r="A102" s="154"/>
      <c r="B102" s="151"/>
      <c r="C102" s="152"/>
      <c r="D102" s="323"/>
      <c r="E102" s="155"/>
      <c r="F102" s="157"/>
      <c r="G102" s="152"/>
      <c r="H102" s="323"/>
      <c r="I102" s="152"/>
      <c r="J102" s="157"/>
      <c r="K102" s="154"/>
      <c r="L102" s="227"/>
      <c r="M102" s="157"/>
      <c r="N102" s="227">
        <f t="shared" si="18"/>
        <v>69245.225062010722</v>
      </c>
      <c r="O102" s="152">
        <f t="shared" si="19"/>
        <v>420954.16206201102</v>
      </c>
    </row>
    <row r="103" spans="1:15" hidden="1" x14ac:dyDescent="0.15">
      <c r="A103" s="154"/>
      <c r="B103" s="151"/>
      <c r="C103" s="152"/>
      <c r="D103" s="323"/>
      <c r="E103" s="154"/>
      <c r="F103" s="157"/>
      <c r="G103" s="152"/>
      <c r="H103" s="323"/>
      <c r="I103" s="152"/>
      <c r="J103" s="157"/>
      <c r="K103" s="154"/>
      <c r="L103" s="227"/>
      <c r="M103" s="157"/>
      <c r="N103" s="227">
        <f t="shared" si="18"/>
        <v>69245.225062010722</v>
      </c>
      <c r="O103" s="152">
        <f t="shared" si="19"/>
        <v>420954.16206201102</v>
      </c>
    </row>
    <row r="104" spans="1:15" hidden="1" x14ac:dyDescent="0.15">
      <c r="A104" s="154"/>
      <c r="B104" s="151"/>
      <c r="C104" s="152"/>
      <c r="D104" s="323"/>
      <c r="E104" s="154"/>
      <c r="F104" s="157"/>
      <c r="G104" s="152"/>
      <c r="H104" s="323"/>
      <c r="I104" s="152"/>
      <c r="J104" s="154"/>
      <c r="K104" s="154"/>
      <c r="L104" s="227"/>
      <c r="M104" s="157"/>
      <c r="N104" s="227">
        <f t="shared" si="18"/>
        <v>69245.225062010722</v>
      </c>
      <c r="O104" s="152">
        <f t="shared" si="19"/>
        <v>420954.16206201102</v>
      </c>
    </row>
    <row r="105" spans="1:15" hidden="1" x14ac:dyDescent="0.15">
      <c r="A105" s="154"/>
      <c r="B105" s="151"/>
      <c r="C105" s="151"/>
      <c r="D105" s="323"/>
      <c r="E105" s="154"/>
      <c r="F105" s="157"/>
      <c r="G105" s="152"/>
      <c r="H105" s="323"/>
      <c r="I105" s="152"/>
      <c r="J105" s="154"/>
      <c r="K105" s="154"/>
      <c r="L105" s="227"/>
      <c r="M105" s="157"/>
      <c r="N105" s="227">
        <f t="shared" si="18"/>
        <v>69245.225062010722</v>
      </c>
      <c r="O105" s="152">
        <f t="shared" si="19"/>
        <v>420954.16206201102</v>
      </c>
    </row>
    <row r="106" spans="1:15" hidden="1" x14ac:dyDescent="0.15">
      <c r="A106" s="154"/>
      <c r="B106" s="151"/>
      <c r="C106" s="151"/>
      <c r="D106" s="323"/>
      <c r="E106" s="155"/>
      <c r="F106" s="157"/>
      <c r="G106" s="152"/>
      <c r="H106" s="323"/>
      <c r="I106" s="152"/>
      <c r="J106" s="154"/>
      <c r="K106" s="154"/>
      <c r="L106" s="227"/>
      <c r="M106" s="157"/>
      <c r="N106" s="227">
        <f t="shared" si="18"/>
        <v>69245.225062010722</v>
      </c>
      <c r="O106" s="152">
        <f t="shared" si="19"/>
        <v>420954.16206201102</v>
      </c>
    </row>
    <row r="107" spans="1:15" hidden="1" x14ac:dyDescent="0.15">
      <c r="A107" s="154"/>
      <c r="B107" s="151"/>
      <c r="C107" s="151"/>
      <c r="D107" s="323"/>
      <c r="E107" s="154"/>
      <c r="F107" s="160"/>
      <c r="G107" s="152"/>
      <c r="H107" s="323"/>
      <c r="I107" s="152"/>
      <c r="J107" s="157"/>
      <c r="K107" s="154"/>
      <c r="L107" s="227"/>
      <c r="M107" s="157"/>
      <c r="N107" s="227">
        <f t="shared" si="18"/>
        <v>69245.225062010722</v>
      </c>
      <c r="O107" s="152">
        <f t="shared" si="19"/>
        <v>420954.16206201102</v>
      </c>
    </row>
    <row r="108" spans="1:15" hidden="1" x14ac:dyDescent="0.15">
      <c r="A108" s="154"/>
      <c r="B108" s="151"/>
      <c r="C108" s="151"/>
      <c r="D108" s="323"/>
      <c r="E108" s="154"/>
      <c r="F108" s="160"/>
      <c r="G108" s="152"/>
      <c r="H108" s="323"/>
      <c r="I108" s="152"/>
      <c r="J108" s="150"/>
      <c r="K108" s="154"/>
      <c r="L108" s="227"/>
      <c r="M108" s="157"/>
      <c r="N108" s="227">
        <f t="shared" si="18"/>
        <v>69245.225062010722</v>
      </c>
      <c r="O108" s="152">
        <f t="shared" si="19"/>
        <v>420954.16206201102</v>
      </c>
    </row>
    <row r="109" spans="1:15" x14ac:dyDescent="0.15">
      <c r="A109" s="173"/>
      <c r="B109" s="173"/>
      <c r="C109" s="174"/>
      <c r="D109" s="323"/>
      <c r="E109" s="173"/>
      <c r="F109" s="173"/>
      <c r="G109" s="174"/>
      <c r="H109" s="323"/>
      <c r="I109" s="174"/>
      <c r="J109" s="173"/>
      <c r="K109" s="154"/>
      <c r="L109" s="228"/>
      <c r="M109" s="173"/>
      <c r="N109" s="227">
        <f t="shared" si="18"/>
        <v>69245.225062010722</v>
      </c>
      <c r="O109" s="152">
        <f t="shared" si="19"/>
        <v>420954.16206201102</v>
      </c>
    </row>
    <row r="110" spans="1:15" x14ac:dyDescent="0.15">
      <c r="A110" s="177"/>
      <c r="B110" s="177"/>
      <c r="C110" s="178">
        <f>SUM(C7:C108)</f>
        <v>566037.46426201065</v>
      </c>
      <c r="D110" s="177"/>
      <c r="E110" s="177"/>
      <c r="F110" s="177"/>
      <c r="G110" s="178">
        <f>SUM(G7:G109)</f>
        <v>1422852.2630000003</v>
      </c>
      <c r="H110" s="179"/>
      <c r="I110" s="178">
        <f>SUM(I7:I109)</f>
        <v>187657.12520000001</v>
      </c>
      <c r="J110" s="177"/>
      <c r="K110" s="177"/>
      <c r="L110" s="178">
        <f>SUM(L7:L109)</f>
        <v>1380278.4400000002</v>
      </c>
      <c r="M110" s="177"/>
      <c r="N110" s="180"/>
      <c r="O110" s="181">
        <f>C110+G110-I110-L110</f>
        <v>420954.16206201049</v>
      </c>
    </row>
    <row r="111" spans="1:15" x14ac:dyDescent="0.15">
      <c r="A111" s="182"/>
      <c r="B111" s="465"/>
      <c r="C111" s="465"/>
      <c r="D111" s="465"/>
      <c r="E111" s="183"/>
      <c r="F111" s="284"/>
      <c r="G111" s="185"/>
      <c r="H111" s="186"/>
      <c r="I111" s="187"/>
      <c r="J111" s="188"/>
      <c r="K111" s="189" t="s">
        <v>139</v>
      </c>
      <c r="L111" s="190">
        <f>+L110+I110</f>
        <v>1567935.5652000001</v>
      </c>
      <c r="M111" s="197"/>
      <c r="N111" s="230">
        <f>+N109</f>
        <v>69245.225062010722</v>
      </c>
      <c r="O111" s="195" t="s">
        <v>1929</v>
      </c>
    </row>
    <row r="112" spans="1:15" x14ac:dyDescent="0.15">
      <c r="A112" s="193" t="s">
        <v>1909</v>
      </c>
      <c r="B112" s="131" t="s">
        <v>1919</v>
      </c>
      <c r="E112" s="183" t="s">
        <v>55</v>
      </c>
      <c r="F112" s="360">
        <v>2139707.6800000002</v>
      </c>
      <c r="G112" s="219" t="s">
        <v>56</v>
      </c>
      <c r="H112" s="186">
        <v>41780</v>
      </c>
      <c r="I112" s="187" t="s">
        <v>71</v>
      </c>
      <c r="J112" s="210">
        <v>166362.93126201062</v>
      </c>
      <c r="K112" s="210"/>
      <c r="N112" s="230">
        <v>175895.97700000001</v>
      </c>
      <c r="O112" s="195" t="s">
        <v>1930</v>
      </c>
    </row>
    <row r="113" spans="1:15" x14ac:dyDescent="0.15">
      <c r="A113" s="193" t="s">
        <v>1910</v>
      </c>
      <c r="B113" s="131" t="s">
        <v>1935</v>
      </c>
      <c r="E113" s="183" t="s">
        <v>55</v>
      </c>
      <c r="F113" s="360">
        <v>2169318.36</v>
      </c>
      <c r="G113" s="219" t="s">
        <v>56</v>
      </c>
      <c r="H113" s="186">
        <v>41787</v>
      </c>
      <c r="I113" s="187" t="s">
        <v>71</v>
      </c>
      <c r="J113" s="210">
        <v>123392.66900000002</v>
      </c>
      <c r="K113" s="297"/>
      <c r="N113" s="230">
        <v>131898.66200000001</v>
      </c>
      <c r="O113" s="334" t="s">
        <v>1931</v>
      </c>
    </row>
    <row r="114" spans="1:15" x14ac:dyDescent="0.15">
      <c r="A114" s="193" t="s">
        <v>1911</v>
      </c>
      <c r="B114" s="131" t="s">
        <v>1936</v>
      </c>
      <c r="E114" s="183" t="s">
        <v>55</v>
      </c>
      <c r="F114" s="360">
        <v>1492983.44</v>
      </c>
      <c r="G114" s="219" t="s">
        <v>56</v>
      </c>
      <c r="H114" s="186">
        <v>41792</v>
      </c>
      <c r="I114" s="187" t="s">
        <v>71</v>
      </c>
      <c r="J114" s="210">
        <v>145969.66973798937</v>
      </c>
      <c r="K114" s="333"/>
      <c r="N114" s="230">
        <v>43914.298000000003</v>
      </c>
      <c r="O114" s="195" t="s">
        <v>1932</v>
      </c>
    </row>
    <row r="115" spans="1:15" x14ac:dyDescent="0.15">
      <c r="A115" s="193" t="s">
        <v>1912</v>
      </c>
      <c r="B115" s="131" t="s">
        <v>1937</v>
      </c>
      <c r="E115" s="183" t="s">
        <v>55</v>
      </c>
      <c r="F115" s="360">
        <v>2019830.25</v>
      </c>
      <c r="G115" s="219" t="s">
        <v>56</v>
      </c>
      <c r="H115" s="186">
        <v>41793</v>
      </c>
      <c r="I115" s="187" t="s">
        <v>71</v>
      </c>
      <c r="J115" s="210">
        <v>164984.87826201058</v>
      </c>
      <c r="N115" s="230"/>
      <c r="O115" s="195"/>
    </row>
    <row r="116" spans="1:15" x14ac:dyDescent="0.15">
      <c r="A116" s="193" t="s">
        <v>1926</v>
      </c>
      <c r="B116" s="131" t="s">
        <v>1938</v>
      </c>
      <c r="E116" s="183" t="s">
        <v>55</v>
      </c>
      <c r="F116" s="360">
        <v>2084955.82</v>
      </c>
      <c r="G116" s="219" t="s">
        <v>56</v>
      </c>
      <c r="H116" s="186">
        <v>41796</v>
      </c>
      <c r="I116" s="187" t="s">
        <v>71</v>
      </c>
      <c r="J116" s="210">
        <v>199851.33173798939</v>
      </c>
      <c r="K116" s="333"/>
      <c r="N116" s="230"/>
      <c r="O116" s="195"/>
    </row>
    <row r="117" spans="1:15" x14ac:dyDescent="0.15">
      <c r="A117" s="193" t="s">
        <v>1928</v>
      </c>
      <c r="B117" s="131" t="s">
        <v>1939</v>
      </c>
      <c r="E117" s="183" t="s">
        <v>55</v>
      </c>
      <c r="F117" s="360">
        <v>2418135.75</v>
      </c>
      <c r="G117" s="219" t="s">
        <v>56</v>
      </c>
      <c r="H117" s="186">
        <v>41809</v>
      </c>
      <c r="I117" s="187" t="s">
        <v>71</v>
      </c>
      <c r="J117" s="210">
        <v>216835.66880000045</v>
      </c>
      <c r="N117" s="230"/>
      <c r="O117" s="195"/>
    </row>
    <row r="118" spans="1:15" x14ac:dyDescent="0.15">
      <c r="A118" s="193" t="s">
        <v>1929</v>
      </c>
      <c r="B118" s="131" t="s">
        <v>1941</v>
      </c>
      <c r="E118" s="183" t="s">
        <v>55</v>
      </c>
      <c r="F118" s="359">
        <v>1945374.02</v>
      </c>
      <c r="G118" s="219" t="s">
        <v>56</v>
      </c>
      <c r="H118" s="186">
        <v>41820</v>
      </c>
      <c r="I118" s="187" t="s">
        <v>71</v>
      </c>
      <c r="J118" s="210">
        <v>75157.116937988889</v>
      </c>
      <c r="N118" s="206" t="s">
        <v>33</v>
      </c>
      <c r="O118" s="207">
        <f>SUM(N111:N117)</f>
        <v>420954.16206201079</v>
      </c>
    </row>
    <row r="119" spans="1:15" ht="12" thickBot="1" x14ac:dyDescent="0.2">
      <c r="A119" s="133"/>
      <c r="B119" s="357"/>
      <c r="C119" s="357"/>
      <c r="D119" s="357"/>
      <c r="E119" s="183"/>
      <c r="F119" s="358"/>
      <c r="G119" s="219"/>
      <c r="H119" s="186"/>
      <c r="I119" s="217" t="s">
        <v>856</v>
      </c>
      <c r="J119" s="211">
        <f>SUM(J112:J118)</f>
        <v>1092554.2657379892</v>
      </c>
      <c r="K119" s="297"/>
      <c r="O119" s="190">
        <f>+O110-O118</f>
        <v>0</v>
      </c>
    </row>
    <row r="120" spans="1:15" s="132" customFormat="1" ht="12" thickTop="1" x14ac:dyDescent="0.15">
      <c r="A120" s="133" t="s">
        <v>1927</v>
      </c>
      <c r="B120" s="131" t="s">
        <v>1940</v>
      </c>
      <c r="D120" s="133"/>
      <c r="E120" s="183" t="s">
        <v>55</v>
      </c>
      <c r="F120" s="360">
        <v>32148304.199999999</v>
      </c>
      <c r="G120" s="219" t="s">
        <v>56</v>
      </c>
      <c r="H120" s="186">
        <v>41603</v>
      </c>
      <c r="I120" s="187" t="s">
        <v>71</v>
      </c>
      <c r="J120" s="210">
        <v>287724.17426201067</v>
      </c>
      <c r="K120" s="333"/>
      <c r="M120" s="134"/>
    </row>
    <row r="121" spans="1:15" s="132" customFormat="1" ht="12" thickBot="1" x14ac:dyDescent="0.2">
      <c r="A121" s="193"/>
      <c r="B121" s="210"/>
      <c r="C121" s="221"/>
      <c r="D121" s="237"/>
      <c r="E121" s="235"/>
      <c r="F121" s="235"/>
      <c r="H121" s="133"/>
      <c r="I121" s="218" t="s">
        <v>106</v>
      </c>
      <c r="J121" s="212">
        <f>SUM(J120)</f>
        <v>287724.17426201067</v>
      </c>
      <c r="K121" s="133"/>
      <c r="M121" s="134"/>
    </row>
    <row r="122" spans="1:15" s="132" customFormat="1" ht="12" thickTop="1" x14ac:dyDescent="0.15">
      <c r="A122" s="193"/>
      <c r="B122" s="210"/>
      <c r="C122" s="221"/>
      <c r="D122" s="237"/>
      <c r="E122" s="235"/>
      <c r="F122" s="235"/>
      <c r="H122" s="133"/>
      <c r="I122" s="138"/>
      <c r="J122" s="216"/>
      <c r="K122" s="133"/>
      <c r="M122" s="134"/>
    </row>
    <row r="123" spans="1:15" s="132" customFormat="1" x14ac:dyDescent="0.15">
      <c r="A123" s="193"/>
      <c r="B123" s="210"/>
      <c r="C123" s="221"/>
      <c r="D123" s="237"/>
      <c r="E123" s="235"/>
      <c r="F123" s="235"/>
      <c r="H123" s="133"/>
      <c r="I123" s="138"/>
      <c r="J123" s="216"/>
      <c r="K123" s="133"/>
      <c r="M123" s="134"/>
    </row>
    <row r="124" spans="1:15" s="132" customFormat="1" x14ac:dyDescent="0.15">
      <c r="A124" s="193"/>
      <c r="B124" s="210"/>
      <c r="C124" s="221"/>
      <c r="D124" s="237"/>
      <c r="E124" s="235"/>
      <c r="F124" s="235"/>
      <c r="H124" s="133"/>
      <c r="I124" s="138"/>
      <c r="J124" s="216"/>
      <c r="K124" s="133"/>
      <c r="M124" s="134"/>
    </row>
    <row r="125" spans="1:15" s="132" customFormat="1" x14ac:dyDescent="0.15">
      <c r="A125" s="193"/>
      <c r="B125" s="210"/>
      <c r="C125" s="221"/>
      <c r="D125" s="237"/>
      <c r="E125" s="235"/>
      <c r="F125" s="235"/>
      <c r="H125" s="133"/>
      <c r="I125" s="138"/>
      <c r="J125" s="216"/>
      <c r="K125" s="133"/>
      <c r="M125" s="134"/>
    </row>
    <row r="126" spans="1:15" s="132" customFormat="1" x14ac:dyDescent="0.15">
      <c r="A126" s="133"/>
      <c r="B126" s="133" t="s">
        <v>9</v>
      </c>
      <c r="C126" s="220" t="s">
        <v>729</v>
      </c>
      <c r="D126" s="220" t="s">
        <v>850</v>
      </c>
      <c r="E126" s="133" t="s">
        <v>570</v>
      </c>
      <c r="F126" s="133" t="s">
        <v>571</v>
      </c>
      <c r="G126" s="133" t="s">
        <v>16</v>
      </c>
      <c r="H126" s="134"/>
      <c r="J126" s="205"/>
      <c r="K126" s="133"/>
      <c r="M126" s="134"/>
    </row>
    <row r="127" spans="1:15" s="132" customFormat="1" x14ac:dyDescent="0.15">
      <c r="A127" s="193" t="s">
        <v>1909</v>
      </c>
      <c r="B127" s="210">
        <v>166363</v>
      </c>
      <c r="C127" s="221">
        <v>24.8352</v>
      </c>
      <c r="D127" s="237">
        <f t="shared" ref="D127:D133" si="20">+B127*C127</f>
        <v>4131658.3776000002</v>
      </c>
      <c r="E127" s="235">
        <f t="shared" ref="E127:E133" si="21">+D127*0.01</f>
        <v>41316.583776000007</v>
      </c>
      <c r="F127" s="235">
        <f t="shared" ref="F127:F133" si="22">+E127*0.1</f>
        <v>4131.6583776000007</v>
      </c>
      <c r="G127" s="236">
        <f t="shared" ref="G127:G133" si="23">SUM(E127:F127)</f>
        <v>45448.242153600004</v>
      </c>
      <c r="H127" s="134"/>
      <c r="J127" s="205"/>
      <c r="K127" s="133"/>
      <c r="M127" s="134"/>
    </row>
    <row r="128" spans="1:15" s="132" customFormat="1" x14ac:dyDescent="0.15">
      <c r="A128" s="193" t="s">
        <v>1910</v>
      </c>
      <c r="B128" s="210">
        <v>123393</v>
      </c>
      <c r="C128" s="221">
        <v>24.785900000000002</v>
      </c>
      <c r="D128" s="237">
        <f t="shared" si="20"/>
        <v>3058406.5587000004</v>
      </c>
      <c r="E128" s="235">
        <f t="shared" si="21"/>
        <v>30584.065587000005</v>
      </c>
      <c r="F128" s="235">
        <f t="shared" si="22"/>
        <v>3058.4065587000005</v>
      </c>
      <c r="G128" s="236">
        <f t="shared" si="23"/>
        <v>33642.472145700005</v>
      </c>
      <c r="H128" s="133"/>
      <c r="J128" s="205"/>
      <c r="K128" s="133"/>
      <c r="M128" s="134"/>
    </row>
    <row r="129" spans="1:15" s="132" customFormat="1" x14ac:dyDescent="0.15">
      <c r="A129" s="193" t="s">
        <v>1911</v>
      </c>
      <c r="B129" s="210">
        <v>145970</v>
      </c>
      <c r="C129" s="221">
        <v>24.813800000000001</v>
      </c>
      <c r="D129" s="237">
        <f t="shared" si="20"/>
        <v>3622070.3859999999</v>
      </c>
      <c r="E129" s="235">
        <f t="shared" si="21"/>
        <v>36220.703860000001</v>
      </c>
      <c r="F129" s="235">
        <f t="shared" si="22"/>
        <v>3622.0703860000003</v>
      </c>
      <c r="G129" s="236">
        <f t="shared" si="23"/>
        <v>39842.774246000001</v>
      </c>
      <c r="H129" s="133"/>
      <c r="J129" s="205"/>
      <c r="K129" s="133"/>
      <c r="M129" s="134"/>
    </row>
    <row r="130" spans="1:15" s="132" customFormat="1" x14ac:dyDescent="0.15">
      <c r="A130" s="193" t="s">
        <v>1912</v>
      </c>
      <c r="B130" s="210">
        <v>164985</v>
      </c>
      <c r="C130" s="221">
        <v>24.690999999999999</v>
      </c>
      <c r="D130" s="237">
        <f t="shared" si="20"/>
        <v>4073644.6349999998</v>
      </c>
      <c r="E130" s="235">
        <f t="shared" si="21"/>
        <v>40736.446349999998</v>
      </c>
      <c r="F130" s="235">
        <f t="shared" si="22"/>
        <v>4073.6446350000001</v>
      </c>
      <c r="G130" s="236">
        <f t="shared" si="23"/>
        <v>44810.090984999995</v>
      </c>
      <c r="H130" s="134"/>
      <c r="J130" s="205"/>
      <c r="K130" s="133"/>
      <c r="M130" s="134"/>
    </row>
    <row r="131" spans="1:15" s="132" customFormat="1" x14ac:dyDescent="0.15">
      <c r="A131" s="193" t="s">
        <v>1926</v>
      </c>
      <c r="B131" s="210">
        <v>199851</v>
      </c>
      <c r="C131" s="221">
        <v>24.744499999999999</v>
      </c>
      <c r="D131" s="237">
        <f t="shared" si="20"/>
        <v>4945213.0694999993</v>
      </c>
      <c r="E131" s="235">
        <f t="shared" si="21"/>
        <v>49452.130694999993</v>
      </c>
      <c r="F131" s="235">
        <f t="shared" si="22"/>
        <v>4945.2130694999996</v>
      </c>
      <c r="G131" s="236">
        <f t="shared" si="23"/>
        <v>54397.343764499994</v>
      </c>
      <c r="H131" s="133"/>
      <c r="J131" s="205"/>
      <c r="K131" s="133"/>
      <c r="M131" s="134"/>
    </row>
    <row r="132" spans="1:15" s="132" customFormat="1" x14ac:dyDescent="0.15">
      <c r="A132" s="193" t="s">
        <v>1928</v>
      </c>
      <c r="B132" s="210">
        <v>216836</v>
      </c>
      <c r="C132" s="221">
        <v>24.259799999999998</v>
      </c>
      <c r="D132" s="237">
        <f t="shared" si="20"/>
        <v>5260397.9928000001</v>
      </c>
      <c r="E132" s="235">
        <f t="shared" si="21"/>
        <v>52603.979928000001</v>
      </c>
      <c r="F132" s="235">
        <f t="shared" si="22"/>
        <v>5260.3979928000008</v>
      </c>
      <c r="G132" s="236">
        <f t="shared" si="23"/>
        <v>57864.377920800005</v>
      </c>
      <c r="H132" s="133"/>
      <c r="I132" s="134"/>
      <c r="J132" s="205"/>
      <c r="K132" s="133"/>
      <c r="M132" s="134"/>
    </row>
    <row r="133" spans="1:15" s="132" customFormat="1" x14ac:dyDescent="0.15">
      <c r="A133" s="193" t="s">
        <v>1929</v>
      </c>
      <c r="B133" s="210">
        <v>75157</v>
      </c>
      <c r="C133" s="221">
        <v>25.0839</v>
      </c>
      <c r="D133" s="237">
        <f t="shared" si="20"/>
        <v>1885230.6723</v>
      </c>
      <c r="E133" s="235">
        <f t="shared" si="21"/>
        <v>18852.306723000002</v>
      </c>
      <c r="F133" s="235">
        <f t="shared" si="22"/>
        <v>1885.2306723000002</v>
      </c>
      <c r="G133" s="236">
        <f t="shared" si="23"/>
        <v>20737.537395300002</v>
      </c>
      <c r="H133" s="134"/>
      <c r="I133" s="134"/>
      <c r="J133" s="134"/>
      <c r="K133" s="133"/>
      <c r="M133" s="134"/>
    </row>
    <row r="134" spans="1:15" s="132" customFormat="1" ht="12" thickBot="1" x14ac:dyDescent="0.2">
      <c r="A134" s="133"/>
      <c r="B134" s="211">
        <f>SUM(B127:B133)</f>
        <v>1092555</v>
      </c>
      <c r="C134" s="221"/>
      <c r="D134" s="237"/>
      <c r="E134" s="242">
        <f>SUM(E127:E133)</f>
        <v>269766.21691900003</v>
      </c>
      <c r="F134" s="242">
        <f t="shared" ref="F134:G134" si="24">SUM(F127:F133)</f>
        <v>26976.621691900003</v>
      </c>
      <c r="G134" s="242">
        <f t="shared" si="24"/>
        <v>296742.83861089998</v>
      </c>
      <c r="H134" s="133"/>
      <c r="J134" s="134"/>
      <c r="K134" s="133"/>
      <c r="M134" s="134"/>
    </row>
    <row r="135" spans="1:15" s="132" customFormat="1" ht="12" thickTop="1" x14ac:dyDescent="0.15">
      <c r="A135" s="133" t="s">
        <v>1927</v>
      </c>
      <c r="B135" s="210">
        <v>287724</v>
      </c>
      <c r="C135" s="221">
        <v>24.383299999999998</v>
      </c>
      <c r="D135" s="237">
        <f t="shared" ref="D135" si="25">+B135*C135</f>
        <v>7015660.6091999998</v>
      </c>
      <c r="E135" s="235">
        <f t="shared" ref="E135" si="26">+D135*0.01</f>
        <v>70156.606092000002</v>
      </c>
      <c r="F135" s="235">
        <f t="shared" ref="F135" si="27">+E135*0.1</f>
        <v>7015.6606092000002</v>
      </c>
      <c r="G135" s="236">
        <f>SUM(E135:F135)</f>
        <v>77172.266701200002</v>
      </c>
      <c r="H135" s="133"/>
      <c r="J135" s="134"/>
      <c r="K135" s="133"/>
      <c r="M135" s="134"/>
    </row>
    <row r="136" spans="1:15" s="132" customFormat="1" ht="12" thickBot="1" x14ac:dyDescent="0.2">
      <c r="A136" s="133"/>
      <c r="B136" s="211">
        <f>SUM(B135)</f>
        <v>287724</v>
      </c>
      <c r="C136" s="221"/>
      <c r="D136" s="237"/>
      <c r="E136" s="242">
        <f>SUM(E135)</f>
        <v>70156.606092000002</v>
      </c>
      <c r="F136" s="242">
        <f t="shared" ref="F136:G136" si="28">SUM(F135)</f>
        <v>7015.6606092000002</v>
      </c>
      <c r="G136" s="242">
        <f t="shared" si="28"/>
        <v>77172.266701200002</v>
      </c>
      <c r="H136" s="133"/>
      <c r="J136" s="134"/>
      <c r="K136" s="133"/>
      <c r="M136" s="134"/>
    </row>
    <row r="137" spans="1:15" s="132" customFormat="1" ht="12" thickTop="1" x14ac:dyDescent="0.15">
      <c r="A137" s="247"/>
      <c r="B137" s="131"/>
      <c r="D137" s="133"/>
      <c r="E137" s="183"/>
      <c r="F137" s="359"/>
      <c r="G137" s="219"/>
      <c r="H137" s="133"/>
      <c r="J137" s="134"/>
      <c r="K137" s="133"/>
      <c r="M137" s="134"/>
    </row>
    <row r="138" spans="1:15" s="132" customFormat="1" x14ac:dyDescent="0.15">
      <c r="A138" s="188"/>
      <c r="B138" s="131"/>
      <c r="D138" s="133"/>
      <c r="E138" s="183"/>
      <c r="F138" s="359"/>
      <c r="G138" s="219"/>
      <c r="H138" s="133"/>
      <c r="J138" s="134"/>
      <c r="K138" s="133"/>
      <c r="M138" s="134"/>
    </row>
    <row r="139" spans="1:15" s="132" customFormat="1" x14ac:dyDescent="0.15">
      <c r="A139" s="247"/>
      <c r="B139" s="131"/>
      <c r="D139" s="133"/>
      <c r="E139" s="183"/>
      <c r="F139" s="359"/>
      <c r="G139" s="219"/>
      <c r="H139" s="186"/>
      <c r="J139" s="134"/>
      <c r="K139" s="133"/>
      <c r="M139" s="134"/>
    </row>
    <row r="140" spans="1:15" s="132" customFormat="1" x14ac:dyDescent="0.15">
      <c r="A140" s="247"/>
      <c r="B140" s="131"/>
      <c r="D140" s="133"/>
      <c r="E140" s="183"/>
      <c r="F140" s="359"/>
      <c r="G140" s="219"/>
      <c r="H140" s="186"/>
      <c r="J140" s="134"/>
      <c r="K140" s="133"/>
      <c r="M140" s="134"/>
    </row>
    <row r="141" spans="1:15" s="132" customFormat="1" x14ac:dyDescent="0.15">
      <c r="A141" s="247"/>
      <c r="B141" s="131"/>
      <c r="D141" s="133"/>
      <c r="E141" s="183"/>
      <c r="F141" s="359"/>
      <c r="G141" s="219"/>
      <c r="H141" s="186"/>
      <c r="J141" s="134"/>
      <c r="K141" s="133"/>
      <c r="M141" s="134"/>
    </row>
    <row r="142" spans="1:15" s="132" customFormat="1" x14ac:dyDescent="0.15">
      <c r="A142" s="247"/>
      <c r="B142" s="131"/>
      <c r="D142" s="133"/>
      <c r="E142" s="183"/>
      <c r="F142" s="359"/>
      <c r="G142" s="219"/>
      <c r="H142" s="186"/>
      <c r="J142" s="134"/>
      <c r="K142" s="133"/>
      <c r="M142" s="134"/>
    </row>
    <row r="143" spans="1:15" s="132" customFormat="1" x14ac:dyDescent="0.15">
      <c r="A143" s="247"/>
      <c r="B143" s="131"/>
      <c r="D143" s="133"/>
      <c r="E143" s="183"/>
      <c r="F143" s="359"/>
      <c r="G143" s="219"/>
      <c r="H143" s="186"/>
      <c r="J143" s="134"/>
      <c r="K143" s="133"/>
      <c r="M143" s="134"/>
    </row>
    <row r="144" spans="1:15" s="133" customFormat="1" x14ac:dyDescent="0.15">
      <c r="A144" s="247"/>
      <c r="B144" s="131"/>
      <c r="C144" s="132"/>
      <c r="E144" s="183"/>
      <c r="F144" s="359"/>
      <c r="G144" s="219"/>
      <c r="H144" s="186"/>
      <c r="I144" s="132"/>
      <c r="J144" s="134"/>
      <c r="L144" s="132"/>
      <c r="M144" s="134"/>
      <c r="N144" s="132"/>
      <c r="O144" s="132"/>
    </row>
    <row r="145" spans="1:15" s="133" customFormat="1" x14ac:dyDescent="0.15">
      <c r="A145" s="247"/>
      <c r="B145" s="131"/>
      <c r="C145" s="132"/>
      <c r="E145" s="183"/>
      <c r="F145" s="359"/>
      <c r="G145" s="219"/>
      <c r="H145" s="186"/>
      <c r="I145" s="132"/>
      <c r="J145" s="134"/>
      <c r="L145" s="132"/>
      <c r="M145" s="134"/>
      <c r="N145" s="132"/>
      <c r="O145" s="132"/>
    </row>
    <row r="146" spans="1:15" s="133" customFormat="1" x14ac:dyDescent="0.15">
      <c r="A146" s="247"/>
      <c r="B146" s="131"/>
      <c r="C146" s="132"/>
      <c r="E146" s="183"/>
      <c r="F146" s="359"/>
      <c r="G146" s="219"/>
      <c r="H146" s="186"/>
      <c r="I146" s="132"/>
      <c r="J146" s="134"/>
      <c r="L146" s="132"/>
      <c r="M146" s="134"/>
      <c r="N146" s="132"/>
      <c r="O146" s="132"/>
    </row>
    <row r="147" spans="1:15" s="133" customFormat="1" x14ac:dyDescent="0.15">
      <c r="A147" s="247"/>
      <c r="B147" s="131"/>
      <c r="C147" s="132"/>
      <c r="E147" s="183"/>
      <c r="F147" s="359"/>
      <c r="G147" s="219"/>
      <c r="H147" s="186"/>
      <c r="I147" s="132"/>
      <c r="J147" s="134"/>
      <c r="L147" s="132"/>
      <c r="M147" s="134"/>
      <c r="N147" s="132"/>
      <c r="O147" s="132"/>
    </row>
    <row r="148" spans="1:15" s="133" customFormat="1" x14ac:dyDescent="0.15">
      <c r="A148" s="247"/>
      <c r="B148" s="131"/>
      <c r="C148" s="132"/>
      <c r="E148" s="183"/>
      <c r="F148" s="359"/>
      <c r="G148" s="219"/>
      <c r="H148" s="186"/>
      <c r="I148" s="132"/>
      <c r="J148" s="134"/>
      <c r="L148" s="132"/>
      <c r="M148" s="134"/>
      <c r="N148" s="132"/>
      <c r="O148" s="132"/>
    </row>
    <row r="149" spans="1:15" s="133" customFormat="1" x14ac:dyDescent="0.15">
      <c r="A149" s="247"/>
      <c r="B149" s="131"/>
      <c r="C149" s="132"/>
      <c r="E149" s="183"/>
      <c r="F149" s="359"/>
      <c r="G149" s="219"/>
      <c r="H149" s="186"/>
      <c r="I149" s="132"/>
      <c r="J149" s="134"/>
      <c r="L149" s="132"/>
      <c r="M149" s="134"/>
      <c r="N149" s="132"/>
      <c r="O149" s="132"/>
    </row>
    <row r="150" spans="1:15" x14ac:dyDescent="0.15">
      <c r="A150" s="349"/>
      <c r="E150" s="183"/>
      <c r="F150" s="359"/>
      <c r="G150" s="219"/>
      <c r="H150" s="186"/>
    </row>
    <row r="151" spans="1:15" s="132" customFormat="1" x14ac:dyDescent="0.15">
      <c r="A151" s="247"/>
      <c r="B151" s="131"/>
      <c r="D151" s="133"/>
      <c r="E151" s="183"/>
      <c r="F151" s="359"/>
      <c r="G151" s="219"/>
      <c r="H151" s="186"/>
      <c r="J151" s="134"/>
      <c r="K151" s="133"/>
      <c r="M151" s="134"/>
    </row>
    <row r="152" spans="1:15" s="132" customFormat="1" x14ac:dyDescent="0.15">
      <c r="A152" s="349"/>
      <c r="B152" s="131"/>
      <c r="D152" s="133"/>
      <c r="E152" s="183"/>
      <c r="F152" s="359"/>
      <c r="G152" s="219"/>
      <c r="H152" s="186"/>
      <c r="J152" s="134"/>
      <c r="K152" s="133"/>
      <c r="M152" s="134"/>
    </row>
    <row r="153" spans="1:15" s="132" customFormat="1" x14ac:dyDescent="0.15">
      <c r="A153" s="349"/>
      <c r="B153" s="131"/>
      <c r="D153" s="133"/>
      <c r="E153" s="183"/>
      <c r="F153" s="359"/>
      <c r="G153" s="219"/>
      <c r="H153" s="186"/>
      <c r="J153" s="134"/>
      <c r="K153" s="133"/>
      <c r="M153" s="134"/>
    </row>
    <row r="154" spans="1:15" s="132" customFormat="1" x14ac:dyDescent="0.15">
      <c r="A154" s="247"/>
      <c r="B154" s="131"/>
      <c r="D154" s="133"/>
      <c r="E154" s="183"/>
      <c r="F154" s="359"/>
      <c r="G154" s="219"/>
      <c r="H154" s="186"/>
      <c r="J154" s="134"/>
      <c r="K154" s="133"/>
      <c r="M154" s="134"/>
    </row>
    <row r="155" spans="1:15" s="132" customFormat="1" x14ac:dyDescent="0.15">
      <c r="A155" s="349"/>
      <c r="B155" s="131"/>
      <c r="D155" s="133"/>
      <c r="E155" s="183"/>
      <c r="F155" s="359"/>
      <c r="G155" s="219"/>
      <c r="H155" s="186"/>
      <c r="J155" s="134"/>
      <c r="K155" s="133"/>
      <c r="M155" s="134"/>
    </row>
    <row r="156" spans="1:15" s="132" customFormat="1" x14ac:dyDescent="0.15">
      <c r="A156" s="349"/>
      <c r="B156" s="131"/>
      <c r="D156" s="133"/>
      <c r="E156" s="183"/>
      <c r="F156" s="359"/>
      <c r="G156" s="219"/>
      <c r="H156" s="186"/>
      <c r="J156" s="134"/>
      <c r="K156" s="133"/>
      <c r="M156" s="134"/>
    </row>
    <row r="157" spans="1:15" s="132" customFormat="1" x14ac:dyDescent="0.15">
      <c r="A157" s="349"/>
      <c r="B157" s="131"/>
      <c r="D157" s="133"/>
      <c r="E157" s="183"/>
      <c r="F157" s="359"/>
      <c r="G157" s="219"/>
      <c r="H157" s="186"/>
      <c r="J157" s="134"/>
      <c r="K157" s="133"/>
      <c r="M157" s="134"/>
    </row>
    <row r="158" spans="1:15" s="132" customFormat="1" x14ac:dyDescent="0.15">
      <c r="A158" s="247"/>
      <c r="B158" s="131"/>
      <c r="D158" s="133"/>
      <c r="E158" s="183"/>
      <c r="F158" s="359"/>
      <c r="G158" s="219"/>
      <c r="H158" s="186"/>
      <c r="J158" s="134"/>
      <c r="K158" s="133"/>
      <c r="M158" s="134"/>
    </row>
    <row r="159" spans="1:15" s="132" customFormat="1" x14ac:dyDescent="0.15">
      <c r="A159" s="134"/>
      <c r="B159" s="131"/>
      <c r="D159" s="133"/>
      <c r="E159" s="133"/>
      <c r="F159" s="134"/>
      <c r="H159" s="133"/>
      <c r="J159" s="134"/>
      <c r="K159" s="133"/>
      <c r="M159" s="134"/>
    </row>
    <row r="160" spans="1:15" s="132" customFormat="1" x14ac:dyDescent="0.15">
      <c r="A160" s="134"/>
      <c r="B160" s="131"/>
      <c r="D160" s="133"/>
      <c r="E160" s="133"/>
      <c r="F160" s="134"/>
      <c r="H160" s="133"/>
      <c r="J160" s="134"/>
      <c r="K160" s="133"/>
      <c r="M160" s="134"/>
    </row>
    <row r="161" spans="1:15" s="132" customFormat="1" x14ac:dyDescent="0.15">
      <c r="A161" s="134"/>
      <c r="B161" s="131"/>
      <c r="D161" s="133"/>
      <c r="E161" s="133"/>
      <c r="F161" s="134"/>
      <c r="H161" s="133"/>
      <c r="J161" s="134"/>
      <c r="K161" s="133"/>
      <c r="M161" s="134"/>
    </row>
    <row r="162" spans="1:15" s="132" customFormat="1" x14ac:dyDescent="0.15">
      <c r="A162" s="134"/>
      <c r="B162" s="131"/>
      <c r="D162" s="133"/>
      <c r="E162" s="133"/>
      <c r="F162" s="134"/>
      <c r="H162" s="133"/>
      <c r="J162" s="134"/>
      <c r="K162" s="133"/>
      <c r="M162" s="134"/>
    </row>
    <row r="163" spans="1:15" s="132" customFormat="1" x14ac:dyDescent="0.15">
      <c r="A163" s="134"/>
      <c r="B163" s="131"/>
      <c r="D163" s="133"/>
      <c r="E163" s="133"/>
      <c r="F163" s="134"/>
      <c r="H163" s="133"/>
      <c r="J163" s="134"/>
      <c r="K163" s="133"/>
      <c r="M163" s="134"/>
    </row>
    <row r="164" spans="1:15" s="132" customFormat="1" x14ac:dyDescent="0.15">
      <c r="A164" s="134"/>
      <c r="B164" s="131"/>
      <c r="D164" s="133"/>
      <c r="E164" s="133"/>
      <c r="F164" s="134"/>
      <c r="H164" s="133"/>
      <c r="J164" s="134"/>
      <c r="K164" s="133"/>
      <c r="M164" s="134"/>
    </row>
    <row r="165" spans="1:15" s="132" customFormat="1" x14ac:dyDescent="0.15">
      <c r="A165" s="134"/>
      <c r="B165" s="131"/>
      <c r="D165" s="133"/>
      <c r="E165" s="133"/>
      <c r="F165" s="134"/>
      <c r="H165" s="133"/>
      <c r="J165" s="134"/>
      <c r="K165" s="133"/>
      <c r="M165" s="134"/>
    </row>
    <row r="166" spans="1:15" s="132" customFormat="1" x14ac:dyDescent="0.15">
      <c r="A166" s="134"/>
      <c r="B166" s="131"/>
      <c r="D166" s="133"/>
      <c r="E166" s="133"/>
      <c r="F166" s="134"/>
      <c r="H166" s="133"/>
      <c r="J166" s="134"/>
      <c r="K166" s="133"/>
      <c r="M166" s="134"/>
    </row>
    <row r="167" spans="1:15" s="132" customFormat="1" x14ac:dyDescent="0.15">
      <c r="A167" s="134"/>
      <c r="B167" s="131"/>
      <c r="D167" s="133"/>
      <c r="E167" s="133"/>
      <c r="F167" s="134"/>
      <c r="H167" s="133"/>
      <c r="J167" s="134"/>
      <c r="K167" s="133"/>
      <c r="M167" s="134"/>
    </row>
    <row r="168" spans="1:15" s="133" customFormat="1" x14ac:dyDescent="0.15">
      <c r="A168" s="134"/>
      <c r="B168" s="131"/>
      <c r="C168" s="132"/>
      <c r="F168" s="134"/>
      <c r="G168" s="132"/>
      <c r="I168" s="132"/>
      <c r="J168" s="134"/>
      <c r="L168" s="132"/>
      <c r="M168" s="134"/>
      <c r="N168" s="132"/>
      <c r="O168" s="132"/>
    </row>
    <row r="169" spans="1:15" s="133" customFormat="1" x14ac:dyDescent="0.15">
      <c r="A169" s="134"/>
      <c r="B169" s="131"/>
      <c r="C169" s="132"/>
      <c r="F169" s="134"/>
      <c r="G169" s="132"/>
      <c r="I169" s="132"/>
      <c r="J169" s="134"/>
      <c r="L169" s="132"/>
      <c r="M169" s="134"/>
      <c r="N169" s="132"/>
      <c r="O169" s="132"/>
    </row>
  </sheetData>
  <mergeCells count="7">
    <mergeCell ref="B111:D11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39"/>
  <sheetViews>
    <sheetView zoomScale="115" zoomScaleNormal="115" workbookViewId="0">
      <pane ySplit="6" topLeftCell="A58" activePane="bottomLeft" state="frozen"/>
      <selection pane="bottomLeft" activeCell="G85" sqref="G85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3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2.7109375" style="132" bestFit="1" customWidth="1"/>
    <col min="16" max="16384" width="18.5703125" style="134"/>
  </cols>
  <sheetData>
    <row r="1" spans="1:15" x14ac:dyDescent="0.15">
      <c r="A1" s="130" t="s">
        <v>1903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1881</v>
      </c>
      <c r="B7" s="146"/>
      <c r="C7" s="152">
        <v>52292.762262010503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52292.762262010503</v>
      </c>
      <c r="O7" s="147">
        <f>+C84</f>
        <v>359663.87826201052</v>
      </c>
    </row>
    <row r="8" spans="1:15" x14ac:dyDescent="0.15">
      <c r="A8" s="154" t="s">
        <v>1882</v>
      </c>
      <c r="B8" s="151"/>
      <c r="C8" s="152">
        <v>43899.303</v>
      </c>
      <c r="D8" s="323"/>
      <c r="E8" s="154"/>
      <c r="F8" s="154"/>
      <c r="G8" s="152"/>
      <c r="H8" s="323"/>
      <c r="I8" s="152"/>
      <c r="J8" s="154"/>
      <c r="K8" s="156"/>
      <c r="L8" s="227"/>
      <c r="M8" s="157"/>
      <c r="N8" s="227">
        <f>+N7-I8-L8</f>
        <v>52292.762262010503</v>
      </c>
      <c r="O8" s="152">
        <f t="shared" ref="O8:O9" si="0">O7+G8-I8-L8</f>
        <v>359663.87826201052</v>
      </c>
    </row>
    <row r="9" spans="1:15" x14ac:dyDescent="0.15">
      <c r="A9" s="157" t="s">
        <v>1883</v>
      </c>
      <c r="B9" s="151"/>
      <c r="C9" s="152">
        <v>131700.666</v>
      </c>
      <c r="D9" s="323"/>
      <c r="E9" s="154"/>
      <c r="F9" s="157"/>
      <c r="G9" s="152"/>
      <c r="H9" s="323"/>
      <c r="I9" s="152"/>
      <c r="J9" s="154"/>
      <c r="K9" s="154"/>
      <c r="L9" s="227"/>
      <c r="M9" s="157"/>
      <c r="N9" s="227">
        <f t="shared" ref="N9" si="1">+N8-I9-L9</f>
        <v>52292.762262010503</v>
      </c>
      <c r="O9" s="152">
        <f t="shared" si="0"/>
        <v>359663.87826201052</v>
      </c>
    </row>
    <row r="10" spans="1:15" x14ac:dyDescent="0.15">
      <c r="A10" s="154" t="s">
        <v>1884</v>
      </c>
      <c r="B10" s="151"/>
      <c r="C10" s="152">
        <v>87923.35</v>
      </c>
      <c r="D10" s="323"/>
      <c r="E10" s="154"/>
      <c r="F10" s="154"/>
      <c r="G10" s="152"/>
      <c r="H10" s="323"/>
      <c r="I10" s="152"/>
      <c r="J10" s="154"/>
      <c r="K10" s="154"/>
      <c r="L10" s="227"/>
      <c r="M10" s="154"/>
      <c r="N10" s="227">
        <f t="shared" ref="N10" si="2">+N9-I10-L10</f>
        <v>52292.762262010503</v>
      </c>
      <c r="O10" s="152">
        <f t="shared" ref="O10" si="3">O9+G10-I10-L10</f>
        <v>359663.87826201052</v>
      </c>
    </row>
    <row r="11" spans="1:15" x14ac:dyDescent="0.15">
      <c r="A11" s="154" t="s">
        <v>1885</v>
      </c>
      <c r="B11" s="151"/>
      <c r="C11" s="152">
        <v>43847.796999999999</v>
      </c>
      <c r="D11" s="323"/>
      <c r="E11" s="154"/>
      <c r="F11" s="157"/>
      <c r="G11" s="152"/>
      <c r="H11" s="323"/>
      <c r="I11" s="152"/>
      <c r="J11" s="154"/>
      <c r="K11" s="154"/>
      <c r="L11" s="227"/>
      <c r="M11" s="154"/>
      <c r="N11" s="227">
        <f t="shared" ref="N11:N81" si="4">+N10-I11-L11</f>
        <v>52292.762262010503</v>
      </c>
      <c r="O11" s="152">
        <f t="shared" ref="O11:O81" si="5">O10+G11-I11-L11</f>
        <v>359663.87826201052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41760</v>
      </c>
      <c r="I12" s="152">
        <v>5380.99</v>
      </c>
      <c r="J12" s="154" t="s">
        <v>1881</v>
      </c>
      <c r="K12" s="154" t="s">
        <v>1923</v>
      </c>
      <c r="L12" s="227">
        <v>2148.6</v>
      </c>
      <c r="M12" s="154" t="s">
        <v>1881</v>
      </c>
      <c r="N12" s="227">
        <f t="shared" si="4"/>
        <v>44763.172262010507</v>
      </c>
      <c r="O12" s="152">
        <f t="shared" si="5"/>
        <v>352134.28826201055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41760</v>
      </c>
      <c r="I13" s="152"/>
      <c r="J13" s="154"/>
      <c r="K13" s="154" t="s">
        <v>1923</v>
      </c>
      <c r="L13" s="227">
        <v>340.62</v>
      </c>
      <c r="M13" s="154" t="s">
        <v>1881</v>
      </c>
      <c r="N13" s="227">
        <f t="shared" si="4"/>
        <v>44422.552262010504</v>
      </c>
      <c r="O13" s="152">
        <f t="shared" si="5"/>
        <v>351793.66826201056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>
        <v>41760</v>
      </c>
      <c r="I14" s="152"/>
      <c r="J14" s="154"/>
      <c r="K14" s="154" t="s">
        <v>1923</v>
      </c>
      <c r="L14" s="227">
        <v>35919.879999999997</v>
      </c>
      <c r="M14" s="154" t="s">
        <v>1881</v>
      </c>
      <c r="N14" s="227">
        <f t="shared" si="4"/>
        <v>8502.6722620105065</v>
      </c>
      <c r="O14" s="152">
        <f t="shared" si="5"/>
        <v>315873.78826201055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>
        <v>41760</v>
      </c>
      <c r="I15" s="152"/>
      <c r="J15" s="154"/>
      <c r="K15" s="154" t="s">
        <v>1923</v>
      </c>
      <c r="L15" s="227">
        <v>3137.5</v>
      </c>
      <c r="M15" s="154" t="s">
        <v>1881</v>
      </c>
      <c r="N15" s="227">
        <f t="shared" ref="N15:N26" si="6">+N14-I15-L15</f>
        <v>5365.1722620105065</v>
      </c>
      <c r="O15" s="152">
        <f t="shared" ref="O15:O26" si="7">O14+G15-I15-L15</f>
        <v>312736.28826201055</v>
      </c>
    </row>
    <row r="16" spans="1:15" x14ac:dyDescent="0.15">
      <c r="A16" s="154"/>
      <c r="B16" s="151"/>
      <c r="C16" s="152"/>
      <c r="D16" s="323">
        <v>41761</v>
      </c>
      <c r="E16" s="155" t="s">
        <v>72</v>
      </c>
      <c r="F16" s="157" t="s">
        <v>1904</v>
      </c>
      <c r="G16" s="152">
        <v>43824.597000000002</v>
      </c>
      <c r="H16" s="323">
        <v>41761</v>
      </c>
      <c r="I16" s="152">
        <v>958.34</v>
      </c>
      <c r="J16" s="154" t="s">
        <v>1881</v>
      </c>
      <c r="K16" s="154" t="s">
        <v>1923</v>
      </c>
      <c r="L16" s="227">
        <v>4406.8322620105064</v>
      </c>
      <c r="M16" s="154" t="s">
        <v>1881</v>
      </c>
      <c r="N16" s="227">
        <f t="shared" si="6"/>
        <v>0</v>
      </c>
      <c r="O16" s="152">
        <f t="shared" si="7"/>
        <v>351195.71300000005</v>
      </c>
    </row>
    <row r="17" spans="1:15" x14ac:dyDescent="0.15">
      <c r="A17" s="154"/>
      <c r="B17" s="151"/>
      <c r="C17" s="152"/>
      <c r="D17" s="323"/>
      <c r="E17" s="155"/>
      <c r="F17" s="157"/>
      <c r="G17" s="152"/>
      <c r="H17" s="323">
        <v>41761</v>
      </c>
      <c r="I17" s="152"/>
      <c r="J17" s="154"/>
      <c r="K17" s="154" t="s">
        <v>1923</v>
      </c>
      <c r="L17" s="227">
        <v>8605.6877379894904</v>
      </c>
      <c r="M17" s="154" t="s">
        <v>1882</v>
      </c>
      <c r="N17" s="227">
        <f>C8+N16-I17-L17</f>
        <v>35293.615262010513</v>
      </c>
      <c r="O17" s="152">
        <f t="shared" si="7"/>
        <v>342590.02526201057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>
        <v>41761</v>
      </c>
      <c r="I18" s="152"/>
      <c r="J18" s="154"/>
      <c r="K18" s="154" t="s">
        <v>1923</v>
      </c>
      <c r="L18" s="227">
        <v>9323.89</v>
      </c>
      <c r="M18" s="154" t="s">
        <v>1882</v>
      </c>
      <c r="N18" s="227">
        <f t="shared" si="6"/>
        <v>25969.725262010514</v>
      </c>
      <c r="O18" s="152">
        <f t="shared" si="7"/>
        <v>333266.13526201056</v>
      </c>
    </row>
    <row r="19" spans="1:15" x14ac:dyDescent="0.15">
      <c r="A19" s="154"/>
      <c r="B19" s="151"/>
      <c r="C19" s="152"/>
      <c r="D19" s="323">
        <v>41762</v>
      </c>
      <c r="E19" s="155" t="s">
        <v>72</v>
      </c>
      <c r="F19" s="154" t="s">
        <v>1904</v>
      </c>
      <c r="G19" s="152">
        <v>43853.321000000004</v>
      </c>
      <c r="H19" s="323">
        <v>41762</v>
      </c>
      <c r="I19" s="152"/>
      <c r="J19" s="154"/>
      <c r="K19" s="154" t="s">
        <v>1923</v>
      </c>
      <c r="L19" s="227">
        <v>1227.8800000000001</v>
      </c>
      <c r="M19" s="154" t="s">
        <v>1882</v>
      </c>
      <c r="N19" s="227">
        <f t="shared" si="6"/>
        <v>24741.845262010513</v>
      </c>
      <c r="O19" s="152">
        <f t="shared" si="7"/>
        <v>375891.57626201055</v>
      </c>
    </row>
    <row r="20" spans="1:15" x14ac:dyDescent="0.15">
      <c r="A20" s="154"/>
      <c r="B20" s="151"/>
      <c r="C20" s="152"/>
      <c r="D20" s="323">
        <v>41762</v>
      </c>
      <c r="E20" s="155" t="s">
        <v>72</v>
      </c>
      <c r="F20" s="157" t="s">
        <v>1905</v>
      </c>
      <c r="G20" s="152">
        <v>43849.64</v>
      </c>
      <c r="H20" s="323">
        <v>41762</v>
      </c>
      <c r="I20" s="152"/>
      <c r="J20" s="154"/>
      <c r="K20" s="154" t="s">
        <v>1923</v>
      </c>
      <c r="L20" s="227">
        <v>24741.845262010513</v>
      </c>
      <c r="M20" s="154" t="s">
        <v>1882</v>
      </c>
      <c r="N20" s="227">
        <f t="shared" si="6"/>
        <v>0</v>
      </c>
      <c r="O20" s="152">
        <f t="shared" si="7"/>
        <v>394999.37100000004</v>
      </c>
    </row>
    <row r="21" spans="1:15" x14ac:dyDescent="0.15">
      <c r="A21" s="154"/>
      <c r="B21" s="151"/>
      <c r="C21" s="152"/>
      <c r="D21" s="323"/>
      <c r="E21" s="155"/>
      <c r="F21" s="157"/>
      <c r="G21" s="152"/>
      <c r="H21" s="323">
        <v>41762</v>
      </c>
      <c r="I21" s="152"/>
      <c r="J21" s="154"/>
      <c r="K21" s="154" t="s">
        <v>1923</v>
      </c>
      <c r="L21" s="227">
        <v>35843.474737989403</v>
      </c>
      <c r="M21" s="157" t="s">
        <v>1883</v>
      </c>
      <c r="N21" s="227">
        <f>C9+N20-I21-L21</f>
        <v>95857.191262010601</v>
      </c>
      <c r="O21" s="152">
        <f t="shared" ref="O21:O25" si="8">O20+G21-I21-L21</f>
        <v>359155.89626201062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41762</v>
      </c>
      <c r="I22" s="152"/>
      <c r="J22" s="154"/>
      <c r="K22" s="154" t="s">
        <v>1923</v>
      </c>
      <c r="L22" s="227">
        <v>1942.64</v>
      </c>
      <c r="M22" s="157" t="s">
        <v>1883</v>
      </c>
      <c r="N22" s="227">
        <f t="shared" ref="N22:N25" si="9">+N21-I22-L22</f>
        <v>93914.551262010602</v>
      </c>
      <c r="O22" s="152">
        <f t="shared" si="8"/>
        <v>357213.2562620106</v>
      </c>
    </row>
    <row r="23" spans="1:15" x14ac:dyDescent="0.15">
      <c r="A23" s="154"/>
      <c r="B23" s="151"/>
      <c r="C23" s="152"/>
      <c r="D23" s="323"/>
      <c r="E23" s="155"/>
      <c r="F23" s="157"/>
      <c r="G23" s="152"/>
      <c r="H23" s="323">
        <v>41763</v>
      </c>
      <c r="I23" s="152">
        <v>808.41</v>
      </c>
      <c r="J23" s="157" t="s">
        <v>1883</v>
      </c>
      <c r="K23" s="154" t="s">
        <v>1923</v>
      </c>
      <c r="L23" s="227">
        <v>1111.56</v>
      </c>
      <c r="M23" s="157" t="s">
        <v>1883</v>
      </c>
      <c r="N23" s="227">
        <f t="shared" si="9"/>
        <v>91994.581262010601</v>
      </c>
      <c r="O23" s="152">
        <f t="shared" si="8"/>
        <v>355293.28626201063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>
        <v>41764</v>
      </c>
      <c r="I24" s="152">
        <v>4185.32</v>
      </c>
      <c r="J24" s="157" t="s">
        <v>1883</v>
      </c>
      <c r="K24" s="154"/>
      <c r="L24" s="227"/>
      <c r="M24" s="154"/>
      <c r="N24" s="227">
        <f t="shared" si="9"/>
        <v>87809.261262010608</v>
      </c>
      <c r="O24" s="152">
        <f t="shared" si="8"/>
        <v>351107.96626201062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41766</v>
      </c>
      <c r="I25" s="152"/>
      <c r="J25" s="157"/>
      <c r="K25" s="154" t="s">
        <v>1923</v>
      </c>
      <c r="L25" s="227">
        <v>14811</v>
      </c>
      <c r="M25" s="157" t="s">
        <v>1883</v>
      </c>
      <c r="N25" s="227">
        <f t="shared" si="9"/>
        <v>72998.261262010608</v>
      </c>
      <c r="O25" s="152">
        <f t="shared" si="8"/>
        <v>336296.96626201062</v>
      </c>
    </row>
    <row r="26" spans="1:15" ht="12.75" customHeight="1" x14ac:dyDescent="0.15">
      <c r="A26" s="154"/>
      <c r="B26" s="151"/>
      <c r="C26" s="152"/>
      <c r="D26" s="323">
        <v>41768</v>
      </c>
      <c r="E26" s="155" t="s">
        <v>72</v>
      </c>
      <c r="F26" s="157" t="s">
        <v>1906</v>
      </c>
      <c r="G26" s="152">
        <v>43861.722999999998</v>
      </c>
      <c r="H26" s="323">
        <v>41768</v>
      </c>
      <c r="I26" s="152"/>
      <c r="J26" s="154"/>
      <c r="K26" s="154" t="s">
        <v>1923</v>
      </c>
      <c r="L26" s="227">
        <v>592</v>
      </c>
      <c r="M26" s="157" t="s">
        <v>1883</v>
      </c>
      <c r="N26" s="227">
        <f t="shared" si="6"/>
        <v>72406.261262010608</v>
      </c>
      <c r="O26" s="152">
        <f t="shared" si="7"/>
        <v>379566.68926201062</v>
      </c>
    </row>
    <row r="27" spans="1:15" ht="12.75" customHeight="1" x14ac:dyDescent="0.15">
      <c r="A27" s="154"/>
      <c r="B27" s="151"/>
      <c r="C27" s="152"/>
      <c r="D27" s="323"/>
      <c r="E27" s="154"/>
      <c r="F27" s="157"/>
      <c r="G27" s="152"/>
      <c r="H27" s="323">
        <v>41768</v>
      </c>
      <c r="I27" s="152"/>
      <c r="J27" s="154"/>
      <c r="K27" s="154" t="s">
        <v>1923</v>
      </c>
      <c r="L27" s="227">
        <v>1608</v>
      </c>
      <c r="M27" s="157" t="s">
        <v>1883</v>
      </c>
      <c r="N27" s="227">
        <f t="shared" si="4"/>
        <v>70798.261262010608</v>
      </c>
      <c r="O27" s="152">
        <f t="shared" si="5"/>
        <v>377958.68926201062</v>
      </c>
    </row>
    <row r="28" spans="1:15" x14ac:dyDescent="0.15">
      <c r="A28" s="154"/>
      <c r="B28" s="151"/>
      <c r="C28" s="152"/>
      <c r="D28" s="323"/>
      <c r="E28" s="155"/>
      <c r="F28" s="157"/>
      <c r="G28" s="152"/>
      <c r="H28" s="323">
        <v>41769</v>
      </c>
      <c r="I28" s="152"/>
      <c r="J28" s="154"/>
      <c r="K28" s="154" t="s">
        <v>1923</v>
      </c>
      <c r="L28" s="227">
        <v>779.39</v>
      </c>
      <c r="M28" s="157" t="s">
        <v>1883</v>
      </c>
      <c r="N28" s="227">
        <f t="shared" si="4"/>
        <v>70018.871262010609</v>
      </c>
      <c r="O28" s="152">
        <f t="shared" si="5"/>
        <v>377179.29926201061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>
        <v>41769</v>
      </c>
      <c r="I29" s="152"/>
      <c r="J29" s="154"/>
      <c r="K29" s="154" t="s">
        <v>1923</v>
      </c>
      <c r="L29" s="227">
        <v>37169.599999999999</v>
      </c>
      <c r="M29" s="157" t="s">
        <v>1883</v>
      </c>
      <c r="N29" s="227">
        <f t="shared" si="4"/>
        <v>32849.27126201061</v>
      </c>
      <c r="O29" s="152">
        <f t="shared" si="5"/>
        <v>340009.69926201063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>
        <v>41771</v>
      </c>
      <c r="I30" s="152">
        <v>577.36</v>
      </c>
      <c r="J30" s="157" t="s">
        <v>1883</v>
      </c>
      <c r="K30" s="154" t="s">
        <v>1923</v>
      </c>
      <c r="L30" s="227">
        <v>11380.29</v>
      </c>
      <c r="M30" s="157" t="s">
        <v>1883</v>
      </c>
      <c r="N30" s="227">
        <f t="shared" si="4"/>
        <v>20891.621262010609</v>
      </c>
      <c r="O30" s="152">
        <f t="shared" si="5"/>
        <v>328052.04926201067</v>
      </c>
    </row>
    <row r="31" spans="1:15" x14ac:dyDescent="0.15">
      <c r="A31" s="154"/>
      <c r="B31" s="151"/>
      <c r="C31" s="152"/>
      <c r="D31" s="323">
        <v>41772</v>
      </c>
      <c r="E31" s="155" t="s">
        <v>72</v>
      </c>
      <c r="F31" s="157" t="s">
        <v>1907</v>
      </c>
      <c r="G31" s="152">
        <v>43900.913999999997</v>
      </c>
      <c r="H31" s="323">
        <v>41772</v>
      </c>
      <c r="I31" s="152"/>
      <c r="J31" s="157"/>
      <c r="K31" s="154"/>
      <c r="L31" s="227"/>
      <c r="M31" s="157"/>
      <c r="N31" s="227">
        <f t="shared" si="4"/>
        <v>20891.621262010609</v>
      </c>
      <c r="O31" s="152">
        <f t="shared" si="5"/>
        <v>371952.96326201066</v>
      </c>
    </row>
    <row r="32" spans="1:15" x14ac:dyDescent="0.15">
      <c r="A32" s="154"/>
      <c r="B32" s="151"/>
      <c r="C32" s="152"/>
      <c r="D32" s="323">
        <v>41773</v>
      </c>
      <c r="E32" s="155" t="s">
        <v>72</v>
      </c>
      <c r="F32" s="157" t="s">
        <v>1907</v>
      </c>
      <c r="G32" s="152">
        <v>43887.02</v>
      </c>
      <c r="H32" s="323">
        <v>41773</v>
      </c>
      <c r="I32" s="152">
        <v>653</v>
      </c>
      <c r="J32" s="157" t="s">
        <v>1883</v>
      </c>
      <c r="K32" s="154"/>
      <c r="L32" s="227"/>
      <c r="M32" s="157"/>
      <c r="N32" s="227">
        <f t="shared" ref="N32:N37" si="10">+N31-I32-L32</f>
        <v>20238.621262010609</v>
      </c>
      <c r="O32" s="152">
        <f t="shared" ref="O32:O37" si="11">O31+G32-I32-L32</f>
        <v>415186.98326201068</v>
      </c>
    </row>
    <row r="33" spans="1:15" x14ac:dyDescent="0.15">
      <c r="A33" s="154"/>
      <c r="B33" s="151"/>
      <c r="C33" s="152"/>
      <c r="D33" s="323">
        <v>41774</v>
      </c>
      <c r="E33" s="155" t="s">
        <v>72</v>
      </c>
      <c r="F33" s="157" t="s">
        <v>1908</v>
      </c>
      <c r="G33" s="152">
        <v>43901.199000000001</v>
      </c>
      <c r="H33" s="323">
        <v>41774</v>
      </c>
      <c r="I33" s="152">
        <v>1829.96</v>
      </c>
      <c r="J33" s="157" t="s">
        <v>1883</v>
      </c>
      <c r="K33" s="154" t="s">
        <v>1923</v>
      </c>
      <c r="L33" s="227">
        <v>18408.66126201061</v>
      </c>
      <c r="M33" s="157" t="s">
        <v>1883</v>
      </c>
      <c r="N33" s="227">
        <f t="shared" si="10"/>
        <v>0</v>
      </c>
      <c r="O33" s="152">
        <f t="shared" si="11"/>
        <v>438849.56100000005</v>
      </c>
    </row>
    <row r="34" spans="1:15" x14ac:dyDescent="0.15">
      <c r="A34" s="154"/>
      <c r="B34" s="151"/>
      <c r="C34" s="152"/>
      <c r="D34" s="323"/>
      <c r="E34" s="155"/>
      <c r="F34" s="157"/>
      <c r="G34" s="152"/>
      <c r="H34" s="323">
        <v>41774</v>
      </c>
      <c r="I34" s="152"/>
      <c r="J34" s="157"/>
      <c r="K34" s="154" t="s">
        <v>1923</v>
      </c>
      <c r="L34" s="227">
        <v>25781.968737989399</v>
      </c>
      <c r="M34" s="154" t="s">
        <v>1884</v>
      </c>
      <c r="N34" s="227">
        <f>C10+N33-I34-L34</f>
        <v>62141.381262010604</v>
      </c>
      <c r="O34" s="152">
        <f t="shared" si="11"/>
        <v>413067.59226201067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>
        <v>41774</v>
      </c>
      <c r="I35" s="152"/>
      <c r="J35" s="157"/>
      <c r="K35" s="154" t="s">
        <v>1923</v>
      </c>
      <c r="L35" s="227">
        <v>13296.15</v>
      </c>
      <c r="M35" s="154" t="s">
        <v>1884</v>
      </c>
      <c r="N35" s="227">
        <f t="shared" si="10"/>
        <v>48845.231262010602</v>
      </c>
      <c r="O35" s="152">
        <f t="shared" si="11"/>
        <v>399771.44226201065</v>
      </c>
    </row>
    <row r="36" spans="1:15" x14ac:dyDescent="0.15">
      <c r="A36" s="154"/>
      <c r="B36" s="151"/>
      <c r="C36" s="152"/>
      <c r="D36" s="323"/>
      <c r="E36" s="155"/>
      <c r="F36" s="157"/>
      <c r="G36" s="152"/>
      <c r="H36" s="323">
        <v>41774</v>
      </c>
      <c r="I36" s="152"/>
      <c r="J36" s="157"/>
      <c r="K36" s="154" t="s">
        <v>1923</v>
      </c>
      <c r="L36" s="227">
        <v>499.29</v>
      </c>
      <c r="M36" s="154" t="s">
        <v>1884</v>
      </c>
      <c r="N36" s="227">
        <f t="shared" si="10"/>
        <v>48345.941262010601</v>
      </c>
      <c r="O36" s="152">
        <f t="shared" si="11"/>
        <v>399272.15226201067</v>
      </c>
    </row>
    <row r="37" spans="1:15" x14ac:dyDescent="0.15">
      <c r="A37" s="154"/>
      <c r="B37" s="151"/>
      <c r="C37" s="152"/>
      <c r="D37" s="323">
        <v>41775</v>
      </c>
      <c r="E37" s="155" t="s">
        <v>72</v>
      </c>
      <c r="F37" s="157" t="s">
        <v>1908</v>
      </c>
      <c r="G37" s="152">
        <v>43894.928999999996</v>
      </c>
      <c r="H37" s="323">
        <v>41775</v>
      </c>
      <c r="I37" s="152"/>
      <c r="J37" s="157"/>
      <c r="K37" s="154" t="s">
        <v>1923</v>
      </c>
      <c r="L37" s="227">
        <v>11671.84</v>
      </c>
      <c r="M37" s="154" t="s">
        <v>1884</v>
      </c>
      <c r="N37" s="227">
        <f t="shared" si="10"/>
        <v>36674.101262010605</v>
      </c>
      <c r="O37" s="152">
        <f t="shared" si="11"/>
        <v>431495.24126201065</v>
      </c>
    </row>
    <row r="38" spans="1:15" x14ac:dyDescent="0.15">
      <c r="A38" s="154"/>
      <c r="B38" s="151"/>
      <c r="C38" s="152"/>
      <c r="D38" s="323"/>
      <c r="E38" s="155"/>
      <c r="F38" s="157"/>
      <c r="G38" s="152"/>
      <c r="H38" s="323">
        <v>41775</v>
      </c>
      <c r="I38" s="152"/>
      <c r="J38" s="154"/>
      <c r="K38" s="154" t="s">
        <v>1923</v>
      </c>
      <c r="L38" s="227">
        <v>12560.3</v>
      </c>
      <c r="M38" s="154" t="s">
        <v>1884</v>
      </c>
      <c r="N38" s="227">
        <f t="shared" si="4"/>
        <v>24113.801262010606</v>
      </c>
      <c r="O38" s="152">
        <f t="shared" si="5"/>
        <v>418934.94126201066</v>
      </c>
    </row>
    <row r="39" spans="1:15" x14ac:dyDescent="0.15">
      <c r="A39" s="154"/>
      <c r="B39" s="151"/>
      <c r="C39" s="152"/>
      <c r="D39" s="323">
        <v>41776</v>
      </c>
      <c r="E39" s="155" t="s">
        <v>72</v>
      </c>
      <c r="F39" s="157" t="s">
        <v>1909</v>
      </c>
      <c r="G39" s="152">
        <v>43895.756000000001</v>
      </c>
      <c r="H39" s="323">
        <v>41776</v>
      </c>
      <c r="I39" s="152">
        <v>1063.1600000000001</v>
      </c>
      <c r="J39" s="154" t="s">
        <v>1884</v>
      </c>
      <c r="K39" s="154" t="s">
        <v>1923</v>
      </c>
      <c r="L39" s="227">
        <v>13597.51</v>
      </c>
      <c r="M39" s="154" t="s">
        <v>1884</v>
      </c>
      <c r="N39" s="227">
        <f t="shared" si="4"/>
        <v>9453.1312620106055</v>
      </c>
      <c r="O39" s="152">
        <f t="shared" si="5"/>
        <v>448170.02726201067</v>
      </c>
    </row>
    <row r="40" spans="1:15" x14ac:dyDescent="0.15">
      <c r="A40" s="154"/>
      <c r="B40" s="151"/>
      <c r="C40" s="152"/>
      <c r="D40" s="323"/>
      <c r="E40" s="155"/>
      <c r="F40" s="157"/>
      <c r="G40" s="152"/>
      <c r="H40" s="323">
        <v>41776</v>
      </c>
      <c r="I40" s="152"/>
      <c r="J40" s="154"/>
      <c r="K40" s="154" t="s">
        <v>1923</v>
      </c>
      <c r="L40" s="227">
        <v>9453.1312620106055</v>
      </c>
      <c r="M40" s="154" t="s">
        <v>1884</v>
      </c>
      <c r="N40" s="227">
        <f t="shared" ref="N40:N42" si="12">+N39-I40-L40</f>
        <v>0</v>
      </c>
      <c r="O40" s="152">
        <f t="shared" ref="O40:O42" si="13">O39+G40-I40-L40</f>
        <v>438716.89600000007</v>
      </c>
    </row>
    <row r="41" spans="1:15" x14ac:dyDescent="0.15">
      <c r="A41" s="154"/>
      <c r="B41" s="151"/>
      <c r="C41" s="152"/>
      <c r="D41" s="323"/>
      <c r="E41" s="155"/>
      <c r="F41" s="157"/>
      <c r="G41" s="152"/>
      <c r="H41" s="323">
        <v>41776</v>
      </c>
      <c r="I41" s="152"/>
      <c r="J41" s="154"/>
      <c r="K41" s="154" t="s">
        <v>1923</v>
      </c>
      <c r="L41" s="227">
        <v>3321.7987379893898</v>
      </c>
      <c r="M41" s="154" t="s">
        <v>1885</v>
      </c>
      <c r="N41" s="227">
        <f>C11+N40-I41-L41</f>
        <v>40525.998262010609</v>
      </c>
      <c r="O41" s="152">
        <f t="shared" si="13"/>
        <v>435395.09726201068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>
        <v>41776</v>
      </c>
      <c r="I42" s="152"/>
      <c r="J42" s="154"/>
      <c r="K42" s="154" t="s">
        <v>1923</v>
      </c>
      <c r="L42" s="227">
        <v>40040.82</v>
      </c>
      <c r="M42" s="154" t="s">
        <v>1885</v>
      </c>
      <c r="N42" s="227">
        <f t="shared" si="12"/>
        <v>485.17826201060961</v>
      </c>
      <c r="O42" s="152">
        <f t="shared" si="13"/>
        <v>395354.27726201067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>
        <v>41777</v>
      </c>
      <c r="I43" s="152">
        <v>485.17826201060961</v>
      </c>
      <c r="J43" s="154" t="s">
        <v>1885</v>
      </c>
      <c r="K43" s="154"/>
      <c r="L43" s="227"/>
      <c r="M43" s="157"/>
      <c r="N43" s="227">
        <f t="shared" ref="N43:N48" si="14">+N42-I43-L43</f>
        <v>0</v>
      </c>
      <c r="O43" s="152">
        <f t="shared" ref="O43:O48" si="15">O42+G43-I43-L43</f>
        <v>394869.09900000005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41777</v>
      </c>
      <c r="I44" s="152">
        <v>3101.6417379893901</v>
      </c>
      <c r="J44" s="157" t="s">
        <v>1904</v>
      </c>
      <c r="K44" s="154" t="s">
        <v>1924</v>
      </c>
      <c r="L44" s="227">
        <v>12965.1</v>
      </c>
      <c r="M44" s="157" t="s">
        <v>1904</v>
      </c>
      <c r="N44" s="227">
        <f>G16+G19+N43-I44-L44</f>
        <v>71611.176262010616</v>
      </c>
      <c r="O44" s="152">
        <f t="shared" si="15"/>
        <v>378802.35726201069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>
        <v>41777</v>
      </c>
      <c r="I45" s="152"/>
      <c r="J45" s="157"/>
      <c r="K45" s="154" t="s">
        <v>1924</v>
      </c>
      <c r="L45" s="227">
        <v>13121.01</v>
      </c>
      <c r="M45" s="157" t="s">
        <v>1904</v>
      </c>
      <c r="N45" s="227">
        <f t="shared" si="14"/>
        <v>58490.166262010614</v>
      </c>
      <c r="O45" s="152">
        <f t="shared" si="15"/>
        <v>365681.34726201068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41778</v>
      </c>
      <c r="I46" s="152"/>
      <c r="J46" s="157"/>
      <c r="K46" s="154" t="s">
        <v>1924</v>
      </c>
      <c r="L46" s="227">
        <v>13810.57</v>
      </c>
      <c r="M46" s="157" t="s">
        <v>1904</v>
      </c>
      <c r="N46" s="227">
        <f t="shared" si="14"/>
        <v>44679.596262010615</v>
      </c>
      <c r="O46" s="152">
        <f t="shared" si="15"/>
        <v>351870.77726201067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>
        <v>41778</v>
      </c>
      <c r="I47" s="152"/>
      <c r="J47" s="157"/>
      <c r="K47" s="154" t="s">
        <v>1924</v>
      </c>
      <c r="L47" s="227">
        <v>613.30999999999995</v>
      </c>
      <c r="M47" s="157" t="s">
        <v>1904</v>
      </c>
      <c r="N47" s="227">
        <f t="shared" si="14"/>
        <v>44066.286262010617</v>
      </c>
      <c r="O47" s="152">
        <f t="shared" si="15"/>
        <v>351257.46726201067</v>
      </c>
    </row>
    <row r="48" spans="1:15" x14ac:dyDescent="0.15">
      <c r="A48" s="154"/>
      <c r="B48" s="151"/>
      <c r="C48" s="152"/>
      <c r="D48" s="323">
        <v>41779</v>
      </c>
      <c r="E48" s="155" t="s">
        <v>72</v>
      </c>
      <c r="F48" s="157" t="s">
        <v>1909</v>
      </c>
      <c r="G48" s="152">
        <v>43764.451999999997</v>
      </c>
      <c r="H48" s="323">
        <v>41779</v>
      </c>
      <c r="I48" s="152">
        <v>1709.96</v>
      </c>
      <c r="J48" s="157" t="s">
        <v>1904</v>
      </c>
      <c r="K48" s="154" t="s">
        <v>1924</v>
      </c>
      <c r="L48" s="227">
        <v>12738.24</v>
      </c>
      <c r="M48" s="157" t="s">
        <v>1904</v>
      </c>
      <c r="N48" s="227">
        <f t="shared" si="14"/>
        <v>29618.08626201062</v>
      </c>
      <c r="O48" s="152">
        <f t="shared" si="15"/>
        <v>380573.71926201065</v>
      </c>
    </row>
    <row r="49" spans="1:15" x14ac:dyDescent="0.15">
      <c r="A49" s="154"/>
      <c r="B49" s="151"/>
      <c r="C49" s="152"/>
      <c r="D49" s="323">
        <v>41780</v>
      </c>
      <c r="E49" s="155" t="s">
        <v>72</v>
      </c>
      <c r="F49" s="157" t="s">
        <v>1909</v>
      </c>
      <c r="G49" s="152">
        <v>43911.057999999997</v>
      </c>
      <c r="H49" s="323">
        <v>41780</v>
      </c>
      <c r="I49" s="152">
        <v>669</v>
      </c>
      <c r="J49" s="157" t="s">
        <v>1904</v>
      </c>
      <c r="K49" s="154" t="s">
        <v>1924</v>
      </c>
      <c r="L49" s="227">
        <v>11026</v>
      </c>
      <c r="M49" s="157" t="s">
        <v>1904</v>
      </c>
      <c r="N49" s="227">
        <f t="shared" si="4"/>
        <v>17923.08626201062</v>
      </c>
      <c r="O49" s="152">
        <f t="shared" si="5"/>
        <v>412789.77726201067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41780</v>
      </c>
      <c r="I50" s="152"/>
      <c r="J50" s="154"/>
      <c r="K50" s="154" t="s">
        <v>1924</v>
      </c>
      <c r="L50" s="227">
        <v>12087</v>
      </c>
      <c r="M50" s="157" t="s">
        <v>1904</v>
      </c>
      <c r="N50" s="227">
        <f t="shared" si="4"/>
        <v>5836.08626201062</v>
      </c>
      <c r="O50" s="152">
        <f t="shared" si="5"/>
        <v>400702.77726201067</v>
      </c>
    </row>
    <row r="51" spans="1:15" x14ac:dyDescent="0.15">
      <c r="A51" s="154"/>
      <c r="B51" s="151"/>
      <c r="C51" s="152"/>
      <c r="D51" s="323">
        <v>41781</v>
      </c>
      <c r="E51" s="155" t="s">
        <v>72</v>
      </c>
      <c r="F51" s="157" t="s">
        <v>1909</v>
      </c>
      <c r="G51" s="152">
        <v>43792.633999999998</v>
      </c>
      <c r="H51" s="323">
        <v>41781</v>
      </c>
      <c r="I51" s="152">
        <v>5836.08626201062</v>
      </c>
      <c r="J51" s="157" t="s">
        <v>1904</v>
      </c>
      <c r="K51" s="154"/>
      <c r="L51" s="227"/>
      <c r="M51" s="157"/>
      <c r="N51" s="227">
        <f t="shared" ref="N51:N54" si="16">+N50-I51-L51</f>
        <v>0</v>
      </c>
      <c r="O51" s="152">
        <f t="shared" ref="O51:O54" si="17">O50+G51-I51-L51</f>
        <v>438659.32500000007</v>
      </c>
    </row>
    <row r="52" spans="1:15" x14ac:dyDescent="0.15">
      <c r="A52" s="154"/>
      <c r="B52" s="151"/>
      <c r="C52" s="152"/>
      <c r="D52" s="323"/>
      <c r="E52" s="155"/>
      <c r="F52" s="157"/>
      <c r="G52" s="152"/>
      <c r="H52" s="323">
        <v>41781</v>
      </c>
      <c r="I52" s="152">
        <v>1730.46373798938</v>
      </c>
      <c r="J52" s="157" t="s">
        <v>1905</v>
      </c>
      <c r="K52" s="154" t="s">
        <v>1923</v>
      </c>
      <c r="L52" s="227">
        <v>13173.98</v>
      </c>
      <c r="M52" s="157" t="s">
        <v>1905</v>
      </c>
      <c r="N52" s="227">
        <f>G20+N51-I52-L52</f>
        <v>28945.196262010617</v>
      </c>
      <c r="O52" s="152">
        <f t="shared" si="17"/>
        <v>423754.88126201072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>
        <v>41781</v>
      </c>
      <c r="I53" s="152"/>
      <c r="J53" s="157"/>
      <c r="K53" s="154" t="s">
        <v>1923</v>
      </c>
      <c r="L53" s="227">
        <v>11660.9</v>
      </c>
      <c r="M53" s="157" t="s">
        <v>1905</v>
      </c>
      <c r="N53" s="227">
        <f t="shared" si="16"/>
        <v>17284.296262010619</v>
      </c>
      <c r="O53" s="152">
        <f t="shared" si="17"/>
        <v>412093.9812620107</v>
      </c>
    </row>
    <row r="54" spans="1:15" x14ac:dyDescent="0.15">
      <c r="A54" s="154"/>
      <c r="B54" s="151"/>
      <c r="C54" s="152"/>
      <c r="D54" s="323">
        <v>41782</v>
      </c>
      <c r="E54" s="155" t="s">
        <v>72</v>
      </c>
      <c r="F54" s="157" t="s">
        <v>1910</v>
      </c>
      <c r="G54" s="152">
        <v>43916.853000000003</v>
      </c>
      <c r="H54" s="323">
        <v>41782</v>
      </c>
      <c r="I54" s="152">
        <v>3795.69</v>
      </c>
      <c r="J54" s="157" t="s">
        <v>1905</v>
      </c>
      <c r="K54" s="154" t="s">
        <v>1923</v>
      </c>
      <c r="L54" s="227">
        <v>11141.21</v>
      </c>
      <c r="M54" s="157" t="s">
        <v>1905</v>
      </c>
      <c r="N54" s="227">
        <f t="shared" si="16"/>
        <v>2347.3962620106195</v>
      </c>
      <c r="O54" s="152">
        <f t="shared" si="17"/>
        <v>441073.93426201068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>
        <v>41782</v>
      </c>
      <c r="I55" s="152"/>
      <c r="J55" s="157"/>
      <c r="K55" s="154" t="s">
        <v>1923</v>
      </c>
      <c r="L55" s="227">
        <v>2347.3962620106195</v>
      </c>
      <c r="M55" s="157" t="s">
        <v>1905</v>
      </c>
      <c r="N55" s="227">
        <f t="shared" ref="N55:N58" si="18">+N54-I55-L55</f>
        <v>0</v>
      </c>
      <c r="O55" s="152">
        <f t="shared" ref="O55:O59" si="19">O54+G55-I55-L55</f>
        <v>438726.53800000006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41782</v>
      </c>
      <c r="I56" s="152"/>
      <c r="J56" s="157"/>
      <c r="K56" s="154" t="s">
        <v>1923</v>
      </c>
      <c r="L56" s="227">
        <v>8966.7137379893793</v>
      </c>
      <c r="M56" s="157" t="s">
        <v>1906</v>
      </c>
      <c r="N56" s="227">
        <f>G26+N55-I56-L56</f>
        <v>34895.009262010615</v>
      </c>
      <c r="O56" s="152">
        <f t="shared" si="19"/>
        <v>429759.82426201069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41782</v>
      </c>
      <c r="I57" s="152"/>
      <c r="J57" s="154"/>
      <c r="K57" s="154" t="s">
        <v>1923</v>
      </c>
      <c r="L57" s="227">
        <v>33829.4</v>
      </c>
      <c r="M57" s="157" t="s">
        <v>1906</v>
      </c>
      <c r="N57" s="227">
        <f t="shared" si="18"/>
        <v>1065.6092620106137</v>
      </c>
      <c r="O57" s="152">
        <f t="shared" si="19"/>
        <v>395930.42426201067</v>
      </c>
    </row>
    <row r="58" spans="1:15" x14ac:dyDescent="0.15">
      <c r="A58" s="154"/>
      <c r="B58" s="151"/>
      <c r="C58" s="152"/>
      <c r="D58" s="323">
        <v>41783</v>
      </c>
      <c r="E58" s="155" t="s">
        <v>72</v>
      </c>
      <c r="F58" s="157" t="s">
        <v>1910</v>
      </c>
      <c r="G58" s="152">
        <v>43835.207000000002</v>
      </c>
      <c r="H58" s="323">
        <v>41783</v>
      </c>
      <c r="I58" s="152">
        <v>1065.6092620106137</v>
      </c>
      <c r="J58" s="157" t="s">
        <v>1906</v>
      </c>
      <c r="K58" s="154"/>
      <c r="L58" s="227"/>
      <c r="M58" s="157"/>
      <c r="N58" s="227">
        <f t="shared" si="18"/>
        <v>0</v>
      </c>
      <c r="O58" s="152">
        <f t="shared" si="19"/>
        <v>438700.02200000006</v>
      </c>
    </row>
    <row r="59" spans="1:15" x14ac:dyDescent="0.15">
      <c r="A59" s="154"/>
      <c r="B59" s="151"/>
      <c r="C59" s="152"/>
      <c r="D59" s="323"/>
      <c r="E59" s="155"/>
      <c r="F59" s="157"/>
      <c r="G59" s="152"/>
      <c r="H59" s="323">
        <v>41783</v>
      </c>
      <c r="I59" s="152">
        <v>1275.9607379893901</v>
      </c>
      <c r="J59" s="157" t="s">
        <v>1907</v>
      </c>
      <c r="K59" s="154" t="s">
        <v>1924</v>
      </c>
      <c r="L59" s="227">
        <v>12013.68</v>
      </c>
      <c r="M59" s="157" t="s">
        <v>1907</v>
      </c>
      <c r="N59" s="227">
        <f>G31+G32+N58-I59-L59</f>
        <v>74498.293262010615</v>
      </c>
      <c r="O59" s="152">
        <f t="shared" si="19"/>
        <v>425410.38126201066</v>
      </c>
    </row>
    <row r="60" spans="1:15" x14ac:dyDescent="0.15">
      <c r="A60" s="154"/>
      <c r="B60" s="151"/>
      <c r="C60" s="152"/>
      <c r="D60" s="323">
        <v>41784</v>
      </c>
      <c r="E60" s="155" t="s">
        <v>72</v>
      </c>
      <c r="F60" s="157" t="s">
        <v>1910</v>
      </c>
      <c r="G60" s="152">
        <v>43906.569000000003</v>
      </c>
      <c r="H60" s="323">
        <v>41784</v>
      </c>
      <c r="I60" s="152">
        <v>3181.06</v>
      </c>
      <c r="J60" s="157" t="s">
        <v>1907</v>
      </c>
      <c r="K60" s="154" t="s">
        <v>1924</v>
      </c>
      <c r="L60" s="227">
        <v>12775.22</v>
      </c>
      <c r="M60" s="157" t="s">
        <v>1907</v>
      </c>
      <c r="N60" s="227">
        <f t="shared" si="4"/>
        <v>58542.013262010616</v>
      </c>
      <c r="O60" s="152">
        <f t="shared" si="5"/>
        <v>453360.67026201071</v>
      </c>
    </row>
    <row r="61" spans="1:15" x14ac:dyDescent="0.15">
      <c r="A61" s="154"/>
      <c r="B61" s="151"/>
      <c r="C61" s="152"/>
      <c r="D61" s="323">
        <v>41785</v>
      </c>
      <c r="E61" s="155" t="s">
        <v>72</v>
      </c>
      <c r="F61" s="157" t="s">
        <v>1911</v>
      </c>
      <c r="G61" s="152">
        <v>43911.741999999998</v>
      </c>
      <c r="H61" s="323">
        <v>41785</v>
      </c>
      <c r="I61" s="152"/>
      <c r="J61" s="154"/>
      <c r="K61" s="154" t="s">
        <v>1924</v>
      </c>
      <c r="L61" s="227">
        <v>13258.03</v>
      </c>
      <c r="M61" s="157" t="s">
        <v>1907</v>
      </c>
      <c r="N61" s="227">
        <f t="shared" si="4"/>
        <v>45283.983262010617</v>
      </c>
      <c r="O61" s="152">
        <f t="shared" si="5"/>
        <v>484014.38226201071</v>
      </c>
    </row>
    <row r="62" spans="1:15" x14ac:dyDescent="0.15">
      <c r="A62" s="154"/>
      <c r="B62" s="151"/>
      <c r="C62" s="152"/>
      <c r="D62" s="323">
        <v>41786</v>
      </c>
      <c r="E62" s="155" t="s">
        <v>72</v>
      </c>
      <c r="F62" s="157" t="s">
        <v>1911</v>
      </c>
      <c r="G62" s="152">
        <v>43914.48</v>
      </c>
      <c r="H62" s="323">
        <v>41786</v>
      </c>
      <c r="I62" s="152"/>
      <c r="J62" s="157"/>
      <c r="K62" s="154" t="s">
        <v>1924</v>
      </c>
      <c r="L62" s="227">
        <v>13676.16</v>
      </c>
      <c r="M62" s="157" t="s">
        <v>1907</v>
      </c>
      <c r="N62" s="227">
        <f t="shared" si="4"/>
        <v>31607.823262010617</v>
      </c>
      <c r="O62" s="152">
        <f t="shared" si="5"/>
        <v>514252.70226201072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>
        <v>41786</v>
      </c>
      <c r="I63" s="152"/>
      <c r="J63" s="154"/>
      <c r="K63" s="154" t="s">
        <v>1924</v>
      </c>
      <c r="L63" s="227">
        <v>12110.68</v>
      </c>
      <c r="M63" s="157" t="s">
        <v>1907</v>
      </c>
      <c r="N63" s="227">
        <f t="shared" si="4"/>
        <v>19497.143262010617</v>
      </c>
      <c r="O63" s="152">
        <f t="shared" si="5"/>
        <v>502142.02226201072</v>
      </c>
    </row>
    <row r="64" spans="1:15" x14ac:dyDescent="0.15">
      <c r="A64" s="154"/>
      <c r="B64" s="151"/>
      <c r="C64" s="152"/>
      <c r="D64" s="323">
        <v>41787</v>
      </c>
      <c r="E64" s="155" t="s">
        <v>72</v>
      </c>
      <c r="F64" s="157" t="s">
        <v>1911</v>
      </c>
      <c r="G64" s="152">
        <v>43885.207999999999</v>
      </c>
      <c r="H64" s="323">
        <v>41787</v>
      </c>
      <c r="I64" s="152">
        <v>4880.68</v>
      </c>
      <c r="J64" s="157" t="s">
        <v>1907</v>
      </c>
      <c r="K64" s="154" t="s">
        <v>1924</v>
      </c>
      <c r="L64" s="227">
        <v>12599.33</v>
      </c>
      <c r="M64" s="157" t="s">
        <v>1907</v>
      </c>
      <c r="N64" s="227">
        <f t="shared" si="4"/>
        <v>2017.1332620106168</v>
      </c>
      <c r="O64" s="152">
        <f t="shared" si="5"/>
        <v>528547.2202620107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>
        <v>41787</v>
      </c>
      <c r="I65" s="152"/>
      <c r="J65" s="154"/>
      <c r="K65" s="154" t="s">
        <v>1924</v>
      </c>
      <c r="L65" s="227">
        <v>2017.1332620106168</v>
      </c>
      <c r="M65" s="157" t="s">
        <v>1907</v>
      </c>
      <c r="N65" s="227">
        <f t="shared" si="4"/>
        <v>0</v>
      </c>
      <c r="O65" s="152">
        <f t="shared" si="5"/>
        <v>526530.08700000006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>
        <v>41787</v>
      </c>
      <c r="I66" s="152"/>
      <c r="J66" s="154"/>
      <c r="K66" s="154" t="s">
        <v>1924</v>
      </c>
      <c r="L66" s="227">
        <v>11164.836737989401</v>
      </c>
      <c r="M66" s="157" t="s">
        <v>1908</v>
      </c>
      <c r="N66" s="227">
        <f>G33+G37+N65-I66-L66</f>
        <v>76631.291262010593</v>
      </c>
      <c r="O66" s="152">
        <f t="shared" si="5"/>
        <v>515365.25026201067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>
        <v>41788</v>
      </c>
      <c r="I67" s="152">
        <v>2400</v>
      </c>
      <c r="J67" s="157" t="s">
        <v>1908</v>
      </c>
      <c r="K67" s="154" t="s">
        <v>1924</v>
      </c>
      <c r="L67" s="227">
        <v>12810</v>
      </c>
      <c r="M67" s="157" t="s">
        <v>1908</v>
      </c>
      <c r="N67" s="227">
        <f t="shared" si="4"/>
        <v>61421.291262010593</v>
      </c>
      <c r="O67" s="152">
        <f t="shared" si="5"/>
        <v>500155.25026201067</v>
      </c>
    </row>
    <row r="68" spans="1:15" x14ac:dyDescent="0.15">
      <c r="A68" s="154"/>
      <c r="B68" s="151"/>
      <c r="C68" s="152"/>
      <c r="D68" s="323">
        <v>41789</v>
      </c>
      <c r="E68" s="155" t="s">
        <v>72</v>
      </c>
      <c r="F68" s="157" t="s">
        <v>1911</v>
      </c>
      <c r="G68" s="152">
        <v>43851.863999999987</v>
      </c>
      <c r="H68" s="323">
        <v>41789</v>
      </c>
      <c r="I68" s="152">
        <v>3449.9</v>
      </c>
      <c r="J68" s="157" t="s">
        <v>1908</v>
      </c>
      <c r="K68" s="154" t="s">
        <v>1924</v>
      </c>
      <c r="L68" s="227">
        <v>37297.279999999999</v>
      </c>
      <c r="M68" s="157" t="s">
        <v>1908</v>
      </c>
      <c r="N68" s="227">
        <f t="shared" si="4"/>
        <v>20674.111262010592</v>
      </c>
      <c r="O68" s="152">
        <f t="shared" si="5"/>
        <v>503259.93426201062</v>
      </c>
    </row>
    <row r="69" spans="1:15" x14ac:dyDescent="0.15">
      <c r="A69" s="154"/>
      <c r="B69" s="151"/>
      <c r="C69" s="152"/>
      <c r="D69" s="323">
        <v>41789</v>
      </c>
      <c r="E69" s="155" t="s">
        <v>72</v>
      </c>
      <c r="F69" s="157" t="s">
        <v>1912</v>
      </c>
      <c r="G69" s="152">
        <v>43839.588000000003</v>
      </c>
      <c r="H69" s="323">
        <v>41789</v>
      </c>
      <c r="I69" s="152"/>
      <c r="J69" s="157"/>
      <c r="K69" s="154" t="s">
        <v>1924</v>
      </c>
      <c r="L69" s="227">
        <v>12337.49</v>
      </c>
      <c r="M69" s="157" t="s">
        <v>1908</v>
      </c>
      <c r="N69" s="227">
        <f t="shared" si="4"/>
        <v>8336.6212620105925</v>
      </c>
      <c r="O69" s="152">
        <f t="shared" si="5"/>
        <v>534762.03226201062</v>
      </c>
    </row>
    <row r="70" spans="1:15" x14ac:dyDescent="0.15">
      <c r="A70" s="154"/>
      <c r="B70" s="151"/>
      <c r="C70" s="152"/>
      <c r="D70" s="323">
        <v>41790</v>
      </c>
      <c r="E70" s="155" t="s">
        <v>72</v>
      </c>
      <c r="F70" s="157" t="s">
        <v>1912</v>
      </c>
      <c r="G70" s="152">
        <v>43891.432000000001</v>
      </c>
      <c r="H70" s="323">
        <v>41790</v>
      </c>
      <c r="I70" s="152"/>
      <c r="J70" s="157"/>
      <c r="K70" s="154" t="s">
        <v>1924</v>
      </c>
      <c r="L70" s="227">
        <v>8336.6212620105925</v>
      </c>
      <c r="M70" s="157" t="s">
        <v>1908</v>
      </c>
      <c r="N70" s="227">
        <f t="shared" si="4"/>
        <v>0</v>
      </c>
      <c r="O70" s="152">
        <f t="shared" si="5"/>
        <v>570316.84300000011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>
        <v>41790</v>
      </c>
      <c r="I71" s="152"/>
      <c r="J71" s="157"/>
      <c r="K71" s="154" t="s">
        <v>1923</v>
      </c>
      <c r="L71" s="227">
        <v>4279.3787379894102</v>
      </c>
      <c r="M71" s="157" t="s">
        <v>1909</v>
      </c>
      <c r="N71" s="227">
        <f>G39+G48+G49+G51+N70-I71-L71</f>
        <v>171084.52126201059</v>
      </c>
      <c r="O71" s="152">
        <f t="shared" si="5"/>
        <v>566037.46426201065</v>
      </c>
    </row>
    <row r="72" spans="1:15" hidden="1" x14ac:dyDescent="0.15">
      <c r="A72" s="154"/>
      <c r="B72" s="151"/>
      <c r="C72" s="152"/>
      <c r="D72" s="323"/>
      <c r="E72" s="154"/>
      <c r="F72" s="157"/>
      <c r="G72" s="152"/>
      <c r="H72" s="323"/>
      <c r="I72" s="152"/>
      <c r="J72" s="154"/>
      <c r="K72" s="154"/>
      <c r="L72" s="227"/>
      <c r="M72" s="157"/>
      <c r="N72" s="227">
        <f t="shared" si="4"/>
        <v>171084.52126201059</v>
      </c>
      <c r="O72" s="152">
        <f t="shared" si="5"/>
        <v>566037.46426201065</v>
      </c>
    </row>
    <row r="73" spans="1:15" hidden="1" x14ac:dyDescent="0.15">
      <c r="A73" s="154"/>
      <c r="B73" s="151"/>
      <c r="C73" s="152"/>
      <c r="D73" s="323"/>
      <c r="E73" s="154"/>
      <c r="F73" s="157"/>
      <c r="G73" s="152"/>
      <c r="H73" s="323"/>
      <c r="I73" s="152"/>
      <c r="J73" s="157"/>
      <c r="K73" s="154"/>
      <c r="L73" s="227"/>
      <c r="M73" s="157"/>
      <c r="N73" s="227">
        <f t="shared" si="4"/>
        <v>171084.52126201059</v>
      </c>
      <c r="O73" s="152">
        <f t="shared" si="5"/>
        <v>566037.46426201065</v>
      </c>
    </row>
    <row r="74" spans="1:15" hidden="1" x14ac:dyDescent="0.15">
      <c r="A74" s="154"/>
      <c r="B74" s="151"/>
      <c r="C74" s="152"/>
      <c r="D74" s="323"/>
      <c r="E74" s="154"/>
      <c r="F74" s="157"/>
      <c r="G74" s="152"/>
      <c r="H74" s="323"/>
      <c r="I74" s="152"/>
      <c r="J74" s="157"/>
      <c r="K74" s="154"/>
      <c r="L74" s="227"/>
      <c r="M74" s="157"/>
      <c r="N74" s="227">
        <f t="shared" si="4"/>
        <v>171084.52126201059</v>
      </c>
      <c r="O74" s="152">
        <f t="shared" si="5"/>
        <v>566037.46426201065</v>
      </c>
    </row>
    <row r="75" spans="1:15" hidden="1" x14ac:dyDescent="0.15">
      <c r="A75" s="154"/>
      <c r="B75" s="151"/>
      <c r="C75" s="152"/>
      <c r="D75" s="323"/>
      <c r="E75" s="154"/>
      <c r="F75" s="157"/>
      <c r="G75" s="152"/>
      <c r="H75" s="323"/>
      <c r="I75" s="152"/>
      <c r="J75" s="157"/>
      <c r="K75" s="154"/>
      <c r="L75" s="227"/>
      <c r="M75" s="157"/>
      <c r="N75" s="227">
        <f t="shared" si="4"/>
        <v>171084.52126201059</v>
      </c>
      <c r="O75" s="152">
        <f t="shared" si="5"/>
        <v>566037.46426201065</v>
      </c>
    </row>
    <row r="76" spans="1:15" hidden="1" x14ac:dyDescent="0.15">
      <c r="A76" s="154"/>
      <c r="B76" s="151"/>
      <c r="C76" s="152"/>
      <c r="D76" s="323"/>
      <c r="E76" s="155"/>
      <c r="F76" s="157"/>
      <c r="G76" s="152"/>
      <c r="H76" s="323"/>
      <c r="I76" s="152"/>
      <c r="J76" s="157"/>
      <c r="K76" s="154"/>
      <c r="L76" s="227"/>
      <c r="M76" s="157"/>
      <c r="N76" s="227">
        <f t="shared" si="4"/>
        <v>171084.52126201059</v>
      </c>
      <c r="O76" s="152">
        <f t="shared" si="5"/>
        <v>566037.46426201065</v>
      </c>
    </row>
    <row r="77" spans="1:15" hidden="1" x14ac:dyDescent="0.15">
      <c r="A77" s="154"/>
      <c r="B77" s="151"/>
      <c r="C77" s="152"/>
      <c r="D77" s="323"/>
      <c r="E77" s="154"/>
      <c r="F77" s="157"/>
      <c r="G77" s="152"/>
      <c r="H77" s="323"/>
      <c r="I77" s="152"/>
      <c r="J77" s="157"/>
      <c r="K77" s="154"/>
      <c r="L77" s="227"/>
      <c r="M77" s="157"/>
      <c r="N77" s="227">
        <f t="shared" si="4"/>
        <v>171084.52126201059</v>
      </c>
      <c r="O77" s="152">
        <f t="shared" si="5"/>
        <v>566037.46426201065</v>
      </c>
    </row>
    <row r="78" spans="1:15" hidden="1" x14ac:dyDescent="0.15">
      <c r="A78" s="154"/>
      <c r="B78" s="151"/>
      <c r="C78" s="152"/>
      <c r="D78" s="323"/>
      <c r="E78" s="154"/>
      <c r="F78" s="157"/>
      <c r="G78" s="152"/>
      <c r="H78" s="323"/>
      <c r="I78" s="152"/>
      <c r="J78" s="154"/>
      <c r="K78" s="154"/>
      <c r="L78" s="227"/>
      <c r="M78" s="157"/>
      <c r="N78" s="227">
        <f t="shared" si="4"/>
        <v>171084.52126201059</v>
      </c>
      <c r="O78" s="152">
        <f t="shared" si="5"/>
        <v>566037.46426201065</v>
      </c>
    </row>
    <row r="79" spans="1:15" hidden="1" x14ac:dyDescent="0.15">
      <c r="A79" s="154"/>
      <c r="B79" s="151"/>
      <c r="C79" s="151"/>
      <c r="D79" s="323"/>
      <c r="E79" s="154"/>
      <c r="F79" s="157"/>
      <c r="G79" s="152"/>
      <c r="H79" s="323"/>
      <c r="I79" s="152"/>
      <c r="J79" s="154"/>
      <c r="K79" s="154"/>
      <c r="L79" s="227"/>
      <c r="M79" s="157"/>
      <c r="N79" s="227">
        <f t="shared" si="4"/>
        <v>171084.52126201059</v>
      </c>
      <c r="O79" s="152">
        <f t="shared" si="5"/>
        <v>566037.46426201065</v>
      </c>
    </row>
    <row r="80" spans="1:15" hidden="1" x14ac:dyDescent="0.15">
      <c r="A80" s="154"/>
      <c r="B80" s="151"/>
      <c r="C80" s="151"/>
      <c r="D80" s="323"/>
      <c r="E80" s="155"/>
      <c r="F80" s="157"/>
      <c r="G80" s="152"/>
      <c r="H80" s="323"/>
      <c r="I80" s="152"/>
      <c r="J80" s="154"/>
      <c r="K80" s="154"/>
      <c r="L80" s="227"/>
      <c r="M80" s="157"/>
      <c r="N80" s="227">
        <f t="shared" si="4"/>
        <v>171084.52126201059</v>
      </c>
      <c r="O80" s="152">
        <f t="shared" si="5"/>
        <v>566037.46426201065</v>
      </c>
    </row>
    <row r="81" spans="1:15" hidden="1" x14ac:dyDescent="0.15">
      <c r="A81" s="154"/>
      <c r="B81" s="151"/>
      <c r="C81" s="151"/>
      <c r="D81" s="323"/>
      <c r="E81" s="154"/>
      <c r="F81" s="160"/>
      <c r="G81" s="152"/>
      <c r="H81" s="323"/>
      <c r="I81" s="152"/>
      <c r="J81" s="157"/>
      <c r="K81" s="154"/>
      <c r="L81" s="227"/>
      <c r="M81" s="157"/>
      <c r="N81" s="227">
        <f t="shared" si="4"/>
        <v>171084.52126201059</v>
      </c>
      <c r="O81" s="152">
        <f t="shared" si="5"/>
        <v>566037.46426201065</v>
      </c>
    </row>
    <row r="82" spans="1:15" hidden="1" x14ac:dyDescent="0.15">
      <c r="A82" s="154"/>
      <c r="B82" s="151"/>
      <c r="C82" s="151"/>
      <c r="D82" s="323"/>
      <c r="E82" s="154"/>
      <c r="F82" s="160"/>
      <c r="G82" s="152"/>
      <c r="H82" s="323"/>
      <c r="I82" s="152"/>
      <c r="J82" s="150"/>
      <c r="K82" s="154"/>
      <c r="L82" s="227"/>
      <c r="M82" s="157"/>
      <c r="N82" s="227">
        <f t="shared" ref="N82:N83" si="20">+N81-I82-L82</f>
        <v>171084.52126201059</v>
      </c>
      <c r="O82" s="152">
        <f t="shared" ref="O82:O83" si="21">O81+G82-I82-L82</f>
        <v>566037.46426201065</v>
      </c>
    </row>
    <row r="83" spans="1:15" x14ac:dyDescent="0.15">
      <c r="A83" s="173"/>
      <c r="B83" s="173"/>
      <c r="C83" s="174"/>
      <c r="D83" s="323"/>
      <c r="E83" s="173"/>
      <c r="F83" s="173"/>
      <c r="G83" s="174"/>
      <c r="H83" s="323"/>
      <c r="I83" s="174"/>
      <c r="J83" s="173"/>
      <c r="K83" s="154"/>
      <c r="L83" s="228"/>
      <c r="M83" s="173"/>
      <c r="N83" s="227">
        <f t="shared" si="20"/>
        <v>171084.52126201059</v>
      </c>
      <c r="O83" s="152">
        <f t="shared" si="21"/>
        <v>566037.46426201065</v>
      </c>
    </row>
    <row r="84" spans="1:15" x14ac:dyDescent="0.15">
      <c r="A84" s="177"/>
      <c r="B84" s="177"/>
      <c r="C84" s="178">
        <f>SUM(C7:C82)</f>
        <v>359663.87826201052</v>
      </c>
      <c r="D84" s="177"/>
      <c r="E84" s="177"/>
      <c r="F84" s="177"/>
      <c r="G84" s="178">
        <f>SUM(G7:G83)</f>
        <v>921290.18599999999</v>
      </c>
      <c r="H84" s="179"/>
      <c r="I84" s="178">
        <f>SUM(I7:I83)</f>
        <v>49037.770000000004</v>
      </c>
      <c r="J84" s="177"/>
      <c r="K84" s="177"/>
      <c r="L84" s="178">
        <f>SUM(L7:L83)</f>
        <v>665878.83000000019</v>
      </c>
      <c r="M84" s="177"/>
      <c r="N84" s="180"/>
      <c r="O84" s="181">
        <f>C84+G84-I84-L84</f>
        <v>566037.46426201041</v>
      </c>
    </row>
    <row r="85" spans="1:15" x14ac:dyDescent="0.15">
      <c r="A85" s="182"/>
      <c r="B85" s="465"/>
      <c r="C85" s="465"/>
      <c r="D85" s="465"/>
      <c r="E85" s="183"/>
      <c r="F85" s="284"/>
      <c r="G85" s="185"/>
      <c r="H85" s="186"/>
      <c r="I85" s="187"/>
      <c r="J85" s="188"/>
      <c r="K85" s="189" t="s">
        <v>139</v>
      </c>
      <c r="L85" s="190">
        <f>+L84+I84</f>
        <v>714916.60000000021</v>
      </c>
      <c r="M85" s="197"/>
      <c r="N85" s="230">
        <f>+N83</f>
        <v>171084.52126201059</v>
      </c>
      <c r="O85" s="195" t="s">
        <v>1909</v>
      </c>
    </row>
    <row r="86" spans="1:15" x14ac:dyDescent="0.15">
      <c r="A86" s="193" t="s">
        <v>1881</v>
      </c>
      <c r="B86" s="131" t="s">
        <v>1901</v>
      </c>
      <c r="E86" s="183" t="s">
        <v>55</v>
      </c>
      <c r="F86" s="355">
        <v>4203068.18</v>
      </c>
      <c r="G86" s="219" t="s">
        <v>56</v>
      </c>
      <c r="H86" s="186">
        <v>41750</v>
      </c>
      <c r="I86" s="187" t="s">
        <v>71</v>
      </c>
      <c r="J86" s="210">
        <v>45953.432262010509</v>
      </c>
      <c r="K86" s="210"/>
      <c r="N86" s="230">
        <f>+G54+G58+G60</f>
        <v>131658.62900000002</v>
      </c>
      <c r="O86" s="195" t="str">
        <f>+F60</f>
        <v>GC 180514</v>
      </c>
    </row>
    <row r="87" spans="1:15" x14ac:dyDescent="0.15">
      <c r="A87" s="193" t="s">
        <v>1882</v>
      </c>
      <c r="B87" s="131" t="s">
        <v>1913</v>
      </c>
      <c r="E87" s="183" t="s">
        <v>55</v>
      </c>
      <c r="F87" s="355">
        <v>3260312.15</v>
      </c>
      <c r="G87" s="219" t="s">
        <v>56</v>
      </c>
      <c r="H87" s="186">
        <v>41751</v>
      </c>
      <c r="I87" s="187" t="s">
        <v>71</v>
      </c>
      <c r="J87" s="210">
        <v>43899.303</v>
      </c>
      <c r="K87" s="297"/>
      <c r="N87" s="230">
        <f>+G61+G62+G64+G68</f>
        <v>175563.29399999999</v>
      </c>
      <c r="O87" s="334" t="str">
        <f>+F68</f>
        <v>GC 210514</v>
      </c>
    </row>
    <row r="88" spans="1:15" x14ac:dyDescent="0.15">
      <c r="A88" s="193" t="s">
        <v>1883</v>
      </c>
      <c r="B88" s="131" t="s">
        <v>1914</v>
      </c>
      <c r="E88" s="183" t="s">
        <v>55</v>
      </c>
      <c r="F88" s="355">
        <v>592765.14</v>
      </c>
      <c r="G88" s="219" t="s">
        <v>56</v>
      </c>
      <c r="H88" s="186">
        <v>41753</v>
      </c>
      <c r="I88" s="187" t="s">
        <v>71</v>
      </c>
      <c r="J88" s="210">
        <v>123646.61600000001</v>
      </c>
      <c r="K88" s="333"/>
      <c r="N88" s="230">
        <f>+G69+G70</f>
        <v>87731.02</v>
      </c>
      <c r="O88" s="195" t="str">
        <f>+F69</f>
        <v>GC 240514</v>
      </c>
    </row>
    <row r="89" spans="1:15" x14ac:dyDescent="0.15">
      <c r="A89" s="193" t="s">
        <v>1884</v>
      </c>
      <c r="B89" s="131" t="s">
        <v>1915</v>
      </c>
      <c r="E89" s="183" t="s">
        <v>55</v>
      </c>
      <c r="F89" s="355">
        <v>2158939.1</v>
      </c>
      <c r="G89" s="219" t="s">
        <v>56</v>
      </c>
      <c r="H89" s="186">
        <v>41754</v>
      </c>
      <c r="I89" s="187" t="s">
        <v>71</v>
      </c>
      <c r="J89" s="210">
        <v>86860.19</v>
      </c>
      <c r="N89" s="230"/>
      <c r="O89" s="195"/>
    </row>
    <row r="90" spans="1:15" x14ac:dyDescent="0.15">
      <c r="A90" s="193" t="s">
        <v>1885</v>
      </c>
      <c r="B90" s="131" t="s">
        <v>1916</v>
      </c>
      <c r="E90" s="183" t="s">
        <v>55</v>
      </c>
      <c r="F90" s="355">
        <v>565195.29</v>
      </c>
      <c r="G90" s="219" t="s">
        <v>56</v>
      </c>
      <c r="H90" s="186">
        <v>41758</v>
      </c>
      <c r="I90" s="187" t="s">
        <v>71</v>
      </c>
      <c r="J90" s="210">
        <v>43362.618737989389</v>
      </c>
      <c r="K90" s="333"/>
      <c r="N90" s="230"/>
      <c r="O90" s="195"/>
    </row>
    <row r="91" spans="1:15" x14ac:dyDescent="0.15">
      <c r="A91" s="193" t="s">
        <v>1905</v>
      </c>
      <c r="B91" s="131" t="s">
        <v>1917</v>
      </c>
      <c r="E91" s="183" t="s">
        <v>55</v>
      </c>
      <c r="F91" s="356">
        <v>2152296.06</v>
      </c>
      <c r="G91" s="219" t="s">
        <v>56</v>
      </c>
      <c r="H91" s="186">
        <v>41771</v>
      </c>
      <c r="I91" s="187" t="s">
        <v>71</v>
      </c>
      <c r="J91" s="210">
        <v>38323.486262010614</v>
      </c>
      <c r="N91" s="230"/>
      <c r="O91" s="195"/>
    </row>
    <row r="92" spans="1:15" x14ac:dyDescent="0.15">
      <c r="A92" s="193" t="s">
        <v>1906</v>
      </c>
      <c r="B92" s="131" t="s">
        <v>1918</v>
      </c>
      <c r="E92" s="183" t="s">
        <v>55</v>
      </c>
      <c r="F92" s="356">
        <v>4225190.3499999996</v>
      </c>
      <c r="G92" s="219" t="s">
        <v>56</v>
      </c>
      <c r="H92" s="186">
        <v>41771</v>
      </c>
      <c r="I92" s="187" t="s">
        <v>71</v>
      </c>
      <c r="J92" s="210">
        <v>42796.113737989377</v>
      </c>
      <c r="N92" s="206" t="s">
        <v>33</v>
      </c>
      <c r="O92" s="207">
        <f>SUM(N85:N91)</f>
        <v>566037.46426201065</v>
      </c>
    </row>
    <row r="93" spans="1:15" x14ac:dyDescent="0.15">
      <c r="A93" s="193" t="s">
        <v>1909</v>
      </c>
      <c r="B93" s="131" t="s">
        <v>1919</v>
      </c>
      <c r="E93" s="183" t="s">
        <v>55</v>
      </c>
      <c r="F93" s="356">
        <v>2139707.6800000002</v>
      </c>
      <c r="G93" s="219" t="s">
        <v>56</v>
      </c>
      <c r="H93" s="186">
        <v>41780</v>
      </c>
      <c r="I93" s="187" t="s">
        <v>71</v>
      </c>
      <c r="J93" s="210">
        <v>4279.3787379894102</v>
      </c>
      <c r="K93" s="297"/>
      <c r="O93" s="190">
        <f>+O84-O92</f>
        <v>0</v>
      </c>
    </row>
    <row r="94" spans="1:15" s="132" customFormat="1" ht="12" thickBot="1" x14ac:dyDescent="0.2">
      <c r="A94" s="133"/>
      <c r="B94" s="353"/>
      <c r="C94" s="353"/>
      <c r="D94" s="353"/>
      <c r="E94" s="183"/>
      <c r="F94" s="354"/>
      <c r="G94" s="219"/>
      <c r="H94" s="186"/>
      <c r="I94" s="217" t="s">
        <v>856</v>
      </c>
      <c r="J94" s="211">
        <f>SUM(J86:J93)</f>
        <v>429121.13873798936</v>
      </c>
      <c r="K94" s="333"/>
      <c r="M94" s="134"/>
    </row>
    <row r="95" spans="1:15" s="132" customFormat="1" ht="12" thickTop="1" x14ac:dyDescent="0.15">
      <c r="A95" s="133" t="s">
        <v>1904</v>
      </c>
      <c r="B95" s="131" t="s">
        <v>1920</v>
      </c>
      <c r="D95" s="133"/>
      <c r="E95" s="183" t="s">
        <v>55</v>
      </c>
      <c r="F95" s="356">
        <v>23553261.59</v>
      </c>
      <c r="G95" s="219" t="s">
        <v>56</v>
      </c>
      <c r="H95" s="186">
        <v>41765</v>
      </c>
      <c r="I95" s="187" t="s">
        <v>71</v>
      </c>
      <c r="J95" s="210">
        <v>76361.23</v>
      </c>
      <c r="K95" s="133"/>
      <c r="M95" s="134"/>
    </row>
    <row r="96" spans="1:15" s="132" customFormat="1" x14ac:dyDescent="0.15">
      <c r="A96" s="133" t="s">
        <v>1907</v>
      </c>
      <c r="B96" s="131" t="s">
        <v>1921</v>
      </c>
      <c r="D96" s="133"/>
      <c r="E96" s="183" t="s">
        <v>55</v>
      </c>
      <c r="F96" s="356">
        <v>91095505.409999996</v>
      </c>
      <c r="G96" s="219" t="s">
        <v>56</v>
      </c>
      <c r="H96" s="186">
        <v>41774</v>
      </c>
      <c r="I96" s="187" t="s">
        <v>71</v>
      </c>
      <c r="J96" s="210">
        <v>78450.233262010603</v>
      </c>
      <c r="K96" s="133"/>
      <c r="M96" s="134"/>
    </row>
    <row r="97" spans="1:13" s="132" customFormat="1" x14ac:dyDescent="0.15">
      <c r="A97" s="133" t="s">
        <v>1908</v>
      </c>
      <c r="B97" s="131" t="s">
        <v>1922</v>
      </c>
      <c r="D97" s="133"/>
      <c r="E97" s="183" t="s">
        <v>55</v>
      </c>
      <c r="F97" s="356">
        <v>36724785.689999998</v>
      </c>
      <c r="G97" s="219" t="s">
        <v>56</v>
      </c>
      <c r="H97" s="186">
        <v>41778</v>
      </c>
      <c r="I97" s="187" t="s">
        <v>71</v>
      </c>
      <c r="J97" s="210">
        <v>81946.228000000003</v>
      </c>
      <c r="K97" s="133"/>
      <c r="M97" s="134"/>
    </row>
    <row r="98" spans="1:13" s="132" customFormat="1" ht="12" thickBot="1" x14ac:dyDescent="0.2">
      <c r="A98" s="193"/>
      <c r="B98" s="210"/>
      <c r="C98" s="221"/>
      <c r="D98" s="237"/>
      <c r="E98" s="235"/>
      <c r="F98" s="235"/>
      <c r="H98" s="133"/>
      <c r="I98" s="218" t="s">
        <v>106</v>
      </c>
      <c r="J98" s="212">
        <f>SUM(J95:J97)</f>
        <v>236757.6912620106</v>
      </c>
      <c r="K98" s="133"/>
      <c r="M98" s="134"/>
    </row>
    <row r="99" spans="1:13" s="132" customFormat="1" ht="12" thickTop="1" x14ac:dyDescent="0.15">
      <c r="A99" s="133"/>
      <c r="B99" s="133" t="s">
        <v>9</v>
      </c>
      <c r="C99" s="220" t="s">
        <v>729</v>
      </c>
      <c r="D99" s="220" t="s">
        <v>850</v>
      </c>
      <c r="E99" s="133" t="s">
        <v>570</v>
      </c>
      <c r="F99" s="133" t="s">
        <v>571</v>
      </c>
      <c r="G99" s="133" t="s">
        <v>16</v>
      </c>
      <c r="H99" s="134"/>
      <c r="J99" s="205"/>
      <c r="K99" s="133"/>
      <c r="M99" s="134"/>
    </row>
    <row r="100" spans="1:13" s="132" customFormat="1" x14ac:dyDescent="0.15">
      <c r="A100" s="193" t="s">
        <v>1881</v>
      </c>
      <c r="B100" s="210">
        <v>45953</v>
      </c>
      <c r="C100" s="221">
        <v>24.393999999999998</v>
      </c>
      <c r="D100" s="237">
        <f t="shared" ref="D100:D107" si="22">+B100*C100</f>
        <v>1120977.4819999998</v>
      </c>
      <c r="E100" s="235">
        <f t="shared" ref="E100:E107" si="23">+D100*0.01</f>
        <v>11209.774819999999</v>
      </c>
      <c r="F100" s="235">
        <f t="shared" ref="F100:F107" si="24">+E100*0.1</f>
        <v>1120.977482</v>
      </c>
      <c r="G100" s="236">
        <f t="shared" ref="G100:G107" si="25">SUM(E100:F100)</f>
        <v>12330.752301999999</v>
      </c>
      <c r="H100" s="134"/>
      <c r="J100" s="205"/>
      <c r="K100" s="133"/>
      <c r="M100" s="134"/>
    </row>
    <row r="101" spans="1:13" s="132" customFormat="1" x14ac:dyDescent="0.15">
      <c r="A101" s="193" t="s">
        <v>1882</v>
      </c>
      <c r="B101" s="210">
        <v>43899</v>
      </c>
      <c r="C101" s="221">
        <v>24.578199999999999</v>
      </c>
      <c r="D101" s="237">
        <f t="shared" si="22"/>
        <v>1078958.4017999999</v>
      </c>
      <c r="E101" s="235">
        <f t="shared" si="23"/>
        <v>10789.584018</v>
      </c>
      <c r="F101" s="235">
        <f t="shared" si="24"/>
        <v>1078.9584018</v>
      </c>
      <c r="G101" s="236">
        <f t="shared" si="25"/>
        <v>11868.5424198</v>
      </c>
      <c r="H101" s="133"/>
      <c r="J101" s="205"/>
      <c r="K101" s="133"/>
      <c r="M101" s="134"/>
    </row>
    <row r="102" spans="1:13" s="132" customFormat="1" x14ac:dyDescent="0.15">
      <c r="A102" s="193" t="s">
        <v>1883</v>
      </c>
      <c r="B102" s="210">
        <v>123647</v>
      </c>
      <c r="C102" s="221">
        <v>24.661999999999999</v>
      </c>
      <c r="D102" s="237">
        <f t="shared" si="22"/>
        <v>3049382.3139999998</v>
      </c>
      <c r="E102" s="235">
        <f t="shared" si="23"/>
        <v>30493.823139999997</v>
      </c>
      <c r="F102" s="235">
        <f t="shared" si="24"/>
        <v>3049.382314</v>
      </c>
      <c r="G102" s="236">
        <f t="shared" si="25"/>
        <v>33543.205453999995</v>
      </c>
      <c r="H102" s="133"/>
      <c r="J102" s="205"/>
      <c r="K102" s="133"/>
      <c r="M102" s="134"/>
    </row>
    <row r="103" spans="1:13" s="132" customFormat="1" x14ac:dyDescent="0.15">
      <c r="A103" s="193" t="s">
        <v>1884</v>
      </c>
      <c r="B103" s="210">
        <v>86860</v>
      </c>
      <c r="C103" s="221">
        <v>24.866199999999999</v>
      </c>
      <c r="D103" s="237">
        <f t="shared" si="22"/>
        <v>2159878.1319999998</v>
      </c>
      <c r="E103" s="235">
        <f t="shared" si="23"/>
        <v>21598.781319999998</v>
      </c>
      <c r="F103" s="235">
        <f t="shared" si="24"/>
        <v>2159.8781319999998</v>
      </c>
      <c r="G103" s="236">
        <f t="shared" si="25"/>
        <v>23758.659452</v>
      </c>
      <c r="H103" s="134"/>
      <c r="J103" s="205"/>
      <c r="K103" s="133"/>
      <c r="M103" s="134"/>
    </row>
    <row r="104" spans="1:13" s="132" customFormat="1" x14ac:dyDescent="0.15">
      <c r="A104" s="193" t="s">
        <v>1885</v>
      </c>
      <c r="B104" s="210">
        <v>43363</v>
      </c>
      <c r="C104" s="221">
        <v>24.9346</v>
      </c>
      <c r="D104" s="237">
        <f t="shared" si="22"/>
        <v>1081239.0597999999</v>
      </c>
      <c r="E104" s="235">
        <f t="shared" si="23"/>
        <v>10812.390598</v>
      </c>
      <c r="F104" s="235">
        <f t="shared" si="24"/>
        <v>1081.2390597999999</v>
      </c>
      <c r="G104" s="236">
        <f t="shared" si="25"/>
        <v>11893.6296578</v>
      </c>
      <c r="H104" s="133"/>
      <c r="J104" s="205"/>
      <c r="K104" s="133"/>
      <c r="M104" s="134"/>
    </row>
    <row r="105" spans="1:13" s="132" customFormat="1" x14ac:dyDescent="0.15">
      <c r="A105" s="193" t="s">
        <v>1905</v>
      </c>
      <c r="B105" s="210">
        <v>38323</v>
      </c>
      <c r="C105" s="221">
        <v>24.768899999999999</v>
      </c>
      <c r="D105" s="237">
        <f t="shared" si="22"/>
        <v>949218.55469999998</v>
      </c>
      <c r="E105" s="235">
        <f t="shared" si="23"/>
        <v>9492.1855469999991</v>
      </c>
      <c r="F105" s="235">
        <f t="shared" si="24"/>
        <v>949.21855469999991</v>
      </c>
      <c r="G105" s="236">
        <f t="shared" si="25"/>
        <v>10441.404101699998</v>
      </c>
      <c r="H105" s="133"/>
      <c r="I105" s="134"/>
      <c r="J105" s="205"/>
      <c r="K105" s="133"/>
      <c r="M105" s="134"/>
    </row>
    <row r="106" spans="1:13" s="132" customFormat="1" x14ac:dyDescent="0.15">
      <c r="A106" s="193" t="s">
        <v>1906</v>
      </c>
      <c r="B106" s="210">
        <v>42796</v>
      </c>
      <c r="C106" s="221">
        <v>24.671600000000002</v>
      </c>
      <c r="D106" s="237">
        <f t="shared" si="22"/>
        <v>1055845.7936</v>
      </c>
      <c r="E106" s="235">
        <f t="shared" si="23"/>
        <v>10558.457936000001</v>
      </c>
      <c r="F106" s="235">
        <f t="shared" si="24"/>
        <v>1055.8457936000002</v>
      </c>
      <c r="G106" s="236">
        <f t="shared" si="25"/>
        <v>11614.3037296</v>
      </c>
      <c r="H106" s="134"/>
      <c r="I106" s="134"/>
      <c r="J106" s="134"/>
      <c r="K106" s="133"/>
      <c r="M106" s="134"/>
    </row>
    <row r="107" spans="1:13" s="132" customFormat="1" x14ac:dyDescent="0.15">
      <c r="A107" s="193" t="s">
        <v>1909</v>
      </c>
      <c r="B107" s="210">
        <v>4279</v>
      </c>
      <c r="C107" s="221">
        <v>24.8352</v>
      </c>
      <c r="D107" s="237">
        <f t="shared" si="22"/>
        <v>106269.8208</v>
      </c>
      <c r="E107" s="235">
        <f t="shared" si="23"/>
        <v>1062.698208</v>
      </c>
      <c r="F107" s="235">
        <f t="shared" si="24"/>
        <v>106.26982080000001</v>
      </c>
      <c r="G107" s="236">
        <f t="shared" si="25"/>
        <v>1168.9680288</v>
      </c>
      <c r="H107" s="133"/>
      <c r="J107" s="134"/>
      <c r="K107" s="133"/>
      <c r="M107" s="134"/>
    </row>
    <row r="108" spans="1:13" s="132" customFormat="1" ht="12" thickBot="1" x14ac:dyDescent="0.2">
      <c r="A108" s="133"/>
      <c r="B108" s="211">
        <f>SUM(B100:B107)</f>
        <v>429120</v>
      </c>
      <c r="C108" s="221"/>
      <c r="D108" s="237"/>
      <c r="E108" s="242">
        <f>SUM(E94:E107)</f>
        <v>106017.69558699999</v>
      </c>
      <c r="F108" s="242">
        <f>SUM(F94:F107)</f>
        <v>151384154.4595587</v>
      </c>
      <c r="G108" s="242">
        <f>SUM(G94:G107)</f>
        <v>116619.46514569999</v>
      </c>
      <c r="H108" s="133"/>
      <c r="J108" s="134"/>
      <c r="K108" s="133"/>
      <c r="M108" s="134"/>
    </row>
    <row r="109" spans="1:13" ht="12" thickTop="1" x14ac:dyDescent="0.15">
      <c r="A109" s="133" t="s">
        <v>1904</v>
      </c>
      <c r="B109" s="210">
        <v>76361</v>
      </c>
      <c r="C109" s="221">
        <v>25.2379</v>
      </c>
      <c r="D109" s="237">
        <f t="shared" ref="D109:D111" si="26">+B109*C109</f>
        <v>1927191.2819000001</v>
      </c>
      <c r="E109" s="235">
        <f t="shared" ref="E109:E111" si="27">+D109*0.01</f>
        <v>19271.912819000001</v>
      </c>
      <c r="F109" s="235">
        <f t="shared" ref="F109:F111" si="28">+E109*0.1</f>
        <v>1927.1912819000001</v>
      </c>
      <c r="G109" s="236">
        <f>SUM(E109:F109)</f>
        <v>21199.1041009</v>
      </c>
    </row>
    <row r="110" spans="1:13" x14ac:dyDescent="0.15">
      <c r="A110" s="133" t="s">
        <v>1907</v>
      </c>
      <c r="B110" s="210">
        <v>78450</v>
      </c>
      <c r="C110" s="221">
        <v>24.799800000000001</v>
      </c>
      <c r="D110" s="237">
        <f t="shared" si="26"/>
        <v>1945544.31</v>
      </c>
      <c r="E110" s="235">
        <f t="shared" si="27"/>
        <v>19455.4431</v>
      </c>
      <c r="F110" s="235">
        <f t="shared" si="28"/>
        <v>1945.5443100000002</v>
      </c>
      <c r="G110" s="236">
        <f>SUM(E110:F110)</f>
        <v>21400.987410000002</v>
      </c>
    </row>
    <row r="111" spans="1:13" x14ac:dyDescent="0.15">
      <c r="A111" s="133" t="s">
        <v>1908</v>
      </c>
      <c r="B111" s="210">
        <v>81946</v>
      </c>
      <c r="C111" s="221">
        <v>24.831199999999999</v>
      </c>
      <c r="D111" s="237">
        <f t="shared" si="26"/>
        <v>2034817.5152</v>
      </c>
      <c r="E111" s="235">
        <f t="shared" si="27"/>
        <v>20348.175152</v>
      </c>
      <c r="F111" s="235">
        <f t="shared" si="28"/>
        <v>2034.8175152000001</v>
      </c>
      <c r="G111" s="236">
        <f>SUM(E111:F111)</f>
        <v>22382.9926672</v>
      </c>
    </row>
    <row r="112" spans="1:13" ht="12" thickBot="1" x14ac:dyDescent="0.2">
      <c r="A112" s="133"/>
      <c r="B112" s="211">
        <f>SUM(B109:B111)</f>
        <v>236757</v>
      </c>
      <c r="C112" s="221"/>
      <c r="D112" s="237"/>
      <c r="E112" s="242">
        <f>SUM(E109:E111)</f>
        <v>59075.531071000005</v>
      </c>
      <c r="F112" s="242">
        <f t="shared" ref="F112:G112" si="29">SUM(F109:F111)</f>
        <v>5907.5531071000005</v>
      </c>
      <c r="G112" s="242">
        <f t="shared" si="29"/>
        <v>64983.084178100005</v>
      </c>
    </row>
    <row r="113" spans="1:15" s="132" customFormat="1" ht="12" thickTop="1" x14ac:dyDescent="0.15">
      <c r="A113" s="247"/>
      <c r="B113" s="131"/>
      <c r="D113" s="133"/>
      <c r="E113" s="183"/>
      <c r="F113" s="355"/>
      <c r="G113" s="219"/>
      <c r="H113" s="133"/>
      <c r="J113" s="134"/>
      <c r="K113" s="133"/>
      <c r="M113" s="134"/>
    </row>
    <row r="114" spans="1:15" s="133" customFormat="1" x14ac:dyDescent="0.15">
      <c r="A114" s="188"/>
      <c r="B114" s="131"/>
      <c r="C114" s="132"/>
      <c r="E114" s="183"/>
      <c r="F114" s="355"/>
      <c r="G114" s="219"/>
      <c r="I114" s="132"/>
      <c r="J114" s="134"/>
      <c r="L114" s="132"/>
      <c r="M114" s="134"/>
      <c r="N114" s="132"/>
      <c r="O114" s="132"/>
    </row>
    <row r="115" spans="1:15" s="133" customFormat="1" x14ac:dyDescent="0.15">
      <c r="A115" s="247"/>
      <c r="B115" s="131"/>
      <c r="C115" s="132"/>
      <c r="E115" s="183"/>
      <c r="F115" s="355"/>
      <c r="G115" s="219"/>
      <c r="H115" s="186"/>
      <c r="I115" s="132"/>
      <c r="J115" s="134"/>
      <c r="L115" s="132"/>
      <c r="M115" s="134"/>
      <c r="N115" s="132"/>
      <c r="O115" s="132"/>
    </row>
    <row r="116" spans="1:15" s="133" customFormat="1" x14ac:dyDescent="0.15">
      <c r="A116" s="247"/>
      <c r="B116" s="131"/>
      <c r="C116" s="132"/>
      <c r="E116" s="183"/>
      <c r="F116" s="355"/>
      <c r="G116" s="219"/>
      <c r="H116" s="186"/>
      <c r="I116" s="132"/>
      <c r="J116" s="134"/>
      <c r="L116" s="132"/>
      <c r="M116" s="134"/>
      <c r="N116" s="132"/>
      <c r="O116" s="132"/>
    </row>
    <row r="117" spans="1:15" s="133" customFormat="1" x14ac:dyDescent="0.15">
      <c r="A117" s="247"/>
      <c r="B117" s="131"/>
      <c r="C117" s="132"/>
      <c r="E117" s="183"/>
      <c r="F117" s="355"/>
      <c r="G117" s="219"/>
      <c r="H117" s="186"/>
      <c r="I117" s="132"/>
      <c r="J117" s="134"/>
      <c r="L117" s="132"/>
      <c r="M117" s="134"/>
      <c r="N117" s="132"/>
      <c r="O117" s="132"/>
    </row>
    <row r="118" spans="1:15" s="133" customFormat="1" x14ac:dyDescent="0.15">
      <c r="A118" s="247"/>
      <c r="B118" s="131"/>
      <c r="C118" s="132"/>
      <c r="E118" s="183"/>
      <c r="F118" s="355"/>
      <c r="G118" s="219"/>
      <c r="H118" s="186"/>
      <c r="I118" s="132"/>
      <c r="J118" s="134"/>
      <c r="L118" s="132"/>
      <c r="M118" s="134"/>
      <c r="N118" s="132"/>
      <c r="O118" s="132"/>
    </row>
    <row r="119" spans="1:15" s="133" customFormat="1" x14ac:dyDescent="0.15">
      <c r="A119" s="247"/>
      <c r="B119" s="131"/>
      <c r="C119" s="132"/>
      <c r="E119" s="183"/>
      <c r="F119" s="355"/>
      <c r="G119" s="219"/>
      <c r="H119" s="186"/>
      <c r="I119" s="132"/>
      <c r="J119" s="134"/>
      <c r="L119" s="132"/>
      <c r="M119" s="134"/>
      <c r="N119" s="132"/>
      <c r="O119" s="132"/>
    </row>
    <row r="120" spans="1:15" x14ac:dyDescent="0.15">
      <c r="A120" s="247"/>
      <c r="E120" s="183"/>
      <c r="F120" s="355"/>
      <c r="G120" s="219"/>
      <c r="H120" s="186"/>
    </row>
    <row r="121" spans="1:15" s="132" customFormat="1" x14ac:dyDescent="0.15">
      <c r="A121" s="247"/>
      <c r="B121" s="131"/>
      <c r="D121" s="133"/>
      <c r="E121" s="183"/>
      <c r="F121" s="355"/>
      <c r="G121" s="219"/>
      <c r="H121" s="186"/>
      <c r="J121" s="134"/>
      <c r="K121" s="133"/>
      <c r="M121" s="134"/>
    </row>
    <row r="122" spans="1:15" s="132" customFormat="1" x14ac:dyDescent="0.15">
      <c r="A122" s="247"/>
      <c r="B122" s="131"/>
      <c r="D122" s="133"/>
      <c r="E122" s="183"/>
      <c r="F122" s="355"/>
      <c r="G122" s="219"/>
      <c r="H122" s="186"/>
      <c r="J122" s="134"/>
      <c r="K122" s="133"/>
      <c r="M122" s="134"/>
    </row>
    <row r="123" spans="1:15" s="132" customFormat="1" x14ac:dyDescent="0.15">
      <c r="A123" s="349"/>
      <c r="B123" s="131"/>
      <c r="D123" s="133"/>
      <c r="E123" s="183"/>
      <c r="F123" s="355"/>
      <c r="G123" s="219"/>
      <c r="H123" s="186"/>
      <c r="J123" s="134"/>
      <c r="K123" s="133"/>
      <c r="M123" s="134"/>
    </row>
    <row r="124" spans="1:15" s="132" customFormat="1" x14ac:dyDescent="0.15">
      <c r="A124" s="247"/>
      <c r="B124" s="131"/>
      <c r="D124" s="133"/>
      <c r="E124" s="183"/>
      <c r="F124" s="355"/>
      <c r="G124" s="219"/>
      <c r="H124" s="186"/>
      <c r="J124" s="134"/>
      <c r="K124" s="133"/>
      <c r="M124" s="134"/>
    </row>
    <row r="125" spans="1:15" s="132" customFormat="1" x14ac:dyDescent="0.15">
      <c r="A125" s="349"/>
      <c r="B125" s="131"/>
      <c r="D125" s="133"/>
      <c r="E125" s="183"/>
      <c r="F125" s="355"/>
      <c r="G125" s="219"/>
      <c r="H125" s="186"/>
      <c r="J125" s="134"/>
      <c r="K125" s="133"/>
      <c r="M125" s="134"/>
    </row>
    <row r="126" spans="1:15" s="132" customFormat="1" x14ac:dyDescent="0.15">
      <c r="A126" s="349"/>
      <c r="B126" s="131"/>
      <c r="D126" s="133"/>
      <c r="E126" s="183"/>
      <c r="F126" s="355"/>
      <c r="G126" s="219"/>
      <c r="H126" s="186"/>
      <c r="J126" s="134"/>
      <c r="K126" s="133"/>
      <c r="M126" s="134"/>
    </row>
    <row r="127" spans="1:15" s="132" customFormat="1" x14ac:dyDescent="0.15">
      <c r="A127" s="349"/>
      <c r="B127" s="131"/>
      <c r="D127" s="133"/>
      <c r="E127" s="183"/>
      <c r="F127" s="355"/>
      <c r="G127" s="219"/>
      <c r="H127" s="186"/>
      <c r="J127" s="134"/>
      <c r="K127" s="133"/>
      <c r="M127" s="134"/>
    </row>
    <row r="128" spans="1:15" s="132" customFormat="1" x14ac:dyDescent="0.15">
      <c r="A128" s="247"/>
      <c r="B128" s="131"/>
      <c r="D128" s="133"/>
      <c r="E128" s="183"/>
      <c r="F128" s="355"/>
      <c r="G128" s="219"/>
      <c r="H128" s="186"/>
      <c r="J128" s="134"/>
      <c r="K128" s="133"/>
      <c r="M128" s="134"/>
    </row>
    <row r="129" spans="1:15" s="132" customFormat="1" x14ac:dyDescent="0.15">
      <c r="A129" s="134"/>
      <c r="B129" s="131"/>
      <c r="D129" s="133"/>
      <c r="E129" s="133"/>
      <c r="F129" s="134"/>
      <c r="H129" s="133"/>
      <c r="J129" s="134"/>
      <c r="K129" s="133"/>
      <c r="M129" s="134"/>
    </row>
    <row r="130" spans="1:15" s="132" customFormat="1" x14ac:dyDescent="0.15">
      <c r="A130" s="134"/>
      <c r="B130" s="131"/>
      <c r="D130" s="133"/>
      <c r="E130" s="133"/>
      <c r="F130" s="134"/>
      <c r="H130" s="133"/>
      <c r="J130" s="134"/>
      <c r="K130" s="133"/>
      <c r="M130" s="134"/>
    </row>
    <row r="131" spans="1:15" s="132" customFormat="1" x14ac:dyDescent="0.15">
      <c r="A131" s="134"/>
      <c r="B131" s="131"/>
      <c r="D131" s="133"/>
      <c r="E131" s="133"/>
      <c r="F131" s="134"/>
      <c r="H131" s="133"/>
      <c r="J131" s="134"/>
      <c r="K131" s="133"/>
      <c r="M131" s="134"/>
    </row>
    <row r="132" spans="1:15" s="132" customFormat="1" x14ac:dyDescent="0.15">
      <c r="A132" s="134"/>
      <c r="B132" s="131"/>
      <c r="D132" s="133"/>
      <c r="E132" s="133"/>
      <c r="F132" s="134"/>
      <c r="H132" s="133"/>
      <c r="J132" s="134"/>
      <c r="K132" s="133"/>
      <c r="M132" s="134"/>
    </row>
    <row r="133" spans="1:15" s="132" customFormat="1" x14ac:dyDescent="0.15">
      <c r="A133" s="134"/>
      <c r="B133" s="131"/>
      <c r="D133" s="133"/>
      <c r="E133" s="133"/>
      <c r="F133" s="134"/>
      <c r="H133" s="133"/>
      <c r="J133" s="134"/>
      <c r="K133" s="133"/>
      <c r="M133" s="134"/>
    </row>
    <row r="134" spans="1:15" s="132" customFormat="1" x14ac:dyDescent="0.15">
      <c r="A134" s="134"/>
      <c r="B134" s="131"/>
      <c r="D134" s="133"/>
      <c r="E134" s="133"/>
      <c r="F134" s="134"/>
      <c r="H134" s="133"/>
      <c r="J134" s="134"/>
      <c r="K134" s="133"/>
      <c r="M134" s="134"/>
    </row>
    <row r="135" spans="1:15" s="132" customFormat="1" x14ac:dyDescent="0.15">
      <c r="A135" s="134"/>
      <c r="B135" s="131"/>
      <c r="D135" s="133"/>
      <c r="E135" s="133"/>
      <c r="F135" s="134"/>
      <c r="H135" s="133"/>
      <c r="J135" s="134"/>
      <c r="K135" s="133"/>
      <c r="M135" s="134"/>
    </row>
    <row r="136" spans="1:15" s="132" customFormat="1" x14ac:dyDescent="0.15">
      <c r="A136" s="134"/>
      <c r="B136" s="131"/>
      <c r="D136" s="133"/>
      <c r="E136" s="133"/>
      <c r="F136" s="134"/>
      <c r="H136" s="133"/>
      <c r="J136" s="134"/>
      <c r="K136" s="133"/>
      <c r="M136" s="134"/>
    </row>
    <row r="137" spans="1:15" s="132" customFormat="1" x14ac:dyDescent="0.15">
      <c r="A137" s="134"/>
      <c r="B137" s="131"/>
      <c r="D137" s="133"/>
      <c r="E137" s="133"/>
      <c r="F137" s="134"/>
      <c r="H137" s="133"/>
      <c r="J137" s="134"/>
      <c r="K137" s="133"/>
      <c r="M137" s="134"/>
    </row>
    <row r="138" spans="1:15" s="133" customFormat="1" x14ac:dyDescent="0.15">
      <c r="A138" s="134"/>
      <c r="B138" s="131"/>
      <c r="C138" s="132"/>
      <c r="F138" s="134"/>
      <c r="G138" s="132"/>
      <c r="I138" s="132"/>
      <c r="J138" s="134"/>
      <c r="L138" s="132"/>
      <c r="M138" s="134"/>
      <c r="N138" s="132"/>
      <c r="O138" s="132"/>
    </row>
    <row r="139" spans="1:15" s="133" customFormat="1" x14ac:dyDescent="0.15">
      <c r="A139" s="134"/>
      <c r="B139" s="131"/>
      <c r="C139" s="132"/>
      <c r="F139" s="134"/>
      <c r="G139" s="132"/>
      <c r="I139" s="132"/>
      <c r="J139" s="134"/>
      <c r="L139" s="132"/>
      <c r="M139" s="134"/>
      <c r="N139" s="132"/>
      <c r="O139" s="132"/>
    </row>
  </sheetData>
  <mergeCells count="7">
    <mergeCell ref="B85:D85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79"/>
  <sheetViews>
    <sheetView topLeftCell="B1" zoomScale="115" zoomScaleNormal="115" workbookViewId="0">
      <pane ySplit="6" topLeftCell="A80" activePane="bottomLeft" state="frozen"/>
      <selection pane="bottomLeft" activeCell="G226" sqref="G226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3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2.7109375" style="132" bestFit="1" customWidth="1"/>
    <col min="16" max="16384" width="18.5703125" style="134"/>
  </cols>
  <sheetData>
    <row r="1" spans="1:15" x14ac:dyDescent="0.15">
      <c r="A1" s="130" t="s">
        <v>1880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1858</v>
      </c>
      <c r="B7" s="146"/>
      <c r="C7" s="147">
        <v>82125.662762010848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82125.662762010848</v>
      </c>
      <c r="O7" s="147">
        <f>+C225</f>
        <v>508238.80876201054</v>
      </c>
    </row>
    <row r="8" spans="1:15" x14ac:dyDescent="0.15">
      <c r="A8" s="154" t="s">
        <v>1859</v>
      </c>
      <c r="B8" s="151"/>
      <c r="C8" s="152">
        <v>206564.61499999999</v>
      </c>
      <c r="D8" s="323"/>
      <c r="E8" s="154"/>
      <c r="F8" s="154"/>
      <c r="G8" s="152"/>
      <c r="H8" s="323"/>
      <c r="I8" s="152"/>
      <c r="J8" s="154"/>
      <c r="K8" s="156"/>
      <c r="L8" s="227"/>
      <c r="M8" s="157"/>
      <c r="N8" s="227">
        <f>+N7-I8-L8</f>
        <v>82125.662762010848</v>
      </c>
      <c r="O8" s="152">
        <f t="shared" ref="O8:O9" si="0">O7+G8-I8-L8</f>
        <v>508238.80876201054</v>
      </c>
    </row>
    <row r="9" spans="1:15" x14ac:dyDescent="0.15">
      <c r="A9" s="157" t="s">
        <v>1860</v>
      </c>
      <c r="B9" s="151"/>
      <c r="C9" s="152">
        <v>87857.788999999699</v>
      </c>
      <c r="D9" s="323"/>
      <c r="E9" s="154"/>
      <c r="F9" s="157"/>
      <c r="G9" s="152"/>
      <c r="H9" s="323"/>
      <c r="I9" s="152"/>
      <c r="J9" s="154"/>
      <c r="K9" s="154"/>
      <c r="L9" s="227"/>
      <c r="M9" s="157"/>
      <c r="N9" s="227">
        <f t="shared" ref="N9" si="1">+N8-I9-L9</f>
        <v>82125.662762010848</v>
      </c>
      <c r="O9" s="152">
        <f t="shared" si="0"/>
        <v>508238.80876201054</v>
      </c>
    </row>
    <row r="10" spans="1:15" x14ac:dyDescent="0.15">
      <c r="A10" s="154" t="s">
        <v>1861</v>
      </c>
      <c r="B10" s="151"/>
      <c r="C10" s="152">
        <v>131690.742</v>
      </c>
      <c r="D10" s="323"/>
      <c r="E10" s="154"/>
      <c r="F10" s="154"/>
      <c r="G10" s="152"/>
      <c r="H10" s="323"/>
      <c r="I10" s="152"/>
      <c r="J10" s="154"/>
      <c r="K10" s="154"/>
      <c r="L10" s="227"/>
      <c r="M10" s="157"/>
      <c r="N10" s="227">
        <f t="shared" ref="N10" si="2">+N9-I10-L10</f>
        <v>82125.662762010848</v>
      </c>
      <c r="O10" s="152">
        <f t="shared" ref="O10" si="3">O9+G10-I10-L10</f>
        <v>508238.80876201054</v>
      </c>
    </row>
    <row r="11" spans="1:15" x14ac:dyDescent="0.15">
      <c r="A11" s="154"/>
      <c r="B11" s="151"/>
      <c r="C11" s="152"/>
      <c r="D11" s="323">
        <v>41730</v>
      </c>
      <c r="E11" s="154" t="s">
        <v>72</v>
      </c>
      <c r="F11" s="157" t="s">
        <v>1861</v>
      </c>
      <c r="G11" s="152">
        <v>131724.02499999999</v>
      </c>
      <c r="H11" s="323">
        <v>41730</v>
      </c>
      <c r="I11" s="152"/>
      <c r="J11" s="154"/>
      <c r="K11" s="154" t="s">
        <v>1902</v>
      </c>
      <c r="L11" s="227">
        <v>34618.57</v>
      </c>
      <c r="M11" s="157" t="s">
        <v>1858</v>
      </c>
      <c r="N11" s="227">
        <f t="shared" ref="N11:N80" si="4">+N10-I11-L11</f>
        <v>47507.092762010849</v>
      </c>
      <c r="O11" s="152">
        <f t="shared" ref="O11:O80" si="5">O10+G11-I11-L11</f>
        <v>605344.26376201061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41731</v>
      </c>
      <c r="I12" s="152">
        <v>2613.9119999999998</v>
      </c>
      <c r="J12" s="154" t="s">
        <v>1858</v>
      </c>
      <c r="K12" s="154" t="s">
        <v>1902</v>
      </c>
      <c r="L12" s="227">
        <v>10334.51</v>
      </c>
      <c r="M12" s="157" t="s">
        <v>1858</v>
      </c>
      <c r="N12" s="227">
        <f t="shared" si="4"/>
        <v>34558.67076201085</v>
      </c>
      <c r="O12" s="152">
        <f t="shared" si="5"/>
        <v>592395.84176201059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41731</v>
      </c>
      <c r="I13" s="152"/>
      <c r="J13" s="154"/>
      <c r="K13" s="154" t="s">
        <v>1902</v>
      </c>
      <c r="L13" s="227">
        <v>13049.54</v>
      </c>
      <c r="M13" s="157" t="s">
        <v>1858</v>
      </c>
      <c r="N13" s="227">
        <f t="shared" si="4"/>
        <v>21509.130762010849</v>
      </c>
      <c r="O13" s="152">
        <f t="shared" si="5"/>
        <v>579346.30176201055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>
        <v>41731</v>
      </c>
      <c r="I14" s="152"/>
      <c r="J14" s="154"/>
      <c r="K14" s="154" t="s">
        <v>1902</v>
      </c>
      <c r="L14" s="227">
        <v>21509.130762010849</v>
      </c>
      <c r="M14" s="157" t="s">
        <v>1858</v>
      </c>
      <c r="N14" s="227">
        <f t="shared" ref="N14:N19" si="6">+N13-I14-L14</f>
        <v>0</v>
      </c>
      <c r="O14" s="152">
        <f t="shared" ref="O14:O19" si="7">O13+G14-I14-L14</f>
        <v>557837.17099999974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>
        <v>41731</v>
      </c>
      <c r="I15" s="152"/>
      <c r="J15" s="157"/>
      <c r="K15" s="154" t="s">
        <v>1902</v>
      </c>
      <c r="L15" s="227">
        <v>14951.6292379892</v>
      </c>
      <c r="M15" s="154" t="s">
        <v>1859</v>
      </c>
      <c r="N15" s="227">
        <f>C8+N14-I15-L15</f>
        <v>191612.98576201079</v>
      </c>
      <c r="O15" s="152">
        <f t="shared" si="7"/>
        <v>542885.54176201054</v>
      </c>
    </row>
    <row r="16" spans="1:15" x14ac:dyDescent="0.15">
      <c r="A16" s="154"/>
      <c r="B16" s="151"/>
      <c r="C16" s="152"/>
      <c r="D16" s="323"/>
      <c r="E16" s="155"/>
      <c r="F16" s="157"/>
      <c r="G16" s="152"/>
      <c r="H16" s="323">
        <v>41731</v>
      </c>
      <c r="I16" s="152"/>
      <c r="J16" s="154"/>
      <c r="K16" s="154" t="s">
        <v>1902</v>
      </c>
      <c r="L16" s="227">
        <v>39086.49</v>
      </c>
      <c r="M16" s="154" t="s">
        <v>1859</v>
      </c>
      <c r="N16" s="227">
        <f t="shared" si="6"/>
        <v>152526.4957620108</v>
      </c>
      <c r="O16" s="152">
        <f t="shared" si="7"/>
        <v>503799.05176201055</v>
      </c>
    </row>
    <row r="17" spans="1:15" x14ac:dyDescent="0.15">
      <c r="A17" s="154"/>
      <c r="B17" s="151"/>
      <c r="C17" s="152"/>
      <c r="D17" s="323">
        <v>41732</v>
      </c>
      <c r="E17" s="154" t="s">
        <v>72</v>
      </c>
      <c r="F17" s="157" t="s">
        <v>1886</v>
      </c>
      <c r="G17" s="152">
        <v>43907.228000000003</v>
      </c>
      <c r="H17" s="323">
        <v>41732</v>
      </c>
      <c r="I17" s="152"/>
      <c r="J17" s="154"/>
      <c r="K17" s="154" t="s">
        <v>1902</v>
      </c>
      <c r="L17" s="227">
        <v>47342.74</v>
      </c>
      <c r="M17" s="154" t="s">
        <v>1859</v>
      </c>
      <c r="N17" s="227">
        <f t="shared" si="6"/>
        <v>105183.75576201081</v>
      </c>
      <c r="O17" s="152">
        <f t="shared" si="7"/>
        <v>500363.53976201057</v>
      </c>
    </row>
    <row r="18" spans="1:15" x14ac:dyDescent="0.15">
      <c r="A18" s="154"/>
      <c r="B18" s="151"/>
      <c r="C18" s="152"/>
      <c r="D18" s="323"/>
      <c r="E18" s="154"/>
      <c r="F18" s="154"/>
      <c r="G18" s="152"/>
      <c r="H18" s="323">
        <v>41732</v>
      </c>
      <c r="I18" s="152"/>
      <c r="J18" s="154"/>
      <c r="K18" s="154" t="s">
        <v>1902</v>
      </c>
      <c r="L18" s="227">
        <v>958.03</v>
      </c>
      <c r="M18" s="154" t="s">
        <v>1859</v>
      </c>
      <c r="N18" s="227">
        <f t="shared" si="6"/>
        <v>104225.72576201081</v>
      </c>
      <c r="O18" s="152">
        <f t="shared" si="7"/>
        <v>499405.50976201054</v>
      </c>
    </row>
    <row r="19" spans="1:15" x14ac:dyDescent="0.15">
      <c r="A19" s="154"/>
      <c r="B19" s="151"/>
      <c r="C19" s="152"/>
      <c r="D19" s="323">
        <v>41733</v>
      </c>
      <c r="E19" s="154" t="s">
        <v>72</v>
      </c>
      <c r="F19" s="157" t="s">
        <v>1887</v>
      </c>
      <c r="G19" s="152">
        <v>43916.525000000001</v>
      </c>
      <c r="H19" s="323">
        <v>41733</v>
      </c>
      <c r="I19" s="152">
        <v>12583.390000000001</v>
      </c>
      <c r="J19" s="154" t="s">
        <v>1859</v>
      </c>
      <c r="K19" s="154" t="s">
        <v>1902</v>
      </c>
      <c r="L19" s="227">
        <v>34920.620000000003</v>
      </c>
      <c r="M19" s="154" t="s">
        <v>1859</v>
      </c>
      <c r="N19" s="227">
        <f t="shared" si="6"/>
        <v>56721.715762010812</v>
      </c>
      <c r="O19" s="152">
        <f t="shared" si="7"/>
        <v>495818.02476201055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>
        <v>41733</v>
      </c>
      <c r="I20" s="152"/>
      <c r="J20" s="154"/>
      <c r="K20" s="154" t="s">
        <v>1902</v>
      </c>
      <c r="L20" s="227">
        <v>34600.53</v>
      </c>
      <c r="M20" s="154" t="s">
        <v>1859</v>
      </c>
      <c r="N20" s="227">
        <f>+N19-I20-L20</f>
        <v>22121.185762010813</v>
      </c>
      <c r="O20" s="152">
        <f>O19+G20-I20-L20</f>
        <v>461217.49476201052</v>
      </c>
    </row>
    <row r="21" spans="1:15" x14ac:dyDescent="0.15">
      <c r="A21" s="154"/>
      <c r="B21" s="151"/>
      <c r="C21" s="152"/>
      <c r="D21" s="323"/>
      <c r="E21" s="155"/>
      <c r="F21" s="157"/>
      <c r="G21" s="152"/>
      <c r="H21" s="323">
        <v>41733</v>
      </c>
      <c r="I21" s="152"/>
      <c r="J21" s="154"/>
      <c r="K21" s="154" t="s">
        <v>1902</v>
      </c>
      <c r="L21" s="227">
        <v>1431.27</v>
      </c>
      <c r="M21" s="154" t="s">
        <v>1859</v>
      </c>
      <c r="N21" s="227">
        <f t="shared" ref="N21:N24" si="8">+N20-I21-L21</f>
        <v>20689.915762010813</v>
      </c>
      <c r="O21" s="152">
        <f t="shared" ref="O21:O24" si="9">O20+G21-I21-L21</f>
        <v>459786.2247620105</v>
      </c>
    </row>
    <row r="22" spans="1:15" x14ac:dyDescent="0.15">
      <c r="A22" s="154"/>
      <c r="B22" s="151"/>
      <c r="C22" s="152"/>
      <c r="D22" s="323">
        <v>41734</v>
      </c>
      <c r="E22" s="154" t="s">
        <v>72</v>
      </c>
      <c r="F22" s="157" t="s">
        <v>1887</v>
      </c>
      <c r="G22" s="152">
        <v>87815.944000000003</v>
      </c>
      <c r="H22" s="323">
        <v>41734</v>
      </c>
      <c r="I22" s="152">
        <v>6087.93</v>
      </c>
      <c r="J22" s="154" t="s">
        <v>1859</v>
      </c>
      <c r="K22" s="154" t="s">
        <v>1902</v>
      </c>
      <c r="L22" s="227">
        <v>14601.985762010812</v>
      </c>
      <c r="M22" s="154" t="s">
        <v>1859</v>
      </c>
      <c r="N22" s="227">
        <f t="shared" si="8"/>
        <v>0</v>
      </c>
      <c r="O22" s="152">
        <f t="shared" si="9"/>
        <v>526912.25299999968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>
        <v>41734</v>
      </c>
      <c r="I23" s="152"/>
      <c r="J23" s="157"/>
      <c r="K23" s="154" t="s">
        <v>1902</v>
      </c>
      <c r="L23" s="227">
        <v>78795.344237989193</v>
      </c>
      <c r="M23" s="157" t="s">
        <v>1860</v>
      </c>
      <c r="N23" s="227">
        <f>C9+N22-I23-L23</f>
        <v>9062.4447620105057</v>
      </c>
      <c r="O23" s="152">
        <f t="shared" si="9"/>
        <v>448116.90876201051</v>
      </c>
    </row>
    <row r="24" spans="1:15" ht="12.75" customHeight="1" x14ac:dyDescent="0.15">
      <c r="A24" s="154"/>
      <c r="B24" s="151"/>
      <c r="C24" s="152"/>
      <c r="D24" s="323"/>
      <c r="E24" s="154"/>
      <c r="F24" s="157"/>
      <c r="G24" s="152"/>
      <c r="H24" s="323">
        <v>41734</v>
      </c>
      <c r="I24" s="152"/>
      <c r="J24" s="154"/>
      <c r="K24" s="154" t="s">
        <v>1902</v>
      </c>
      <c r="L24" s="227">
        <v>9062.4447620105057</v>
      </c>
      <c r="M24" s="157" t="s">
        <v>1860</v>
      </c>
      <c r="N24" s="227">
        <f t="shared" si="8"/>
        <v>0</v>
      </c>
      <c r="O24" s="152">
        <f t="shared" si="9"/>
        <v>439054.46400000004</v>
      </c>
    </row>
    <row r="25" spans="1:15" ht="12.75" customHeight="1" x14ac:dyDescent="0.15">
      <c r="A25" s="154"/>
      <c r="B25" s="151"/>
      <c r="C25" s="152"/>
      <c r="D25" s="323"/>
      <c r="E25" s="154"/>
      <c r="F25" s="157"/>
      <c r="G25" s="152"/>
      <c r="H25" s="323">
        <v>41734</v>
      </c>
      <c r="I25" s="152"/>
      <c r="J25" s="154"/>
      <c r="K25" s="154" t="s">
        <v>1902</v>
      </c>
      <c r="L25" s="227">
        <v>66916.055237989494</v>
      </c>
      <c r="M25" s="157" t="s">
        <v>1861</v>
      </c>
      <c r="N25" s="227">
        <f>C10+G11+N24-I25-L25</f>
        <v>196498.7117620105</v>
      </c>
      <c r="O25" s="152">
        <f t="shared" ref="O25:O28" si="10">O24+G25-I25-L25</f>
        <v>372138.40876201051</v>
      </c>
    </row>
    <row r="26" spans="1:15" x14ac:dyDescent="0.15">
      <c r="A26" s="154"/>
      <c r="B26" s="151"/>
      <c r="C26" s="152"/>
      <c r="D26" s="323"/>
      <c r="E26" s="155"/>
      <c r="F26" s="157"/>
      <c r="G26" s="152"/>
      <c r="H26" s="323">
        <v>41734</v>
      </c>
      <c r="I26" s="152"/>
      <c r="J26" s="154"/>
      <c r="K26" s="154" t="s">
        <v>1902</v>
      </c>
      <c r="L26" s="227">
        <v>3011.53</v>
      </c>
      <c r="M26" s="157" t="s">
        <v>1861</v>
      </c>
      <c r="N26" s="227">
        <f t="shared" ref="N26:N28" si="11">+N25-I26-L26</f>
        <v>193487.1817620105</v>
      </c>
      <c r="O26" s="152">
        <f t="shared" si="10"/>
        <v>369126.87876201048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>
        <v>41734</v>
      </c>
      <c r="I27" s="152"/>
      <c r="J27" s="154"/>
      <c r="K27" s="154" t="s">
        <v>1902</v>
      </c>
      <c r="L27" s="227">
        <v>30985.7</v>
      </c>
      <c r="M27" s="157" t="s">
        <v>1861</v>
      </c>
      <c r="N27" s="227">
        <f t="shared" si="11"/>
        <v>162501.48176201049</v>
      </c>
      <c r="O27" s="152">
        <f t="shared" si="10"/>
        <v>338141.17876201047</v>
      </c>
    </row>
    <row r="28" spans="1:15" x14ac:dyDescent="0.15">
      <c r="A28" s="154"/>
      <c r="B28" s="151"/>
      <c r="C28" s="152"/>
      <c r="D28" s="323">
        <v>41735</v>
      </c>
      <c r="E28" s="154" t="s">
        <v>72</v>
      </c>
      <c r="F28" s="157" t="s">
        <v>1887</v>
      </c>
      <c r="G28" s="152">
        <v>43899.133000000016</v>
      </c>
      <c r="H28" s="323">
        <v>41735</v>
      </c>
      <c r="I28" s="152">
        <v>6580.01</v>
      </c>
      <c r="J28" s="157" t="s">
        <v>1861</v>
      </c>
      <c r="K28" s="154" t="s">
        <v>1902</v>
      </c>
      <c r="L28" s="227">
        <v>76135.44</v>
      </c>
      <c r="M28" s="157" t="s">
        <v>1861</v>
      </c>
      <c r="N28" s="227">
        <f t="shared" si="11"/>
        <v>79786.031762010476</v>
      </c>
      <c r="O28" s="152">
        <f t="shared" si="10"/>
        <v>299324.86176201049</v>
      </c>
    </row>
    <row r="29" spans="1:15" x14ac:dyDescent="0.15">
      <c r="A29" s="154"/>
      <c r="B29" s="151"/>
      <c r="C29" s="152"/>
      <c r="D29" s="323">
        <v>41735</v>
      </c>
      <c r="E29" s="154" t="s">
        <v>72</v>
      </c>
      <c r="F29" s="157" t="s">
        <v>1888</v>
      </c>
      <c r="G29" s="152">
        <v>87777.231</v>
      </c>
      <c r="H29" s="323">
        <v>41735</v>
      </c>
      <c r="I29" s="152"/>
      <c r="J29" s="157"/>
      <c r="K29" s="154"/>
      <c r="L29" s="227"/>
      <c r="M29" s="157"/>
      <c r="N29" s="227">
        <f t="shared" si="4"/>
        <v>79786.031762010476</v>
      </c>
      <c r="O29" s="152">
        <f t="shared" si="5"/>
        <v>387102.09276201052</v>
      </c>
    </row>
    <row r="30" spans="1:15" x14ac:dyDescent="0.15">
      <c r="A30" s="154"/>
      <c r="B30" s="151"/>
      <c r="C30" s="152"/>
      <c r="D30" s="323">
        <v>41736</v>
      </c>
      <c r="E30" s="154" t="s">
        <v>72</v>
      </c>
      <c r="F30" s="157" t="s">
        <v>1888</v>
      </c>
      <c r="G30" s="152">
        <v>87792.572</v>
      </c>
      <c r="H30" s="323">
        <v>41736</v>
      </c>
      <c r="I30" s="152">
        <v>2940</v>
      </c>
      <c r="J30" s="157" t="s">
        <v>1861</v>
      </c>
      <c r="K30" s="154" t="s">
        <v>1902</v>
      </c>
      <c r="L30" s="227">
        <v>9946.06</v>
      </c>
      <c r="M30" s="157" t="s">
        <v>1861</v>
      </c>
      <c r="N30" s="227">
        <f t="shared" si="4"/>
        <v>66899.971762010478</v>
      </c>
      <c r="O30" s="152">
        <f t="shared" si="5"/>
        <v>462008.60476201051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>
        <v>41736</v>
      </c>
      <c r="I31" s="152"/>
      <c r="J31" s="157"/>
      <c r="K31" s="154" t="s">
        <v>1902</v>
      </c>
      <c r="L31" s="227">
        <v>10048.14</v>
      </c>
      <c r="M31" s="157" t="s">
        <v>1861</v>
      </c>
      <c r="N31" s="227">
        <f t="shared" si="4"/>
        <v>56851.831762010479</v>
      </c>
      <c r="O31" s="152">
        <f t="shared" si="5"/>
        <v>451960.4647620105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>
        <v>41736</v>
      </c>
      <c r="I32" s="152"/>
      <c r="J32" s="157"/>
      <c r="K32" s="154" t="s">
        <v>1902</v>
      </c>
      <c r="L32" s="227">
        <v>13113.63</v>
      </c>
      <c r="M32" s="157" t="s">
        <v>1861</v>
      </c>
      <c r="N32" s="227">
        <f t="shared" si="4"/>
        <v>43738.201762010482</v>
      </c>
      <c r="O32" s="152">
        <f t="shared" si="5"/>
        <v>438846.83476201049</v>
      </c>
    </row>
    <row r="33" spans="1:15" x14ac:dyDescent="0.15">
      <c r="A33" s="154"/>
      <c r="B33" s="151"/>
      <c r="C33" s="152"/>
      <c r="D33" s="323"/>
      <c r="E33" s="155"/>
      <c r="F33" s="157"/>
      <c r="G33" s="152"/>
      <c r="H33" s="323">
        <v>41736</v>
      </c>
      <c r="I33" s="152"/>
      <c r="J33" s="157"/>
      <c r="K33" s="154" t="s">
        <v>1902</v>
      </c>
      <c r="L33" s="227">
        <v>33980</v>
      </c>
      <c r="M33" s="157" t="s">
        <v>1861</v>
      </c>
      <c r="N33" s="227">
        <f t="shared" si="4"/>
        <v>9758.2017620104816</v>
      </c>
      <c r="O33" s="152">
        <f t="shared" si="5"/>
        <v>404866.83476201049</v>
      </c>
    </row>
    <row r="34" spans="1:15" x14ac:dyDescent="0.15">
      <c r="A34" s="154"/>
      <c r="B34" s="151"/>
      <c r="C34" s="152"/>
      <c r="D34" s="323"/>
      <c r="E34" s="155"/>
      <c r="F34" s="157"/>
      <c r="G34" s="152"/>
      <c r="H34" s="323">
        <v>41736</v>
      </c>
      <c r="I34" s="152"/>
      <c r="J34" s="154"/>
      <c r="K34" s="154" t="s">
        <v>1902</v>
      </c>
      <c r="L34" s="227">
        <v>9758.2017620104816</v>
      </c>
      <c r="M34" s="157" t="s">
        <v>1861</v>
      </c>
      <c r="N34" s="227">
        <f t="shared" ref="N34:N36" si="12">+N33-I34-L34</f>
        <v>0</v>
      </c>
      <c r="O34" s="152">
        <f t="shared" ref="O34:O36" si="13">O33+G34-I34-L34</f>
        <v>395108.63300000003</v>
      </c>
    </row>
    <row r="35" spans="1:15" x14ac:dyDescent="0.15">
      <c r="A35" s="154"/>
      <c r="B35" s="151"/>
      <c r="C35" s="152"/>
      <c r="D35" s="323"/>
      <c r="E35" s="155"/>
      <c r="F35" s="157"/>
      <c r="G35" s="152"/>
      <c r="H35" s="323">
        <v>41736</v>
      </c>
      <c r="I35" s="152"/>
      <c r="J35" s="154"/>
      <c r="K35" s="154" t="s">
        <v>1902</v>
      </c>
      <c r="L35" s="227">
        <v>36731.798237989497</v>
      </c>
      <c r="M35" s="157" t="s">
        <v>1886</v>
      </c>
      <c r="N35" s="227">
        <f>G17+N34-I35-L35</f>
        <v>7175.4297620105062</v>
      </c>
      <c r="O35" s="152">
        <f t="shared" si="13"/>
        <v>358376.83476201055</v>
      </c>
    </row>
    <row r="36" spans="1:15" x14ac:dyDescent="0.15">
      <c r="A36" s="154"/>
      <c r="B36" s="151"/>
      <c r="C36" s="152"/>
      <c r="D36" s="323"/>
      <c r="E36" s="155"/>
      <c r="F36" s="157"/>
      <c r="G36" s="152"/>
      <c r="H36" s="323">
        <v>41736</v>
      </c>
      <c r="I36" s="152"/>
      <c r="J36" s="154"/>
      <c r="K36" s="154" t="s">
        <v>1902</v>
      </c>
      <c r="L36" s="227">
        <v>7175.4297620105062</v>
      </c>
      <c r="M36" s="157" t="s">
        <v>1886</v>
      </c>
      <c r="N36" s="227">
        <f t="shared" si="12"/>
        <v>0</v>
      </c>
      <c r="O36" s="152">
        <f t="shared" si="13"/>
        <v>351201.40500000003</v>
      </c>
    </row>
    <row r="37" spans="1:15" x14ac:dyDescent="0.15">
      <c r="A37" s="154"/>
      <c r="B37" s="151"/>
      <c r="C37" s="152"/>
      <c r="D37" s="323"/>
      <c r="E37" s="155"/>
      <c r="F37" s="157"/>
      <c r="G37" s="152"/>
      <c r="H37" s="323">
        <v>41736</v>
      </c>
      <c r="I37" s="152"/>
      <c r="J37" s="154"/>
      <c r="K37" s="154" t="s">
        <v>1902</v>
      </c>
      <c r="L37" s="227">
        <v>31124.570237989501</v>
      </c>
      <c r="M37" s="157" t="s">
        <v>1887</v>
      </c>
      <c r="N37" s="227">
        <f>G19+G22+G28+N36-I37-L37</f>
        <v>144507.03176201051</v>
      </c>
      <c r="O37" s="152">
        <f t="shared" ref="O37:O39" si="14">O36+G37-I37-L37</f>
        <v>320076.83476201055</v>
      </c>
    </row>
    <row r="38" spans="1:15" x14ac:dyDescent="0.15">
      <c r="A38" s="154"/>
      <c r="B38" s="151"/>
      <c r="C38" s="152"/>
      <c r="D38" s="323">
        <v>41737</v>
      </c>
      <c r="E38" s="154" t="s">
        <v>72</v>
      </c>
      <c r="F38" s="157" t="s">
        <v>1889</v>
      </c>
      <c r="G38" s="152">
        <v>87822.13</v>
      </c>
      <c r="H38" s="323">
        <v>41737</v>
      </c>
      <c r="I38" s="152">
        <v>16395.009999999998</v>
      </c>
      <c r="J38" s="157" t="s">
        <v>1887</v>
      </c>
      <c r="K38" s="154" t="s">
        <v>1902</v>
      </c>
      <c r="L38" s="227">
        <v>50684.58</v>
      </c>
      <c r="M38" s="157" t="s">
        <v>1887</v>
      </c>
      <c r="N38" s="227">
        <f t="shared" ref="N38:N39" si="15">+N37-I38-L38</f>
        <v>77427.441762010509</v>
      </c>
      <c r="O38" s="152">
        <f t="shared" si="14"/>
        <v>340819.37476201053</v>
      </c>
    </row>
    <row r="39" spans="1:15" x14ac:dyDescent="0.15">
      <c r="A39" s="154"/>
      <c r="B39" s="151"/>
      <c r="C39" s="152"/>
      <c r="D39" s="323">
        <v>41738</v>
      </c>
      <c r="E39" s="154" t="s">
        <v>72</v>
      </c>
      <c r="F39" s="157" t="s">
        <v>1889</v>
      </c>
      <c r="G39" s="152">
        <v>216415.345</v>
      </c>
      <c r="H39" s="323">
        <v>41738</v>
      </c>
      <c r="I39" s="152">
        <v>4105.5</v>
      </c>
      <c r="J39" s="157" t="s">
        <v>1887</v>
      </c>
      <c r="K39" s="154" t="s">
        <v>1902</v>
      </c>
      <c r="L39" s="227">
        <v>73321.941762010509</v>
      </c>
      <c r="M39" s="157" t="s">
        <v>1887</v>
      </c>
      <c r="N39" s="227">
        <f t="shared" si="15"/>
        <v>0</v>
      </c>
      <c r="O39" s="152">
        <f t="shared" si="14"/>
        <v>479807.27799999999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>
        <v>41738</v>
      </c>
      <c r="I40" s="152"/>
      <c r="J40" s="157"/>
      <c r="K40" s="154" t="s">
        <v>1902</v>
      </c>
      <c r="L40" s="227">
        <v>1472.52823798949</v>
      </c>
      <c r="M40" s="157" t="s">
        <v>1888</v>
      </c>
      <c r="N40" s="227">
        <f>G29+G30+N39-I40-L40</f>
        <v>174097.27476201052</v>
      </c>
      <c r="O40" s="152">
        <f t="shared" ref="O40:O43" si="16">O39+G40-I40-L40</f>
        <v>478334.74976201053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>
        <v>41738</v>
      </c>
      <c r="I41" s="152"/>
      <c r="J41" s="157"/>
      <c r="K41" s="154" t="s">
        <v>1902</v>
      </c>
      <c r="L41" s="227">
        <v>70421.42</v>
      </c>
      <c r="M41" s="157" t="s">
        <v>1888</v>
      </c>
      <c r="N41" s="227">
        <f t="shared" ref="N41:N43" si="17">+N40-I41-L41</f>
        <v>103675.85476201052</v>
      </c>
      <c r="O41" s="152">
        <f t="shared" si="16"/>
        <v>407913.32976201054</v>
      </c>
    </row>
    <row r="42" spans="1:15" x14ac:dyDescent="0.15">
      <c r="A42" s="154"/>
      <c r="B42" s="151"/>
      <c r="C42" s="152"/>
      <c r="D42" s="323">
        <v>41739</v>
      </c>
      <c r="E42" s="154" t="s">
        <v>72</v>
      </c>
      <c r="F42" s="157" t="s">
        <v>1890</v>
      </c>
      <c r="G42" s="152">
        <v>131649.50099999999</v>
      </c>
      <c r="H42" s="323">
        <v>41739</v>
      </c>
      <c r="I42" s="152">
        <v>703.36</v>
      </c>
      <c r="J42" s="157" t="s">
        <v>1888</v>
      </c>
      <c r="K42" s="154" t="s">
        <v>1902</v>
      </c>
      <c r="L42" s="227">
        <v>2467.25</v>
      </c>
      <c r="M42" s="157" t="s">
        <v>1888</v>
      </c>
      <c r="N42" s="227">
        <f t="shared" si="17"/>
        <v>100505.24476201052</v>
      </c>
      <c r="O42" s="152">
        <f t="shared" si="16"/>
        <v>536392.22076201055</v>
      </c>
    </row>
    <row r="43" spans="1:15" x14ac:dyDescent="0.15">
      <c r="A43" s="154"/>
      <c r="B43" s="151"/>
      <c r="C43" s="152"/>
      <c r="D43" s="323">
        <v>41740</v>
      </c>
      <c r="E43" s="154" t="s">
        <v>72</v>
      </c>
      <c r="F43" s="157" t="s">
        <v>1890</v>
      </c>
      <c r="G43" s="152">
        <v>87780.964000000007</v>
      </c>
      <c r="H43" s="323">
        <v>41740</v>
      </c>
      <c r="I43" s="152">
        <v>11458.148499999999</v>
      </c>
      <c r="J43" s="157" t="s">
        <v>1888</v>
      </c>
      <c r="K43" s="154" t="s">
        <v>1902</v>
      </c>
      <c r="L43" s="227">
        <v>31570.39</v>
      </c>
      <c r="M43" s="157" t="s">
        <v>1888</v>
      </c>
      <c r="N43" s="227">
        <f t="shared" si="17"/>
        <v>57476.706262010528</v>
      </c>
      <c r="O43" s="152">
        <f t="shared" si="16"/>
        <v>581144.64626201056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41740</v>
      </c>
      <c r="I44" s="152"/>
      <c r="J44" s="154"/>
      <c r="K44" s="154" t="s">
        <v>1902</v>
      </c>
      <c r="L44" s="227">
        <v>2145.09</v>
      </c>
      <c r="M44" s="157" t="s">
        <v>1888</v>
      </c>
      <c r="N44" s="227">
        <f t="shared" si="4"/>
        <v>55331.616262010531</v>
      </c>
      <c r="O44" s="152">
        <f t="shared" si="5"/>
        <v>578999.55626201059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>
        <v>41740</v>
      </c>
      <c r="I45" s="152"/>
      <c r="J45" s="157"/>
      <c r="K45" s="154" t="s">
        <v>1902</v>
      </c>
      <c r="L45" s="227">
        <v>34903.29</v>
      </c>
      <c r="M45" s="157" t="s">
        <v>1888</v>
      </c>
      <c r="N45" s="227">
        <f t="shared" si="4"/>
        <v>20428.326262010531</v>
      </c>
      <c r="O45" s="152">
        <f t="shared" si="5"/>
        <v>544096.26626201055</v>
      </c>
    </row>
    <row r="46" spans="1:15" x14ac:dyDescent="0.15">
      <c r="A46" s="154"/>
      <c r="B46" s="151"/>
      <c r="C46" s="152"/>
      <c r="D46" s="323">
        <v>41741</v>
      </c>
      <c r="E46" s="154" t="s">
        <v>72</v>
      </c>
      <c r="F46" s="157" t="s">
        <v>1890</v>
      </c>
      <c r="G46" s="152">
        <v>43928.622000000003</v>
      </c>
      <c r="H46" s="323">
        <v>41741</v>
      </c>
      <c r="I46" s="152">
        <v>4573.2700000000004</v>
      </c>
      <c r="J46" s="157" t="s">
        <v>1888</v>
      </c>
      <c r="K46" s="154" t="s">
        <v>1902</v>
      </c>
      <c r="L46" s="227">
        <v>10316.36</v>
      </c>
      <c r="M46" s="157" t="s">
        <v>1888</v>
      </c>
      <c r="N46" s="227">
        <f t="shared" si="4"/>
        <v>5538.6962620105296</v>
      </c>
      <c r="O46" s="152">
        <f t="shared" si="5"/>
        <v>573135.25826201052</v>
      </c>
    </row>
    <row r="47" spans="1:15" x14ac:dyDescent="0.15">
      <c r="A47" s="154"/>
      <c r="B47" s="151"/>
      <c r="C47" s="152"/>
      <c r="D47" s="323">
        <v>41741</v>
      </c>
      <c r="E47" s="154" t="s">
        <v>72</v>
      </c>
      <c r="F47" s="157" t="s">
        <v>1891</v>
      </c>
      <c r="G47" s="152">
        <v>131686.72500000001</v>
      </c>
      <c r="H47" s="323">
        <v>41741</v>
      </c>
      <c r="I47" s="152"/>
      <c r="J47" s="157"/>
      <c r="K47" s="154" t="s">
        <v>1902</v>
      </c>
      <c r="L47" s="227">
        <v>5538.6962620105296</v>
      </c>
      <c r="M47" s="157" t="s">
        <v>1888</v>
      </c>
      <c r="N47" s="227">
        <f t="shared" si="4"/>
        <v>0</v>
      </c>
      <c r="O47" s="152">
        <f t="shared" si="5"/>
        <v>699283.28700000001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>
        <v>41741</v>
      </c>
      <c r="I48" s="152"/>
      <c r="J48" s="157"/>
      <c r="K48" s="154" t="s">
        <v>1902</v>
      </c>
      <c r="L48" s="227">
        <v>8812.9337379894696</v>
      </c>
      <c r="M48" s="157" t="s">
        <v>1889</v>
      </c>
      <c r="N48" s="227">
        <f>G38+G39+N47-I48-L48</f>
        <v>295424.54126201052</v>
      </c>
      <c r="O48" s="152">
        <f t="shared" si="5"/>
        <v>690470.3532620105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41741</v>
      </c>
      <c r="I49" s="152"/>
      <c r="J49" s="154"/>
      <c r="K49" s="154" t="s">
        <v>1902</v>
      </c>
      <c r="L49" s="227">
        <v>76722.179999999993</v>
      </c>
      <c r="M49" s="157" t="s">
        <v>1889</v>
      </c>
      <c r="N49" s="227">
        <f t="shared" si="4"/>
        <v>218702.36126201053</v>
      </c>
      <c r="O49" s="152">
        <f t="shared" si="5"/>
        <v>613748.17326201056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41741</v>
      </c>
      <c r="I50" s="152"/>
      <c r="J50" s="154"/>
      <c r="K50" s="154" t="s">
        <v>1902</v>
      </c>
      <c r="L50" s="227">
        <v>56227.23</v>
      </c>
      <c r="M50" s="157" t="s">
        <v>1889</v>
      </c>
      <c r="N50" s="227">
        <f t="shared" si="4"/>
        <v>162475.13126201052</v>
      </c>
      <c r="O50" s="152">
        <f t="shared" si="5"/>
        <v>557520.94326201058</v>
      </c>
    </row>
    <row r="51" spans="1:15" x14ac:dyDescent="0.15">
      <c r="A51" s="154"/>
      <c r="B51" s="151"/>
      <c r="C51" s="152"/>
      <c r="D51" s="323"/>
      <c r="E51" s="155"/>
      <c r="F51" s="157"/>
      <c r="G51" s="152"/>
      <c r="H51" s="323">
        <v>41741</v>
      </c>
      <c r="I51" s="152"/>
      <c r="J51" s="157"/>
      <c r="K51" s="154" t="s">
        <v>1902</v>
      </c>
      <c r="L51" s="227">
        <v>473.47</v>
      </c>
      <c r="M51" s="157" t="s">
        <v>1889</v>
      </c>
      <c r="N51" s="227">
        <f t="shared" si="4"/>
        <v>162001.66126201052</v>
      </c>
      <c r="O51" s="152">
        <f t="shared" si="5"/>
        <v>557047.47326201061</v>
      </c>
    </row>
    <row r="52" spans="1:15" x14ac:dyDescent="0.15">
      <c r="A52" s="154"/>
      <c r="B52" s="151"/>
      <c r="C52" s="152"/>
      <c r="D52" s="323"/>
      <c r="E52" s="155"/>
      <c r="F52" s="157"/>
      <c r="G52" s="152"/>
      <c r="H52" s="323">
        <v>41741</v>
      </c>
      <c r="I52" s="152"/>
      <c r="J52" s="154"/>
      <c r="K52" s="154" t="s">
        <v>1902</v>
      </c>
      <c r="L52" s="227">
        <v>34171.85</v>
      </c>
      <c r="M52" s="157" t="s">
        <v>1889</v>
      </c>
      <c r="N52" s="227">
        <f t="shared" si="4"/>
        <v>127829.81126201051</v>
      </c>
      <c r="O52" s="152">
        <f t="shared" si="5"/>
        <v>522875.62326201063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>
        <v>41742</v>
      </c>
      <c r="I53" s="152">
        <v>2497.56</v>
      </c>
      <c r="J53" s="157" t="s">
        <v>1889</v>
      </c>
      <c r="K53" s="154" t="s">
        <v>1902</v>
      </c>
      <c r="L53" s="227">
        <v>31744.560000000001</v>
      </c>
      <c r="M53" s="157" t="s">
        <v>1889</v>
      </c>
      <c r="N53" s="227">
        <f t="shared" si="4"/>
        <v>93587.691262010514</v>
      </c>
      <c r="O53" s="152">
        <f t="shared" si="5"/>
        <v>488633.50326201064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>
        <v>41742</v>
      </c>
      <c r="I54" s="152"/>
      <c r="J54" s="154"/>
      <c r="K54" s="154" t="s">
        <v>1902</v>
      </c>
      <c r="L54" s="227">
        <v>49664.55</v>
      </c>
      <c r="M54" s="157" t="s">
        <v>1889</v>
      </c>
      <c r="N54" s="227">
        <f t="shared" si="4"/>
        <v>43923.141262010511</v>
      </c>
      <c r="O54" s="152">
        <f t="shared" si="5"/>
        <v>438968.95326201065</v>
      </c>
    </row>
    <row r="55" spans="1:15" x14ac:dyDescent="0.15">
      <c r="A55" s="154"/>
      <c r="B55" s="151"/>
      <c r="C55" s="152"/>
      <c r="D55" s="323">
        <v>41743</v>
      </c>
      <c r="E55" s="154" t="s">
        <v>72</v>
      </c>
      <c r="F55" s="157" t="s">
        <v>1891</v>
      </c>
      <c r="G55" s="152">
        <v>87776.046000000002</v>
      </c>
      <c r="H55" s="323">
        <v>41743</v>
      </c>
      <c r="I55" s="152">
        <v>1572.25</v>
      </c>
      <c r="J55" s="157" t="s">
        <v>1889</v>
      </c>
      <c r="K55" s="154" t="s">
        <v>1902</v>
      </c>
      <c r="L55" s="227">
        <v>33342.78</v>
      </c>
      <c r="M55" s="157" t="s">
        <v>1889</v>
      </c>
      <c r="N55" s="227">
        <f t="shared" si="4"/>
        <v>9008.1112620105123</v>
      </c>
      <c r="O55" s="152">
        <f t="shared" si="5"/>
        <v>491829.96926201065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41743</v>
      </c>
      <c r="I56" s="152"/>
      <c r="J56" s="154"/>
      <c r="K56" s="154" t="s">
        <v>1902</v>
      </c>
      <c r="L56" s="227">
        <v>9008.1112620105123</v>
      </c>
      <c r="M56" s="157" t="s">
        <v>1889</v>
      </c>
      <c r="N56" s="227">
        <f t="shared" si="4"/>
        <v>0</v>
      </c>
      <c r="O56" s="152">
        <f t="shared" si="5"/>
        <v>482821.85800000012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41743</v>
      </c>
      <c r="I57" s="152"/>
      <c r="J57" s="154"/>
      <c r="K57" s="154" t="s">
        <v>1902</v>
      </c>
      <c r="L57" s="227">
        <v>24474.508737989501</v>
      </c>
      <c r="M57" s="157" t="s">
        <v>1890</v>
      </c>
      <c r="N57" s="227">
        <f>G42+G43+G46+N56-I57-L57</f>
        <v>238884.5782620105</v>
      </c>
      <c r="O57" s="152">
        <f t="shared" si="5"/>
        <v>458347.3492620106</v>
      </c>
    </row>
    <row r="58" spans="1:15" x14ac:dyDescent="0.15">
      <c r="A58" s="154"/>
      <c r="B58" s="151"/>
      <c r="C58" s="152"/>
      <c r="D58" s="323">
        <v>41744</v>
      </c>
      <c r="E58" s="154" t="s">
        <v>72</v>
      </c>
      <c r="F58" s="157" t="s">
        <v>1881</v>
      </c>
      <c r="G58" s="152">
        <v>87790.599000000002</v>
      </c>
      <c r="H58" s="323">
        <v>41744</v>
      </c>
      <c r="I58" s="152">
        <v>814.84</v>
      </c>
      <c r="J58" s="157" t="s">
        <v>1890</v>
      </c>
      <c r="K58" s="154"/>
      <c r="L58" s="227"/>
      <c r="M58" s="157"/>
      <c r="N58" s="227">
        <f t="shared" si="4"/>
        <v>238069.73826201051</v>
      </c>
      <c r="O58" s="152">
        <f t="shared" si="5"/>
        <v>545323.10826201062</v>
      </c>
    </row>
    <row r="59" spans="1:15" x14ac:dyDescent="0.15">
      <c r="A59" s="154"/>
      <c r="B59" s="151"/>
      <c r="C59" s="152"/>
      <c r="D59" s="323">
        <v>41745</v>
      </c>
      <c r="E59" s="154" t="s">
        <v>72</v>
      </c>
      <c r="F59" s="157" t="s">
        <v>1881</v>
      </c>
      <c r="G59" s="152">
        <v>43896.754000000001</v>
      </c>
      <c r="H59" s="323">
        <v>41745</v>
      </c>
      <c r="I59" s="152">
        <v>8904.8599999999988</v>
      </c>
      <c r="J59" s="157" t="s">
        <v>1890</v>
      </c>
      <c r="K59" s="154"/>
      <c r="L59" s="227"/>
      <c r="M59" s="157"/>
      <c r="N59" s="227">
        <f t="shared" si="4"/>
        <v>229164.87826201052</v>
      </c>
      <c r="O59" s="152">
        <f t="shared" si="5"/>
        <v>580315.00226201059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>
        <v>41746</v>
      </c>
      <c r="I60" s="152">
        <v>659</v>
      </c>
      <c r="J60" s="157" t="s">
        <v>1890</v>
      </c>
      <c r="K60" s="154" t="s">
        <v>1902</v>
      </c>
      <c r="L60" s="227">
        <v>10014.76</v>
      </c>
      <c r="M60" s="157" t="s">
        <v>1890</v>
      </c>
      <c r="N60" s="227">
        <f t="shared" si="4"/>
        <v>218491.11826201051</v>
      </c>
      <c r="O60" s="152">
        <f t="shared" si="5"/>
        <v>569641.24226201058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>
        <v>41746</v>
      </c>
      <c r="I61" s="152"/>
      <c r="J61" s="157"/>
      <c r="K61" s="154" t="s">
        <v>1902</v>
      </c>
      <c r="L61" s="227">
        <v>13772.42</v>
      </c>
      <c r="M61" s="157" t="s">
        <v>1890</v>
      </c>
      <c r="N61" s="227">
        <f t="shared" si="4"/>
        <v>204718.6982620105</v>
      </c>
      <c r="O61" s="152">
        <f t="shared" si="5"/>
        <v>555868.82226201054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>
        <v>41746</v>
      </c>
      <c r="I62" s="152"/>
      <c r="J62" s="154"/>
      <c r="K62" s="154" t="s">
        <v>1902</v>
      </c>
      <c r="L62" s="227">
        <v>4992.8999999999996</v>
      </c>
      <c r="M62" s="157" t="s">
        <v>1890</v>
      </c>
      <c r="N62" s="227">
        <f t="shared" si="4"/>
        <v>199725.7982620105</v>
      </c>
      <c r="O62" s="152">
        <f t="shared" si="5"/>
        <v>550875.92226201051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>
        <v>41746</v>
      </c>
      <c r="I63" s="152"/>
      <c r="J63" s="157"/>
      <c r="K63" s="154" t="s">
        <v>1902</v>
      </c>
      <c r="L63" s="227">
        <v>30233.93</v>
      </c>
      <c r="M63" s="157" t="s">
        <v>1890</v>
      </c>
      <c r="N63" s="227">
        <f t="shared" si="4"/>
        <v>169491.86826201051</v>
      </c>
      <c r="O63" s="152">
        <f t="shared" si="5"/>
        <v>520641.99226201052</v>
      </c>
    </row>
    <row r="64" spans="1:15" x14ac:dyDescent="0.15">
      <c r="A64" s="154"/>
      <c r="B64" s="151"/>
      <c r="C64" s="152"/>
      <c r="D64" s="323">
        <v>41747</v>
      </c>
      <c r="E64" s="154" t="s">
        <v>72</v>
      </c>
      <c r="F64" s="157" t="s">
        <v>1882</v>
      </c>
      <c r="G64" s="152">
        <v>43899.303</v>
      </c>
      <c r="H64" s="323">
        <v>41747</v>
      </c>
      <c r="I64" s="152">
        <v>2140.6999999999998</v>
      </c>
      <c r="J64" s="157" t="s">
        <v>1890</v>
      </c>
      <c r="K64" s="154" t="s">
        <v>1902</v>
      </c>
      <c r="L64" s="227">
        <v>32180.400000000001</v>
      </c>
      <c r="M64" s="157" t="s">
        <v>1890</v>
      </c>
      <c r="N64" s="227">
        <f t="shared" si="4"/>
        <v>135170.7682620105</v>
      </c>
      <c r="O64" s="152">
        <f t="shared" si="5"/>
        <v>530220.19526201056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>
        <v>41747</v>
      </c>
      <c r="I65" s="152"/>
      <c r="J65" s="154"/>
      <c r="K65" s="154" t="s">
        <v>1902</v>
      </c>
      <c r="L65" s="227">
        <v>581.65</v>
      </c>
      <c r="M65" s="157" t="s">
        <v>1890</v>
      </c>
      <c r="N65" s="227">
        <f t="shared" si="4"/>
        <v>134589.11826201051</v>
      </c>
      <c r="O65" s="152">
        <f t="shared" si="5"/>
        <v>529638.54526201054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>
        <v>41747</v>
      </c>
      <c r="I66" s="152"/>
      <c r="J66" s="157"/>
      <c r="K66" s="154" t="s">
        <v>1902</v>
      </c>
      <c r="L66" s="227">
        <v>8774.66</v>
      </c>
      <c r="M66" s="157" t="s">
        <v>1890</v>
      </c>
      <c r="N66" s="227">
        <f t="shared" si="4"/>
        <v>125814.45826201051</v>
      </c>
      <c r="O66" s="152">
        <f t="shared" si="5"/>
        <v>520863.88526201056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>
        <v>41747</v>
      </c>
      <c r="I67" s="152"/>
      <c r="J67" s="157"/>
      <c r="K67" s="154" t="s">
        <v>1902</v>
      </c>
      <c r="L67" s="227">
        <v>34439.03</v>
      </c>
      <c r="M67" s="157" t="s">
        <v>1890</v>
      </c>
      <c r="N67" s="227">
        <f t="shared" si="4"/>
        <v>91375.428262010508</v>
      </c>
      <c r="O67" s="152">
        <f t="shared" si="5"/>
        <v>486424.85526201059</v>
      </c>
    </row>
    <row r="68" spans="1:15" x14ac:dyDescent="0.15">
      <c r="A68" s="154"/>
      <c r="B68" s="151"/>
      <c r="C68" s="152"/>
      <c r="D68" s="323">
        <v>41748</v>
      </c>
      <c r="E68" s="154" t="s">
        <v>72</v>
      </c>
      <c r="F68" s="157" t="s">
        <v>1883</v>
      </c>
      <c r="G68" s="152">
        <v>43945.841999999997</v>
      </c>
      <c r="H68" s="323">
        <v>41748</v>
      </c>
      <c r="I68" s="152">
        <v>556.89</v>
      </c>
      <c r="J68" s="157" t="s">
        <v>1890</v>
      </c>
      <c r="K68" s="154" t="s">
        <v>1902</v>
      </c>
      <c r="L68" s="227">
        <v>3238.99</v>
      </c>
      <c r="M68" s="157" t="s">
        <v>1890</v>
      </c>
      <c r="N68" s="227">
        <f t="shared" si="4"/>
        <v>87579.548262010503</v>
      </c>
      <c r="O68" s="152">
        <f t="shared" si="5"/>
        <v>526574.81726201053</v>
      </c>
    </row>
    <row r="69" spans="1:15" x14ac:dyDescent="0.15">
      <c r="A69" s="154"/>
      <c r="B69" s="151"/>
      <c r="C69" s="152"/>
      <c r="D69" s="323"/>
      <c r="E69" s="155"/>
      <c r="F69" s="157"/>
      <c r="G69" s="152"/>
      <c r="H69" s="323">
        <v>41748</v>
      </c>
      <c r="I69" s="152"/>
      <c r="J69" s="157"/>
      <c r="K69" s="154" t="s">
        <v>1902</v>
      </c>
      <c r="L69" s="227">
        <v>64566.9</v>
      </c>
      <c r="M69" s="157" t="s">
        <v>1890</v>
      </c>
      <c r="N69" s="227">
        <f t="shared" si="4"/>
        <v>23012.648262010502</v>
      </c>
      <c r="O69" s="152">
        <f t="shared" si="5"/>
        <v>462007.91726201051</v>
      </c>
    </row>
    <row r="70" spans="1:15" x14ac:dyDescent="0.15">
      <c r="A70" s="154"/>
      <c r="B70" s="151"/>
      <c r="C70" s="152"/>
      <c r="D70" s="323">
        <v>41749</v>
      </c>
      <c r="E70" s="154" t="s">
        <v>72</v>
      </c>
      <c r="F70" s="157" t="s">
        <v>1883</v>
      </c>
      <c r="G70" s="152">
        <v>43900.201000000001</v>
      </c>
      <c r="H70" s="323">
        <v>41749</v>
      </c>
      <c r="I70" s="152">
        <v>5037.93</v>
      </c>
      <c r="J70" s="157" t="s">
        <v>1890</v>
      </c>
      <c r="K70" s="154" t="s">
        <v>1902</v>
      </c>
      <c r="L70" s="227">
        <v>17974.718262010501</v>
      </c>
      <c r="M70" s="157" t="s">
        <v>1890</v>
      </c>
      <c r="N70" s="227">
        <f t="shared" si="4"/>
        <v>0</v>
      </c>
      <c r="O70" s="152">
        <f t="shared" si="5"/>
        <v>482895.47000000003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>
        <v>41749</v>
      </c>
      <c r="I71" s="152"/>
      <c r="J71" s="154"/>
      <c r="K71" s="154" t="s">
        <v>1902</v>
      </c>
      <c r="L71" s="227">
        <v>16714.1617379895</v>
      </c>
      <c r="M71" s="157" t="s">
        <v>1891</v>
      </c>
      <c r="N71" s="227">
        <f>G47+G55+N70-I71-L71</f>
        <v>202748.60926201052</v>
      </c>
      <c r="O71" s="152">
        <f t="shared" si="5"/>
        <v>466181.30826201051</v>
      </c>
    </row>
    <row r="72" spans="1:15" x14ac:dyDescent="0.15">
      <c r="A72" s="154"/>
      <c r="B72" s="151"/>
      <c r="C72" s="152"/>
      <c r="D72" s="323">
        <v>41750</v>
      </c>
      <c r="E72" s="154" t="s">
        <v>72</v>
      </c>
      <c r="F72" s="157" t="s">
        <v>1883</v>
      </c>
      <c r="G72" s="152">
        <v>43854.623</v>
      </c>
      <c r="H72" s="323">
        <v>41750</v>
      </c>
      <c r="I72" s="152"/>
      <c r="J72" s="154"/>
      <c r="K72" s="154" t="s">
        <v>1902</v>
      </c>
      <c r="L72" s="227">
        <v>33951.339999999997</v>
      </c>
      <c r="M72" s="157" t="s">
        <v>1891</v>
      </c>
      <c r="N72" s="227">
        <f t="shared" si="4"/>
        <v>168797.26926201052</v>
      </c>
      <c r="O72" s="152">
        <f t="shared" si="5"/>
        <v>476084.59126201051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>
        <v>41750</v>
      </c>
      <c r="I73" s="152"/>
      <c r="J73" s="154"/>
      <c r="K73" s="154" t="s">
        <v>1902</v>
      </c>
      <c r="L73" s="227">
        <v>56851.77</v>
      </c>
      <c r="M73" s="157" t="s">
        <v>1891</v>
      </c>
      <c r="N73" s="227">
        <f t="shared" si="4"/>
        <v>111945.49926201053</v>
      </c>
      <c r="O73" s="152">
        <f t="shared" si="5"/>
        <v>419232.82126201049</v>
      </c>
    </row>
    <row r="74" spans="1:15" x14ac:dyDescent="0.15">
      <c r="A74" s="154"/>
      <c r="B74" s="151"/>
      <c r="C74" s="152"/>
      <c r="D74" s="323">
        <v>41751</v>
      </c>
      <c r="E74" s="154" t="s">
        <v>72</v>
      </c>
      <c r="F74" s="157" t="s">
        <v>1884</v>
      </c>
      <c r="G74" s="152">
        <v>43896.582999999999</v>
      </c>
      <c r="H74" s="323">
        <v>41751</v>
      </c>
      <c r="I74" s="152"/>
      <c r="J74" s="157"/>
      <c r="K74" s="154" t="s">
        <v>1902</v>
      </c>
      <c r="L74" s="227">
        <v>13266.44</v>
      </c>
      <c r="M74" s="157" t="s">
        <v>1891</v>
      </c>
      <c r="N74" s="227">
        <f t="shared" si="4"/>
        <v>98679.059262010531</v>
      </c>
      <c r="O74" s="152">
        <f t="shared" si="5"/>
        <v>449862.96426201047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>
        <v>41751</v>
      </c>
      <c r="I75" s="152"/>
      <c r="J75" s="157"/>
      <c r="K75" s="154" t="s">
        <v>1902</v>
      </c>
      <c r="L75" s="227">
        <v>10020.709999999999</v>
      </c>
      <c r="M75" s="157" t="s">
        <v>1891</v>
      </c>
      <c r="N75" s="227">
        <f t="shared" si="4"/>
        <v>88658.349262010539</v>
      </c>
      <c r="O75" s="152">
        <f t="shared" si="5"/>
        <v>439842.25426201045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>
        <v>41751</v>
      </c>
      <c r="I76" s="152"/>
      <c r="J76" s="157"/>
      <c r="K76" s="154" t="s">
        <v>1902</v>
      </c>
      <c r="L76" s="227">
        <v>2182.4499999999998</v>
      </c>
      <c r="M76" s="157" t="s">
        <v>1891</v>
      </c>
      <c r="N76" s="227">
        <f t="shared" si="4"/>
        <v>86475.899262010542</v>
      </c>
      <c r="O76" s="152">
        <f t="shared" si="5"/>
        <v>437659.80426201044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>
        <v>41752</v>
      </c>
      <c r="I77" s="152"/>
      <c r="J77" s="154"/>
      <c r="K77" s="154" t="s">
        <v>1902</v>
      </c>
      <c r="L77" s="227">
        <v>34221.78</v>
      </c>
      <c r="M77" s="157" t="s">
        <v>1891</v>
      </c>
      <c r="N77" s="227">
        <f t="shared" si="4"/>
        <v>52254.119262010543</v>
      </c>
      <c r="O77" s="152">
        <f t="shared" si="5"/>
        <v>403438.02426201047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>
        <v>41753</v>
      </c>
      <c r="I78" s="152"/>
      <c r="J78" s="157"/>
      <c r="K78" s="154" t="s">
        <v>1902</v>
      </c>
      <c r="L78" s="227">
        <v>36541.980000000003</v>
      </c>
      <c r="M78" s="157" t="s">
        <v>1891</v>
      </c>
      <c r="N78" s="227">
        <f t="shared" si="4"/>
        <v>15712.13926201054</v>
      </c>
      <c r="O78" s="152">
        <f t="shared" si="5"/>
        <v>366896.04426201049</v>
      </c>
    </row>
    <row r="79" spans="1:15" x14ac:dyDescent="0.15">
      <c r="A79" s="154"/>
      <c r="B79" s="151"/>
      <c r="C79" s="152"/>
      <c r="D79" s="323"/>
      <c r="E79" s="155"/>
      <c r="F79" s="157"/>
      <c r="G79" s="152"/>
      <c r="H79" s="323">
        <v>41753</v>
      </c>
      <c r="I79" s="152"/>
      <c r="J79" s="154"/>
      <c r="K79" s="154" t="s">
        <v>1902</v>
      </c>
      <c r="L79" s="227">
        <v>1211.4100000000001</v>
      </c>
      <c r="M79" s="157" t="s">
        <v>1891</v>
      </c>
      <c r="N79" s="227">
        <f t="shared" si="4"/>
        <v>14500.72926201054</v>
      </c>
      <c r="O79" s="152">
        <f t="shared" si="5"/>
        <v>365684.63426201051</v>
      </c>
    </row>
    <row r="80" spans="1:15" x14ac:dyDescent="0.15">
      <c r="A80" s="154"/>
      <c r="B80" s="151"/>
      <c r="C80" s="152"/>
      <c r="D80" s="323">
        <v>41754</v>
      </c>
      <c r="E80" s="154" t="s">
        <v>72</v>
      </c>
      <c r="F80" s="157" t="s">
        <v>1884</v>
      </c>
      <c r="G80" s="152">
        <v>44026.767</v>
      </c>
      <c r="H80" s="323">
        <v>41754</v>
      </c>
      <c r="I80" s="152">
        <v>597.33000000000004</v>
      </c>
      <c r="J80" s="157" t="s">
        <v>1891</v>
      </c>
      <c r="K80" s="154"/>
      <c r="L80" s="227"/>
      <c r="M80" s="157"/>
      <c r="N80" s="227">
        <f t="shared" si="4"/>
        <v>13903.39926201054</v>
      </c>
      <c r="O80" s="152">
        <f t="shared" si="5"/>
        <v>409114.07126201049</v>
      </c>
    </row>
    <row r="81" spans="1:15" x14ac:dyDescent="0.15">
      <c r="A81" s="154"/>
      <c r="B81" s="151"/>
      <c r="C81" s="152"/>
      <c r="D81" s="323">
        <v>41755</v>
      </c>
      <c r="E81" s="154" t="s">
        <v>72</v>
      </c>
      <c r="F81" s="157" t="s">
        <v>1885</v>
      </c>
      <c r="G81" s="152">
        <v>43847.796999999999</v>
      </c>
      <c r="H81" s="323">
        <v>41755</v>
      </c>
      <c r="I81" s="152">
        <v>541.07000000000005</v>
      </c>
      <c r="J81" s="157" t="s">
        <v>1891</v>
      </c>
      <c r="K81" s="154" t="s">
        <v>1902</v>
      </c>
      <c r="L81" s="227">
        <v>13362.32926201054</v>
      </c>
      <c r="M81" s="157" t="s">
        <v>1891</v>
      </c>
      <c r="N81" s="227">
        <f t="shared" ref="N81:N144" si="18">+N80-I81-L81</f>
        <v>0</v>
      </c>
      <c r="O81" s="152">
        <f t="shared" ref="O81:O144" si="19">O80+G81-I81-L81</f>
        <v>439058.46899999998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>
        <v>41755</v>
      </c>
      <c r="I82" s="152"/>
      <c r="J82" s="157"/>
      <c r="K82" s="154" t="s">
        <v>1902</v>
      </c>
      <c r="L82" s="227">
        <v>49309.380737989501</v>
      </c>
      <c r="M82" s="157" t="s">
        <v>1881</v>
      </c>
      <c r="N82" s="227">
        <f>G58+G59+N81-I82-L82</f>
        <v>82377.972262010502</v>
      </c>
      <c r="O82" s="152">
        <f t="shared" si="19"/>
        <v>389749.08826201048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>
        <v>41756</v>
      </c>
      <c r="I83" s="152"/>
      <c r="J83" s="157"/>
      <c r="K83" s="154" t="s">
        <v>1902</v>
      </c>
      <c r="L83" s="227">
        <v>10466.879999999999</v>
      </c>
      <c r="M83" s="157" t="s">
        <v>1881</v>
      </c>
      <c r="N83" s="227">
        <f t="shared" si="18"/>
        <v>71911.092262010498</v>
      </c>
      <c r="O83" s="152">
        <f t="shared" si="19"/>
        <v>379282.20826201048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>
        <v>41756</v>
      </c>
      <c r="I84" s="152"/>
      <c r="J84" s="154"/>
      <c r="K84" s="154" t="s">
        <v>1902</v>
      </c>
      <c r="L84" s="227">
        <v>13237.31</v>
      </c>
      <c r="M84" s="157" t="s">
        <v>1881</v>
      </c>
      <c r="N84" s="227">
        <f t="shared" si="18"/>
        <v>58673.7822620105</v>
      </c>
      <c r="O84" s="152">
        <f t="shared" si="19"/>
        <v>366044.89826201048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>
        <v>41756</v>
      </c>
      <c r="I85" s="152"/>
      <c r="J85" s="157"/>
      <c r="K85" s="154" t="s">
        <v>1902</v>
      </c>
      <c r="L85" s="227">
        <v>742.32</v>
      </c>
      <c r="M85" s="157" t="s">
        <v>1881</v>
      </c>
      <c r="N85" s="227">
        <f t="shared" si="18"/>
        <v>57931.4622620105</v>
      </c>
      <c r="O85" s="152">
        <f t="shared" si="19"/>
        <v>365302.57826201047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>
        <v>41759</v>
      </c>
      <c r="I86" s="152">
        <v>5638.7</v>
      </c>
      <c r="J86" s="157" t="s">
        <v>1881</v>
      </c>
      <c r="K86" s="154"/>
      <c r="L86" s="227"/>
      <c r="M86" s="157"/>
      <c r="N86" s="227">
        <f t="shared" si="18"/>
        <v>52292.762262010503</v>
      </c>
      <c r="O86" s="152">
        <f t="shared" si="19"/>
        <v>359663.87826201046</v>
      </c>
    </row>
    <row r="87" spans="1:15" hidden="1" x14ac:dyDescent="0.15">
      <c r="A87" s="154"/>
      <c r="B87" s="151"/>
      <c r="C87" s="152"/>
      <c r="D87" s="323"/>
      <c r="E87" s="155"/>
      <c r="F87" s="157"/>
      <c r="G87" s="152"/>
      <c r="H87" s="323"/>
      <c r="I87" s="152"/>
      <c r="J87" s="154"/>
      <c r="K87" s="154"/>
      <c r="L87" s="227"/>
      <c r="M87" s="157"/>
      <c r="N87" s="227">
        <f t="shared" si="18"/>
        <v>52292.762262010503</v>
      </c>
      <c r="O87" s="152">
        <f t="shared" si="19"/>
        <v>359663.87826201046</v>
      </c>
    </row>
    <row r="88" spans="1:15" hidden="1" x14ac:dyDescent="0.15">
      <c r="A88" s="154"/>
      <c r="B88" s="151"/>
      <c r="C88" s="152"/>
      <c r="D88" s="323"/>
      <c r="E88" s="155"/>
      <c r="F88" s="157"/>
      <c r="G88" s="152"/>
      <c r="H88" s="323"/>
      <c r="I88" s="152"/>
      <c r="J88" s="157"/>
      <c r="K88" s="154"/>
      <c r="L88" s="227"/>
      <c r="M88" s="157"/>
      <c r="N88" s="227">
        <f t="shared" si="18"/>
        <v>52292.762262010503</v>
      </c>
      <c r="O88" s="152">
        <f t="shared" si="19"/>
        <v>359663.87826201046</v>
      </c>
    </row>
    <row r="89" spans="1:15" hidden="1" x14ac:dyDescent="0.15">
      <c r="A89" s="154"/>
      <c r="B89" s="151"/>
      <c r="C89" s="152"/>
      <c r="D89" s="323"/>
      <c r="E89" s="155"/>
      <c r="F89" s="157"/>
      <c r="G89" s="152"/>
      <c r="H89" s="323"/>
      <c r="I89" s="152"/>
      <c r="J89" s="157"/>
      <c r="K89" s="154"/>
      <c r="L89" s="227"/>
      <c r="M89" s="157"/>
      <c r="N89" s="227">
        <f t="shared" si="18"/>
        <v>52292.762262010503</v>
      </c>
      <c r="O89" s="152">
        <f t="shared" si="19"/>
        <v>359663.87826201046</v>
      </c>
    </row>
    <row r="90" spans="1:15" hidden="1" x14ac:dyDescent="0.15">
      <c r="A90" s="154"/>
      <c r="B90" s="151"/>
      <c r="C90" s="152"/>
      <c r="D90" s="323"/>
      <c r="E90" s="155"/>
      <c r="F90" s="157"/>
      <c r="G90" s="152"/>
      <c r="H90" s="323"/>
      <c r="I90" s="152"/>
      <c r="J90" s="157"/>
      <c r="K90" s="154"/>
      <c r="L90" s="227"/>
      <c r="M90" s="157"/>
      <c r="N90" s="227">
        <f t="shared" si="18"/>
        <v>52292.762262010503</v>
      </c>
      <c r="O90" s="152">
        <f t="shared" si="19"/>
        <v>359663.87826201046</v>
      </c>
    </row>
    <row r="91" spans="1:15" hidden="1" x14ac:dyDescent="0.15">
      <c r="A91" s="154"/>
      <c r="B91" s="151"/>
      <c r="C91" s="152"/>
      <c r="D91" s="323"/>
      <c r="E91" s="154"/>
      <c r="F91" s="157"/>
      <c r="G91" s="152"/>
      <c r="H91" s="323"/>
      <c r="I91" s="152"/>
      <c r="J91" s="157"/>
      <c r="K91" s="154"/>
      <c r="L91" s="227"/>
      <c r="M91" s="157"/>
      <c r="N91" s="227">
        <f t="shared" si="18"/>
        <v>52292.762262010503</v>
      </c>
      <c r="O91" s="152">
        <f t="shared" si="19"/>
        <v>359663.87826201046</v>
      </c>
    </row>
    <row r="92" spans="1:15" hidden="1" x14ac:dyDescent="0.15">
      <c r="A92" s="154"/>
      <c r="B92" s="151"/>
      <c r="C92" s="152"/>
      <c r="D92" s="323"/>
      <c r="E92" s="155"/>
      <c r="F92" s="157"/>
      <c r="G92" s="152"/>
      <c r="H92" s="323"/>
      <c r="I92" s="152"/>
      <c r="J92" s="154"/>
      <c r="K92" s="154"/>
      <c r="L92" s="227"/>
      <c r="M92" s="157"/>
      <c r="N92" s="227">
        <f t="shared" si="18"/>
        <v>52292.762262010503</v>
      </c>
      <c r="O92" s="152">
        <f t="shared" si="19"/>
        <v>359663.87826201046</v>
      </c>
    </row>
    <row r="93" spans="1:15" hidden="1" x14ac:dyDescent="0.15">
      <c r="A93" s="154"/>
      <c r="B93" s="151"/>
      <c r="C93" s="152"/>
      <c r="D93" s="323"/>
      <c r="E93" s="154"/>
      <c r="F93" s="157"/>
      <c r="G93" s="152"/>
      <c r="H93" s="323"/>
      <c r="I93" s="152"/>
      <c r="J93" s="154"/>
      <c r="K93" s="154"/>
      <c r="L93" s="227"/>
      <c r="M93" s="157"/>
      <c r="N93" s="227">
        <f t="shared" si="18"/>
        <v>52292.762262010503</v>
      </c>
      <c r="O93" s="152">
        <f t="shared" si="19"/>
        <v>359663.87826201046</v>
      </c>
    </row>
    <row r="94" spans="1:15" hidden="1" x14ac:dyDescent="0.15">
      <c r="A94" s="154"/>
      <c r="B94" s="151"/>
      <c r="C94" s="152"/>
      <c r="D94" s="323"/>
      <c r="E94" s="154"/>
      <c r="F94" s="157"/>
      <c r="G94" s="152"/>
      <c r="H94" s="323"/>
      <c r="I94" s="152"/>
      <c r="J94" s="157"/>
      <c r="K94" s="154"/>
      <c r="L94" s="227"/>
      <c r="M94" s="157"/>
      <c r="N94" s="227">
        <f t="shared" si="18"/>
        <v>52292.762262010503</v>
      </c>
      <c r="O94" s="152">
        <f t="shared" si="19"/>
        <v>359663.87826201046</v>
      </c>
    </row>
    <row r="95" spans="1:15" hidden="1" x14ac:dyDescent="0.15">
      <c r="A95" s="154"/>
      <c r="B95" s="151"/>
      <c r="C95" s="152"/>
      <c r="D95" s="323"/>
      <c r="E95" s="154"/>
      <c r="F95" s="157"/>
      <c r="G95" s="152"/>
      <c r="H95" s="323"/>
      <c r="I95" s="152"/>
      <c r="J95" s="157"/>
      <c r="K95" s="154"/>
      <c r="L95" s="227"/>
      <c r="M95" s="157"/>
      <c r="N95" s="227">
        <f t="shared" si="18"/>
        <v>52292.762262010503</v>
      </c>
      <c r="O95" s="152">
        <f t="shared" si="19"/>
        <v>359663.87826201046</v>
      </c>
    </row>
    <row r="96" spans="1:15" hidden="1" x14ac:dyDescent="0.15">
      <c r="A96" s="154"/>
      <c r="B96" s="151"/>
      <c r="C96" s="152"/>
      <c r="D96" s="323"/>
      <c r="E96" s="154"/>
      <c r="F96" s="157"/>
      <c r="G96" s="152"/>
      <c r="H96" s="323"/>
      <c r="I96" s="152"/>
      <c r="J96" s="157"/>
      <c r="K96" s="154"/>
      <c r="L96" s="227"/>
      <c r="M96" s="157"/>
      <c r="N96" s="227">
        <f t="shared" si="18"/>
        <v>52292.762262010503</v>
      </c>
      <c r="O96" s="152">
        <f t="shared" si="19"/>
        <v>359663.87826201046</v>
      </c>
    </row>
    <row r="97" spans="1:15" hidden="1" x14ac:dyDescent="0.15">
      <c r="A97" s="154"/>
      <c r="B97" s="151"/>
      <c r="C97" s="152"/>
      <c r="D97" s="323"/>
      <c r="E97" s="154"/>
      <c r="F97" s="157"/>
      <c r="G97" s="152"/>
      <c r="H97" s="323"/>
      <c r="I97" s="152"/>
      <c r="J97" s="154"/>
      <c r="K97" s="154"/>
      <c r="L97" s="227"/>
      <c r="M97" s="157"/>
      <c r="N97" s="227">
        <f t="shared" si="18"/>
        <v>52292.762262010503</v>
      </c>
      <c r="O97" s="152">
        <f t="shared" si="19"/>
        <v>359663.87826201046</v>
      </c>
    </row>
    <row r="98" spans="1:15" hidden="1" x14ac:dyDescent="0.15">
      <c r="A98" s="154"/>
      <c r="B98" s="151"/>
      <c r="C98" s="152"/>
      <c r="D98" s="323"/>
      <c r="E98" s="154"/>
      <c r="F98" s="157"/>
      <c r="G98" s="152"/>
      <c r="H98" s="323"/>
      <c r="I98" s="152"/>
      <c r="J98" s="154"/>
      <c r="K98" s="154"/>
      <c r="L98" s="227"/>
      <c r="M98" s="157"/>
      <c r="N98" s="227">
        <f t="shared" si="18"/>
        <v>52292.762262010503</v>
      </c>
      <c r="O98" s="152">
        <f t="shared" si="19"/>
        <v>359663.87826201046</v>
      </c>
    </row>
    <row r="99" spans="1:15" hidden="1" x14ac:dyDescent="0.15">
      <c r="A99" s="154"/>
      <c r="B99" s="151"/>
      <c r="C99" s="152"/>
      <c r="D99" s="323"/>
      <c r="E99" s="154"/>
      <c r="F99" s="157"/>
      <c r="G99" s="152"/>
      <c r="H99" s="323"/>
      <c r="I99" s="152"/>
      <c r="J99" s="157"/>
      <c r="K99" s="154"/>
      <c r="L99" s="227"/>
      <c r="M99" s="157"/>
      <c r="N99" s="227">
        <f t="shared" si="18"/>
        <v>52292.762262010503</v>
      </c>
      <c r="O99" s="152">
        <f t="shared" si="19"/>
        <v>359663.87826201046</v>
      </c>
    </row>
    <row r="100" spans="1:15" hidden="1" x14ac:dyDescent="0.15">
      <c r="A100" s="154"/>
      <c r="B100" s="151"/>
      <c r="C100" s="152"/>
      <c r="D100" s="323"/>
      <c r="E100" s="154"/>
      <c r="F100" s="157"/>
      <c r="G100" s="152"/>
      <c r="H100" s="323"/>
      <c r="I100" s="152"/>
      <c r="J100" s="157"/>
      <c r="K100" s="154"/>
      <c r="L100" s="227"/>
      <c r="M100" s="157"/>
      <c r="N100" s="227">
        <f t="shared" si="18"/>
        <v>52292.762262010503</v>
      </c>
      <c r="O100" s="152">
        <f t="shared" si="19"/>
        <v>359663.87826201046</v>
      </c>
    </row>
    <row r="101" spans="1:15" hidden="1" x14ac:dyDescent="0.15">
      <c r="A101" s="154"/>
      <c r="B101" s="151"/>
      <c r="C101" s="152"/>
      <c r="D101" s="323"/>
      <c r="E101" s="154"/>
      <c r="F101" s="157"/>
      <c r="G101" s="152"/>
      <c r="H101" s="323"/>
      <c r="I101" s="152"/>
      <c r="J101" s="157"/>
      <c r="K101" s="154"/>
      <c r="L101" s="227"/>
      <c r="M101" s="157"/>
      <c r="N101" s="227">
        <f t="shared" si="18"/>
        <v>52292.762262010503</v>
      </c>
      <c r="O101" s="152">
        <f t="shared" si="19"/>
        <v>359663.87826201046</v>
      </c>
    </row>
    <row r="102" spans="1:15" hidden="1" x14ac:dyDescent="0.15">
      <c r="A102" s="154"/>
      <c r="B102" s="151"/>
      <c r="C102" s="152"/>
      <c r="D102" s="323"/>
      <c r="E102" s="154"/>
      <c r="F102" s="157"/>
      <c r="G102" s="152"/>
      <c r="H102" s="323"/>
      <c r="I102" s="152"/>
      <c r="J102" s="157"/>
      <c r="K102" s="154"/>
      <c r="L102" s="227"/>
      <c r="M102" s="157"/>
      <c r="N102" s="227">
        <f t="shared" si="18"/>
        <v>52292.762262010503</v>
      </c>
      <c r="O102" s="152">
        <f t="shared" si="19"/>
        <v>359663.87826201046</v>
      </c>
    </row>
    <row r="103" spans="1:15" hidden="1" x14ac:dyDescent="0.15">
      <c r="A103" s="154"/>
      <c r="B103" s="151"/>
      <c r="C103" s="152"/>
      <c r="D103" s="323"/>
      <c r="E103" s="154"/>
      <c r="F103" s="157"/>
      <c r="G103" s="152"/>
      <c r="H103" s="323"/>
      <c r="I103" s="152"/>
      <c r="J103" s="157"/>
      <c r="K103" s="154"/>
      <c r="L103" s="227"/>
      <c r="M103" s="157"/>
      <c r="N103" s="227">
        <f t="shared" si="18"/>
        <v>52292.762262010503</v>
      </c>
      <c r="O103" s="152">
        <f t="shared" si="19"/>
        <v>359663.87826201046</v>
      </c>
    </row>
    <row r="104" spans="1:15" hidden="1" x14ac:dyDescent="0.15">
      <c r="A104" s="154"/>
      <c r="B104" s="151"/>
      <c r="C104" s="152"/>
      <c r="D104" s="323"/>
      <c r="E104" s="154"/>
      <c r="F104" s="154"/>
      <c r="G104" s="152"/>
      <c r="H104" s="323"/>
      <c r="I104" s="152"/>
      <c r="J104" s="157"/>
      <c r="K104" s="154"/>
      <c r="L104" s="227"/>
      <c r="M104" s="157"/>
      <c r="N104" s="227">
        <f t="shared" si="18"/>
        <v>52292.762262010503</v>
      </c>
      <c r="O104" s="152">
        <f t="shared" si="19"/>
        <v>359663.87826201046</v>
      </c>
    </row>
    <row r="105" spans="1:15" hidden="1" x14ac:dyDescent="0.15">
      <c r="A105" s="154"/>
      <c r="B105" s="151"/>
      <c r="C105" s="152"/>
      <c r="D105" s="323"/>
      <c r="E105" s="155"/>
      <c r="F105" s="154"/>
      <c r="G105" s="152"/>
      <c r="H105" s="323"/>
      <c r="I105" s="152"/>
      <c r="J105" s="157"/>
      <c r="K105" s="154"/>
      <c r="L105" s="152"/>
      <c r="M105" s="157"/>
      <c r="N105" s="227">
        <f t="shared" si="18"/>
        <v>52292.762262010503</v>
      </c>
      <c r="O105" s="152">
        <f t="shared" si="19"/>
        <v>359663.87826201046</v>
      </c>
    </row>
    <row r="106" spans="1:15" hidden="1" x14ac:dyDescent="0.15">
      <c r="A106" s="154"/>
      <c r="B106" s="151"/>
      <c r="C106" s="152"/>
      <c r="D106" s="323"/>
      <c r="E106" s="154"/>
      <c r="F106" s="157"/>
      <c r="G106" s="152"/>
      <c r="H106" s="323"/>
      <c r="I106" s="152"/>
      <c r="J106" s="157"/>
      <c r="K106" s="154"/>
      <c r="L106" s="227"/>
      <c r="M106" s="157"/>
      <c r="N106" s="227">
        <f t="shared" si="18"/>
        <v>52292.762262010503</v>
      </c>
      <c r="O106" s="152">
        <f t="shared" si="19"/>
        <v>359663.87826201046</v>
      </c>
    </row>
    <row r="107" spans="1:15" hidden="1" x14ac:dyDescent="0.15">
      <c r="A107" s="154"/>
      <c r="B107" s="151"/>
      <c r="C107" s="152"/>
      <c r="D107" s="323"/>
      <c r="E107" s="154"/>
      <c r="F107" s="154"/>
      <c r="G107" s="152"/>
      <c r="H107" s="323"/>
      <c r="I107" s="152"/>
      <c r="J107" s="157"/>
      <c r="K107" s="154"/>
      <c r="L107" s="227"/>
      <c r="M107" s="157"/>
      <c r="N107" s="227">
        <f t="shared" si="18"/>
        <v>52292.762262010503</v>
      </c>
      <c r="O107" s="152">
        <f t="shared" si="19"/>
        <v>359663.87826201046</v>
      </c>
    </row>
    <row r="108" spans="1:15" hidden="1" x14ac:dyDescent="0.15">
      <c r="A108" s="154"/>
      <c r="B108" s="151"/>
      <c r="C108" s="152"/>
      <c r="D108" s="323"/>
      <c r="E108" s="154"/>
      <c r="F108" s="157"/>
      <c r="G108" s="152"/>
      <c r="H108" s="323"/>
      <c r="I108" s="152"/>
      <c r="J108" s="157"/>
      <c r="K108" s="154"/>
      <c r="L108" s="227"/>
      <c r="M108" s="157"/>
      <c r="N108" s="227">
        <f t="shared" si="18"/>
        <v>52292.762262010503</v>
      </c>
      <c r="O108" s="152">
        <f t="shared" si="19"/>
        <v>359663.87826201046</v>
      </c>
    </row>
    <row r="109" spans="1:15" hidden="1" x14ac:dyDescent="0.15">
      <c r="A109" s="154"/>
      <c r="B109" s="151"/>
      <c r="C109" s="152"/>
      <c r="D109" s="323"/>
      <c r="E109" s="154"/>
      <c r="F109" s="157"/>
      <c r="G109" s="152"/>
      <c r="H109" s="323"/>
      <c r="I109" s="152"/>
      <c r="J109" s="157"/>
      <c r="K109" s="154"/>
      <c r="L109" s="227"/>
      <c r="M109" s="157"/>
      <c r="N109" s="227">
        <f t="shared" si="18"/>
        <v>52292.762262010503</v>
      </c>
      <c r="O109" s="152">
        <f t="shared" si="19"/>
        <v>359663.87826201046</v>
      </c>
    </row>
    <row r="110" spans="1:15" hidden="1" x14ac:dyDescent="0.15">
      <c r="A110" s="154"/>
      <c r="B110" s="151"/>
      <c r="C110" s="152"/>
      <c r="D110" s="323"/>
      <c r="E110" s="154"/>
      <c r="F110" s="154"/>
      <c r="G110" s="152"/>
      <c r="H110" s="323"/>
      <c r="I110" s="152"/>
      <c r="J110" s="157"/>
      <c r="K110" s="154"/>
      <c r="L110" s="227"/>
      <c r="M110" s="157"/>
      <c r="N110" s="227">
        <f t="shared" si="18"/>
        <v>52292.762262010503</v>
      </c>
      <c r="O110" s="152">
        <f t="shared" si="19"/>
        <v>359663.87826201046</v>
      </c>
    </row>
    <row r="111" spans="1:15" hidden="1" x14ac:dyDescent="0.15">
      <c r="A111" s="154"/>
      <c r="B111" s="151"/>
      <c r="C111" s="152"/>
      <c r="D111" s="323"/>
      <c r="E111" s="154"/>
      <c r="F111" s="157"/>
      <c r="G111" s="152"/>
      <c r="H111" s="323"/>
      <c r="I111" s="152"/>
      <c r="J111" s="157"/>
      <c r="K111" s="154"/>
      <c r="L111" s="227"/>
      <c r="M111" s="157"/>
      <c r="N111" s="227">
        <f t="shared" si="18"/>
        <v>52292.762262010503</v>
      </c>
      <c r="O111" s="152">
        <f t="shared" si="19"/>
        <v>359663.87826201046</v>
      </c>
    </row>
    <row r="112" spans="1:15" hidden="1" x14ac:dyDescent="0.15">
      <c r="A112" s="154"/>
      <c r="B112" s="151"/>
      <c r="C112" s="152"/>
      <c r="D112" s="323"/>
      <c r="E112" s="154"/>
      <c r="F112" s="157"/>
      <c r="G112" s="152"/>
      <c r="H112" s="323"/>
      <c r="I112" s="152"/>
      <c r="J112" s="157"/>
      <c r="K112" s="154"/>
      <c r="L112" s="227"/>
      <c r="M112" s="157"/>
      <c r="N112" s="227">
        <f t="shared" si="18"/>
        <v>52292.762262010503</v>
      </c>
      <c r="O112" s="152">
        <f t="shared" si="19"/>
        <v>359663.87826201046</v>
      </c>
    </row>
    <row r="113" spans="1:15" hidden="1" x14ac:dyDescent="0.15">
      <c r="A113" s="154"/>
      <c r="B113" s="151"/>
      <c r="C113" s="152"/>
      <c r="D113" s="323"/>
      <c r="E113" s="155"/>
      <c r="F113" s="157"/>
      <c r="G113" s="152"/>
      <c r="H113" s="323"/>
      <c r="I113" s="152"/>
      <c r="J113" s="157"/>
      <c r="K113" s="154"/>
      <c r="L113" s="227"/>
      <c r="M113" s="157"/>
      <c r="N113" s="227">
        <f t="shared" si="18"/>
        <v>52292.762262010503</v>
      </c>
      <c r="O113" s="152">
        <f t="shared" si="19"/>
        <v>359663.87826201046</v>
      </c>
    </row>
    <row r="114" spans="1:15" hidden="1" x14ac:dyDescent="0.15">
      <c r="A114" s="154"/>
      <c r="B114" s="151"/>
      <c r="C114" s="152"/>
      <c r="D114" s="323"/>
      <c r="E114" s="154"/>
      <c r="F114" s="157"/>
      <c r="G114" s="152"/>
      <c r="H114" s="323"/>
      <c r="I114" s="152"/>
      <c r="J114" s="157"/>
      <c r="K114" s="154"/>
      <c r="L114" s="227"/>
      <c r="M114" s="157"/>
      <c r="N114" s="227">
        <f t="shared" si="18"/>
        <v>52292.762262010503</v>
      </c>
      <c r="O114" s="152">
        <f t="shared" si="19"/>
        <v>359663.87826201046</v>
      </c>
    </row>
    <row r="115" spans="1:15" hidden="1" x14ac:dyDescent="0.15">
      <c r="A115" s="154"/>
      <c r="B115" s="151"/>
      <c r="C115" s="152"/>
      <c r="D115" s="323"/>
      <c r="E115" s="154"/>
      <c r="F115" s="157"/>
      <c r="G115" s="152"/>
      <c r="H115" s="323"/>
      <c r="I115" s="152"/>
      <c r="J115" s="154"/>
      <c r="K115" s="154"/>
      <c r="L115" s="227"/>
      <c r="M115" s="157"/>
      <c r="N115" s="227">
        <f t="shared" si="18"/>
        <v>52292.762262010503</v>
      </c>
      <c r="O115" s="152">
        <f t="shared" si="19"/>
        <v>359663.87826201046</v>
      </c>
    </row>
    <row r="116" spans="1:15" hidden="1" x14ac:dyDescent="0.15">
      <c r="A116" s="154"/>
      <c r="B116" s="151"/>
      <c r="C116" s="152"/>
      <c r="D116" s="323"/>
      <c r="E116" s="154"/>
      <c r="F116" s="154"/>
      <c r="G116" s="152"/>
      <c r="H116" s="323"/>
      <c r="I116" s="152"/>
      <c r="J116" s="157"/>
      <c r="K116" s="154"/>
      <c r="L116" s="227"/>
      <c r="M116" s="157"/>
      <c r="N116" s="227">
        <f t="shared" si="18"/>
        <v>52292.762262010503</v>
      </c>
      <c r="O116" s="152">
        <f t="shared" si="19"/>
        <v>359663.87826201046</v>
      </c>
    </row>
    <row r="117" spans="1:15" hidden="1" x14ac:dyDescent="0.15">
      <c r="A117" s="154"/>
      <c r="B117" s="151"/>
      <c r="C117" s="152"/>
      <c r="D117" s="323"/>
      <c r="E117" s="154"/>
      <c r="F117" s="157"/>
      <c r="G117" s="152"/>
      <c r="H117" s="323"/>
      <c r="I117" s="152"/>
      <c r="J117" s="157"/>
      <c r="K117" s="154"/>
      <c r="L117" s="227"/>
      <c r="M117" s="157"/>
      <c r="N117" s="227">
        <f t="shared" si="18"/>
        <v>52292.762262010503</v>
      </c>
      <c r="O117" s="152">
        <f t="shared" si="19"/>
        <v>359663.87826201046</v>
      </c>
    </row>
    <row r="118" spans="1:15" hidden="1" x14ac:dyDescent="0.15">
      <c r="A118" s="154"/>
      <c r="B118" s="151"/>
      <c r="C118" s="152"/>
      <c r="D118" s="323"/>
      <c r="E118" s="154"/>
      <c r="F118" s="157"/>
      <c r="G118" s="152"/>
      <c r="H118" s="323"/>
      <c r="I118" s="152"/>
      <c r="J118" s="157"/>
      <c r="K118" s="154"/>
      <c r="L118" s="227"/>
      <c r="M118" s="154"/>
      <c r="N118" s="227">
        <f t="shared" si="18"/>
        <v>52292.762262010503</v>
      </c>
      <c r="O118" s="152">
        <f t="shared" si="19"/>
        <v>359663.87826201046</v>
      </c>
    </row>
    <row r="119" spans="1:15" hidden="1" x14ac:dyDescent="0.15">
      <c r="A119" s="154"/>
      <c r="B119" s="151"/>
      <c r="C119" s="152"/>
      <c r="D119" s="323"/>
      <c r="E119" s="155"/>
      <c r="F119" s="157"/>
      <c r="G119" s="152"/>
      <c r="H119" s="323"/>
      <c r="I119" s="152"/>
      <c r="J119" s="157"/>
      <c r="K119" s="154"/>
      <c r="L119" s="227"/>
      <c r="M119" s="154"/>
      <c r="N119" s="227">
        <f t="shared" si="18"/>
        <v>52292.762262010503</v>
      </c>
      <c r="O119" s="152">
        <f t="shared" si="19"/>
        <v>359663.87826201046</v>
      </c>
    </row>
    <row r="120" spans="1:15" hidden="1" x14ac:dyDescent="0.15">
      <c r="A120" s="154"/>
      <c r="B120" s="151"/>
      <c r="C120" s="152"/>
      <c r="D120" s="323"/>
      <c r="E120" s="154"/>
      <c r="F120" s="157"/>
      <c r="G120" s="152"/>
      <c r="H120" s="323"/>
      <c r="I120" s="152"/>
      <c r="J120" s="157"/>
      <c r="K120" s="154"/>
      <c r="L120" s="227"/>
      <c r="M120" s="154"/>
      <c r="N120" s="227">
        <f t="shared" si="18"/>
        <v>52292.762262010503</v>
      </c>
      <c r="O120" s="152">
        <f t="shared" si="19"/>
        <v>359663.87826201046</v>
      </c>
    </row>
    <row r="121" spans="1:15" hidden="1" x14ac:dyDescent="0.15">
      <c r="A121" s="154"/>
      <c r="B121" s="151"/>
      <c r="C121" s="152"/>
      <c r="D121" s="323"/>
      <c r="E121" s="154"/>
      <c r="F121" s="157"/>
      <c r="G121" s="152"/>
      <c r="H121" s="323"/>
      <c r="I121" s="152"/>
      <c r="J121" s="157"/>
      <c r="K121" s="154"/>
      <c r="L121" s="227"/>
      <c r="M121" s="154"/>
      <c r="N121" s="227">
        <f t="shared" si="18"/>
        <v>52292.762262010503</v>
      </c>
      <c r="O121" s="152">
        <f t="shared" si="19"/>
        <v>359663.87826201046</v>
      </c>
    </row>
    <row r="122" spans="1:15" hidden="1" x14ac:dyDescent="0.15">
      <c r="A122" s="154"/>
      <c r="B122" s="151"/>
      <c r="C122" s="152"/>
      <c r="D122" s="323"/>
      <c r="E122" s="154"/>
      <c r="F122" s="157"/>
      <c r="G122" s="152"/>
      <c r="H122" s="323"/>
      <c r="I122" s="152"/>
      <c r="J122" s="157"/>
      <c r="K122" s="154"/>
      <c r="L122" s="227"/>
      <c r="M122" s="154"/>
      <c r="N122" s="227">
        <f t="shared" si="18"/>
        <v>52292.762262010503</v>
      </c>
      <c r="O122" s="152">
        <f t="shared" si="19"/>
        <v>359663.87826201046</v>
      </c>
    </row>
    <row r="123" spans="1:15" hidden="1" x14ac:dyDescent="0.15">
      <c r="A123" s="154"/>
      <c r="B123" s="151"/>
      <c r="C123" s="152"/>
      <c r="D123" s="323"/>
      <c r="E123" s="154"/>
      <c r="F123" s="157"/>
      <c r="G123" s="152"/>
      <c r="H123" s="323"/>
      <c r="I123" s="152"/>
      <c r="J123" s="157"/>
      <c r="K123" s="154"/>
      <c r="L123" s="227"/>
      <c r="M123" s="154"/>
      <c r="N123" s="227">
        <f t="shared" si="18"/>
        <v>52292.762262010503</v>
      </c>
      <c r="O123" s="152">
        <f t="shared" si="19"/>
        <v>359663.87826201046</v>
      </c>
    </row>
    <row r="124" spans="1:15" hidden="1" x14ac:dyDescent="0.15">
      <c r="A124" s="154"/>
      <c r="B124" s="151"/>
      <c r="C124" s="152"/>
      <c r="D124" s="323"/>
      <c r="E124" s="154"/>
      <c r="F124" s="157"/>
      <c r="G124" s="152"/>
      <c r="H124" s="323"/>
      <c r="I124" s="152"/>
      <c r="J124" s="157"/>
      <c r="K124" s="154"/>
      <c r="L124" s="227"/>
      <c r="M124" s="154"/>
      <c r="N124" s="227">
        <f t="shared" si="18"/>
        <v>52292.762262010503</v>
      </c>
      <c r="O124" s="152">
        <f t="shared" si="19"/>
        <v>359663.87826201046</v>
      </c>
    </row>
    <row r="125" spans="1:15" hidden="1" x14ac:dyDescent="0.15">
      <c r="A125" s="154"/>
      <c r="B125" s="151"/>
      <c r="C125" s="152"/>
      <c r="D125" s="323"/>
      <c r="E125" s="154"/>
      <c r="F125" s="157"/>
      <c r="G125" s="152"/>
      <c r="H125" s="323"/>
      <c r="I125" s="152"/>
      <c r="J125" s="157"/>
      <c r="K125" s="154"/>
      <c r="L125" s="227"/>
      <c r="M125" s="154"/>
      <c r="N125" s="227">
        <f t="shared" si="18"/>
        <v>52292.762262010503</v>
      </c>
      <c r="O125" s="152">
        <f t="shared" si="19"/>
        <v>359663.87826201046</v>
      </c>
    </row>
    <row r="126" spans="1:15" hidden="1" x14ac:dyDescent="0.15">
      <c r="A126" s="154"/>
      <c r="B126" s="151"/>
      <c r="C126" s="152"/>
      <c r="D126" s="323"/>
      <c r="E126" s="154"/>
      <c r="F126" s="157"/>
      <c r="G126" s="152"/>
      <c r="H126" s="323"/>
      <c r="I126" s="152"/>
      <c r="J126" s="157"/>
      <c r="K126" s="154"/>
      <c r="L126" s="227"/>
      <c r="M126" s="154"/>
      <c r="N126" s="227">
        <f t="shared" si="18"/>
        <v>52292.762262010503</v>
      </c>
      <c r="O126" s="152">
        <f t="shared" si="19"/>
        <v>359663.87826201046</v>
      </c>
    </row>
    <row r="127" spans="1:15" hidden="1" x14ac:dyDescent="0.15">
      <c r="A127" s="154"/>
      <c r="B127" s="151"/>
      <c r="C127" s="152"/>
      <c r="D127" s="323"/>
      <c r="E127" s="154"/>
      <c r="F127" s="157"/>
      <c r="G127" s="152"/>
      <c r="H127" s="323"/>
      <c r="I127" s="152"/>
      <c r="J127" s="157"/>
      <c r="K127" s="154"/>
      <c r="L127" s="227"/>
      <c r="M127" s="154"/>
      <c r="N127" s="227">
        <f t="shared" si="18"/>
        <v>52292.762262010503</v>
      </c>
      <c r="O127" s="152">
        <f t="shared" si="19"/>
        <v>359663.87826201046</v>
      </c>
    </row>
    <row r="128" spans="1:15" hidden="1" x14ac:dyDescent="0.15">
      <c r="A128" s="154"/>
      <c r="B128" s="151"/>
      <c r="C128" s="152"/>
      <c r="D128" s="323"/>
      <c r="E128" s="154"/>
      <c r="F128" s="157"/>
      <c r="G128" s="152"/>
      <c r="H128" s="323"/>
      <c r="I128" s="152"/>
      <c r="J128" s="157"/>
      <c r="K128" s="154"/>
      <c r="L128" s="227"/>
      <c r="M128" s="154"/>
      <c r="N128" s="227">
        <f t="shared" si="18"/>
        <v>52292.762262010503</v>
      </c>
      <c r="O128" s="152">
        <f t="shared" si="19"/>
        <v>359663.87826201046</v>
      </c>
    </row>
    <row r="129" spans="1:15" hidden="1" x14ac:dyDescent="0.15">
      <c r="A129" s="154"/>
      <c r="B129" s="151"/>
      <c r="C129" s="152"/>
      <c r="D129" s="323"/>
      <c r="E129" s="154"/>
      <c r="F129" s="157"/>
      <c r="G129" s="152"/>
      <c r="H129" s="323"/>
      <c r="I129" s="152"/>
      <c r="J129" s="157"/>
      <c r="K129" s="154"/>
      <c r="L129" s="227"/>
      <c r="M129" s="154"/>
      <c r="N129" s="227">
        <f t="shared" si="18"/>
        <v>52292.762262010503</v>
      </c>
      <c r="O129" s="152">
        <f t="shared" si="19"/>
        <v>359663.87826201046</v>
      </c>
    </row>
    <row r="130" spans="1:15" hidden="1" x14ac:dyDescent="0.15">
      <c r="A130" s="154"/>
      <c r="B130" s="151"/>
      <c r="C130" s="152"/>
      <c r="D130" s="323"/>
      <c r="E130" s="154"/>
      <c r="F130" s="157"/>
      <c r="G130" s="152"/>
      <c r="H130" s="323"/>
      <c r="I130" s="152"/>
      <c r="J130" s="157"/>
      <c r="K130" s="154"/>
      <c r="L130" s="227"/>
      <c r="M130" s="157"/>
      <c r="N130" s="227">
        <f t="shared" si="18"/>
        <v>52292.762262010503</v>
      </c>
      <c r="O130" s="152">
        <f t="shared" si="19"/>
        <v>359663.87826201046</v>
      </c>
    </row>
    <row r="131" spans="1:15" hidden="1" x14ac:dyDescent="0.15">
      <c r="A131" s="154"/>
      <c r="B131" s="151"/>
      <c r="C131" s="152"/>
      <c r="D131" s="323"/>
      <c r="E131" s="154"/>
      <c r="F131" s="157"/>
      <c r="G131" s="152"/>
      <c r="H131" s="323"/>
      <c r="I131" s="152"/>
      <c r="J131" s="157"/>
      <c r="K131" s="154"/>
      <c r="L131" s="227"/>
      <c r="M131" s="157"/>
      <c r="N131" s="227">
        <f t="shared" si="18"/>
        <v>52292.762262010503</v>
      </c>
      <c r="O131" s="152">
        <f t="shared" si="19"/>
        <v>359663.87826201046</v>
      </c>
    </row>
    <row r="132" spans="1:15" hidden="1" x14ac:dyDescent="0.15">
      <c r="A132" s="154"/>
      <c r="B132" s="151"/>
      <c r="C132" s="152"/>
      <c r="D132" s="323"/>
      <c r="E132" s="154"/>
      <c r="F132" s="157"/>
      <c r="G132" s="152"/>
      <c r="H132" s="323"/>
      <c r="I132" s="152"/>
      <c r="J132" s="157"/>
      <c r="K132" s="154"/>
      <c r="L132" s="227"/>
      <c r="M132" s="157"/>
      <c r="N132" s="227">
        <f t="shared" si="18"/>
        <v>52292.762262010503</v>
      </c>
      <c r="O132" s="152">
        <f t="shared" si="19"/>
        <v>359663.87826201046</v>
      </c>
    </row>
    <row r="133" spans="1:15" hidden="1" x14ac:dyDescent="0.15">
      <c r="A133" s="154"/>
      <c r="B133" s="151"/>
      <c r="C133" s="152"/>
      <c r="D133" s="323"/>
      <c r="E133" s="154"/>
      <c r="F133" s="157"/>
      <c r="G133" s="152"/>
      <c r="H133" s="323"/>
      <c r="I133" s="152"/>
      <c r="J133" s="157"/>
      <c r="K133" s="154"/>
      <c r="L133" s="227"/>
      <c r="M133" s="157"/>
      <c r="N133" s="227">
        <f t="shared" si="18"/>
        <v>52292.762262010503</v>
      </c>
      <c r="O133" s="152">
        <f t="shared" si="19"/>
        <v>359663.87826201046</v>
      </c>
    </row>
    <row r="134" spans="1:15" hidden="1" x14ac:dyDescent="0.15">
      <c r="A134" s="154"/>
      <c r="B134" s="151"/>
      <c r="C134" s="152"/>
      <c r="D134" s="323"/>
      <c r="E134" s="155"/>
      <c r="F134" s="157"/>
      <c r="G134" s="152"/>
      <c r="H134" s="323"/>
      <c r="I134" s="152"/>
      <c r="J134" s="154"/>
      <c r="K134" s="154"/>
      <c r="L134" s="227"/>
      <c r="M134" s="157"/>
      <c r="N134" s="227">
        <f t="shared" si="18"/>
        <v>52292.762262010503</v>
      </c>
      <c r="O134" s="152">
        <f t="shared" si="19"/>
        <v>359663.87826201046</v>
      </c>
    </row>
    <row r="135" spans="1:15" hidden="1" x14ac:dyDescent="0.15">
      <c r="A135" s="154"/>
      <c r="B135" s="151"/>
      <c r="C135" s="152"/>
      <c r="D135" s="323"/>
      <c r="E135" s="155"/>
      <c r="F135" s="157"/>
      <c r="G135" s="152"/>
      <c r="H135" s="323"/>
      <c r="I135" s="152"/>
      <c r="J135" s="157"/>
      <c r="K135" s="154"/>
      <c r="L135" s="227"/>
      <c r="M135" s="157"/>
      <c r="N135" s="227">
        <f t="shared" si="18"/>
        <v>52292.762262010503</v>
      </c>
      <c r="O135" s="152">
        <f t="shared" si="19"/>
        <v>359663.87826201046</v>
      </c>
    </row>
    <row r="136" spans="1:15" hidden="1" x14ac:dyDescent="0.15">
      <c r="A136" s="154"/>
      <c r="B136" s="151"/>
      <c r="C136" s="152"/>
      <c r="D136" s="323"/>
      <c r="E136" s="155"/>
      <c r="F136" s="157"/>
      <c r="G136" s="152"/>
      <c r="H136" s="323"/>
      <c r="I136" s="152"/>
      <c r="J136" s="157"/>
      <c r="K136" s="154"/>
      <c r="L136" s="227"/>
      <c r="M136" s="157"/>
      <c r="N136" s="227">
        <f t="shared" si="18"/>
        <v>52292.762262010503</v>
      </c>
      <c r="O136" s="152">
        <f t="shared" si="19"/>
        <v>359663.87826201046</v>
      </c>
    </row>
    <row r="137" spans="1:15" hidden="1" x14ac:dyDescent="0.15">
      <c r="A137" s="154"/>
      <c r="B137" s="151"/>
      <c r="C137" s="152"/>
      <c r="D137" s="323"/>
      <c r="E137" s="154"/>
      <c r="F137" s="157"/>
      <c r="G137" s="152"/>
      <c r="H137" s="323"/>
      <c r="I137" s="152"/>
      <c r="J137" s="157"/>
      <c r="K137" s="154"/>
      <c r="L137" s="227"/>
      <c r="M137" s="157"/>
      <c r="N137" s="227">
        <f t="shared" si="18"/>
        <v>52292.762262010503</v>
      </c>
      <c r="O137" s="152">
        <f t="shared" si="19"/>
        <v>359663.87826201046</v>
      </c>
    </row>
    <row r="138" spans="1:15" hidden="1" x14ac:dyDescent="0.15">
      <c r="A138" s="154"/>
      <c r="B138" s="151"/>
      <c r="C138" s="152"/>
      <c r="D138" s="323"/>
      <c r="E138" s="154"/>
      <c r="F138" s="157"/>
      <c r="G138" s="152"/>
      <c r="H138" s="323"/>
      <c r="I138" s="152"/>
      <c r="J138" s="157"/>
      <c r="K138" s="154"/>
      <c r="L138" s="227"/>
      <c r="M138" s="157"/>
      <c r="N138" s="227">
        <f t="shared" si="18"/>
        <v>52292.762262010503</v>
      </c>
      <c r="O138" s="152">
        <f t="shared" si="19"/>
        <v>359663.87826201046</v>
      </c>
    </row>
    <row r="139" spans="1:15" hidden="1" x14ac:dyDescent="0.15">
      <c r="A139" s="154"/>
      <c r="B139" s="151"/>
      <c r="C139" s="152"/>
      <c r="D139" s="323"/>
      <c r="E139" s="154"/>
      <c r="F139" s="157"/>
      <c r="G139" s="152"/>
      <c r="H139" s="323"/>
      <c r="I139" s="152"/>
      <c r="J139" s="157"/>
      <c r="K139" s="154"/>
      <c r="L139" s="227"/>
      <c r="M139" s="157"/>
      <c r="N139" s="227">
        <f t="shared" si="18"/>
        <v>52292.762262010503</v>
      </c>
      <c r="O139" s="152">
        <f t="shared" si="19"/>
        <v>359663.87826201046</v>
      </c>
    </row>
    <row r="140" spans="1:15" hidden="1" x14ac:dyDescent="0.15">
      <c r="A140" s="154"/>
      <c r="B140" s="151"/>
      <c r="C140" s="152"/>
      <c r="D140" s="323"/>
      <c r="E140" s="154"/>
      <c r="F140" s="157"/>
      <c r="G140" s="152"/>
      <c r="H140" s="323"/>
      <c r="I140" s="152"/>
      <c r="J140" s="157"/>
      <c r="K140" s="154"/>
      <c r="L140" s="227"/>
      <c r="M140" s="157"/>
      <c r="N140" s="227">
        <f t="shared" si="18"/>
        <v>52292.762262010503</v>
      </c>
      <c r="O140" s="152">
        <f t="shared" si="19"/>
        <v>359663.87826201046</v>
      </c>
    </row>
    <row r="141" spans="1:15" hidden="1" x14ac:dyDescent="0.15">
      <c r="A141" s="154"/>
      <c r="B141" s="151"/>
      <c r="C141" s="152"/>
      <c r="D141" s="323"/>
      <c r="E141" s="154"/>
      <c r="F141" s="157"/>
      <c r="G141" s="152"/>
      <c r="H141" s="323"/>
      <c r="I141" s="152"/>
      <c r="J141" s="157"/>
      <c r="K141" s="154"/>
      <c r="L141" s="227"/>
      <c r="M141" s="157"/>
      <c r="N141" s="227">
        <f t="shared" si="18"/>
        <v>52292.762262010503</v>
      </c>
      <c r="O141" s="152">
        <f t="shared" si="19"/>
        <v>359663.87826201046</v>
      </c>
    </row>
    <row r="142" spans="1:15" hidden="1" x14ac:dyDescent="0.15">
      <c r="A142" s="154"/>
      <c r="B142" s="151"/>
      <c r="C142" s="152"/>
      <c r="D142" s="323"/>
      <c r="E142" s="154"/>
      <c r="F142" s="157"/>
      <c r="G142" s="152"/>
      <c r="H142" s="323"/>
      <c r="I142" s="152"/>
      <c r="J142" s="157"/>
      <c r="K142" s="154"/>
      <c r="L142" s="227"/>
      <c r="M142" s="157"/>
      <c r="N142" s="227">
        <f t="shared" si="18"/>
        <v>52292.762262010503</v>
      </c>
      <c r="O142" s="152">
        <f t="shared" si="19"/>
        <v>359663.87826201046</v>
      </c>
    </row>
    <row r="143" spans="1:15" hidden="1" x14ac:dyDescent="0.15">
      <c r="A143" s="154"/>
      <c r="B143" s="151"/>
      <c r="C143" s="152"/>
      <c r="D143" s="323"/>
      <c r="E143" s="154"/>
      <c r="F143" s="157"/>
      <c r="G143" s="152"/>
      <c r="H143" s="323"/>
      <c r="I143" s="152"/>
      <c r="J143" s="157"/>
      <c r="K143" s="154"/>
      <c r="L143" s="227"/>
      <c r="M143" s="157"/>
      <c r="N143" s="227">
        <f t="shared" si="18"/>
        <v>52292.762262010503</v>
      </c>
      <c r="O143" s="152">
        <f t="shared" si="19"/>
        <v>359663.87826201046</v>
      </c>
    </row>
    <row r="144" spans="1:15" hidden="1" x14ac:dyDescent="0.15">
      <c r="A144" s="154"/>
      <c r="B144" s="151"/>
      <c r="C144" s="152"/>
      <c r="D144" s="323"/>
      <c r="E144" s="154"/>
      <c r="F144" s="157"/>
      <c r="G144" s="152"/>
      <c r="H144" s="323"/>
      <c r="I144" s="152"/>
      <c r="J144" s="157"/>
      <c r="K144" s="154"/>
      <c r="L144" s="227"/>
      <c r="M144" s="157"/>
      <c r="N144" s="227">
        <f t="shared" si="18"/>
        <v>52292.762262010503</v>
      </c>
      <c r="O144" s="152">
        <f t="shared" si="19"/>
        <v>359663.87826201046</v>
      </c>
    </row>
    <row r="145" spans="1:15" hidden="1" x14ac:dyDescent="0.15">
      <c r="A145" s="154"/>
      <c r="B145" s="151"/>
      <c r="C145" s="152"/>
      <c r="D145" s="323"/>
      <c r="E145" s="155"/>
      <c r="F145" s="157"/>
      <c r="G145" s="152"/>
      <c r="H145" s="323"/>
      <c r="I145" s="152"/>
      <c r="J145" s="157"/>
      <c r="K145" s="154"/>
      <c r="L145" s="227"/>
      <c r="M145" s="157"/>
      <c r="N145" s="227">
        <f t="shared" ref="N145:N208" si="20">+N144-I145-L145</f>
        <v>52292.762262010503</v>
      </c>
      <c r="O145" s="152">
        <f t="shared" ref="O145:O208" si="21">O144+G145-I145-L145</f>
        <v>359663.87826201046</v>
      </c>
    </row>
    <row r="146" spans="1:15" hidden="1" x14ac:dyDescent="0.15">
      <c r="A146" s="154"/>
      <c r="B146" s="151"/>
      <c r="C146" s="152"/>
      <c r="D146" s="323"/>
      <c r="E146" s="154"/>
      <c r="F146" s="157"/>
      <c r="G146" s="152"/>
      <c r="H146" s="323"/>
      <c r="I146" s="152"/>
      <c r="J146" s="157"/>
      <c r="K146" s="154"/>
      <c r="L146" s="227"/>
      <c r="M146" s="157"/>
      <c r="N146" s="227">
        <f t="shared" si="20"/>
        <v>52292.762262010503</v>
      </c>
      <c r="O146" s="152">
        <f t="shared" si="21"/>
        <v>359663.87826201046</v>
      </c>
    </row>
    <row r="147" spans="1:15" hidden="1" x14ac:dyDescent="0.15">
      <c r="A147" s="154"/>
      <c r="B147" s="151"/>
      <c r="C147" s="152"/>
      <c r="D147" s="323"/>
      <c r="E147" s="154"/>
      <c r="F147" s="157"/>
      <c r="G147" s="152"/>
      <c r="H147" s="323"/>
      <c r="I147" s="152"/>
      <c r="J147" s="154"/>
      <c r="K147" s="154"/>
      <c r="L147" s="227"/>
      <c r="M147" s="157"/>
      <c r="N147" s="227">
        <f t="shared" si="20"/>
        <v>52292.762262010503</v>
      </c>
      <c r="O147" s="152">
        <f t="shared" si="21"/>
        <v>359663.87826201046</v>
      </c>
    </row>
    <row r="148" spans="1:15" hidden="1" x14ac:dyDescent="0.15">
      <c r="A148" s="154"/>
      <c r="B148" s="151"/>
      <c r="C148" s="152"/>
      <c r="D148" s="323"/>
      <c r="E148" s="154"/>
      <c r="F148" s="157"/>
      <c r="G148" s="152"/>
      <c r="H148" s="323"/>
      <c r="I148" s="152"/>
      <c r="J148" s="154"/>
      <c r="K148" s="154"/>
      <c r="L148" s="227"/>
      <c r="M148" s="157"/>
      <c r="N148" s="227">
        <f t="shared" si="20"/>
        <v>52292.762262010503</v>
      </c>
      <c r="O148" s="152">
        <f t="shared" si="21"/>
        <v>359663.87826201046</v>
      </c>
    </row>
    <row r="149" spans="1:15" hidden="1" x14ac:dyDescent="0.15">
      <c r="A149" s="154"/>
      <c r="B149" s="151"/>
      <c r="C149" s="152"/>
      <c r="D149" s="323"/>
      <c r="E149" s="154"/>
      <c r="F149" s="157"/>
      <c r="G149" s="152"/>
      <c r="H149" s="323"/>
      <c r="I149" s="152"/>
      <c r="J149" s="154"/>
      <c r="K149" s="154"/>
      <c r="L149" s="227"/>
      <c r="M149" s="157"/>
      <c r="N149" s="227">
        <f t="shared" si="20"/>
        <v>52292.762262010503</v>
      </c>
      <c r="O149" s="152">
        <f t="shared" si="21"/>
        <v>359663.87826201046</v>
      </c>
    </row>
    <row r="150" spans="1:15" hidden="1" x14ac:dyDescent="0.15">
      <c r="A150" s="154"/>
      <c r="B150" s="151"/>
      <c r="C150" s="152"/>
      <c r="D150" s="323"/>
      <c r="E150" s="154"/>
      <c r="F150" s="157"/>
      <c r="G150" s="152"/>
      <c r="H150" s="323"/>
      <c r="I150" s="152"/>
      <c r="J150" s="157"/>
      <c r="K150" s="154"/>
      <c r="L150" s="227"/>
      <c r="M150" s="157"/>
      <c r="N150" s="227">
        <f t="shared" si="20"/>
        <v>52292.762262010503</v>
      </c>
      <c r="O150" s="152">
        <f t="shared" si="21"/>
        <v>359663.87826201046</v>
      </c>
    </row>
    <row r="151" spans="1:15" hidden="1" x14ac:dyDescent="0.15">
      <c r="A151" s="154"/>
      <c r="B151" s="151"/>
      <c r="C151" s="152"/>
      <c r="D151" s="323"/>
      <c r="E151" s="154"/>
      <c r="F151" s="157"/>
      <c r="G151" s="152"/>
      <c r="H151" s="323"/>
      <c r="I151" s="152"/>
      <c r="J151" s="157"/>
      <c r="K151" s="154"/>
      <c r="L151" s="227"/>
      <c r="M151" s="157"/>
      <c r="N151" s="227">
        <f t="shared" si="20"/>
        <v>52292.762262010503</v>
      </c>
      <c r="O151" s="152">
        <f t="shared" si="21"/>
        <v>359663.87826201046</v>
      </c>
    </row>
    <row r="152" spans="1:15" hidden="1" x14ac:dyDescent="0.15">
      <c r="A152" s="154"/>
      <c r="B152" s="151"/>
      <c r="C152" s="152"/>
      <c r="D152" s="323"/>
      <c r="E152" s="154"/>
      <c r="F152" s="157"/>
      <c r="G152" s="152"/>
      <c r="H152" s="323"/>
      <c r="I152" s="152"/>
      <c r="J152" s="157"/>
      <c r="K152" s="154"/>
      <c r="L152" s="227"/>
      <c r="M152" s="157"/>
      <c r="N152" s="227">
        <f t="shared" si="20"/>
        <v>52292.762262010503</v>
      </c>
      <c r="O152" s="152">
        <f t="shared" si="21"/>
        <v>359663.87826201046</v>
      </c>
    </row>
    <row r="153" spans="1:15" hidden="1" x14ac:dyDescent="0.15">
      <c r="A153" s="154"/>
      <c r="B153" s="151"/>
      <c r="C153" s="152"/>
      <c r="D153" s="323"/>
      <c r="E153" s="154"/>
      <c r="F153" s="157"/>
      <c r="G153" s="152"/>
      <c r="H153" s="323"/>
      <c r="I153" s="152"/>
      <c r="J153" s="154"/>
      <c r="K153" s="154"/>
      <c r="L153" s="227"/>
      <c r="M153" s="157"/>
      <c r="N153" s="227">
        <f t="shared" si="20"/>
        <v>52292.762262010503</v>
      </c>
      <c r="O153" s="152">
        <f t="shared" si="21"/>
        <v>359663.87826201046</v>
      </c>
    </row>
    <row r="154" spans="1:15" hidden="1" x14ac:dyDescent="0.15">
      <c r="A154" s="154"/>
      <c r="B154" s="151"/>
      <c r="C154" s="152"/>
      <c r="D154" s="323"/>
      <c r="E154" s="155"/>
      <c r="F154" s="157"/>
      <c r="G154" s="152"/>
      <c r="H154" s="323"/>
      <c r="I154" s="152"/>
      <c r="J154" s="154"/>
      <c r="K154" s="154"/>
      <c r="L154" s="227"/>
      <c r="M154" s="157"/>
      <c r="N154" s="227">
        <f t="shared" si="20"/>
        <v>52292.762262010503</v>
      </c>
      <c r="O154" s="152">
        <f t="shared" si="21"/>
        <v>359663.87826201046</v>
      </c>
    </row>
    <row r="155" spans="1:15" hidden="1" x14ac:dyDescent="0.15">
      <c r="A155" s="154"/>
      <c r="B155" s="151"/>
      <c r="C155" s="152"/>
      <c r="D155" s="323"/>
      <c r="E155" s="155"/>
      <c r="F155" s="157"/>
      <c r="G155" s="152"/>
      <c r="H155" s="323"/>
      <c r="I155" s="152"/>
      <c r="J155" s="154"/>
      <c r="K155" s="154"/>
      <c r="L155" s="227"/>
      <c r="M155" s="157"/>
      <c r="N155" s="227">
        <f t="shared" si="20"/>
        <v>52292.762262010503</v>
      </c>
      <c r="O155" s="152">
        <f t="shared" si="21"/>
        <v>359663.87826201046</v>
      </c>
    </row>
    <row r="156" spans="1:15" hidden="1" x14ac:dyDescent="0.15">
      <c r="A156" s="154"/>
      <c r="B156" s="151"/>
      <c r="C156" s="152"/>
      <c r="D156" s="323"/>
      <c r="E156" s="154"/>
      <c r="F156" s="157"/>
      <c r="G156" s="152"/>
      <c r="H156" s="323"/>
      <c r="I156" s="152"/>
      <c r="J156" s="157"/>
      <c r="K156" s="154"/>
      <c r="L156" s="227"/>
      <c r="M156" s="157"/>
      <c r="N156" s="227">
        <f t="shared" si="20"/>
        <v>52292.762262010503</v>
      </c>
      <c r="O156" s="152">
        <f t="shared" si="21"/>
        <v>359663.87826201046</v>
      </c>
    </row>
    <row r="157" spans="1:15" hidden="1" x14ac:dyDescent="0.15">
      <c r="A157" s="154"/>
      <c r="B157" s="151"/>
      <c r="C157" s="152"/>
      <c r="D157" s="323"/>
      <c r="E157" s="154"/>
      <c r="F157" s="157"/>
      <c r="G157" s="152"/>
      <c r="H157" s="323"/>
      <c r="I157" s="152"/>
      <c r="J157" s="157"/>
      <c r="K157" s="154"/>
      <c r="L157" s="227"/>
      <c r="M157" s="157"/>
      <c r="N157" s="227">
        <f t="shared" si="20"/>
        <v>52292.762262010503</v>
      </c>
      <c r="O157" s="152">
        <f t="shared" si="21"/>
        <v>359663.87826201046</v>
      </c>
    </row>
    <row r="158" spans="1:15" hidden="1" x14ac:dyDescent="0.15">
      <c r="A158" s="154"/>
      <c r="B158" s="151"/>
      <c r="C158" s="152"/>
      <c r="D158" s="323"/>
      <c r="E158" s="154"/>
      <c r="F158" s="157"/>
      <c r="G158" s="152"/>
      <c r="H158" s="323"/>
      <c r="I158" s="152"/>
      <c r="J158" s="154"/>
      <c r="K158" s="154"/>
      <c r="L158" s="227"/>
      <c r="M158" s="157"/>
      <c r="N158" s="227">
        <f t="shared" si="20"/>
        <v>52292.762262010503</v>
      </c>
      <c r="O158" s="152">
        <f t="shared" si="21"/>
        <v>359663.87826201046</v>
      </c>
    </row>
    <row r="159" spans="1:15" hidden="1" x14ac:dyDescent="0.15">
      <c r="A159" s="154"/>
      <c r="B159" s="151"/>
      <c r="C159" s="152"/>
      <c r="D159" s="323"/>
      <c r="E159" s="155"/>
      <c r="F159" s="157"/>
      <c r="G159" s="152"/>
      <c r="H159" s="323"/>
      <c r="I159" s="152"/>
      <c r="J159" s="154"/>
      <c r="K159" s="154"/>
      <c r="L159" s="227"/>
      <c r="M159" s="157"/>
      <c r="N159" s="227">
        <f t="shared" si="20"/>
        <v>52292.762262010503</v>
      </c>
      <c r="O159" s="152">
        <f t="shared" si="21"/>
        <v>359663.87826201046</v>
      </c>
    </row>
    <row r="160" spans="1:15" hidden="1" x14ac:dyDescent="0.15">
      <c r="A160" s="154"/>
      <c r="B160" s="151"/>
      <c r="C160" s="152"/>
      <c r="D160" s="323"/>
      <c r="E160" s="155"/>
      <c r="F160" s="157"/>
      <c r="G160" s="152"/>
      <c r="H160" s="323"/>
      <c r="I160" s="152"/>
      <c r="J160" s="154"/>
      <c r="K160" s="154"/>
      <c r="L160" s="227"/>
      <c r="M160" s="157"/>
      <c r="N160" s="227">
        <f t="shared" si="20"/>
        <v>52292.762262010503</v>
      </c>
      <c r="O160" s="152">
        <f t="shared" si="21"/>
        <v>359663.87826201046</v>
      </c>
    </row>
    <row r="161" spans="1:15" hidden="1" x14ac:dyDescent="0.15">
      <c r="A161" s="154"/>
      <c r="B161" s="151"/>
      <c r="C161" s="152"/>
      <c r="D161" s="323"/>
      <c r="E161" s="155"/>
      <c r="F161" s="157"/>
      <c r="G161" s="152"/>
      <c r="H161" s="323"/>
      <c r="I161" s="152"/>
      <c r="J161" s="154"/>
      <c r="K161" s="154"/>
      <c r="L161" s="227"/>
      <c r="M161" s="157"/>
      <c r="N161" s="227">
        <f t="shared" si="20"/>
        <v>52292.762262010503</v>
      </c>
      <c r="O161" s="152">
        <f t="shared" si="21"/>
        <v>359663.87826201046</v>
      </c>
    </row>
    <row r="162" spans="1:15" hidden="1" x14ac:dyDescent="0.15">
      <c r="A162" s="154"/>
      <c r="B162" s="151"/>
      <c r="C162" s="152"/>
      <c r="D162" s="323"/>
      <c r="E162" s="155"/>
      <c r="F162" s="157"/>
      <c r="G162" s="152"/>
      <c r="H162" s="323"/>
      <c r="I162" s="152"/>
      <c r="J162" s="154"/>
      <c r="K162" s="154"/>
      <c r="L162" s="227"/>
      <c r="M162" s="157"/>
      <c r="N162" s="227">
        <f t="shared" si="20"/>
        <v>52292.762262010503</v>
      </c>
      <c r="O162" s="152">
        <f t="shared" si="21"/>
        <v>359663.87826201046</v>
      </c>
    </row>
    <row r="163" spans="1:15" hidden="1" x14ac:dyDescent="0.15">
      <c r="A163" s="154"/>
      <c r="B163" s="151"/>
      <c r="C163" s="152"/>
      <c r="D163" s="323"/>
      <c r="E163" s="155"/>
      <c r="F163" s="157"/>
      <c r="G163" s="152"/>
      <c r="H163" s="323"/>
      <c r="I163" s="152"/>
      <c r="J163" s="154"/>
      <c r="K163" s="154"/>
      <c r="L163" s="227"/>
      <c r="M163" s="157"/>
      <c r="N163" s="227">
        <f t="shared" si="20"/>
        <v>52292.762262010503</v>
      </c>
      <c r="O163" s="152">
        <f t="shared" si="21"/>
        <v>359663.87826201046</v>
      </c>
    </row>
    <row r="164" spans="1:15" hidden="1" x14ac:dyDescent="0.15">
      <c r="A164" s="154"/>
      <c r="B164" s="151"/>
      <c r="C164" s="152"/>
      <c r="D164" s="323"/>
      <c r="E164" s="154"/>
      <c r="F164" s="157"/>
      <c r="G164" s="152"/>
      <c r="H164" s="323"/>
      <c r="I164" s="152"/>
      <c r="J164" s="157"/>
      <c r="K164" s="154"/>
      <c r="L164" s="227"/>
      <c r="M164" s="157"/>
      <c r="N164" s="227">
        <f t="shared" si="20"/>
        <v>52292.762262010503</v>
      </c>
      <c r="O164" s="152">
        <f t="shared" si="21"/>
        <v>359663.87826201046</v>
      </c>
    </row>
    <row r="165" spans="1:15" hidden="1" x14ac:dyDescent="0.15">
      <c r="A165" s="154"/>
      <c r="B165" s="151"/>
      <c r="C165" s="152"/>
      <c r="D165" s="323"/>
      <c r="E165" s="154"/>
      <c r="F165" s="157"/>
      <c r="G165" s="152"/>
      <c r="H165" s="323"/>
      <c r="I165" s="152"/>
      <c r="J165" s="157"/>
      <c r="K165" s="154"/>
      <c r="L165" s="227"/>
      <c r="M165" s="157"/>
      <c r="N165" s="227">
        <f t="shared" si="20"/>
        <v>52292.762262010503</v>
      </c>
      <c r="O165" s="152">
        <f t="shared" si="21"/>
        <v>359663.87826201046</v>
      </c>
    </row>
    <row r="166" spans="1:15" hidden="1" x14ac:dyDescent="0.15">
      <c r="A166" s="154"/>
      <c r="B166" s="151"/>
      <c r="C166" s="152"/>
      <c r="D166" s="323"/>
      <c r="E166" s="154"/>
      <c r="F166" s="157"/>
      <c r="G166" s="152"/>
      <c r="H166" s="323"/>
      <c r="I166" s="152"/>
      <c r="J166" s="154"/>
      <c r="K166" s="154"/>
      <c r="L166" s="227"/>
      <c r="M166" s="157"/>
      <c r="N166" s="227">
        <f t="shared" si="20"/>
        <v>52292.762262010503</v>
      </c>
      <c r="O166" s="152">
        <f t="shared" si="21"/>
        <v>359663.87826201046</v>
      </c>
    </row>
    <row r="167" spans="1:15" hidden="1" x14ac:dyDescent="0.15">
      <c r="A167" s="154"/>
      <c r="B167" s="151"/>
      <c r="C167" s="152"/>
      <c r="D167" s="323"/>
      <c r="E167" s="154"/>
      <c r="F167" s="157"/>
      <c r="G167" s="152"/>
      <c r="H167" s="323"/>
      <c r="I167" s="152"/>
      <c r="J167" s="154"/>
      <c r="K167" s="154"/>
      <c r="L167" s="227"/>
      <c r="M167" s="157"/>
      <c r="N167" s="227">
        <f t="shared" si="20"/>
        <v>52292.762262010503</v>
      </c>
      <c r="O167" s="152">
        <f t="shared" si="21"/>
        <v>359663.87826201046</v>
      </c>
    </row>
    <row r="168" spans="1:15" hidden="1" x14ac:dyDescent="0.15">
      <c r="A168" s="154"/>
      <c r="B168" s="151"/>
      <c r="C168" s="152"/>
      <c r="D168" s="323"/>
      <c r="E168" s="154"/>
      <c r="F168" s="157"/>
      <c r="G168" s="152"/>
      <c r="H168" s="323"/>
      <c r="I168" s="152"/>
      <c r="J168" s="157"/>
      <c r="K168" s="154"/>
      <c r="L168" s="227"/>
      <c r="M168" s="157"/>
      <c r="N168" s="227">
        <f t="shared" si="20"/>
        <v>52292.762262010503</v>
      </c>
      <c r="O168" s="152">
        <f t="shared" si="21"/>
        <v>359663.87826201046</v>
      </c>
    </row>
    <row r="169" spans="1:15" hidden="1" x14ac:dyDescent="0.15">
      <c r="A169" s="154"/>
      <c r="B169" s="151"/>
      <c r="C169" s="152"/>
      <c r="D169" s="323"/>
      <c r="E169" s="154"/>
      <c r="F169" s="157"/>
      <c r="G169" s="152"/>
      <c r="H169" s="323"/>
      <c r="I169" s="152"/>
      <c r="J169" s="154"/>
      <c r="K169" s="154"/>
      <c r="L169" s="227"/>
      <c r="M169" s="157"/>
      <c r="N169" s="227">
        <f t="shared" si="20"/>
        <v>52292.762262010503</v>
      </c>
      <c r="O169" s="152">
        <f t="shared" si="21"/>
        <v>359663.87826201046</v>
      </c>
    </row>
    <row r="170" spans="1:15" hidden="1" x14ac:dyDescent="0.15">
      <c r="A170" s="154"/>
      <c r="B170" s="151"/>
      <c r="C170" s="152"/>
      <c r="D170" s="323"/>
      <c r="E170" s="154"/>
      <c r="F170" s="157"/>
      <c r="G170" s="152"/>
      <c r="H170" s="323"/>
      <c r="I170" s="152"/>
      <c r="J170" s="157"/>
      <c r="K170" s="154"/>
      <c r="L170" s="227"/>
      <c r="M170" s="157"/>
      <c r="N170" s="227">
        <f t="shared" si="20"/>
        <v>52292.762262010503</v>
      </c>
      <c r="O170" s="152">
        <f t="shared" si="21"/>
        <v>359663.87826201046</v>
      </c>
    </row>
    <row r="171" spans="1:15" hidden="1" x14ac:dyDescent="0.15">
      <c r="A171" s="154"/>
      <c r="B171" s="151"/>
      <c r="C171" s="152"/>
      <c r="D171" s="323"/>
      <c r="E171" s="155"/>
      <c r="F171" s="157"/>
      <c r="G171" s="152"/>
      <c r="H171" s="323"/>
      <c r="I171" s="152"/>
      <c r="J171" s="154"/>
      <c r="K171" s="154"/>
      <c r="L171" s="227"/>
      <c r="M171" s="157"/>
      <c r="N171" s="227">
        <f t="shared" si="20"/>
        <v>52292.762262010503</v>
      </c>
      <c r="O171" s="152">
        <f t="shared" si="21"/>
        <v>359663.87826201046</v>
      </c>
    </row>
    <row r="172" spans="1:15" hidden="1" x14ac:dyDescent="0.15">
      <c r="A172" s="154"/>
      <c r="B172" s="151"/>
      <c r="C172" s="152"/>
      <c r="D172" s="323"/>
      <c r="E172" s="155"/>
      <c r="F172" s="157"/>
      <c r="G172" s="152"/>
      <c r="H172" s="323"/>
      <c r="I172" s="152"/>
      <c r="J172" s="157"/>
      <c r="K172" s="154"/>
      <c r="L172" s="227"/>
      <c r="M172" s="157"/>
      <c r="N172" s="227">
        <f t="shared" si="20"/>
        <v>52292.762262010503</v>
      </c>
      <c r="O172" s="152">
        <f t="shared" si="21"/>
        <v>359663.87826201046</v>
      </c>
    </row>
    <row r="173" spans="1:15" hidden="1" x14ac:dyDescent="0.15">
      <c r="A173" s="154"/>
      <c r="B173" s="151"/>
      <c r="C173" s="152"/>
      <c r="D173" s="323"/>
      <c r="E173" s="155"/>
      <c r="F173" s="157"/>
      <c r="G173" s="152"/>
      <c r="H173" s="323"/>
      <c r="I173" s="152"/>
      <c r="J173" s="157"/>
      <c r="K173" s="154"/>
      <c r="L173" s="227"/>
      <c r="M173" s="157"/>
      <c r="N173" s="227">
        <f t="shared" si="20"/>
        <v>52292.762262010503</v>
      </c>
      <c r="O173" s="152">
        <f t="shared" si="21"/>
        <v>359663.87826201046</v>
      </c>
    </row>
    <row r="174" spans="1:15" hidden="1" x14ac:dyDescent="0.15">
      <c r="A174" s="154"/>
      <c r="B174" s="151"/>
      <c r="C174" s="151"/>
      <c r="D174" s="323"/>
      <c r="E174" s="155"/>
      <c r="F174" s="157"/>
      <c r="G174" s="152"/>
      <c r="H174" s="323"/>
      <c r="I174" s="152"/>
      <c r="J174" s="157"/>
      <c r="K174" s="154"/>
      <c r="L174" s="227"/>
      <c r="M174" s="157"/>
      <c r="N174" s="227">
        <f t="shared" si="20"/>
        <v>52292.762262010503</v>
      </c>
      <c r="O174" s="152">
        <f t="shared" si="21"/>
        <v>359663.87826201046</v>
      </c>
    </row>
    <row r="175" spans="1:15" hidden="1" x14ac:dyDescent="0.15">
      <c r="A175" s="154"/>
      <c r="B175" s="151"/>
      <c r="C175" s="151"/>
      <c r="D175" s="323"/>
      <c r="E175" s="154"/>
      <c r="F175" s="157"/>
      <c r="G175" s="152"/>
      <c r="H175" s="323"/>
      <c r="I175" s="152"/>
      <c r="J175" s="157"/>
      <c r="K175" s="154"/>
      <c r="L175" s="227"/>
      <c r="M175" s="157"/>
      <c r="N175" s="227">
        <f t="shared" si="20"/>
        <v>52292.762262010503</v>
      </c>
      <c r="O175" s="152">
        <f t="shared" si="21"/>
        <v>359663.87826201046</v>
      </c>
    </row>
    <row r="176" spans="1:15" hidden="1" x14ac:dyDescent="0.15">
      <c r="A176" s="154"/>
      <c r="B176" s="151"/>
      <c r="C176" s="151"/>
      <c r="D176" s="323"/>
      <c r="E176" s="154"/>
      <c r="F176" s="157"/>
      <c r="G176" s="152"/>
      <c r="H176" s="323"/>
      <c r="I176" s="152"/>
      <c r="J176" s="154"/>
      <c r="K176" s="154"/>
      <c r="L176" s="227"/>
      <c r="M176" s="157"/>
      <c r="N176" s="227">
        <f t="shared" si="20"/>
        <v>52292.762262010503</v>
      </c>
      <c r="O176" s="152">
        <f t="shared" si="21"/>
        <v>359663.87826201046</v>
      </c>
    </row>
    <row r="177" spans="1:15" hidden="1" x14ac:dyDescent="0.15">
      <c r="A177" s="154"/>
      <c r="B177" s="151"/>
      <c r="C177" s="151"/>
      <c r="D177" s="323"/>
      <c r="E177" s="155"/>
      <c r="F177" s="157"/>
      <c r="G177" s="152"/>
      <c r="H177" s="323"/>
      <c r="I177" s="152"/>
      <c r="J177" s="154"/>
      <c r="K177" s="154"/>
      <c r="L177" s="227"/>
      <c r="M177" s="157"/>
      <c r="N177" s="227">
        <f t="shared" si="20"/>
        <v>52292.762262010503</v>
      </c>
      <c r="O177" s="152">
        <f t="shared" si="21"/>
        <v>359663.87826201046</v>
      </c>
    </row>
    <row r="178" spans="1:15" hidden="1" x14ac:dyDescent="0.15">
      <c r="A178" s="154"/>
      <c r="B178" s="151"/>
      <c r="C178" s="151"/>
      <c r="D178" s="323"/>
      <c r="E178" s="154"/>
      <c r="F178" s="157"/>
      <c r="G178" s="152"/>
      <c r="H178" s="323"/>
      <c r="I178" s="152"/>
      <c r="J178" s="157"/>
      <c r="K178" s="154"/>
      <c r="L178" s="227"/>
      <c r="M178" s="157"/>
      <c r="N178" s="227">
        <f t="shared" si="20"/>
        <v>52292.762262010503</v>
      </c>
      <c r="O178" s="152">
        <f t="shared" si="21"/>
        <v>359663.87826201046</v>
      </c>
    </row>
    <row r="179" spans="1:15" hidden="1" x14ac:dyDescent="0.15">
      <c r="A179" s="154"/>
      <c r="B179" s="151"/>
      <c r="C179" s="151"/>
      <c r="D179" s="323"/>
      <c r="E179" s="155"/>
      <c r="F179" s="157"/>
      <c r="G179" s="152"/>
      <c r="H179" s="323"/>
      <c r="I179" s="152"/>
      <c r="J179" s="154"/>
      <c r="K179" s="154"/>
      <c r="L179" s="227"/>
      <c r="M179" s="157"/>
      <c r="N179" s="227">
        <f t="shared" si="20"/>
        <v>52292.762262010503</v>
      </c>
      <c r="O179" s="152">
        <f t="shared" si="21"/>
        <v>359663.87826201046</v>
      </c>
    </row>
    <row r="180" spans="1:15" hidden="1" x14ac:dyDescent="0.15">
      <c r="A180" s="154"/>
      <c r="B180" s="151"/>
      <c r="C180" s="151"/>
      <c r="D180" s="323"/>
      <c r="E180" s="155"/>
      <c r="F180" s="157"/>
      <c r="G180" s="152"/>
      <c r="H180" s="323"/>
      <c r="I180" s="152"/>
      <c r="J180" s="154"/>
      <c r="K180" s="154"/>
      <c r="L180" s="227"/>
      <c r="M180" s="157"/>
      <c r="N180" s="227">
        <f t="shared" si="20"/>
        <v>52292.762262010503</v>
      </c>
      <c r="O180" s="152">
        <f t="shared" si="21"/>
        <v>359663.87826201046</v>
      </c>
    </row>
    <row r="181" spans="1:15" hidden="1" x14ac:dyDescent="0.15">
      <c r="A181" s="154"/>
      <c r="B181" s="151"/>
      <c r="C181" s="151"/>
      <c r="D181" s="323"/>
      <c r="E181" s="154"/>
      <c r="F181" s="157"/>
      <c r="G181" s="152"/>
      <c r="H181" s="323"/>
      <c r="I181" s="152"/>
      <c r="J181" s="154"/>
      <c r="K181" s="154"/>
      <c r="L181" s="227"/>
      <c r="M181" s="157"/>
      <c r="N181" s="227">
        <f t="shared" si="20"/>
        <v>52292.762262010503</v>
      </c>
      <c r="O181" s="152">
        <f t="shared" si="21"/>
        <v>359663.87826201046</v>
      </c>
    </row>
    <row r="182" spans="1:15" hidden="1" x14ac:dyDescent="0.15">
      <c r="A182" s="154"/>
      <c r="B182" s="151"/>
      <c r="C182" s="151"/>
      <c r="D182" s="323"/>
      <c r="E182" s="155"/>
      <c r="F182" s="157"/>
      <c r="G182" s="152"/>
      <c r="H182" s="323"/>
      <c r="I182" s="152"/>
      <c r="J182" s="154"/>
      <c r="K182" s="154"/>
      <c r="L182" s="227"/>
      <c r="M182" s="157"/>
      <c r="N182" s="227">
        <f t="shared" si="20"/>
        <v>52292.762262010503</v>
      </c>
      <c r="O182" s="152">
        <f t="shared" si="21"/>
        <v>359663.87826201046</v>
      </c>
    </row>
    <row r="183" spans="1:15" hidden="1" x14ac:dyDescent="0.15">
      <c r="A183" s="154"/>
      <c r="B183" s="151"/>
      <c r="C183" s="151"/>
      <c r="D183" s="323"/>
      <c r="E183" s="155"/>
      <c r="F183" s="157"/>
      <c r="G183" s="152"/>
      <c r="H183" s="323"/>
      <c r="I183" s="152"/>
      <c r="J183" s="154"/>
      <c r="K183" s="154"/>
      <c r="L183" s="227"/>
      <c r="M183" s="157"/>
      <c r="N183" s="227">
        <f t="shared" si="20"/>
        <v>52292.762262010503</v>
      </c>
      <c r="O183" s="152">
        <f t="shared" si="21"/>
        <v>359663.87826201046</v>
      </c>
    </row>
    <row r="184" spans="1:15" hidden="1" x14ac:dyDescent="0.15">
      <c r="A184" s="154"/>
      <c r="B184" s="151"/>
      <c r="C184" s="151"/>
      <c r="D184" s="323"/>
      <c r="E184" s="155"/>
      <c r="F184" s="157"/>
      <c r="G184" s="152"/>
      <c r="H184" s="323"/>
      <c r="I184" s="152"/>
      <c r="J184" s="154"/>
      <c r="K184" s="154"/>
      <c r="L184" s="227"/>
      <c r="M184" s="157"/>
      <c r="N184" s="227">
        <f t="shared" si="20"/>
        <v>52292.762262010503</v>
      </c>
      <c r="O184" s="152">
        <f t="shared" si="21"/>
        <v>359663.87826201046</v>
      </c>
    </row>
    <row r="185" spans="1:15" hidden="1" x14ac:dyDescent="0.15">
      <c r="A185" s="154"/>
      <c r="B185" s="151"/>
      <c r="C185" s="151"/>
      <c r="D185" s="323"/>
      <c r="E185" s="155"/>
      <c r="F185" s="157"/>
      <c r="G185" s="152"/>
      <c r="H185" s="323"/>
      <c r="I185" s="152"/>
      <c r="J185" s="154"/>
      <c r="K185" s="154"/>
      <c r="L185" s="227"/>
      <c r="M185" s="157"/>
      <c r="N185" s="227">
        <f t="shared" si="20"/>
        <v>52292.762262010503</v>
      </c>
      <c r="O185" s="152">
        <f t="shared" si="21"/>
        <v>359663.87826201046</v>
      </c>
    </row>
    <row r="186" spans="1:15" hidden="1" x14ac:dyDescent="0.15">
      <c r="A186" s="154"/>
      <c r="B186" s="151"/>
      <c r="C186" s="151"/>
      <c r="D186" s="323"/>
      <c r="E186" s="155"/>
      <c r="F186" s="157"/>
      <c r="G186" s="152"/>
      <c r="H186" s="323"/>
      <c r="I186" s="152"/>
      <c r="J186" s="154"/>
      <c r="K186" s="154"/>
      <c r="L186" s="227"/>
      <c r="M186" s="157"/>
      <c r="N186" s="227">
        <f t="shared" si="20"/>
        <v>52292.762262010503</v>
      </c>
      <c r="O186" s="152">
        <f t="shared" si="21"/>
        <v>359663.87826201046</v>
      </c>
    </row>
    <row r="187" spans="1:15" hidden="1" x14ac:dyDescent="0.15">
      <c r="A187" s="154"/>
      <c r="B187" s="151"/>
      <c r="C187" s="151"/>
      <c r="D187" s="323"/>
      <c r="E187" s="154"/>
      <c r="F187" s="291"/>
      <c r="G187" s="152"/>
      <c r="H187" s="323"/>
      <c r="I187" s="152"/>
      <c r="J187" s="157"/>
      <c r="K187" s="154"/>
      <c r="L187" s="227"/>
      <c r="M187" s="157"/>
      <c r="N187" s="227">
        <f t="shared" si="20"/>
        <v>52292.762262010503</v>
      </c>
      <c r="O187" s="152">
        <f t="shared" si="21"/>
        <v>359663.87826201046</v>
      </c>
    </row>
    <row r="188" spans="1:15" hidden="1" x14ac:dyDescent="0.15">
      <c r="A188" s="154"/>
      <c r="B188" s="151"/>
      <c r="C188" s="151"/>
      <c r="D188" s="323"/>
      <c r="E188" s="154"/>
      <c r="F188" s="291"/>
      <c r="G188" s="152"/>
      <c r="H188" s="323"/>
      <c r="I188" s="152"/>
      <c r="J188" s="157"/>
      <c r="K188" s="154"/>
      <c r="L188" s="227"/>
      <c r="M188" s="157"/>
      <c r="N188" s="227">
        <f t="shared" si="20"/>
        <v>52292.762262010503</v>
      </c>
      <c r="O188" s="152">
        <f t="shared" si="21"/>
        <v>359663.87826201046</v>
      </c>
    </row>
    <row r="189" spans="1:15" hidden="1" x14ac:dyDescent="0.15">
      <c r="A189" s="154"/>
      <c r="B189" s="151"/>
      <c r="C189" s="151"/>
      <c r="D189" s="323"/>
      <c r="E189" s="154"/>
      <c r="F189" s="157"/>
      <c r="G189" s="152"/>
      <c r="H189" s="323"/>
      <c r="I189" s="152"/>
      <c r="J189" s="157"/>
      <c r="K189" s="154"/>
      <c r="L189" s="227"/>
      <c r="M189" s="157"/>
      <c r="N189" s="227">
        <f t="shared" si="20"/>
        <v>52292.762262010503</v>
      </c>
      <c r="O189" s="152">
        <f t="shared" si="21"/>
        <v>359663.87826201046</v>
      </c>
    </row>
    <row r="190" spans="1:15" hidden="1" x14ac:dyDescent="0.15">
      <c r="A190" s="154"/>
      <c r="B190" s="151"/>
      <c r="C190" s="151"/>
      <c r="D190" s="323"/>
      <c r="E190" s="154"/>
      <c r="F190" s="291"/>
      <c r="G190" s="152"/>
      <c r="H190" s="323"/>
      <c r="I190" s="152"/>
      <c r="J190" s="157"/>
      <c r="K190" s="154"/>
      <c r="L190" s="227"/>
      <c r="M190" s="157"/>
      <c r="N190" s="227">
        <f t="shared" si="20"/>
        <v>52292.762262010503</v>
      </c>
      <c r="O190" s="152">
        <f t="shared" si="21"/>
        <v>359663.87826201046</v>
      </c>
    </row>
    <row r="191" spans="1:15" hidden="1" x14ac:dyDescent="0.15">
      <c r="A191" s="154"/>
      <c r="B191" s="151"/>
      <c r="C191" s="151"/>
      <c r="D191" s="323"/>
      <c r="E191" s="154"/>
      <c r="F191" s="291"/>
      <c r="G191" s="152"/>
      <c r="H191" s="323"/>
      <c r="I191" s="152"/>
      <c r="J191" s="157"/>
      <c r="K191" s="154"/>
      <c r="L191" s="227"/>
      <c r="M191" s="157"/>
      <c r="N191" s="227">
        <f t="shared" si="20"/>
        <v>52292.762262010503</v>
      </c>
      <c r="O191" s="152">
        <f t="shared" si="21"/>
        <v>359663.87826201046</v>
      </c>
    </row>
    <row r="192" spans="1:15" hidden="1" x14ac:dyDescent="0.15">
      <c r="A192" s="154"/>
      <c r="B192" s="151"/>
      <c r="C192" s="151"/>
      <c r="D192" s="323"/>
      <c r="E192" s="154"/>
      <c r="F192" s="291"/>
      <c r="G192" s="152"/>
      <c r="H192" s="323"/>
      <c r="I192" s="152"/>
      <c r="J192" s="157"/>
      <c r="K192" s="154"/>
      <c r="L192" s="227"/>
      <c r="M192" s="157"/>
      <c r="N192" s="227">
        <f t="shared" si="20"/>
        <v>52292.762262010503</v>
      </c>
      <c r="O192" s="152">
        <f t="shared" si="21"/>
        <v>359663.87826201046</v>
      </c>
    </row>
    <row r="193" spans="1:15" hidden="1" x14ac:dyDescent="0.15">
      <c r="A193" s="154"/>
      <c r="B193" s="151"/>
      <c r="C193" s="151"/>
      <c r="D193" s="323"/>
      <c r="E193" s="154"/>
      <c r="F193" s="291"/>
      <c r="G193" s="152"/>
      <c r="H193" s="323"/>
      <c r="I193" s="152"/>
      <c r="J193" s="157"/>
      <c r="K193" s="154"/>
      <c r="L193" s="227"/>
      <c r="M193" s="157"/>
      <c r="N193" s="227">
        <f t="shared" si="20"/>
        <v>52292.762262010503</v>
      </c>
      <c r="O193" s="152">
        <f t="shared" si="21"/>
        <v>359663.87826201046</v>
      </c>
    </row>
    <row r="194" spans="1:15" hidden="1" x14ac:dyDescent="0.15">
      <c r="A194" s="154"/>
      <c r="B194" s="151"/>
      <c r="C194" s="151"/>
      <c r="D194" s="323"/>
      <c r="E194" s="154"/>
      <c r="F194" s="291"/>
      <c r="G194" s="152"/>
      <c r="H194" s="323"/>
      <c r="I194" s="152"/>
      <c r="J194" s="157"/>
      <c r="K194" s="154"/>
      <c r="L194" s="227"/>
      <c r="M194" s="157"/>
      <c r="N194" s="227">
        <f t="shared" si="20"/>
        <v>52292.762262010503</v>
      </c>
      <c r="O194" s="152">
        <f t="shared" si="21"/>
        <v>359663.87826201046</v>
      </c>
    </row>
    <row r="195" spans="1:15" hidden="1" x14ac:dyDescent="0.15">
      <c r="A195" s="154"/>
      <c r="B195" s="151"/>
      <c r="C195" s="151"/>
      <c r="D195" s="323"/>
      <c r="E195" s="154"/>
      <c r="F195" s="291"/>
      <c r="G195" s="152"/>
      <c r="H195" s="323"/>
      <c r="I195" s="152"/>
      <c r="J195" s="157"/>
      <c r="K195" s="154"/>
      <c r="L195" s="227"/>
      <c r="M195" s="157"/>
      <c r="N195" s="227">
        <f t="shared" si="20"/>
        <v>52292.762262010503</v>
      </c>
      <c r="O195" s="152">
        <f t="shared" si="21"/>
        <v>359663.87826201046</v>
      </c>
    </row>
    <row r="196" spans="1:15" hidden="1" x14ac:dyDescent="0.15">
      <c r="A196" s="154"/>
      <c r="B196" s="151"/>
      <c r="C196" s="151"/>
      <c r="D196" s="323"/>
      <c r="E196" s="154"/>
      <c r="F196" s="291"/>
      <c r="G196" s="152"/>
      <c r="H196" s="323"/>
      <c r="I196" s="152"/>
      <c r="J196" s="157"/>
      <c r="K196" s="154"/>
      <c r="L196" s="227"/>
      <c r="M196" s="157"/>
      <c r="N196" s="227">
        <f t="shared" si="20"/>
        <v>52292.762262010503</v>
      </c>
      <c r="O196" s="152">
        <f t="shared" si="21"/>
        <v>359663.87826201046</v>
      </c>
    </row>
    <row r="197" spans="1:15" hidden="1" x14ac:dyDescent="0.15">
      <c r="A197" s="154"/>
      <c r="B197" s="151"/>
      <c r="C197" s="151"/>
      <c r="D197" s="323"/>
      <c r="E197" s="154"/>
      <c r="F197" s="291"/>
      <c r="G197" s="152"/>
      <c r="H197" s="323"/>
      <c r="I197" s="152"/>
      <c r="J197" s="157"/>
      <c r="K197" s="154"/>
      <c r="L197" s="227"/>
      <c r="M197" s="157"/>
      <c r="N197" s="227">
        <f t="shared" si="20"/>
        <v>52292.762262010503</v>
      </c>
      <c r="O197" s="152">
        <f t="shared" si="21"/>
        <v>359663.87826201046</v>
      </c>
    </row>
    <row r="198" spans="1:15" hidden="1" x14ac:dyDescent="0.15">
      <c r="A198" s="154"/>
      <c r="B198" s="151"/>
      <c r="C198" s="151"/>
      <c r="D198" s="323"/>
      <c r="E198" s="154"/>
      <c r="F198" s="291"/>
      <c r="G198" s="152"/>
      <c r="H198" s="323"/>
      <c r="I198" s="152"/>
      <c r="J198" s="157"/>
      <c r="K198" s="154"/>
      <c r="L198" s="227"/>
      <c r="M198" s="157"/>
      <c r="N198" s="227">
        <f t="shared" si="20"/>
        <v>52292.762262010503</v>
      </c>
      <c r="O198" s="152">
        <f t="shared" si="21"/>
        <v>359663.87826201046</v>
      </c>
    </row>
    <row r="199" spans="1:15" hidden="1" x14ac:dyDescent="0.15">
      <c r="A199" s="154"/>
      <c r="B199" s="151"/>
      <c r="C199" s="151"/>
      <c r="D199" s="323"/>
      <c r="E199" s="154"/>
      <c r="F199" s="291"/>
      <c r="G199" s="152"/>
      <c r="H199" s="323"/>
      <c r="I199" s="152"/>
      <c r="J199" s="157"/>
      <c r="K199" s="154"/>
      <c r="L199" s="227"/>
      <c r="M199" s="157"/>
      <c r="N199" s="227">
        <f t="shared" si="20"/>
        <v>52292.762262010503</v>
      </c>
      <c r="O199" s="152">
        <f t="shared" si="21"/>
        <v>359663.87826201046</v>
      </c>
    </row>
    <row r="200" spans="1:15" hidden="1" x14ac:dyDescent="0.15">
      <c r="A200" s="154"/>
      <c r="B200" s="151"/>
      <c r="C200" s="151"/>
      <c r="D200" s="323"/>
      <c r="E200" s="154"/>
      <c r="F200" s="291"/>
      <c r="G200" s="152"/>
      <c r="H200" s="323"/>
      <c r="I200" s="152"/>
      <c r="J200" s="157"/>
      <c r="K200" s="154"/>
      <c r="L200" s="227"/>
      <c r="M200" s="157"/>
      <c r="N200" s="227">
        <f t="shared" si="20"/>
        <v>52292.762262010503</v>
      </c>
      <c r="O200" s="152">
        <f t="shared" si="21"/>
        <v>359663.87826201046</v>
      </c>
    </row>
    <row r="201" spans="1:15" hidden="1" x14ac:dyDescent="0.15">
      <c r="A201" s="154"/>
      <c r="B201" s="151"/>
      <c r="C201" s="151"/>
      <c r="D201" s="323"/>
      <c r="E201" s="154"/>
      <c r="F201" s="291"/>
      <c r="G201" s="152"/>
      <c r="H201" s="323"/>
      <c r="I201" s="152"/>
      <c r="J201" s="157"/>
      <c r="K201" s="154"/>
      <c r="L201" s="227"/>
      <c r="M201" s="157"/>
      <c r="N201" s="227">
        <f t="shared" si="20"/>
        <v>52292.762262010503</v>
      </c>
      <c r="O201" s="152">
        <f t="shared" si="21"/>
        <v>359663.87826201046</v>
      </c>
    </row>
    <row r="202" spans="1:15" hidden="1" x14ac:dyDescent="0.15">
      <c r="A202" s="154"/>
      <c r="B202" s="151"/>
      <c r="C202" s="151"/>
      <c r="D202" s="323"/>
      <c r="E202" s="154"/>
      <c r="F202" s="291"/>
      <c r="G202" s="152"/>
      <c r="H202" s="323"/>
      <c r="I202" s="152"/>
      <c r="J202" s="157"/>
      <c r="K202" s="154"/>
      <c r="L202" s="227"/>
      <c r="M202" s="157"/>
      <c r="N202" s="227">
        <f t="shared" si="20"/>
        <v>52292.762262010503</v>
      </c>
      <c r="O202" s="152">
        <f t="shared" si="21"/>
        <v>359663.87826201046</v>
      </c>
    </row>
    <row r="203" spans="1:15" hidden="1" x14ac:dyDescent="0.15">
      <c r="A203" s="154"/>
      <c r="B203" s="151"/>
      <c r="C203" s="151"/>
      <c r="D203" s="323"/>
      <c r="E203" s="154"/>
      <c r="F203" s="291"/>
      <c r="G203" s="152"/>
      <c r="H203" s="323"/>
      <c r="I203" s="152"/>
      <c r="J203" s="157"/>
      <c r="K203" s="154"/>
      <c r="L203" s="227"/>
      <c r="M203" s="157"/>
      <c r="N203" s="227">
        <f t="shared" si="20"/>
        <v>52292.762262010503</v>
      </c>
      <c r="O203" s="152">
        <f t="shared" si="21"/>
        <v>359663.87826201046</v>
      </c>
    </row>
    <row r="204" spans="1:15" hidden="1" x14ac:dyDescent="0.15">
      <c r="A204" s="154"/>
      <c r="B204" s="151"/>
      <c r="C204" s="151"/>
      <c r="D204" s="323"/>
      <c r="E204" s="154"/>
      <c r="F204" s="291"/>
      <c r="G204" s="152"/>
      <c r="H204" s="323"/>
      <c r="I204" s="152"/>
      <c r="J204" s="157"/>
      <c r="K204" s="154"/>
      <c r="L204" s="227"/>
      <c r="M204" s="157"/>
      <c r="N204" s="227">
        <f t="shared" si="20"/>
        <v>52292.762262010503</v>
      </c>
      <c r="O204" s="152">
        <f t="shared" si="21"/>
        <v>359663.87826201046</v>
      </c>
    </row>
    <row r="205" spans="1:15" hidden="1" x14ac:dyDescent="0.15">
      <c r="A205" s="154"/>
      <c r="B205" s="151"/>
      <c r="C205" s="151"/>
      <c r="D205" s="323"/>
      <c r="E205" s="154"/>
      <c r="F205" s="291"/>
      <c r="G205" s="152"/>
      <c r="H205" s="323"/>
      <c r="I205" s="152"/>
      <c r="J205" s="157"/>
      <c r="K205" s="154"/>
      <c r="L205" s="227"/>
      <c r="M205" s="157"/>
      <c r="N205" s="227">
        <f t="shared" si="20"/>
        <v>52292.762262010503</v>
      </c>
      <c r="O205" s="152">
        <f t="shared" si="21"/>
        <v>359663.87826201046</v>
      </c>
    </row>
    <row r="206" spans="1:15" hidden="1" x14ac:dyDescent="0.15">
      <c r="A206" s="154"/>
      <c r="B206" s="151"/>
      <c r="C206" s="151"/>
      <c r="D206" s="323"/>
      <c r="E206" s="154"/>
      <c r="F206" s="291"/>
      <c r="G206" s="152"/>
      <c r="H206" s="323"/>
      <c r="I206" s="152"/>
      <c r="J206" s="157"/>
      <c r="K206" s="154"/>
      <c r="L206" s="227"/>
      <c r="M206" s="157"/>
      <c r="N206" s="227">
        <f t="shared" si="20"/>
        <v>52292.762262010503</v>
      </c>
      <c r="O206" s="152">
        <f t="shared" si="21"/>
        <v>359663.87826201046</v>
      </c>
    </row>
    <row r="207" spans="1:15" hidden="1" x14ac:dyDescent="0.15">
      <c r="A207" s="154"/>
      <c r="B207" s="151"/>
      <c r="C207" s="151"/>
      <c r="D207" s="323"/>
      <c r="E207" s="154"/>
      <c r="F207" s="291"/>
      <c r="G207" s="152"/>
      <c r="H207" s="323"/>
      <c r="I207" s="152"/>
      <c r="J207" s="157"/>
      <c r="K207" s="154"/>
      <c r="L207" s="227"/>
      <c r="M207" s="157"/>
      <c r="N207" s="227">
        <f t="shared" si="20"/>
        <v>52292.762262010503</v>
      </c>
      <c r="O207" s="152">
        <f t="shared" si="21"/>
        <v>359663.87826201046</v>
      </c>
    </row>
    <row r="208" spans="1:15" hidden="1" x14ac:dyDescent="0.15">
      <c r="A208" s="154"/>
      <c r="B208" s="151"/>
      <c r="C208" s="151"/>
      <c r="D208" s="323"/>
      <c r="E208" s="154"/>
      <c r="F208" s="291"/>
      <c r="G208" s="152"/>
      <c r="H208" s="323"/>
      <c r="I208" s="152"/>
      <c r="J208" s="157"/>
      <c r="K208" s="154"/>
      <c r="L208" s="227"/>
      <c r="M208" s="157"/>
      <c r="N208" s="227">
        <f t="shared" si="20"/>
        <v>52292.762262010503</v>
      </c>
      <c r="O208" s="152">
        <f t="shared" si="21"/>
        <v>359663.87826201046</v>
      </c>
    </row>
    <row r="209" spans="1:15" hidden="1" x14ac:dyDescent="0.15">
      <c r="A209" s="154"/>
      <c r="B209" s="151"/>
      <c r="C209" s="151"/>
      <c r="D209" s="323"/>
      <c r="E209" s="154"/>
      <c r="F209" s="291"/>
      <c r="G209" s="152"/>
      <c r="H209" s="323"/>
      <c r="I209" s="152"/>
      <c r="J209" s="157"/>
      <c r="K209" s="154"/>
      <c r="L209" s="227"/>
      <c r="M209" s="157"/>
      <c r="N209" s="227">
        <f t="shared" ref="N209:N224" si="22">+N208-I209-L209</f>
        <v>52292.762262010503</v>
      </c>
      <c r="O209" s="152">
        <f t="shared" ref="O209:O224" si="23">O208+G209-I209-L209</f>
        <v>359663.87826201046</v>
      </c>
    </row>
    <row r="210" spans="1:15" hidden="1" x14ac:dyDescent="0.15">
      <c r="A210" s="154"/>
      <c r="B210" s="151"/>
      <c r="C210" s="151"/>
      <c r="D210" s="323"/>
      <c r="E210" s="154"/>
      <c r="F210" s="291"/>
      <c r="G210" s="152"/>
      <c r="H210" s="323"/>
      <c r="I210" s="152"/>
      <c r="J210" s="157"/>
      <c r="K210" s="154"/>
      <c r="L210" s="227"/>
      <c r="M210" s="157"/>
      <c r="N210" s="227">
        <f t="shared" si="22"/>
        <v>52292.762262010503</v>
      </c>
      <c r="O210" s="152">
        <f t="shared" si="23"/>
        <v>359663.87826201046</v>
      </c>
    </row>
    <row r="211" spans="1:15" hidden="1" x14ac:dyDescent="0.15">
      <c r="A211" s="154"/>
      <c r="B211" s="151"/>
      <c r="C211" s="151"/>
      <c r="D211" s="323"/>
      <c r="E211" s="154"/>
      <c r="F211" s="291"/>
      <c r="G211" s="152"/>
      <c r="H211" s="323"/>
      <c r="I211" s="152"/>
      <c r="J211" s="157"/>
      <c r="K211" s="154"/>
      <c r="L211" s="227"/>
      <c r="M211" s="157"/>
      <c r="N211" s="227">
        <f t="shared" si="22"/>
        <v>52292.762262010503</v>
      </c>
      <c r="O211" s="152">
        <f t="shared" si="23"/>
        <v>359663.87826201046</v>
      </c>
    </row>
    <row r="212" spans="1:15" hidden="1" x14ac:dyDescent="0.15">
      <c r="A212" s="154"/>
      <c r="B212" s="151"/>
      <c r="C212" s="151"/>
      <c r="D212" s="323"/>
      <c r="E212" s="154"/>
      <c r="F212" s="291"/>
      <c r="G212" s="152"/>
      <c r="H212" s="323"/>
      <c r="I212" s="152"/>
      <c r="J212" s="157"/>
      <c r="K212" s="154"/>
      <c r="L212" s="227"/>
      <c r="M212" s="157"/>
      <c r="N212" s="227">
        <f t="shared" si="22"/>
        <v>52292.762262010503</v>
      </c>
      <c r="O212" s="152">
        <f t="shared" si="23"/>
        <v>359663.87826201046</v>
      </c>
    </row>
    <row r="213" spans="1:15" hidden="1" x14ac:dyDescent="0.15">
      <c r="A213" s="154"/>
      <c r="B213" s="151"/>
      <c r="C213" s="151"/>
      <c r="D213" s="323"/>
      <c r="E213" s="154"/>
      <c r="F213" s="291"/>
      <c r="G213" s="152"/>
      <c r="H213" s="323"/>
      <c r="I213" s="152"/>
      <c r="J213" s="157"/>
      <c r="K213" s="154"/>
      <c r="L213" s="227"/>
      <c r="M213" s="157"/>
      <c r="N213" s="227">
        <f t="shared" si="22"/>
        <v>52292.762262010503</v>
      </c>
      <c r="O213" s="152">
        <f t="shared" si="23"/>
        <v>359663.87826201046</v>
      </c>
    </row>
    <row r="214" spans="1:15" hidden="1" x14ac:dyDescent="0.15">
      <c r="A214" s="154"/>
      <c r="B214" s="151"/>
      <c r="C214" s="151"/>
      <c r="D214" s="323"/>
      <c r="E214" s="154"/>
      <c r="F214" s="291"/>
      <c r="G214" s="152"/>
      <c r="H214" s="323"/>
      <c r="I214" s="152"/>
      <c r="J214" s="157"/>
      <c r="K214" s="154"/>
      <c r="L214" s="227"/>
      <c r="M214" s="157"/>
      <c r="N214" s="227">
        <f t="shared" si="22"/>
        <v>52292.762262010503</v>
      </c>
      <c r="O214" s="152">
        <f t="shared" si="23"/>
        <v>359663.87826201046</v>
      </c>
    </row>
    <row r="215" spans="1:15" hidden="1" x14ac:dyDescent="0.15">
      <c r="A215" s="154"/>
      <c r="B215" s="151"/>
      <c r="C215" s="151"/>
      <c r="D215" s="323"/>
      <c r="E215" s="154"/>
      <c r="F215" s="291"/>
      <c r="G215" s="152"/>
      <c r="H215" s="323"/>
      <c r="I215" s="152"/>
      <c r="J215" s="157"/>
      <c r="K215" s="154"/>
      <c r="L215" s="227"/>
      <c r="M215" s="157"/>
      <c r="N215" s="227">
        <f t="shared" si="22"/>
        <v>52292.762262010503</v>
      </c>
      <c r="O215" s="152">
        <f t="shared" si="23"/>
        <v>359663.87826201046</v>
      </c>
    </row>
    <row r="216" spans="1:15" hidden="1" x14ac:dyDescent="0.15">
      <c r="A216" s="154"/>
      <c r="B216" s="151"/>
      <c r="C216" s="151"/>
      <c r="D216" s="323"/>
      <c r="E216" s="154"/>
      <c r="F216" s="291"/>
      <c r="G216" s="152"/>
      <c r="H216" s="323"/>
      <c r="I216" s="152"/>
      <c r="J216" s="157"/>
      <c r="K216" s="154"/>
      <c r="L216" s="227"/>
      <c r="M216" s="157"/>
      <c r="N216" s="227">
        <f t="shared" si="22"/>
        <v>52292.762262010503</v>
      </c>
      <c r="O216" s="152">
        <f t="shared" si="23"/>
        <v>359663.87826201046</v>
      </c>
    </row>
    <row r="217" spans="1:15" hidden="1" x14ac:dyDescent="0.15">
      <c r="A217" s="154"/>
      <c r="B217" s="151"/>
      <c r="C217" s="151"/>
      <c r="D217" s="323"/>
      <c r="E217" s="154"/>
      <c r="F217" s="291"/>
      <c r="G217" s="152"/>
      <c r="H217" s="323"/>
      <c r="I217" s="152"/>
      <c r="J217" s="157"/>
      <c r="K217" s="154"/>
      <c r="L217" s="227"/>
      <c r="M217" s="157"/>
      <c r="N217" s="227">
        <f t="shared" si="22"/>
        <v>52292.762262010503</v>
      </c>
      <c r="O217" s="152">
        <f t="shared" si="23"/>
        <v>359663.87826201046</v>
      </c>
    </row>
    <row r="218" spans="1:15" hidden="1" x14ac:dyDescent="0.15">
      <c r="A218" s="154"/>
      <c r="B218" s="151"/>
      <c r="C218" s="151"/>
      <c r="D218" s="323"/>
      <c r="E218" s="154"/>
      <c r="F218" s="291"/>
      <c r="G218" s="152"/>
      <c r="H218" s="323"/>
      <c r="I218" s="152"/>
      <c r="J218" s="157"/>
      <c r="K218" s="154"/>
      <c r="L218" s="227"/>
      <c r="M218" s="157"/>
      <c r="N218" s="227">
        <f t="shared" si="22"/>
        <v>52292.762262010503</v>
      </c>
      <c r="O218" s="152">
        <f t="shared" si="23"/>
        <v>359663.87826201046</v>
      </c>
    </row>
    <row r="219" spans="1:15" hidden="1" x14ac:dyDescent="0.15">
      <c r="A219" s="154"/>
      <c r="B219" s="151"/>
      <c r="C219" s="151"/>
      <c r="D219" s="323"/>
      <c r="E219" s="154"/>
      <c r="F219" s="157"/>
      <c r="G219" s="152"/>
      <c r="H219" s="323"/>
      <c r="I219" s="152"/>
      <c r="J219" s="157"/>
      <c r="K219" s="154"/>
      <c r="L219" s="227"/>
      <c r="M219" s="157"/>
      <c r="N219" s="227">
        <f t="shared" si="22"/>
        <v>52292.762262010503</v>
      </c>
      <c r="O219" s="152">
        <f t="shared" si="23"/>
        <v>359663.87826201046</v>
      </c>
    </row>
    <row r="220" spans="1:15" hidden="1" x14ac:dyDescent="0.15">
      <c r="A220" s="154"/>
      <c r="B220" s="151"/>
      <c r="C220" s="151"/>
      <c r="D220" s="323"/>
      <c r="E220" s="154"/>
      <c r="F220" s="157"/>
      <c r="G220" s="152"/>
      <c r="H220" s="323"/>
      <c r="I220" s="152"/>
      <c r="J220" s="154"/>
      <c r="K220" s="154"/>
      <c r="L220" s="227"/>
      <c r="M220" s="157"/>
      <c r="N220" s="227">
        <f t="shared" si="22"/>
        <v>52292.762262010503</v>
      </c>
      <c r="O220" s="152">
        <f t="shared" si="23"/>
        <v>359663.87826201046</v>
      </c>
    </row>
    <row r="221" spans="1:15" hidden="1" x14ac:dyDescent="0.15">
      <c r="A221" s="154"/>
      <c r="B221" s="151"/>
      <c r="C221" s="151"/>
      <c r="D221" s="323"/>
      <c r="E221" s="155"/>
      <c r="F221" s="157"/>
      <c r="G221" s="152"/>
      <c r="H221" s="323"/>
      <c r="I221" s="152"/>
      <c r="J221" s="154"/>
      <c r="K221" s="154"/>
      <c r="L221" s="227"/>
      <c r="M221" s="157"/>
      <c r="N221" s="227">
        <f t="shared" si="22"/>
        <v>52292.762262010503</v>
      </c>
      <c r="O221" s="152">
        <f t="shared" si="23"/>
        <v>359663.87826201046</v>
      </c>
    </row>
    <row r="222" spans="1:15" hidden="1" x14ac:dyDescent="0.15">
      <c r="A222" s="154"/>
      <c r="B222" s="151"/>
      <c r="C222" s="151"/>
      <c r="D222" s="323"/>
      <c r="E222" s="154"/>
      <c r="F222" s="160"/>
      <c r="G222" s="152"/>
      <c r="H222" s="323"/>
      <c r="I222" s="152"/>
      <c r="J222" s="157"/>
      <c r="K222" s="154"/>
      <c r="L222" s="227"/>
      <c r="M222" s="157"/>
      <c r="N222" s="227">
        <f t="shared" si="22"/>
        <v>52292.762262010503</v>
      </c>
      <c r="O222" s="152">
        <f t="shared" si="23"/>
        <v>359663.87826201046</v>
      </c>
    </row>
    <row r="223" spans="1:15" hidden="1" x14ac:dyDescent="0.15">
      <c r="A223" s="154"/>
      <c r="B223" s="151"/>
      <c r="C223" s="151"/>
      <c r="D223" s="323"/>
      <c r="E223" s="154"/>
      <c r="F223" s="160"/>
      <c r="G223" s="152"/>
      <c r="H223" s="323"/>
      <c r="I223" s="152"/>
      <c r="J223" s="150"/>
      <c r="K223" s="154"/>
      <c r="L223" s="227"/>
      <c r="M223" s="157"/>
      <c r="N223" s="227">
        <f t="shared" si="22"/>
        <v>52292.762262010503</v>
      </c>
      <c r="O223" s="152">
        <f t="shared" si="23"/>
        <v>359663.87826201046</v>
      </c>
    </row>
    <row r="224" spans="1:15" x14ac:dyDescent="0.15">
      <c r="A224" s="173"/>
      <c r="B224" s="173"/>
      <c r="C224" s="174"/>
      <c r="D224" s="323"/>
      <c r="E224" s="173"/>
      <c r="F224" s="173"/>
      <c r="G224" s="174"/>
      <c r="H224" s="323"/>
      <c r="I224" s="174"/>
      <c r="J224" s="173"/>
      <c r="K224" s="154"/>
      <c r="L224" s="228"/>
      <c r="M224" s="173"/>
      <c r="N224" s="227">
        <f t="shared" si="22"/>
        <v>52292.762262010503</v>
      </c>
      <c r="O224" s="152">
        <f t="shared" si="23"/>
        <v>359663.87826201046</v>
      </c>
    </row>
    <row r="225" spans="1:15" x14ac:dyDescent="0.15">
      <c r="A225" s="177"/>
      <c r="B225" s="177"/>
      <c r="C225" s="178">
        <f>SUM(C7:C223)</f>
        <v>508238.80876201054</v>
      </c>
      <c r="D225" s="177"/>
      <c r="E225" s="177"/>
      <c r="F225" s="177"/>
      <c r="G225" s="178">
        <f>SUM(G7:G224)</f>
        <v>1752950.46</v>
      </c>
      <c r="H225" s="179"/>
      <c r="I225" s="178">
        <f>SUM(I7:I224)</f>
        <v>97001.660499999998</v>
      </c>
      <c r="J225" s="177"/>
      <c r="K225" s="177"/>
      <c r="L225" s="178">
        <f>SUM(L7:L224)</f>
        <v>1804523.7299999993</v>
      </c>
      <c r="M225" s="177"/>
      <c r="N225" s="180"/>
      <c r="O225" s="181">
        <f>C225+G225-I225-L225</f>
        <v>359663.87826201157</v>
      </c>
    </row>
    <row r="226" spans="1:15" x14ac:dyDescent="0.15">
      <c r="A226" s="182"/>
      <c r="B226" s="465"/>
      <c r="C226" s="465"/>
      <c r="D226" s="465"/>
      <c r="E226" s="183"/>
      <c r="F226" s="284"/>
      <c r="G226" s="185"/>
      <c r="H226" s="186"/>
      <c r="I226" s="187"/>
      <c r="J226" s="188"/>
      <c r="K226" s="189" t="s">
        <v>139</v>
      </c>
      <c r="L226" s="190">
        <f>+L225+I225</f>
        <v>1901525.3904999993</v>
      </c>
      <c r="M226" s="197"/>
      <c r="N226" s="230">
        <f>+N224</f>
        <v>52292.762262010503</v>
      </c>
      <c r="O226" s="195" t="s">
        <v>1881</v>
      </c>
    </row>
    <row r="227" spans="1:15" x14ac:dyDescent="0.15">
      <c r="A227" s="193" t="s">
        <v>1858</v>
      </c>
      <c r="B227" s="131" t="s">
        <v>1873</v>
      </c>
      <c r="E227" s="183" t="s">
        <v>55</v>
      </c>
      <c r="F227" s="352">
        <v>1589774.77</v>
      </c>
      <c r="G227" s="219" t="s">
        <v>56</v>
      </c>
      <c r="H227" s="186">
        <v>41730</v>
      </c>
      <c r="I227" s="187" t="s">
        <v>71</v>
      </c>
      <c r="J227" s="210">
        <v>79511.750762010852</v>
      </c>
      <c r="K227" s="210"/>
      <c r="N227" s="230">
        <f>+G64</f>
        <v>43899.303</v>
      </c>
      <c r="O227" s="195" t="s">
        <v>1882</v>
      </c>
    </row>
    <row r="228" spans="1:15" x14ac:dyDescent="0.15">
      <c r="A228" s="193" t="s">
        <v>1859</v>
      </c>
      <c r="B228" s="131" t="s">
        <v>1892</v>
      </c>
      <c r="E228" s="183" t="s">
        <v>55</v>
      </c>
      <c r="F228" s="352">
        <v>2044896.82</v>
      </c>
      <c r="G228" s="219" t="s">
        <v>56</v>
      </c>
      <c r="H228" s="186">
        <v>41732</v>
      </c>
      <c r="I228" s="187" t="s">
        <v>71</v>
      </c>
      <c r="J228" s="210">
        <v>187893.29500000001</v>
      </c>
      <c r="K228" s="297"/>
      <c r="N228" s="230">
        <f>+G68+G70+G72</f>
        <v>131700.666</v>
      </c>
      <c r="O228" s="334" t="s">
        <v>1883</v>
      </c>
    </row>
    <row r="229" spans="1:15" x14ac:dyDescent="0.15">
      <c r="A229" s="193" t="s">
        <v>1860</v>
      </c>
      <c r="B229" s="131" t="s">
        <v>1893</v>
      </c>
      <c r="E229" s="183" t="s">
        <v>55</v>
      </c>
      <c r="F229" s="352">
        <v>580826.85</v>
      </c>
      <c r="G229" s="219" t="s">
        <v>56</v>
      </c>
      <c r="H229" s="186">
        <v>41737</v>
      </c>
      <c r="I229" s="187" t="s">
        <v>71</v>
      </c>
      <c r="J229" s="210">
        <v>87857.788999999699</v>
      </c>
      <c r="K229" s="333"/>
      <c r="N229" s="230">
        <f>+G74+G80</f>
        <v>87923.35</v>
      </c>
      <c r="O229" s="195" t="s">
        <v>1884</v>
      </c>
    </row>
    <row r="230" spans="1:15" x14ac:dyDescent="0.15">
      <c r="A230" s="193" t="s">
        <v>1861</v>
      </c>
      <c r="B230" s="131" t="s">
        <v>1894</v>
      </c>
      <c r="E230" s="183" t="s">
        <v>55</v>
      </c>
      <c r="F230" s="352">
        <v>5272703.4800000004</v>
      </c>
      <c r="G230" s="219" t="s">
        <v>56</v>
      </c>
      <c r="H230" s="186">
        <v>41737</v>
      </c>
      <c r="I230" s="187" t="s">
        <v>71</v>
      </c>
      <c r="J230" s="210">
        <v>253894.75700000001</v>
      </c>
      <c r="N230" s="230">
        <f>+G81</f>
        <v>43847.796999999999</v>
      </c>
      <c r="O230" s="195" t="s">
        <v>1885</v>
      </c>
    </row>
    <row r="231" spans="1:15" x14ac:dyDescent="0.15">
      <c r="A231" s="193" t="s">
        <v>1886</v>
      </c>
      <c r="B231" s="131" t="s">
        <v>1895</v>
      </c>
      <c r="E231" s="183" t="s">
        <v>55</v>
      </c>
      <c r="F231" s="352">
        <v>650231.18999999994</v>
      </c>
      <c r="G231" s="219" t="s">
        <v>56</v>
      </c>
      <c r="H231" s="186">
        <v>41737</v>
      </c>
      <c r="I231" s="187" t="s">
        <v>71</v>
      </c>
      <c r="J231" s="210">
        <v>43907.228000000003</v>
      </c>
      <c r="K231" s="333"/>
      <c r="N231" s="230"/>
      <c r="O231" s="195"/>
    </row>
    <row r="232" spans="1:15" x14ac:dyDescent="0.15">
      <c r="A232" s="193" t="s">
        <v>1887</v>
      </c>
      <c r="B232" s="131" t="s">
        <v>1896</v>
      </c>
      <c r="E232" s="183" t="s">
        <v>55</v>
      </c>
      <c r="F232" s="352">
        <v>2095122.36</v>
      </c>
      <c r="G232" s="219" t="s">
        <v>56</v>
      </c>
      <c r="H232" s="186">
        <v>41738</v>
      </c>
      <c r="I232" s="187" t="s">
        <v>71</v>
      </c>
      <c r="J232" s="210">
        <v>155131.092</v>
      </c>
      <c r="N232" s="230"/>
      <c r="O232" s="195"/>
    </row>
    <row r="233" spans="1:15" x14ac:dyDescent="0.15">
      <c r="A233" s="193" t="s">
        <v>1888</v>
      </c>
      <c r="B233" s="131" t="s">
        <v>1897</v>
      </c>
      <c r="E233" s="183" t="s">
        <v>55</v>
      </c>
      <c r="F233" s="352">
        <v>1935187.79</v>
      </c>
      <c r="G233" s="219" t="s">
        <v>56</v>
      </c>
      <c r="H233" s="186">
        <v>41746</v>
      </c>
      <c r="I233" s="187" t="s">
        <v>71</v>
      </c>
      <c r="J233" s="210">
        <v>158835.02450000003</v>
      </c>
      <c r="N233" s="206" t="s">
        <v>33</v>
      </c>
      <c r="O233" s="207">
        <f>SUM(N226:N232)</f>
        <v>359663.87826201052</v>
      </c>
    </row>
    <row r="234" spans="1:15" x14ac:dyDescent="0.15">
      <c r="A234" s="193" t="s">
        <v>1889</v>
      </c>
      <c r="B234" s="131" t="s">
        <v>1898</v>
      </c>
      <c r="E234" s="183" t="s">
        <v>55</v>
      </c>
      <c r="F234" s="352">
        <v>2134924.87</v>
      </c>
      <c r="G234" s="219" t="s">
        <v>56</v>
      </c>
      <c r="H234" s="186">
        <v>41746</v>
      </c>
      <c r="I234" s="187" t="s">
        <v>71</v>
      </c>
      <c r="J234" s="210">
        <v>300167.66500000004</v>
      </c>
      <c r="K234" s="297"/>
      <c r="O234" s="190">
        <f>+O225-O233</f>
        <v>1.0477378964424133E-9</v>
      </c>
    </row>
    <row r="235" spans="1:15" s="132" customFormat="1" x14ac:dyDescent="0.15">
      <c r="A235" s="193" t="s">
        <v>1890</v>
      </c>
      <c r="B235" s="131" t="s">
        <v>1899</v>
      </c>
      <c r="D235" s="133"/>
      <c r="E235" s="183" t="s">
        <v>55</v>
      </c>
      <c r="F235" s="352">
        <v>2088307.07</v>
      </c>
      <c r="G235" s="219" t="s">
        <v>56</v>
      </c>
      <c r="H235" s="186">
        <v>41746</v>
      </c>
      <c r="I235" s="187" t="s">
        <v>71</v>
      </c>
      <c r="J235" s="210">
        <v>245244.86699999997</v>
      </c>
      <c r="K235" s="333"/>
      <c r="M235" s="134"/>
    </row>
    <row r="236" spans="1:15" s="132" customFormat="1" x14ac:dyDescent="0.15">
      <c r="A236" s="193" t="s">
        <v>1891</v>
      </c>
      <c r="B236" s="131" t="s">
        <v>1900</v>
      </c>
      <c r="D236" s="133"/>
      <c r="E236" s="183" t="s">
        <v>55</v>
      </c>
      <c r="F236" s="352">
        <v>2579643.52</v>
      </c>
      <c r="G236" s="219" t="s">
        <v>56</v>
      </c>
      <c r="H236" s="186">
        <v>41746</v>
      </c>
      <c r="I236" s="187" t="s">
        <v>71</v>
      </c>
      <c r="J236" s="210">
        <v>218324.37100000007</v>
      </c>
      <c r="K236" s="133"/>
      <c r="M236" s="134"/>
    </row>
    <row r="237" spans="1:15" s="132" customFormat="1" x14ac:dyDescent="0.15">
      <c r="A237" s="193" t="s">
        <v>1881</v>
      </c>
      <c r="B237" s="131" t="s">
        <v>1901</v>
      </c>
      <c r="D237" s="133"/>
      <c r="E237" s="183" t="s">
        <v>55</v>
      </c>
      <c r="F237" s="352">
        <v>4203068.18</v>
      </c>
      <c r="G237" s="219" t="s">
        <v>56</v>
      </c>
      <c r="H237" s="186">
        <v>41750</v>
      </c>
      <c r="I237" s="187" t="s">
        <v>71</v>
      </c>
      <c r="J237" s="210">
        <v>73755.89073798951</v>
      </c>
      <c r="K237" s="133"/>
      <c r="M237" s="134"/>
    </row>
    <row r="238" spans="1:15" s="132" customFormat="1" ht="12" thickBot="1" x14ac:dyDescent="0.2">
      <c r="A238" s="133"/>
      <c r="B238" s="350"/>
      <c r="C238" s="350"/>
      <c r="D238" s="350"/>
      <c r="E238" s="183"/>
      <c r="F238" s="351"/>
      <c r="G238" s="219"/>
      <c r="H238" s="186"/>
      <c r="I238" s="217" t="s">
        <v>856</v>
      </c>
      <c r="J238" s="211">
        <f>SUM(J227:J237)</f>
        <v>1804523.7300000002</v>
      </c>
      <c r="K238" s="333"/>
      <c r="M238" s="134"/>
    </row>
    <row r="239" spans="1:15" s="132" customFormat="1" ht="12" thickTop="1" x14ac:dyDescent="0.15">
      <c r="A239" s="133"/>
      <c r="B239" s="133" t="s">
        <v>9</v>
      </c>
      <c r="C239" s="220" t="s">
        <v>729</v>
      </c>
      <c r="D239" s="220" t="s">
        <v>850</v>
      </c>
      <c r="E239" s="133" t="s">
        <v>570</v>
      </c>
      <c r="F239" s="133" t="s">
        <v>571</v>
      </c>
      <c r="G239" s="133" t="s">
        <v>16</v>
      </c>
      <c r="H239" s="134"/>
      <c r="J239" s="205"/>
      <c r="K239" s="133"/>
      <c r="M239" s="134"/>
    </row>
    <row r="240" spans="1:15" s="132" customFormat="1" x14ac:dyDescent="0.15">
      <c r="A240" s="193" t="s">
        <v>1858</v>
      </c>
      <c r="B240" s="210">
        <v>79512</v>
      </c>
      <c r="C240" s="221">
        <v>24.444400000000002</v>
      </c>
      <c r="D240" s="237">
        <f t="shared" ref="D240:D250" si="24">+B240*C240</f>
        <v>1943623.1328</v>
      </c>
      <c r="E240" s="235">
        <f t="shared" ref="E240:E250" si="25">+D240*0.01</f>
        <v>19436.231328000002</v>
      </c>
      <c r="F240" s="235">
        <f t="shared" ref="F240:F250" si="26">+E240*0.1</f>
        <v>1943.6231328000003</v>
      </c>
      <c r="G240" s="236">
        <f t="shared" ref="G240:G250" si="27">SUM(E240:F240)</f>
        <v>21379.854460800001</v>
      </c>
      <c r="H240" s="134"/>
      <c r="J240" s="205"/>
      <c r="K240" s="133"/>
      <c r="M240" s="134"/>
    </row>
    <row r="241" spans="1:15" s="132" customFormat="1" x14ac:dyDescent="0.15">
      <c r="A241" s="193" t="s">
        <v>1859</v>
      </c>
      <c r="B241" s="210">
        <v>187893</v>
      </c>
      <c r="C241" s="221">
        <v>24.552700000000002</v>
      </c>
      <c r="D241" s="237">
        <f t="shared" si="24"/>
        <v>4613280.4611</v>
      </c>
      <c r="E241" s="235">
        <f t="shared" si="25"/>
        <v>46132.804611</v>
      </c>
      <c r="F241" s="235">
        <f t="shared" si="26"/>
        <v>4613.2804611000001</v>
      </c>
      <c r="G241" s="236">
        <f t="shared" si="27"/>
        <v>50746.085072100002</v>
      </c>
      <c r="H241" s="133"/>
      <c r="J241" s="205"/>
      <c r="K241" s="133"/>
      <c r="M241" s="134"/>
    </row>
    <row r="242" spans="1:15" s="132" customFormat="1" x14ac:dyDescent="0.15">
      <c r="A242" s="193" t="s">
        <v>1860</v>
      </c>
      <c r="B242" s="210">
        <v>87858</v>
      </c>
      <c r="C242" s="221">
        <v>24.720800000000001</v>
      </c>
      <c r="D242" s="237">
        <f t="shared" si="24"/>
        <v>2171920.0463999999</v>
      </c>
      <c r="E242" s="235">
        <f t="shared" si="25"/>
        <v>21719.200463999998</v>
      </c>
      <c r="F242" s="235">
        <f t="shared" si="26"/>
        <v>2171.9200464</v>
      </c>
      <c r="G242" s="236">
        <f t="shared" si="27"/>
        <v>23891.120510399996</v>
      </c>
      <c r="H242" s="133"/>
      <c r="J242" s="205"/>
      <c r="K242" s="133"/>
      <c r="M242" s="134"/>
    </row>
    <row r="243" spans="1:15" s="132" customFormat="1" x14ac:dyDescent="0.15">
      <c r="A243" s="193" t="s">
        <v>1861</v>
      </c>
      <c r="B243" s="210">
        <v>253895</v>
      </c>
      <c r="C243" s="221">
        <v>24.754000000000001</v>
      </c>
      <c r="D243" s="237">
        <f t="shared" si="24"/>
        <v>6284916.8300000001</v>
      </c>
      <c r="E243" s="235">
        <f t="shared" si="25"/>
        <v>62849.168300000005</v>
      </c>
      <c r="F243" s="235">
        <f t="shared" si="26"/>
        <v>6284.916830000001</v>
      </c>
      <c r="G243" s="236">
        <f t="shared" si="27"/>
        <v>69134.085130000007</v>
      </c>
      <c r="H243" s="134"/>
      <c r="J243" s="205"/>
      <c r="K243" s="133"/>
      <c r="M243" s="134"/>
    </row>
    <row r="244" spans="1:15" s="132" customFormat="1" x14ac:dyDescent="0.15">
      <c r="A244" s="193" t="s">
        <v>1886</v>
      </c>
      <c r="B244" s="210">
        <v>43907</v>
      </c>
      <c r="C244" s="221">
        <v>24.743300000000001</v>
      </c>
      <c r="D244" s="237">
        <f t="shared" si="24"/>
        <v>1086404.0731000002</v>
      </c>
      <c r="E244" s="235">
        <f t="shared" si="25"/>
        <v>10864.040731000001</v>
      </c>
      <c r="F244" s="235">
        <f t="shared" si="26"/>
        <v>1086.4040731000002</v>
      </c>
      <c r="G244" s="236">
        <f t="shared" si="27"/>
        <v>11950.444804100001</v>
      </c>
      <c r="H244" s="133"/>
      <c r="J244" s="205"/>
      <c r="K244" s="133"/>
      <c r="M244" s="134"/>
    </row>
    <row r="245" spans="1:15" s="132" customFormat="1" x14ac:dyDescent="0.15">
      <c r="A245" s="193" t="s">
        <v>1887</v>
      </c>
      <c r="B245" s="210">
        <v>155131</v>
      </c>
      <c r="C245" s="221">
        <v>24.719100000000001</v>
      </c>
      <c r="D245" s="237">
        <f t="shared" si="24"/>
        <v>3834698.7021000003</v>
      </c>
      <c r="E245" s="235">
        <f t="shared" si="25"/>
        <v>38346.987021000001</v>
      </c>
      <c r="F245" s="235">
        <f t="shared" si="26"/>
        <v>3834.6987021000004</v>
      </c>
      <c r="G245" s="236">
        <f t="shared" si="27"/>
        <v>42181.685723100003</v>
      </c>
      <c r="H245" s="133"/>
      <c r="I245" s="134"/>
      <c r="J245" s="205"/>
      <c r="K245" s="133"/>
      <c r="M245" s="134"/>
    </row>
    <row r="246" spans="1:15" s="132" customFormat="1" x14ac:dyDescent="0.15">
      <c r="A246" s="193" t="s">
        <v>1888</v>
      </c>
      <c r="B246" s="210">
        <v>158835</v>
      </c>
      <c r="C246" s="221">
        <v>24.380700000000001</v>
      </c>
      <c r="D246" s="237">
        <f t="shared" si="24"/>
        <v>3872508.4845000003</v>
      </c>
      <c r="E246" s="235">
        <f t="shared" si="25"/>
        <v>38725.084845000005</v>
      </c>
      <c r="F246" s="235">
        <f t="shared" si="26"/>
        <v>3872.5084845000006</v>
      </c>
      <c r="G246" s="236">
        <f t="shared" si="27"/>
        <v>42597.593329500007</v>
      </c>
      <c r="H246" s="134"/>
      <c r="I246" s="134"/>
      <c r="J246" s="134"/>
      <c r="K246" s="133"/>
      <c r="M246" s="134"/>
    </row>
    <row r="247" spans="1:15" s="132" customFormat="1" x14ac:dyDescent="0.15">
      <c r="A247" s="193" t="s">
        <v>1889</v>
      </c>
      <c r="B247" s="210">
        <v>300168</v>
      </c>
      <c r="C247" s="221">
        <v>24.422599999999999</v>
      </c>
      <c r="D247" s="237">
        <f t="shared" si="24"/>
        <v>7330882.9967999998</v>
      </c>
      <c r="E247" s="235">
        <f t="shared" si="25"/>
        <v>73308.829968000005</v>
      </c>
      <c r="F247" s="235">
        <f t="shared" si="26"/>
        <v>7330.8829968000009</v>
      </c>
      <c r="G247" s="236">
        <f t="shared" si="27"/>
        <v>80639.712964800012</v>
      </c>
      <c r="H247" s="133"/>
      <c r="J247" s="134"/>
      <c r="K247" s="133"/>
      <c r="M247" s="134"/>
    </row>
    <row r="248" spans="1:15" s="132" customFormat="1" x14ac:dyDescent="0.15">
      <c r="A248" s="193" t="s">
        <v>1890</v>
      </c>
      <c r="B248" s="210">
        <v>245245</v>
      </c>
      <c r="C248" s="221">
        <v>24.423200000000001</v>
      </c>
      <c r="D248" s="237">
        <f t="shared" si="24"/>
        <v>5989667.6840000004</v>
      </c>
      <c r="E248" s="235">
        <f t="shared" si="25"/>
        <v>59896.676840000007</v>
      </c>
      <c r="F248" s="235">
        <f t="shared" si="26"/>
        <v>5989.6676840000009</v>
      </c>
      <c r="G248" s="236">
        <f t="shared" si="27"/>
        <v>65886.344524000015</v>
      </c>
      <c r="H248" s="133"/>
      <c r="J248" s="134"/>
      <c r="K248" s="133"/>
      <c r="M248" s="134"/>
    </row>
    <row r="249" spans="1:15" s="132" customFormat="1" x14ac:dyDescent="0.15">
      <c r="A249" s="193" t="s">
        <v>1891</v>
      </c>
      <c r="B249" s="210">
        <v>218324</v>
      </c>
      <c r="C249" s="221">
        <v>24.4361</v>
      </c>
      <c r="D249" s="237">
        <f t="shared" si="24"/>
        <v>5334987.0964000002</v>
      </c>
      <c r="E249" s="235">
        <f t="shared" si="25"/>
        <v>53349.870964000002</v>
      </c>
      <c r="F249" s="235">
        <f t="shared" si="26"/>
        <v>5334.9870964000002</v>
      </c>
      <c r="G249" s="236">
        <f t="shared" si="27"/>
        <v>58684.858060400002</v>
      </c>
      <c r="H249" s="134"/>
      <c r="I249" s="134"/>
      <c r="J249" s="134"/>
      <c r="K249" s="133"/>
      <c r="M249" s="134"/>
    </row>
    <row r="250" spans="1:15" s="132" customFormat="1" x14ac:dyDescent="0.15">
      <c r="A250" s="193" t="s">
        <v>1881</v>
      </c>
      <c r="B250" s="210">
        <v>73756</v>
      </c>
      <c r="C250" s="221">
        <v>24.393999999999998</v>
      </c>
      <c r="D250" s="237">
        <f t="shared" si="24"/>
        <v>1799203.8639999998</v>
      </c>
      <c r="E250" s="235">
        <f t="shared" si="25"/>
        <v>17992.038639999999</v>
      </c>
      <c r="F250" s="235">
        <f t="shared" si="26"/>
        <v>1799.2038640000001</v>
      </c>
      <c r="G250" s="236">
        <f t="shared" si="27"/>
        <v>19791.242503999998</v>
      </c>
      <c r="H250" s="133"/>
      <c r="J250" s="134"/>
      <c r="K250" s="133"/>
      <c r="M250" s="134"/>
    </row>
    <row r="251" spans="1:15" s="132" customFormat="1" ht="12" thickBot="1" x14ac:dyDescent="0.2">
      <c r="A251" s="133"/>
      <c r="B251" s="211">
        <f>SUM(B240:B250)</f>
        <v>1804524</v>
      </c>
      <c r="C251" s="221"/>
      <c r="D251" s="237"/>
      <c r="E251" s="242">
        <f>SUM(E240:E250)</f>
        <v>442620.93371200003</v>
      </c>
      <c r="F251" s="242">
        <f t="shared" ref="F251:G251" si="28">SUM(F240:F250)</f>
        <v>44262.093371200011</v>
      </c>
      <c r="G251" s="242">
        <f t="shared" si="28"/>
        <v>486883.02708320005</v>
      </c>
      <c r="H251" s="133"/>
      <c r="I251" s="134"/>
      <c r="J251" s="134"/>
      <c r="K251" s="133"/>
      <c r="M251" s="134"/>
    </row>
    <row r="252" spans="1:15" s="132" customFormat="1" ht="12" thickTop="1" x14ac:dyDescent="0.15">
      <c r="A252" s="134"/>
      <c r="B252" s="231"/>
      <c r="D252" s="133"/>
      <c r="E252" s="133"/>
      <c r="F252" s="134"/>
      <c r="H252" s="133"/>
      <c r="J252" s="134"/>
      <c r="K252" s="133"/>
      <c r="M252" s="134"/>
    </row>
    <row r="253" spans="1:15" s="132" customFormat="1" x14ac:dyDescent="0.15">
      <c r="A253" s="134"/>
      <c r="B253" s="131"/>
      <c r="D253" s="133"/>
      <c r="E253" s="133"/>
      <c r="F253" s="134"/>
      <c r="H253" s="133"/>
      <c r="J253" s="134"/>
      <c r="K253" s="133"/>
      <c r="M253" s="134"/>
    </row>
    <row r="254" spans="1:15" s="133" customFormat="1" x14ac:dyDescent="0.15">
      <c r="A254" s="134"/>
      <c r="B254" s="131"/>
      <c r="C254" s="132"/>
      <c r="F254" s="134"/>
      <c r="G254" s="132"/>
      <c r="I254" s="132"/>
      <c r="J254" s="134"/>
      <c r="L254" s="132"/>
      <c r="M254" s="134"/>
      <c r="N254" s="132"/>
      <c r="O254" s="132"/>
    </row>
    <row r="255" spans="1:15" s="133" customFormat="1" x14ac:dyDescent="0.15">
      <c r="A255" s="188"/>
      <c r="B255" s="131"/>
      <c r="C255" s="132"/>
      <c r="E255" s="183"/>
      <c r="F255" s="352"/>
      <c r="G255" s="219"/>
      <c r="H255" s="186"/>
      <c r="I255" s="132"/>
      <c r="J255" s="134"/>
      <c r="L255" s="132"/>
      <c r="M255" s="134"/>
      <c r="N255" s="132"/>
      <c r="O255" s="132"/>
    </row>
    <row r="256" spans="1:15" s="133" customFormat="1" x14ac:dyDescent="0.15">
      <c r="A256" s="247"/>
      <c r="B256" s="131"/>
      <c r="C256" s="132"/>
      <c r="E256" s="183"/>
      <c r="F256" s="352"/>
      <c r="G256" s="219"/>
      <c r="H256" s="186"/>
      <c r="I256" s="132"/>
      <c r="J256" s="134"/>
      <c r="L256" s="132"/>
      <c r="M256" s="134"/>
      <c r="N256" s="132"/>
      <c r="O256" s="132"/>
    </row>
    <row r="257" spans="1:15" s="133" customFormat="1" x14ac:dyDescent="0.15">
      <c r="A257" s="188"/>
      <c r="B257" s="131"/>
      <c r="C257" s="132"/>
      <c r="E257" s="183"/>
      <c r="F257" s="352"/>
      <c r="G257" s="219"/>
      <c r="H257" s="186"/>
      <c r="I257" s="132"/>
      <c r="J257" s="134"/>
      <c r="L257" s="132"/>
      <c r="M257" s="134"/>
      <c r="N257" s="132"/>
      <c r="O257" s="132"/>
    </row>
    <row r="258" spans="1:15" s="133" customFormat="1" x14ac:dyDescent="0.15">
      <c r="A258" s="247"/>
      <c r="B258" s="131"/>
      <c r="C258" s="132"/>
      <c r="E258" s="183"/>
      <c r="F258" s="352"/>
      <c r="G258" s="219"/>
      <c r="H258" s="186"/>
      <c r="I258" s="132"/>
      <c r="J258" s="134"/>
      <c r="L258" s="132"/>
      <c r="M258" s="134"/>
      <c r="N258" s="132"/>
      <c r="O258" s="132"/>
    </row>
    <row r="259" spans="1:15" s="133" customFormat="1" x14ac:dyDescent="0.15">
      <c r="A259" s="247"/>
      <c r="B259" s="131"/>
      <c r="C259" s="132"/>
      <c r="E259" s="183"/>
      <c r="F259" s="352"/>
      <c r="G259" s="219"/>
      <c r="H259" s="186"/>
      <c r="I259" s="132"/>
      <c r="J259" s="134"/>
      <c r="L259" s="132"/>
      <c r="M259" s="134"/>
      <c r="N259" s="132"/>
      <c r="O259" s="132"/>
    </row>
    <row r="260" spans="1:15" x14ac:dyDescent="0.15">
      <c r="A260" s="247"/>
      <c r="E260" s="183"/>
      <c r="F260" s="352"/>
      <c r="G260" s="219"/>
      <c r="H260" s="186"/>
    </row>
    <row r="261" spans="1:15" s="132" customFormat="1" x14ac:dyDescent="0.15">
      <c r="A261" s="247"/>
      <c r="B261" s="131"/>
      <c r="D261" s="133"/>
      <c r="E261" s="183"/>
      <c r="F261" s="352"/>
      <c r="G261" s="219"/>
      <c r="H261" s="186"/>
      <c r="J261" s="134"/>
      <c r="K261" s="133"/>
      <c r="M261" s="134"/>
    </row>
    <row r="262" spans="1:15" s="132" customFormat="1" x14ac:dyDescent="0.15">
      <c r="A262" s="247"/>
      <c r="B262" s="131"/>
      <c r="D262" s="133"/>
      <c r="E262" s="183"/>
      <c r="F262" s="352"/>
      <c r="G262" s="219"/>
      <c r="H262" s="186"/>
      <c r="J262" s="134"/>
      <c r="K262" s="133"/>
      <c r="M262" s="134"/>
    </row>
    <row r="263" spans="1:15" s="132" customFormat="1" x14ac:dyDescent="0.15">
      <c r="A263" s="349"/>
      <c r="B263" s="131"/>
      <c r="D263" s="133"/>
      <c r="E263" s="183"/>
      <c r="F263" s="352"/>
      <c r="G263" s="219"/>
      <c r="H263" s="186"/>
      <c r="J263" s="134"/>
      <c r="K263" s="133"/>
      <c r="M263" s="134"/>
    </row>
    <row r="264" spans="1:15" s="132" customFormat="1" x14ac:dyDescent="0.15">
      <c r="A264" s="247"/>
      <c r="B264" s="131"/>
      <c r="D264" s="133"/>
      <c r="E264" s="183"/>
      <c r="F264" s="352"/>
      <c r="G264" s="219"/>
      <c r="H264" s="186"/>
      <c r="J264" s="134"/>
      <c r="K264" s="133"/>
      <c r="M264" s="134"/>
    </row>
    <row r="265" spans="1:15" s="132" customFormat="1" x14ac:dyDescent="0.15">
      <c r="A265" s="349"/>
      <c r="B265" s="131"/>
      <c r="D265" s="133"/>
      <c r="E265" s="183"/>
      <c r="F265" s="352"/>
      <c r="G265" s="219"/>
      <c r="H265" s="186"/>
      <c r="J265" s="134"/>
      <c r="K265" s="133"/>
      <c r="M265" s="134"/>
    </row>
    <row r="266" spans="1:15" s="132" customFormat="1" x14ac:dyDescent="0.15">
      <c r="A266" s="349"/>
      <c r="B266" s="131"/>
      <c r="D266" s="133"/>
      <c r="E266" s="183"/>
      <c r="F266" s="352"/>
      <c r="G266" s="219"/>
      <c r="H266" s="186"/>
      <c r="J266" s="134"/>
      <c r="K266" s="133"/>
      <c r="M266" s="134"/>
    </row>
    <row r="267" spans="1:15" s="132" customFormat="1" x14ac:dyDescent="0.15">
      <c r="A267" s="349"/>
      <c r="B267" s="131"/>
      <c r="D267" s="133"/>
      <c r="E267" s="183"/>
      <c r="F267" s="352"/>
      <c r="G267" s="219"/>
      <c r="H267" s="186"/>
      <c r="J267" s="134"/>
      <c r="K267" s="133"/>
      <c r="M267" s="134"/>
    </row>
    <row r="268" spans="1:15" s="132" customFormat="1" x14ac:dyDescent="0.15">
      <c r="A268" s="247"/>
      <c r="B268" s="131"/>
      <c r="D268" s="133"/>
      <c r="E268" s="183"/>
      <c r="F268" s="352"/>
      <c r="G268" s="219"/>
      <c r="H268" s="186"/>
      <c r="J268" s="134"/>
      <c r="K268" s="133"/>
      <c r="M268" s="134"/>
    </row>
    <row r="269" spans="1:15" s="132" customFormat="1" x14ac:dyDescent="0.15">
      <c r="A269" s="134"/>
      <c r="B269" s="131"/>
      <c r="D269" s="133"/>
      <c r="E269" s="133"/>
      <c r="F269" s="134"/>
      <c r="H269" s="133"/>
      <c r="J269" s="134"/>
      <c r="K269" s="133"/>
      <c r="M269" s="134"/>
    </row>
    <row r="270" spans="1:15" s="132" customFormat="1" x14ac:dyDescent="0.15">
      <c r="A270" s="134"/>
      <c r="B270" s="131"/>
      <c r="D270" s="133"/>
      <c r="E270" s="133"/>
      <c r="F270" s="134"/>
      <c r="H270" s="133"/>
      <c r="J270" s="134"/>
      <c r="K270" s="133"/>
      <c r="M270" s="134"/>
    </row>
    <row r="271" spans="1:15" s="132" customFormat="1" x14ac:dyDescent="0.15">
      <c r="A271" s="134"/>
      <c r="B271" s="131"/>
      <c r="D271" s="133"/>
      <c r="E271" s="133"/>
      <c r="F271" s="134"/>
      <c r="H271" s="133"/>
      <c r="J271" s="134"/>
      <c r="K271" s="133"/>
      <c r="M271" s="134"/>
    </row>
    <row r="272" spans="1:15" s="132" customFormat="1" x14ac:dyDescent="0.15">
      <c r="A272" s="134"/>
      <c r="B272" s="131"/>
      <c r="D272" s="133"/>
      <c r="E272" s="133"/>
      <c r="F272" s="134"/>
      <c r="H272" s="133"/>
      <c r="J272" s="134"/>
      <c r="K272" s="133"/>
      <c r="M272" s="134"/>
    </row>
    <row r="273" spans="1:15" s="132" customFormat="1" x14ac:dyDescent="0.15">
      <c r="A273" s="134"/>
      <c r="B273" s="131"/>
      <c r="D273" s="133"/>
      <c r="E273" s="133"/>
      <c r="F273" s="134"/>
      <c r="H273" s="133"/>
      <c r="J273" s="134"/>
      <c r="K273" s="133"/>
      <c r="M273" s="134"/>
    </row>
    <row r="274" spans="1:15" s="132" customFormat="1" x14ac:dyDescent="0.15">
      <c r="A274" s="134"/>
      <c r="B274" s="131"/>
      <c r="D274" s="133"/>
      <c r="E274" s="133"/>
      <c r="F274" s="134"/>
      <c r="H274" s="133"/>
      <c r="J274" s="134"/>
      <c r="K274" s="133"/>
      <c r="M274" s="134"/>
    </row>
    <row r="275" spans="1:15" s="132" customFormat="1" x14ac:dyDescent="0.15">
      <c r="A275" s="134"/>
      <c r="B275" s="131"/>
      <c r="D275" s="133"/>
      <c r="E275" s="133"/>
      <c r="F275" s="134"/>
      <c r="H275" s="133"/>
      <c r="J275" s="134"/>
      <c r="K275" s="133"/>
      <c r="M275" s="134"/>
    </row>
    <row r="276" spans="1:15" s="132" customFormat="1" x14ac:dyDescent="0.15">
      <c r="A276" s="134"/>
      <c r="B276" s="131"/>
      <c r="D276" s="133"/>
      <c r="E276" s="133"/>
      <c r="F276" s="134"/>
      <c r="H276" s="133"/>
      <c r="J276" s="134"/>
      <c r="K276" s="133"/>
      <c r="M276" s="134"/>
    </row>
    <row r="277" spans="1:15" s="132" customFormat="1" x14ac:dyDescent="0.15">
      <c r="A277" s="134"/>
      <c r="B277" s="131"/>
      <c r="D277" s="133"/>
      <c r="E277" s="133"/>
      <c r="F277" s="134"/>
      <c r="H277" s="133"/>
      <c r="J277" s="134"/>
      <c r="K277" s="133"/>
      <c r="M277" s="134"/>
    </row>
    <row r="278" spans="1:15" s="133" customFormat="1" x14ac:dyDescent="0.15">
      <c r="A278" s="134"/>
      <c r="B278" s="131"/>
      <c r="C278" s="132"/>
      <c r="F278" s="134"/>
      <c r="G278" s="132"/>
      <c r="I278" s="132"/>
      <c r="J278" s="134"/>
      <c r="L278" s="132"/>
      <c r="M278" s="134"/>
      <c r="N278" s="132"/>
      <c r="O278" s="132"/>
    </row>
    <row r="279" spans="1:15" s="133" customFormat="1" x14ac:dyDescent="0.15">
      <c r="A279" s="134"/>
      <c r="B279" s="131"/>
      <c r="C279" s="132"/>
      <c r="F279" s="134"/>
      <c r="G279" s="132"/>
      <c r="I279" s="132"/>
      <c r="J279" s="134"/>
      <c r="L279" s="132"/>
      <c r="M279" s="134"/>
      <c r="N279" s="132"/>
      <c r="O279" s="132"/>
    </row>
  </sheetData>
  <mergeCells count="7">
    <mergeCell ref="B226:D22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78"/>
  <sheetViews>
    <sheetView topLeftCell="B1" zoomScale="115" zoomScaleNormal="115" workbookViewId="0">
      <pane ySplit="6" topLeftCell="A144" activePane="bottomLeft" state="frozen"/>
      <selection pane="bottomLeft" activeCell="G136" sqref="G136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3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2.7109375" style="132" bestFit="1" customWidth="1"/>
    <col min="16" max="16384" width="18.5703125" style="134"/>
  </cols>
  <sheetData>
    <row r="1" spans="1:15" x14ac:dyDescent="0.15">
      <c r="A1" s="130" t="s">
        <v>1844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1823</v>
      </c>
      <c r="B7" s="146"/>
      <c r="C7" s="147">
        <v>124651.5199620107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124651.5199620107</v>
      </c>
      <c r="O7" s="147">
        <f>+C219</f>
        <v>635136.65396201063</v>
      </c>
    </row>
    <row r="8" spans="1:15" x14ac:dyDescent="0.15">
      <c r="A8" s="154" t="s">
        <v>1824</v>
      </c>
      <c r="B8" s="151"/>
      <c r="C8" s="152">
        <v>510485.13399999996</v>
      </c>
      <c r="D8" s="323"/>
      <c r="E8" s="154"/>
      <c r="F8" s="154"/>
      <c r="G8" s="152"/>
      <c r="H8" s="323"/>
      <c r="I8" s="152"/>
      <c r="J8" s="154"/>
      <c r="K8" s="156"/>
      <c r="L8" s="227"/>
      <c r="M8" s="157"/>
      <c r="N8" s="227">
        <f>+N7-I8-L8</f>
        <v>124651.5199620107</v>
      </c>
      <c r="O8" s="152">
        <f t="shared" ref="O8:O10" si="0">O7+G8-I8-L8</f>
        <v>635136.65396201063</v>
      </c>
    </row>
    <row r="9" spans="1:15" x14ac:dyDescent="0.15">
      <c r="A9" s="157"/>
      <c r="B9" s="151"/>
      <c r="C9" s="152"/>
      <c r="D9" s="323">
        <v>41699</v>
      </c>
      <c r="E9" s="154" t="s">
        <v>72</v>
      </c>
      <c r="F9" s="157" t="s">
        <v>1824</v>
      </c>
      <c r="G9" s="152">
        <v>87970.898000000045</v>
      </c>
      <c r="H9" s="323">
        <v>41699</v>
      </c>
      <c r="I9" s="152">
        <v>2651.5699999999997</v>
      </c>
      <c r="J9" s="154" t="s">
        <v>1823</v>
      </c>
      <c r="K9" s="154" t="s">
        <v>1874</v>
      </c>
      <c r="L9" s="227">
        <v>47381.57</v>
      </c>
      <c r="M9" s="157" t="s">
        <v>1823</v>
      </c>
      <c r="N9" s="227">
        <f t="shared" ref="N9:N10" si="1">+N8-I9-L9</f>
        <v>74618.379962010687</v>
      </c>
      <c r="O9" s="152">
        <f t="shared" si="0"/>
        <v>673074.41196201078</v>
      </c>
    </row>
    <row r="10" spans="1:15" x14ac:dyDescent="0.15">
      <c r="A10" s="154"/>
      <c r="B10" s="151"/>
      <c r="C10" s="152"/>
      <c r="D10" s="323">
        <v>41699</v>
      </c>
      <c r="E10" s="154" t="s">
        <v>72</v>
      </c>
      <c r="F10" s="154" t="s">
        <v>1845</v>
      </c>
      <c r="G10" s="152">
        <v>88040.349000000002</v>
      </c>
      <c r="H10" s="323">
        <v>41699</v>
      </c>
      <c r="I10" s="152"/>
      <c r="J10" s="154"/>
      <c r="K10" s="154" t="s">
        <v>1874</v>
      </c>
      <c r="L10" s="227">
        <v>66684.800000000003</v>
      </c>
      <c r="M10" s="157" t="s">
        <v>1823</v>
      </c>
      <c r="N10" s="227">
        <f t="shared" si="1"/>
        <v>7933.5799620106845</v>
      </c>
      <c r="O10" s="152">
        <f t="shared" si="0"/>
        <v>694429.96096201078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>
        <v>41699</v>
      </c>
      <c r="I11" s="152"/>
      <c r="J11" s="154"/>
      <c r="K11" s="154" t="s">
        <v>1874</v>
      </c>
      <c r="L11" s="227">
        <v>7933.5799620106845</v>
      </c>
      <c r="M11" s="157" t="s">
        <v>1823</v>
      </c>
      <c r="N11" s="227">
        <f t="shared" ref="N11:N16" si="2">+N10-I11-L11</f>
        <v>0</v>
      </c>
      <c r="O11" s="152">
        <f t="shared" ref="O11:O16" si="3">O10+G11-I11-L11</f>
        <v>686496.38100000005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41699</v>
      </c>
      <c r="I12" s="152"/>
      <c r="J12" s="154"/>
      <c r="K12" s="154" t="s">
        <v>1874</v>
      </c>
      <c r="L12" s="227">
        <v>63118.740037989301</v>
      </c>
      <c r="M12" s="157" t="s">
        <v>1824</v>
      </c>
      <c r="N12" s="227">
        <f>C8+G9+N11-I12-L12</f>
        <v>535337.29196201067</v>
      </c>
      <c r="O12" s="152">
        <f t="shared" si="3"/>
        <v>623377.64096201072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41699</v>
      </c>
      <c r="I13" s="152"/>
      <c r="J13" s="154"/>
      <c r="K13" s="154" t="s">
        <v>1874</v>
      </c>
      <c r="L13" s="227">
        <v>679.66</v>
      </c>
      <c r="M13" s="157" t="s">
        <v>1824</v>
      </c>
      <c r="N13" s="227">
        <f t="shared" si="2"/>
        <v>534657.63196201064</v>
      </c>
      <c r="O13" s="152">
        <f t="shared" si="3"/>
        <v>622697.98096201068</v>
      </c>
    </row>
    <row r="14" spans="1:15" x14ac:dyDescent="0.15">
      <c r="A14" s="154"/>
      <c r="B14" s="151"/>
      <c r="C14" s="152"/>
      <c r="D14" s="323">
        <v>41700</v>
      </c>
      <c r="E14" s="154" t="s">
        <v>72</v>
      </c>
      <c r="F14" s="157" t="s">
        <v>1845</v>
      </c>
      <c r="G14" s="152">
        <v>264008.83799999999</v>
      </c>
      <c r="H14" s="323">
        <v>41700</v>
      </c>
      <c r="I14" s="152">
        <v>2589.34</v>
      </c>
      <c r="J14" s="157" t="s">
        <v>1824</v>
      </c>
      <c r="K14" s="154" t="s">
        <v>1874</v>
      </c>
      <c r="L14" s="227">
        <v>74440.61</v>
      </c>
      <c r="M14" s="157" t="s">
        <v>1824</v>
      </c>
      <c r="N14" s="227">
        <f t="shared" si="2"/>
        <v>457627.68196201068</v>
      </c>
      <c r="O14" s="152">
        <f t="shared" si="3"/>
        <v>809676.86896201072</v>
      </c>
    </row>
    <row r="15" spans="1:15" x14ac:dyDescent="0.15">
      <c r="A15" s="154"/>
      <c r="B15" s="151"/>
      <c r="C15" s="152"/>
      <c r="D15" s="323"/>
      <c r="E15" s="155"/>
      <c r="F15" s="157"/>
      <c r="G15" s="152"/>
      <c r="H15" s="323">
        <v>41700</v>
      </c>
      <c r="I15" s="152"/>
      <c r="J15" s="154"/>
      <c r="K15" s="154" t="s">
        <v>1874</v>
      </c>
      <c r="L15" s="227">
        <v>33524.32</v>
      </c>
      <c r="M15" s="157" t="s">
        <v>1824</v>
      </c>
      <c r="N15" s="227">
        <f t="shared" si="2"/>
        <v>424103.36196201068</v>
      </c>
      <c r="O15" s="152">
        <f t="shared" si="3"/>
        <v>776152.54896201077</v>
      </c>
    </row>
    <row r="16" spans="1:15" x14ac:dyDescent="0.15">
      <c r="A16" s="154"/>
      <c r="B16" s="151"/>
      <c r="C16" s="152"/>
      <c r="D16" s="323"/>
      <c r="E16" s="155"/>
      <c r="F16" s="157"/>
      <c r="G16" s="152"/>
      <c r="H16" s="323">
        <v>41700</v>
      </c>
      <c r="I16" s="152"/>
      <c r="J16" s="154"/>
      <c r="K16" s="154" t="s">
        <v>1874</v>
      </c>
      <c r="L16" s="227">
        <v>70484.2</v>
      </c>
      <c r="M16" s="157" t="s">
        <v>1824</v>
      </c>
      <c r="N16" s="227">
        <f t="shared" si="2"/>
        <v>353619.16196201066</v>
      </c>
      <c r="O16" s="152">
        <f t="shared" si="3"/>
        <v>705668.34896201082</v>
      </c>
    </row>
    <row r="17" spans="1:15" x14ac:dyDescent="0.15">
      <c r="A17" s="154"/>
      <c r="B17" s="151"/>
      <c r="C17" s="152"/>
      <c r="D17" s="323"/>
      <c r="E17" s="154"/>
      <c r="F17" s="154"/>
      <c r="G17" s="152"/>
      <c r="H17" s="323">
        <v>41700</v>
      </c>
      <c r="I17" s="152"/>
      <c r="J17" s="154"/>
      <c r="K17" s="154" t="s">
        <v>1874</v>
      </c>
      <c r="L17" s="227">
        <v>75861.490000000005</v>
      </c>
      <c r="M17" s="157" t="s">
        <v>1824</v>
      </c>
      <c r="N17" s="227">
        <f t="shared" ref="N17:N75" si="4">+N16-I17-L17</f>
        <v>277757.67196201067</v>
      </c>
      <c r="O17" s="152">
        <f t="shared" ref="O17:O75" si="5">O16+G17-I17-L17</f>
        <v>629806.85896201083</v>
      </c>
    </row>
    <row r="18" spans="1:15" x14ac:dyDescent="0.15">
      <c r="A18" s="154"/>
      <c r="B18" s="151"/>
      <c r="C18" s="152"/>
      <c r="D18" s="323">
        <v>41701</v>
      </c>
      <c r="E18" s="154" t="s">
        <v>72</v>
      </c>
      <c r="F18" s="157" t="s">
        <v>1846</v>
      </c>
      <c r="G18" s="152">
        <v>132191.61800000002</v>
      </c>
      <c r="H18" s="323">
        <v>41701</v>
      </c>
      <c r="I18" s="152">
        <v>16231.94</v>
      </c>
      <c r="J18" s="157" t="s">
        <v>1824</v>
      </c>
      <c r="K18" s="154" t="s">
        <v>1874</v>
      </c>
      <c r="L18" s="227">
        <v>48779.03</v>
      </c>
      <c r="M18" s="157" t="s">
        <v>1824</v>
      </c>
      <c r="N18" s="227">
        <f t="shared" si="4"/>
        <v>212746.70196201067</v>
      </c>
      <c r="O18" s="152">
        <f t="shared" si="5"/>
        <v>696987.50696201087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>
        <v>41701</v>
      </c>
      <c r="I19" s="152"/>
      <c r="J19" s="154"/>
      <c r="K19" s="154" t="s">
        <v>1874</v>
      </c>
      <c r="L19" s="227">
        <v>14314.64</v>
      </c>
      <c r="M19" s="157" t="s">
        <v>1824</v>
      </c>
      <c r="N19" s="227">
        <f t="shared" si="4"/>
        <v>198432.06196201069</v>
      </c>
      <c r="O19" s="152">
        <f t="shared" si="5"/>
        <v>682672.86696201086</v>
      </c>
    </row>
    <row r="20" spans="1:15" x14ac:dyDescent="0.15">
      <c r="A20" s="154"/>
      <c r="B20" s="151"/>
      <c r="C20" s="152"/>
      <c r="D20" s="323"/>
      <c r="E20" s="155"/>
      <c r="F20" s="157"/>
      <c r="G20" s="152"/>
      <c r="H20" s="323">
        <v>41701</v>
      </c>
      <c r="I20" s="152"/>
      <c r="J20" s="154"/>
      <c r="K20" s="154" t="s">
        <v>1874</v>
      </c>
      <c r="L20" s="227">
        <v>9513.3799999999992</v>
      </c>
      <c r="M20" s="157" t="s">
        <v>1824</v>
      </c>
      <c r="N20" s="227">
        <f t="shared" si="4"/>
        <v>188918.68196201068</v>
      </c>
      <c r="O20" s="152">
        <f t="shared" si="5"/>
        <v>673159.48696201085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>
        <v>41701</v>
      </c>
      <c r="I21" s="152"/>
      <c r="J21" s="157"/>
      <c r="K21" s="154" t="s">
        <v>1874</v>
      </c>
      <c r="L21" s="227">
        <v>34689.71</v>
      </c>
      <c r="M21" s="157" t="s">
        <v>1824</v>
      </c>
      <c r="N21" s="227">
        <f t="shared" si="4"/>
        <v>154228.97196201069</v>
      </c>
      <c r="O21" s="152">
        <f t="shared" si="5"/>
        <v>638469.77696201089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41701</v>
      </c>
      <c r="I22" s="152"/>
      <c r="J22" s="154"/>
      <c r="K22" s="154" t="s">
        <v>1874</v>
      </c>
      <c r="L22" s="227">
        <v>41774.550000000003</v>
      </c>
      <c r="M22" s="157" t="s">
        <v>1824</v>
      </c>
      <c r="N22" s="227">
        <f t="shared" si="4"/>
        <v>112454.42196201069</v>
      </c>
      <c r="O22" s="152">
        <f t="shared" si="5"/>
        <v>596695.22696201084</v>
      </c>
    </row>
    <row r="23" spans="1:15" x14ac:dyDescent="0.15">
      <c r="A23" s="154"/>
      <c r="B23" s="151"/>
      <c r="C23" s="152"/>
      <c r="D23" s="323"/>
      <c r="E23" s="155"/>
      <c r="F23" s="157"/>
      <c r="G23" s="152"/>
      <c r="H23" s="323">
        <v>41701</v>
      </c>
      <c r="I23" s="152"/>
      <c r="J23" s="154"/>
      <c r="K23" s="154" t="s">
        <v>1874</v>
      </c>
      <c r="L23" s="227">
        <v>47620.99</v>
      </c>
      <c r="M23" s="157" t="s">
        <v>1824</v>
      </c>
      <c r="N23" s="227">
        <f t="shared" si="4"/>
        <v>64833.431962010691</v>
      </c>
      <c r="O23" s="152">
        <f t="shared" si="5"/>
        <v>549074.23696201085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>
        <v>41701</v>
      </c>
      <c r="I24" s="152"/>
      <c r="J24" s="154"/>
      <c r="K24" s="154" t="s">
        <v>1874</v>
      </c>
      <c r="L24" s="227">
        <v>37227.32</v>
      </c>
      <c r="M24" s="157" t="s">
        <v>1824</v>
      </c>
      <c r="N24" s="227">
        <f t="shared" si="4"/>
        <v>27606.111962010691</v>
      </c>
      <c r="O24" s="152">
        <f t="shared" si="5"/>
        <v>511846.91696201084</v>
      </c>
    </row>
    <row r="25" spans="1:15" x14ac:dyDescent="0.15">
      <c r="A25" s="154"/>
      <c r="B25" s="151"/>
      <c r="C25" s="152"/>
      <c r="D25" s="323">
        <v>41702</v>
      </c>
      <c r="E25" s="154" t="s">
        <v>72</v>
      </c>
      <c r="F25" s="157" t="s">
        <v>1846</v>
      </c>
      <c r="G25" s="152">
        <v>87977.95199999999</v>
      </c>
      <c r="H25" s="323">
        <v>41702</v>
      </c>
      <c r="I25" s="152">
        <v>104.94</v>
      </c>
      <c r="J25" s="157" t="s">
        <v>1824</v>
      </c>
      <c r="K25" s="154" t="s">
        <v>1874</v>
      </c>
      <c r="L25" s="227">
        <v>27501.171962010692</v>
      </c>
      <c r="M25" s="157" t="s">
        <v>1824</v>
      </c>
      <c r="N25" s="227">
        <f t="shared" si="4"/>
        <v>0</v>
      </c>
      <c r="O25" s="152">
        <f t="shared" si="5"/>
        <v>572218.75700000022</v>
      </c>
    </row>
    <row r="26" spans="1:15" x14ac:dyDescent="0.15">
      <c r="A26" s="154"/>
      <c r="B26" s="151"/>
      <c r="C26" s="152"/>
      <c r="D26" s="323">
        <v>41702</v>
      </c>
      <c r="E26" s="154" t="s">
        <v>72</v>
      </c>
      <c r="F26" s="157" t="s">
        <v>1847</v>
      </c>
      <c r="G26" s="152">
        <v>43981.052000000003</v>
      </c>
      <c r="H26" s="323">
        <v>41702</v>
      </c>
      <c r="I26" s="152"/>
      <c r="J26" s="157"/>
      <c r="K26" s="154" t="s">
        <v>1874</v>
      </c>
      <c r="L26" s="227">
        <v>6626.1280379893096</v>
      </c>
      <c r="M26" s="157" t="s">
        <v>1845</v>
      </c>
      <c r="N26" s="227">
        <f>G10+G14+N25-I26-L26</f>
        <v>345423.05896201066</v>
      </c>
      <c r="O26" s="152">
        <f>O25+G26-I26-L26</f>
        <v>609573.68096201099</v>
      </c>
    </row>
    <row r="27" spans="1:15" x14ac:dyDescent="0.15">
      <c r="A27" s="154"/>
      <c r="B27" s="151"/>
      <c r="C27" s="152"/>
      <c r="D27" s="323">
        <v>41703</v>
      </c>
      <c r="E27" s="154" t="s">
        <v>72</v>
      </c>
      <c r="F27" s="157" t="s">
        <v>1847</v>
      </c>
      <c r="G27" s="152">
        <v>263857.91200000001</v>
      </c>
      <c r="H27" s="323">
        <v>41703</v>
      </c>
      <c r="I27" s="152">
        <v>13754.02</v>
      </c>
      <c r="J27" s="157" t="s">
        <v>1845</v>
      </c>
      <c r="K27" s="154" t="s">
        <v>1874</v>
      </c>
      <c r="L27" s="227">
        <v>91943.360000000001</v>
      </c>
      <c r="M27" s="157" t="s">
        <v>1845</v>
      </c>
      <c r="N27" s="227">
        <f t="shared" si="4"/>
        <v>239725.67896201066</v>
      </c>
      <c r="O27" s="152">
        <f t="shared" si="5"/>
        <v>767734.21296201099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>
        <v>41703</v>
      </c>
      <c r="I28" s="152"/>
      <c r="J28" s="157"/>
      <c r="K28" s="154" t="s">
        <v>1874</v>
      </c>
      <c r="L28" s="227">
        <v>74162.38</v>
      </c>
      <c r="M28" s="157" t="s">
        <v>1845</v>
      </c>
      <c r="N28" s="227">
        <f t="shared" si="4"/>
        <v>165563.29896201065</v>
      </c>
      <c r="O28" s="152">
        <f t="shared" si="5"/>
        <v>693571.83296201099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>
        <v>41703</v>
      </c>
      <c r="I29" s="152"/>
      <c r="J29" s="157"/>
      <c r="K29" s="154" t="s">
        <v>1874</v>
      </c>
      <c r="L29" s="227">
        <v>74718.100000000006</v>
      </c>
      <c r="M29" s="157" t="s">
        <v>1845</v>
      </c>
      <c r="N29" s="227">
        <f t="shared" si="4"/>
        <v>90845.198962010647</v>
      </c>
      <c r="O29" s="152">
        <f t="shared" si="5"/>
        <v>618853.73296201101</v>
      </c>
    </row>
    <row r="30" spans="1:15" x14ac:dyDescent="0.15">
      <c r="A30" s="154"/>
      <c r="B30" s="151"/>
      <c r="C30" s="152"/>
      <c r="D30" s="323"/>
      <c r="E30" s="155"/>
      <c r="F30" s="157"/>
      <c r="G30" s="152"/>
      <c r="H30" s="323">
        <v>41703</v>
      </c>
      <c r="I30" s="152"/>
      <c r="J30" s="154"/>
      <c r="K30" s="154" t="s">
        <v>1874</v>
      </c>
      <c r="L30" s="227">
        <v>34562.47</v>
      </c>
      <c r="M30" s="157" t="s">
        <v>1845</v>
      </c>
      <c r="N30" s="227">
        <f t="shared" si="4"/>
        <v>56282.728962010646</v>
      </c>
      <c r="O30" s="152">
        <f t="shared" si="5"/>
        <v>584291.26296201104</v>
      </c>
    </row>
    <row r="31" spans="1:15" x14ac:dyDescent="0.15">
      <c r="A31" s="154"/>
      <c r="B31" s="151"/>
      <c r="C31" s="152"/>
      <c r="D31" s="323"/>
      <c r="E31" s="155"/>
      <c r="F31" s="157"/>
      <c r="G31" s="152"/>
      <c r="H31" s="323">
        <v>41703</v>
      </c>
      <c r="I31" s="152"/>
      <c r="J31" s="154"/>
      <c r="K31" s="154" t="s">
        <v>1874</v>
      </c>
      <c r="L31" s="227">
        <v>56282.728962010646</v>
      </c>
      <c r="M31" s="157" t="s">
        <v>1845</v>
      </c>
      <c r="N31" s="227">
        <f t="shared" si="4"/>
        <v>0</v>
      </c>
      <c r="O31" s="152">
        <f t="shared" si="5"/>
        <v>528008.53400000045</v>
      </c>
    </row>
    <row r="32" spans="1:15" x14ac:dyDescent="0.15">
      <c r="A32" s="154"/>
      <c r="B32" s="151"/>
      <c r="C32" s="152"/>
      <c r="D32" s="323"/>
      <c r="E32" s="155"/>
      <c r="F32" s="157"/>
      <c r="G32" s="152"/>
      <c r="H32" s="323">
        <v>41703</v>
      </c>
      <c r="I32" s="152"/>
      <c r="J32" s="154"/>
      <c r="K32" s="154" t="s">
        <v>1874</v>
      </c>
      <c r="L32" s="227">
        <v>14071.581037989299</v>
      </c>
      <c r="M32" s="157" t="s">
        <v>1846</v>
      </c>
      <c r="N32" s="227">
        <f>G18+G25+N31-I32-L32</f>
        <v>206097.98896201071</v>
      </c>
      <c r="O32" s="152">
        <f t="shared" si="5"/>
        <v>513936.95296201116</v>
      </c>
    </row>
    <row r="33" spans="1:15" x14ac:dyDescent="0.15">
      <c r="A33" s="154"/>
      <c r="B33" s="151"/>
      <c r="C33" s="152"/>
      <c r="D33" s="323">
        <v>41704</v>
      </c>
      <c r="E33" s="154" t="s">
        <v>72</v>
      </c>
      <c r="F33" s="157" t="s">
        <v>1848</v>
      </c>
      <c r="G33" s="152">
        <v>263893.62900000007</v>
      </c>
      <c r="H33" s="323">
        <v>41704</v>
      </c>
      <c r="I33" s="152">
        <v>559.66</v>
      </c>
      <c r="J33" s="157" t="s">
        <v>1846</v>
      </c>
      <c r="K33" s="154" t="s">
        <v>1874</v>
      </c>
      <c r="L33" s="227">
        <v>77522.81</v>
      </c>
      <c r="M33" s="157" t="s">
        <v>1846</v>
      </c>
      <c r="N33" s="227">
        <f t="shared" si="4"/>
        <v>128015.51896201071</v>
      </c>
      <c r="O33" s="152">
        <f t="shared" si="5"/>
        <v>699748.11196201132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>
        <v>41704</v>
      </c>
      <c r="I34" s="152"/>
      <c r="J34" s="157"/>
      <c r="K34" s="154" t="s">
        <v>1874</v>
      </c>
      <c r="L34" s="227">
        <v>34109.24</v>
      </c>
      <c r="M34" s="157" t="s">
        <v>1846</v>
      </c>
      <c r="N34" s="227">
        <f t="shared" si="4"/>
        <v>93906.278962010721</v>
      </c>
      <c r="O34" s="152">
        <f t="shared" si="5"/>
        <v>665638.87196201133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>
        <v>41704</v>
      </c>
      <c r="I35" s="152"/>
      <c r="J35" s="157"/>
      <c r="K35" s="154" t="s">
        <v>1874</v>
      </c>
      <c r="L35" s="227">
        <v>90904.66</v>
      </c>
      <c r="M35" s="157" t="s">
        <v>1846</v>
      </c>
      <c r="N35" s="227">
        <f t="shared" si="4"/>
        <v>3001.618962010718</v>
      </c>
      <c r="O35" s="152">
        <f t="shared" si="5"/>
        <v>574734.21196201129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>
        <v>41704</v>
      </c>
      <c r="I36" s="152"/>
      <c r="J36" s="154"/>
      <c r="K36" s="154" t="s">
        <v>1874</v>
      </c>
      <c r="L36" s="227">
        <v>3001.618962010718</v>
      </c>
      <c r="M36" s="157" t="s">
        <v>1846</v>
      </c>
      <c r="N36" s="227">
        <f t="shared" si="4"/>
        <v>0</v>
      </c>
      <c r="O36" s="152">
        <f t="shared" si="5"/>
        <v>571732.59300000058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>
        <v>41704</v>
      </c>
      <c r="I37" s="152"/>
      <c r="J37" s="154"/>
      <c r="K37" s="154" t="s">
        <v>1874</v>
      </c>
      <c r="L37" s="227">
        <v>41721.151037989301</v>
      </c>
      <c r="M37" s="157" t="s">
        <v>1847</v>
      </c>
      <c r="N37" s="227">
        <f>G26+G27+N36-I37-L37</f>
        <v>266117.81296201074</v>
      </c>
      <c r="O37" s="152">
        <f t="shared" si="5"/>
        <v>530011.44196201127</v>
      </c>
    </row>
    <row r="38" spans="1:15" x14ac:dyDescent="0.15">
      <c r="A38" s="154"/>
      <c r="B38" s="151"/>
      <c r="C38" s="152"/>
      <c r="D38" s="323">
        <v>41705</v>
      </c>
      <c r="E38" s="154" t="s">
        <v>72</v>
      </c>
      <c r="F38" s="157" t="s">
        <v>1848</v>
      </c>
      <c r="G38" s="152">
        <v>87948.361999999994</v>
      </c>
      <c r="H38" s="323">
        <v>41705</v>
      </c>
      <c r="I38" s="152"/>
      <c r="J38" s="157"/>
      <c r="K38" s="154" t="s">
        <v>1874</v>
      </c>
      <c r="L38" s="227">
        <v>83249.289999999994</v>
      </c>
      <c r="M38" s="157" t="s">
        <v>1847</v>
      </c>
      <c r="N38" s="227">
        <f t="shared" si="4"/>
        <v>182868.52296201076</v>
      </c>
      <c r="O38" s="152">
        <f t="shared" si="5"/>
        <v>534710.5139620112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>
        <v>41705</v>
      </c>
      <c r="I39" s="152"/>
      <c r="J39" s="157"/>
      <c r="K39" s="154" t="s">
        <v>1874</v>
      </c>
      <c r="L39" s="227">
        <v>48602.39</v>
      </c>
      <c r="M39" s="157" t="s">
        <v>1847</v>
      </c>
      <c r="N39" s="227">
        <f t="shared" si="4"/>
        <v>134266.13296201074</v>
      </c>
      <c r="O39" s="152">
        <f t="shared" si="5"/>
        <v>486108.12396201119</v>
      </c>
    </row>
    <row r="40" spans="1:15" x14ac:dyDescent="0.15">
      <c r="A40" s="154"/>
      <c r="B40" s="151"/>
      <c r="C40" s="152"/>
      <c r="D40" s="323">
        <v>41706</v>
      </c>
      <c r="E40" s="154" t="s">
        <v>72</v>
      </c>
      <c r="F40" s="157" t="s">
        <v>1848</v>
      </c>
      <c r="G40" s="152">
        <v>43944.016999999963</v>
      </c>
      <c r="H40" s="323">
        <v>41706</v>
      </c>
      <c r="I40" s="152">
        <v>2249</v>
      </c>
      <c r="J40" s="157" t="s">
        <v>1847</v>
      </c>
      <c r="K40" s="154" t="s">
        <v>1874</v>
      </c>
      <c r="L40" s="227">
        <v>9620</v>
      </c>
      <c r="M40" s="157" t="s">
        <v>1847</v>
      </c>
      <c r="N40" s="227">
        <f t="shared" si="4"/>
        <v>122397.13296201074</v>
      </c>
      <c r="O40" s="152">
        <f t="shared" si="5"/>
        <v>518183.14096201118</v>
      </c>
    </row>
    <row r="41" spans="1:15" x14ac:dyDescent="0.15">
      <c r="A41" s="154"/>
      <c r="B41" s="151"/>
      <c r="C41" s="152"/>
      <c r="D41" s="323">
        <v>41706</v>
      </c>
      <c r="E41" s="154" t="s">
        <v>72</v>
      </c>
      <c r="F41" s="157" t="s">
        <v>1849</v>
      </c>
      <c r="G41" s="152">
        <v>297901.68199999997</v>
      </c>
      <c r="H41" s="323">
        <v>41706</v>
      </c>
      <c r="I41" s="152"/>
      <c r="J41" s="154"/>
      <c r="K41" s="154" t="s">
        <v>1874</v>
      </c>
      <c r="L41" s="227">
        <v>14491</v>
      </c>
      <c r="M41" s="157" t="s">
        <v>1847</v>
      </c>
      <c r="N41" s="227">
        <f t="shared" si="4"/>
        <v>107906.13296201074</v>
      </c>
      <c r="O41" s="152">
        <f t="shared" si="5"/>
        <v>801593.82296201121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>
        <v>41706</v>
      </c>
      <c r="I42" s="152"/>
      <c r="J42" s="154"/>
      <c r="K42" s="154" t="s">
        <v>1874</v>
      </c>
      <c r="L42" s="227">
        <v>585</v>
      </c>
      <c r="M42" s="157" t="s">
        <v>1847</v>
      </c>
      <c r="N42" s="227">
        <f t="shared" si="4"/>
        <v>107321.13296201074</v>
      </c>
      <c r="O42" s="152">
        <f t="shared" si="5"/>
        <v>801008.82296201121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>
        <v>41706</v>
      </c>
      <c r="I43" s="152"/>
      <c r="J43" s="157"/>
      <c r="K43" s="154" t="s">
        <v>1874</v>
      </c>
      <c r="L43" s="227">
        <v>63800</v>
      </c>
      <c r="M43" s="157" t="s">
        <v>1847</v>
      </c>
      <c r="N43" s="227">
        <f t="shared" si="4"/>
        <v>43521.132962010743</v>
      </c>
      <c r="O43" s="152">
        <f t="shared" si="5"/>
        <v>737208.82296201121</v>
      </c>
    </row>
    <row r="44" spans="1:15" x14ac:dyDescent="0.15">
      <c r="A44" s="154"/>
      <c r="B44" s="151"/>
      <c r="C44" s="152"/>
      <c r="D44" s="323"/>
      <c r="E44" s="155"/>
      <c r="F44" s="157"/>
      <c r="G44" s="152"/>
      <c r="H44" s="323">
        <v>41706</v>
      </c>
      <c r="I44" s="152"/>
      <c r="J44" s="154"/>
      <c r="K44" s="154" t="s">
        <v>1874</v>
      </c>
      <c r="L44" s="227">
        <v>43521.132962010743</v>
      </c>
      <c r="M44" s="157" t="s">
        <v>1847</v>
      </c>
      <c r="N44" s="227">
        <f t="shared" si="4"/>
        <v>0</v>
      </c>
      <c r="O44" s="152">
        <f t="shared" si="5"/>
        <v>693687.69000000041</v>
      </c>
    </row>
    <row r="45" spans="1:15" x14ac:dyDescent="0.15">
      <c r="A45" s="154"/>
      <c r="B45" s="151"/>
      <c r="C45" s="152"/>
      <c r="D45" s="323"/>
      <c r="E45" s="155"/>
      <c r="F45" s="157"/>
      <c r="G45" s="152"/>
      <c r="H45" s="323">
        <v>41706</v>
      </c>
      <c r="I45" s="152"/>
      <c r="J45" s="154"/>
      <c r="K45" s="154" t="s">
        <v>1874</v>
      </c>
      <c r="L45" s="227">
        <v>30638.867037989301</v>
      </c>
      <c r="M45" s="157" t="s">
        <v>1848</v>
      </c>
      <c r="N45" s="227">
        <f>G33+G38+G40+N44-I45-L45</f>
        <v>365147.14096201072</v>
      </c>
      <c r="O45" s="152">
        <f t="shared" si="5"/>
        <v>663048.82296201109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41706</v>
      </c>
      <c r="I46" s="152"/>
      <c r="J46" s="154"/>
      <c r="K46" s="154" t="s">
        <v>1874</v>
      </c>
      <c r="L46" s="227">
        <v>71510</v>
      </c>
      <c r="M46" s="157" t="s">
        <v>1848</v>
      </c>
      <c r="N46" s="227">
        <f t="shared" si="4"/>
        <v>293637.14096201072</v>
      </c>
      <c r="O46" s="152">
        <f t="shared" si="5"/>
        <v>591538.82296201109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>
        <v>41706</v>
      </c>
      <c r="I47" s="152"/>
      <c r="J47" s="154"/>
      <c r="K47" s="154" t="s">
        <v>1874</v>
      </c>
      <c r="L47" s="227">
        <v>35830</v>
      </c>
      <c r="M47" s="157" t="s">
        <v>1848</v>
      </c>
      <c r="N47" s="227">
        <f t="shared" si="4"/>
        <v>257807.14096201072</v>
      </c>
      <c r="O47" s="152">
        <f t="shared" si="5"/>
        <v>555708.82296201109</v>
      </c>
    </row>
    <row r="48" spans="1:15" x14ac:dyDescent="0.15">
      <c r="A48" s="154"/>
      <c r="B48" s="151"/>
      <c r="C48" s="152"/>
      <c r="D48" s="323">
        <v>41707</v>
      </c>
      <c r="E48" s="154" t="s">
        <v>72</v>
      </c>
      <c r="F48" s="157" t="s">
        <v>1850</v>
      </c>
      <c r="G48" s="152">
        <v>131886.80600000001</v>
      </c>
      <c r="H48" s="323">
        <v>41707</v>
      </c>
      <c r="I48" s="152"/>
      <c r="J48" s="154"/>
      <c r="K48" s="154" t="s">
        <v>1874</v>
      </c>
      <c r="L48" s="227">
        <v>4348.3500000000004</v>
      </c>
      <c r="M48" s="157" t="s">
        <v>1848</v>
      </c>
      <c r="N48" s="227">
        <f t="shared" si="4"/>
        <v>253458.79096201071</v>
      </c>
      <c r="O48" s="152">
        <f t="shared" si="5"/>
        <v>683247.2789620111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41707</v>
      </c>
      <c r="I49" s="152"/>
      <c r="J49" s="154"/>
      <c r="K49" s="154" t="s">
        <v>1874</v>
      </c>
      <c r="L49" s="227">
        <v>70457.08</v>
      </c>
      <c r="M49" s="157" t="s">
        <v>1848</v>
      </c>
      <c r="N49" s="227">
        <f t="shared" si="4"/>
        <v>183001.71096201072</v>
      </c>
      <c r="O49" s="152">
        <f t="shared" si="5"/>
        <v>612790.19896201114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41707</v>
      </c>
      <c r="I50" s="152"/>
      <c r="J50" s="154"/>
      <c r="K50" s="154" t="s">
        <v>1874</v>
      </c>
      <c r="L50" s="227">
        <v>24470.09</v>
      </c>
      <c r="M50" s="157" t="s">
        <v>1848</v>
      </c>
      <c r="N50" s="227">
        <f t="shared" si="4"/>
        <v>158531.62096201073</v>
      </c>
      <c r="O50" s="152">
        <f t="shared" si="5"/>
        <v>588320.10896201117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>
        <v>41707</v>
      </c>
      <c r="I51" s="152"/>
      <c r="J51" s="154"/>
      <c r="K51" s="154" t="s">
        <v>1874</v>
      </c>
      <c r="L51" s="227">
        <v>75114.25</v>
      </c>
      <c r="M51" s="157" t="s">
        <v>1848</v>
      </c>
      <c r="N51" s="227">
        <f t="shared" si="4"/>
        <v>83417.370962010726</v>
      </c>
      <c r="O51" s="152">
        <f t="shared" si="5"/>
        <v>513205.85896201117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>
        <v>41707</v>
      </c>
      <c r="I52" s="152"/>
      <c r="J52" s="157"/>
      <c r="K52" s="154" t="s">
        <v>1874</v>
      </c>
      <c r="L52" s="227">
        <v>2145.69</v>
      </c>
      <c r="M52" s="157" t="s">
        <v>1848</v>
      </c>
      <c r="N52" s="227">
        <f t="shared" si="4"/>
        <v>81271.680962010723</v>
      </c>
      <c r="O52" s="152">
        <f t="shared" si="5"/>
        <v>511060.16896201117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>
        <v>41707</v>
      </c>
      <c r="I53" s="152"/>
      <c r="J53" s="154"/>
      <c r="K53" s="154" t="s">
        <v>1874</v>
      </c>
      <c r="L53" s="227">
        <v>42803.93</v>
      </c>
      <c r="M53" s="157" t="s">
        <v>1848</v>
      </c>
      <c r="N53" s="227">
        <f t="shared" si="4"/>
        <v>38467.750962010723</v>
      </c>
      <c r="O53" s="152">
        <f t="shared" si="5"/>
        <v>468256.23896201118</v>
      </c>
    </row>
    <row r="54" spans="1:15" x14ac:dyDescent="0.15">
      <c r="A54" s="154"/>
      <c r="B54" s="151"/>
      <c r="C54" s="152"/>
      <c r="D54" s="323">
        <v>41708</v>
      </c>
      <c r="E54" s="154" t="s">
        <v>72</v>
      </c>
      <c r="F54" s="157" t="s">
        <v>1850</v>
      </c>
      <c r="G54" s="152">
        <v>213012.66200000001</v>
      </c>
      <c r="H54" s="323">
        <v>41708</v>
      </c>
      <c r="I54" s="152">
        <v>10566.45</v>
      </c>
      <c r="J54" s="157" t="s">
        <v>1848</v>
      </c>
      <c r="K54" s="154" t="s">
        <v>1874</v>
      </c>
      <c r="L54" s="227">
        <v>409.66</v>
      </c>
      <c r="M54" s="157" t="s">
        <v>1848</v>
      </c>
      <c r="N54" s="227">
        <f t="shared" si="4"/>
        <v>27491.640962010722</v>
      </c>
      <c r="O54" s="152">
        <f t="shared" si="5"/>
        <v>670292.7909620112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>
        <v>41708</v>
      </c>
      <c r="I55" s="152"/>
      <c r="J55" s="154"/>
      <c r="K55" s="154" t="s">
        <v>1874</v>
      </c>
      <c r="L55" s="227">
        <v>27491.640962010722</v>
      </c>
      <c r="M55" s="157" t="s">
        <v>1848</v>
      </c>
      <c r="N55" s="227">
        <f t="shared" si="4"/>
        <v>0</v>
      </c>
      <c r="O55" s="152">
        <f t="shared" si="5"/>
        <v>642801.15000000049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41708</v>
      </c>
      <c r="I56" s="152"/>
      <c r="J56" s="154"/>
      <c r="K56" s="154" t="s">
        <v>1874</v>
      </c>
      <c r="L56" s="227">
        <v>5851.4390379892802</v>
      </c>
      <c r="M56" s="157" t="s">
        <v>1849</v>
      </c>
      <c r="N56" s="227">
        <f>G41+N55-I56-L56</f>
        <v>292050.24296201067</v>
      </c>
      <c r="O56" s="152">
        <f t="shared" si="5"/>
        <v>636949.71096201125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41709</v>
      </c>
      <c r="I57" s="152">
        <v>2957.5</v>
      </c>
      <c r="J57" s="157" t="s">
        <v>1849</v>
      </c>
      <c r="K57" s="154" t="s">
        <v>1874</v>
      </c>
      <c r="L57" s="227">
        <v>46246.54</v>
      </c>
      <c r="M57" s="157" t="s">
        <v>1849</v>
      </c>
      <c r="N57" s="227">
        <f t="shared" si="4"/>
        <v>242846.20296201066</v>
      </c>
      <c r="O57" s="152">
        <f t="shared" si="5"/>
        <v>587745.67096201121</v>
      </c>
    </row>
    <row r="58" spans="1:15" x14ac:dyDescent="0.15">
      <c r="A58" s="154"/>
      <c r="B58" s="151"/>
      <c r="C58" s="152"/>
      <c r="D58" s="323">
        <v>41710</v>
      </c>
      <c r="E58" s="154" t="s">
        <v>72</v>
      </c>
      <c r="F58" s="157" t="s">
        <v>1851</v>
      </c>
      <c r="G58" s="152">
        <v>263745.08299999998</v>
      </c>
      <c r="H58" s="323">
        <v>41710</v>
      </c>
      <c r="I58" s="152">
        <v>1179.4000000000001</v>
      </c>
      <c r="J58" s="157" t="s">
        <v>1849</v>
      </c>
      <c r="K58" s="154" t="s">
        <v>1874</v>
      </c>
      <c r="L58" s="227">
        <v>15118.72</v>
      </c>
      <c r="M58" s="157" t="s">
        <v>1849</v>
      </c>
      <c r="N58" s="227">
        <f t="shared" si="4"/>
        <v>226548.08296201067</v>
      </c>
      <c r="O58" s="152">
        <f t="shared" si="5"/>
        <v>835192.6339620112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>
        <v>41710</v>
      </c>
      <c r="I59" s="152"/>
      <c r="J59" s="157"/>
      <c r="K59" s="154" t="s">
        <v>1874</v>
      </c>
      <c r="L59" s="227">
        <v>89383.39</v>
      </c>
      <c r="M59" s="157" t="s">
        <v>1849</v>
      </c>
      <c r="N59" s="227">
        <f t="shared" si="4"/>
        <v>137164.69296201068</v>
      </c>
      <c r="O59" s="152">
        <f t="shared" si="5"/>
        <v>745809.24396201118</v>
      </c>
    </row>
    <row r="60" spans="1:15" x14ac:dyDescent="0.15">
      <c r="A60" s="154"/>
      <c r="B60" s="151"/>
      <c r="C60" s="152"/>
      <c r="D60" s="323"/>
      <c r="E60" s="155"/>
      <c r="F60" s="157"/>
      <c r="G60" s="152"/>
      <c r="H60" s="323">
        <v>41710</v>
      </c>
      <c r="I60" s="152"/>
      <c r="J60" s="157"/>
      <c r="K60" s="154" t="s">
        <v>1874</v>
      </c>
      <c r="L60" s="227">
        <v>53868.2</v>
      </c>
      <c r="M60" s="157" t="s">
        <v>1849</v>
      </c>
      <c r="N60" s="227">
        <f t="shared" si="4"/>
        <v>83296.492962010685</v>
      </c>
      <c r="O60" s="152">
        <f t="shared" si="5"/>
        <v>691941.04396201123</v>
      </c>
    </row>
    <row r="61" spans="1:15" x14ac:dyDescent="0.15">
      <c r="A61" s="154"/>
      <c r="B61" s="151"/>
      <c r="C61" s="152"/>
      <c r="D61" s="323"/>
      <c r="E61" s="155"/>
      <c r="F61" s="157"/>
      <c r="G61" s="152"/>
      <c r="H61" s="323">
        <v>41710</v>
      </c>
      <c r="I61" s="152"/>
      <c r="J61" s="154"/>
      <c r="K61" s="154" t="s">
        <v>1874</v>
      </c>
      <c r="L61" s="227">
        <v>74152.59</v>
      </c>
      <c r="M61" s="157" t="s">
        <v>1849</v>
      </c>
      <c r="N61" s="227">
        <f t="shared" si="4"/>
        <v>9143.9029620106885</v>
      </c>
      <c r="O61" s="152">
        <f t="shared" si="5"/>
        <v>617788.45396201126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>
        <v>41710</v>
      </c>
      <c r="I62" s="152"/>
      <c r="J62" s="154"/>
      <c r="K62" s="154" t="s">
        <v>1874</v>
      </c>
      <c r="L62" s="227">
        <v>9143.9029620106885</v>
      </c>
      <c r="M62" s="157" t="s">
        <v>1849</v>
      </c>
      <c r="N62" s="227">
        <f t="shared" si="4"/>
        <v>0</v>
      </c>
      <c r="O62" s="152">
        <f t="shared" si="5"/>
        <v>608644.55100000056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>
        <v>41710</v>
      </c>
      <c r="I63" s="152"/>
      <c r="J63" s="154"/>
      <c r="K63" s="154" t="s">
        <v>1874</v>
      </c>
      <c r="L63" s="227">
        <v>64418.787037989299</v>
      </c>
      <c r="M63" s="157" t="s">
        <v>1850</v>
      </c>
      <c r="N63" s="227">
        <f>G48+G54+N62-I63-L63</f>
        <v>280480.68096201069</v>
      </c>
      <c r="O63" s="152">
        <f t="shared" si="5"/>
        <v>544225.76396201132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>
        <v>41710</v>
      </c>
      <c r="I64" s="152"/>
      <c r="J64" s="157"/>
      <c r="K64" s="154" t="s">
        <v>1874</v>
      </c>
      <c r="L64" s="227">
        <v>34292.6</v>
      </c>
      <c r="M64" s="157" t="s">
        <v>1850</v>
      </c>
      <c r="N64" s="227">
        <f t="shared" si="4"/>
        <v>246188.08096201069</v>
      </c>
      <c r="O64" s="152">
        <f t="shared" si="5"/>
        <v>509933.16396201134</v>
      </c>
    </row>
    <row r="65" spans="1:15" x14ac:dyDescent="0.15">
      <c r="A65" s="154"/>
      <c r="B65" s="151"/>
      <c r="C65" s="152"/>
      <c r="D65" s="323">
        <v>41711</v>
      </c>
      <c r="E65" s="154" t="s">
        <v>72</v>
      </c>
      <c r="F65" s="157" t="s">
        <v>1852</v>
      </c>
      <c r="G65" s="152">
        <v>175911.32599999997</v>
      </c>
      <c r="H65" s="323">
        <v>41711</v>
      </c>
      <c r="I65" s="152">
        <v>4267</v>
      </c>
      <c r="J65" s="157" t="s">
        <v>1850</v>
      </c>
      <c r="K65" s="154" t="s">
        <v>1874</v>
      </c>
      <c r="L65" s="227">
        <v>9464</v>
      </c>
      <c r="M65" s="157" t="s">
        <v>1850</v>
      </c>
      <c r="N65" s="227">
        <f t="shared" si="4"/>
        <v>232457.08096201069</v>
      </c>
      <c r="O65" s="152">
        <f t="shared" si="5"/>
        <v>672113.48996201134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>
        <v>41711</v>
      </c>
      <c r="I66" s="152"/>
      <c r="J66" s="157"/>
      <c r="K66" s="154" t="s">
        <v>1874</v>
      </c>
      <c r="L66" s="227">
        <v>14811</v>
      </c>
      <c r="M66" s="157" t="s">
        <v>1850</v>
      </c>
      <c r="N66" s="227">
        <f t="shared" si="4"/>
        <v>217646.08096201069</v>
      </c>
      <c r="O66" s="152">
        <f t="shared" si="5"/>
        <v>657302.48996201134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>
        <v>41711</v>
      </c>
      <c r="I67" s="152"/>
      <c r="J67" s="154"/>
      <c r="K67" s="154" t="s">
        <v>1874</v>
      </c>
      <c r="L67" s="227">
        <v>87570</v>
      </c>
      <c r="M67" s="157" t="s">
        <v>1850</v>
      </c>
      <c r="N67" s="227">
        <f t="shared" si="4"/>
        <v>130076.08096201069</v>
      </c>
      <c r="O67" s="152">
        <f t="shared" si="5"/>
        <v>569732.48996201134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>
        <v>41711</v>
      </c>
      <c r="I68" s="152"/>
      <c r="J68" s="157"/>
      <c r="K68" s="154" t="s">
        <v>1874</v>
      </c>
      <c r="L68" s="227">
        <v>70540</v>
      </c>
      <c r="M68" s="157" t="s">
        <v>1850</v>
      </c>
      <c r="N68" s="227">
        <f t="shared" si="4"/>
        <v>59536.080962010688</v>
      </c>
      <c r="O68" s="152">
        <f t="shared" si="5"/>
        <v>499192.48996201134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>
        <v>41711</v>
      </c>
      <c r="I69" s="152"/>
      <c r="J69" s="154"/>
      <c r="K69" s="154" t="s">
        <v>1874</v>
      </c>
      <c r="L69" s="227">
        <v>27240</v>
      </c>
      <c r="M69" s="157" t="s">
        <v>1850</v>
      </c>
      <c r="N69" s="227">
        <f t="shared" si="4"/>
        <v>32296.080962010688</v>
      </c>
      <c r="O69" s="152">
        <f t="shared" si="5"/>
        <v>471952.48996201134</v>
      </c>
    </row>
    <row r="70" spans="1:15" x14ac:dyDescent="0.15">
      <c r="A70" s="154"/>
      <c r="B70" s="151"/>
      <c r="C70" s="152"/>
      <c r="D70" s="323"/>
      <c r="E70" s="155"/>
      <c r="F70" s="157"/>
      <c r="G70" s="152"/>
      <c r="H70" s="323">
        <v>41711</v>
      </c>
      <c r="I70" s="152"/>
      <c r="J70" s="157"/>
      <c r="K70" s="154" t="s">
        <v>1874</v>
      </c>
      <c r="L70" s="227">
        <v>32296.080962010688</v>
      </c>
      <c r="M70" s="157" t="s">
        <v>1850</v>
      </c>
      <c r="N70" s="227">
        <f t="shared" si="4"/>
        <v>0</v>
      </c>
      <c r="O70" s="152">
        <f t="shared" si="5"/>
        <v>439656.40900000068</v>
      </c>
    </row>
    <row r="71" spans="1:15" x14ac:dyDescent="0.15">
      <c r="A71" s="154"/>
      <c r="B71" s="151"/>
      <c r="C71" s="152"/>
      <c r="D71" s="323"/>
      <c r="E71" s="155"/>
      <c r="F71" s="157"/>
      <c r="G71" s="152"/>
      <c r="H71" s="323">
        <v>41711</v>
      </c>
      <c r="I71" s="152"/>
      <c r="J71" s="157"/>
      <c r="K71" s="154" t="s">
        <v>1874</v>
      </c>
      <c r="L71" s="227">
        <v>1083.91903798931</v>
      </c>
      <c r="M71" s="157" t="s">
        <v>1851</v>
      </c>
      <c r="N71" s="227">
        <f>G58+N70-I71-L71</f>
        <v>262661.1639620107</v>
      </c>
      <c r="O71" s="152">
        <f t="shared" si="5"/>
        <v>438572.4899620114</v>
      </c>
    </row>
    <row r="72" spans="1:15" x14ac:dyDescent="0.15">
      <c r="A72" s="154"/>
      <c r="B72" s="151"/>
      <c r="C72" s="152"/>
      <c r="D72" s="323">
        <v>41712</v>
      </c>
      <c r="E72" s="154" t="s">
        <v>72</v>
      </c>
      <c r="F72" s="157" t="s">
        <v>1852</v>
      </c>
      <c r="G72" s="152">
        <v>43988.441000000021</v>
      </c>
      <c r="H72" s="323">
        <v>41712</v>
      </c>
      <c r="I72" s="152">
        <v>7291.2999999999993</v>
      </c>
      <c r="J72" s="157" t="s">
        <v>1851</v>
      </c>
      <c r="K72" s="154" t="s">
        <v>1874</v>
      </c>
      <c r="L72" s="227">
        <v>36551.46</v>
      </c>
      <c r="M72" s="157" t="s">
        <v>1851</v>
      </c>
      <c r="N72" s="227">
        <f t="shared" si="4"/>
        <v>218818.40396201072</v>
      </c>
      <c r="O72" s="152">
        <f t="shared" si="5"/>
        <v>438718.17096201144</v>
      </c>
    </row>
    <row r="73" spans="1:15" x14ac:dyDescent="0.15">
      <c r="A73" s="154"/>
      <c r="B73" s="151"/>
      <c r="C73" s="152"/>
      <c r="D73" s="323">
        <v>41712</v>
      </c>
      <c r="E73" s="154" t="s">
        <v>72</v>
      </c>
      <c r="F73" s="157" t="s">
        <v>1853</v>
      </c>
      <c r="G73" s="152">
        <v>87933.721000000005</v>
      </c>
      <c r="H73" s="323">
        <v>41712</v>
      </c>
      <c r="I73" s="152"/>
      <c r="J73" s="154"/>
      <c r="K73" s="154"/>
      <c r="L73" s="227"/>
      <c r="M73" s="157"/>
      <c r="N73" s="227">
        <f t="shared" si="4"/>
        <v>218818.40396201072</v>
      </c>
      <c r="O73" s="152">
        <f t="shared" si="5"/>
        <v>526651.89196201146</v>
      </c>
    </row>
    <row r="74" spans="1:15" x14ac:dyDescent="0.15">
      <c r="A74" s="154"/>
      <c r="B74" s="151"/>
      <c r="C74" s="152"/>
      <c r="D74" s="323">
        <v>41713</v>
      </c>
      <c r="E74" s="154" t="s">
        <v>72</v>
      </c>
      <c r="F74" s="157" t="s">
        <v>1853</v>
      </c>
      <c r="G74" s="152">
        <v>263607.86800000002</v>
      </c>
      <c r="H74" s="323">
        <v>41713</v>
      </c>
      <c r="I74" s="152">
        <v>20869.61</v>
      </c>
      <c r="J74" s="157" t="s">
        <v>1851</v>
      </c>
      <c r="K74" s="154" t="s">
        <v>1874</v>
      </c>
      <c r="L74" s="227">
        <v>81766.990000000005</v>
      </c>
      <c r="M74" s="157" t="s">
        <v>1851</v>
      </c>
      <c r="N74" s="227">
        <f t="shared" si="4"/>
        <v>116181.8039620107</v>
      </c>
      <c r="O74" s="152">
        <f t="shared" si="5"/>
        <v>687623.1599620115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>
        <v>41713</v>
      </c>
      <c r="I75" s="152"/>
      <c r="J75" s="154"/>
      <c r="K75" s="154" t="s">
        <v>1874</v>
      </c>
      <c r="L75" s="227">
        <v>77832.2</v>
      </c>
      <c r="M75" s="157" t="s">
        <v>1851</v>
      </c>
      <c r="N75" s="227">
        <f t="shared" si="4"/>
        <v>38349.603962010704</v>
      </c>
      <c r="O75" s="152">
        <f t="shared" si="5"/>
        <v>609790.95996201155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>
        <v>41713</v>
      </c>
      <c r="I76" s="152"/>
      <c r="J76" s="154"/>
      <c r="K76" s="154" t="s">
        <v>1874</v>
      </c>
      <c r="L76" s="227">
        <v>34937.78</v>
      </c>
      <c r="M76" s="157" t="s">
        <v>1851</v>
      </c>
      <c r="N76" s="227">
        <f t="shared" ref="N76:N139" si="6">+N75-I76-L76</f>
        <v>3411.8239620107051</v>
      </c>
      <c r="O76" s="152">
        <f t="shared" ref="O76:O139" si="7">O75+G76-I76-L76</f>
        <v>574853.17996201152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>
        <v>41713</v>
      </c>
      <c r="I77" s="152"/>
      <c r="J77" s="157"/>
      <c r="K77" s="154" t="s">
        <v>1874</v>
      </c>
      <c r="L77" s="227">
        <v>3411.8239620107051</v>
      </c>
      <c r="M77" s="157" t="s">
        <v>1851</v>
      </c>
      <c r="N77" s="227">
        <f t="shared" si="6"/>
        <v>0</v>
      </c>
      <c r="O77" s="152">
        <f t="shared" si="7"/>
        <v>571441.35600000084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>
        <v>41713</v>
      </c>
      <c r="I78" s="152"/>
      <c r="J78" s="157"/>
      <c r="K78" s="154" t="s">
        <v>1874</v>
      </c>
      <c r="L78" s="227">
        <v>66352.786037989295</v>
      </c>
      <c r="M78" s="157" t="s">
        <v>1852</v>
      </c>
      <c r="N78" s="227">
        <f>G65+G72+N77-I78-L78</f>
        <v>153546.98096201068</v>
      </c>
      <c r="O78" s="152">
        <f t="shared" si="7"/>
        <v>505088.56996201153</v>
      </c>
    </row>
    <row r="79" spans="1:15" x14ac:dyDescent="0.15">
      <c r="A79" s="154"/>
      <c r="B79" s="151"/>
      <c r="C79" s="152"/>
      <c r="D79" s="323">
        <v>41714</v>
      </c>
      <c r="E79" s="154" t="s">
        <v>72</v>
      </c>
      <c r="F79" s="157" t="s">
        <v>1854</v>
      </c>
      <c r="G79" s="152">
        <v>219856.37299999996</v>
      </c>
      <c r="H79" s="323">
        <v>41714</v>
      </c>
      <c r="I79" s="152">
        <v>6001.04</v>
      </c>
      <c r="J79" s="157" t="s">
        <v>1852</v>
      </c>
      <c r="K79" s="154" t="s">
        <v>1874</v>
      </c>
      <c r="L79" s="227">
        <v>46312.85</v>
      </c>
      <c r="M79" s="157" t="s">
        <v>1852</v>
      </c>
      <c r="N79" s="227">
        <f t="shared" si="6"/>
        <v>101233.09096201067</v>
      </c>
      <c r="O79" s="152">
        <f t="shared" si="7"/>
        <v>672631.05296201154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>
        <v>41714</v>
      </c>
      <c r="I80" s="152"/>
      <c r="J80" s="154"/>
      <c r="K80" s="154" t="s">
        <v>1874</v>
      </c>
      <c r="L80" s="227">
        <v>72061.11</v>
      </c>
      <c r="M80" s="157" t="s">
        <v>1852</v>
      </c>
      <c r="N80" s="227">
        <f t="shared" si="6"/>
        <v>29171.980962010668</v>
      </c>
      <c r="O80" s="152">
        <f t="shared" si="7"/>
        <v>600569.94296201156</v>
      </c>
    </row>
    <row r="81" spans="1:15" x14ac:dyDescent="0.15">
      <c r="A81" s="154"/>
      <c r="B81" s="151"/>
      <c r="C81" s="152"/>
      <c r="D81" s="323"/>
      <c r="E81" s="155"/>
      <c r="F81" s="157"/>
      <c r="G81" s="152"/>
      <c r="H81" s="323">
        <v>41714</v>
      </c>
      <c r="I81" s="152"/>
      <c r="J81" s="157"/>
      <c r="K81" s="154" t="s">
        <v>1874</v>
      </c>
      <c r="L81" s="227">
        <v>29171.980962010668</v>
      </c>
      <c r="M81" s="157" t="s">
        <v>1852</v>
      </c>
      <c r="N81" s="227">
        <f t="shared" si="6"/>
        <v>0</v>
      </c>
      <c r="O81" s="152">
        <f t="shared" si="7"/>
        <v>571397.96200000087</v>
      </c>
    </row>
    <row r="82" spans="1:15" x14ac:dyDescent="0.15">
      <c r="A82" s="154"/>
      <c r="B82" s="151"/>
      <c r="C82" s="152"/>
      <c r="D82" s="323"/>
      <c r="E82" s="155"/>
      <c r="F82" s="157"/>
      <c r="G82" s="152"/>
      <c r="H82" s="323">
        <v>41714</v>
      </c>
      <c r="I82" s="152"/>
      <c r="J82" s="157"/>
      <c r="K82" s="154" t="s">
        <v>1874</v>
      </c>
      <c r="L82" s="227">
        <v>2750.65903798933</v>
      </c>
      <c r="M82" s="157" t="s">
        <v>1853</v>
      </c>
      <c r="N82" s="227">
        <f>G73+G74+N81-I82-L82</f>
        <v>348790.9299620107</v>
      </c>
      <c r="O82" s="152">
        <f t="shared" si="7"/>
        <v>568647.30296201154</v>
      </c>
    </row>
    <row r="83" spans="1:15" x14ac:dyDescent="0.15">
      <c r="A83" s="154"/>
      <c r="B83" s="151"/>
      <c r="C83" s="152"/>
      <c r="D83" s="323"/>
      <c r="E83" s="155"/>
      <c r="F83" s="157"/>
      <c r="G83" s="152"/>
      <c r="H83" s="323">
        <v>41714</v>
      </c>
      <c r="I83" s="152"/>
      <c r="J83" s="157"/>
      <c r="K83" s="154" t="s">
        <v>1874</v>
      </c>
      <c r="L83" s="227">
        <v>79426.33</v>
      </c>
      <c r="M83" s="157" t="s">
        <v>1853</v>
      </c>
      <c r="N83" s="227">
        <f t="shared" si="6"/>
        <v>269364.59996201069</v>
      </c>
      <c r="O83" s="152">
        <f t="shared" si="7"/>
        <v>489220.97296201152</v>
      </c>
    </row>
    <row r="84" spans="1:15" x14ac:dyDescent="0.15">
      <c r="A84" s="154"/>
      <c r="B84" s="151"/>
      <c r="C84" s="152"/>
      <c r="D84" s="323"/>
      <c r="E84" s="155"/>
      <c r="F84" s="157"/>
      <c r="G84" s="152"/>
      <c r="H84" s="323">
        <v>41714</v>
      </c>
      <c r="I84" s="152"/>
      <c r="J84" s="157"/>
      <c r="K84" s="154" t="s">
        <v>1874</v>
      </c>
      <c r="L84" s="227">
        <v>3828.94</v>
      </c>
      <c r="M84" s="157" t="s">
        <v>1853</v>
      </c>
      <c r="N84" s="227">
        <f t="shared" si="6"/>
        <v>265535.65996201069</v>
      </c>
      <c r="O84" s="152">
        <f t="shared" si="7"/>
        <v>485392.03296201152</v>
      </c>
    </row>
    <row r="85" spans="1:15" x14ac:dyDescent="0.15">
      <c r="A85" s="154"/>
      <c r="B85" s="151"/>
      <c r="C85" s="152"/>
      <c r="D85" s="323">
        <v>41715</v>
      </c>
      <c r="E85" s="154" t="s">
        <v>72</v>
      </c>
      <c r="F85" s="157" t="s">
        <v>1854</v>
      </c>
      <c r="G85" s="152">
        <v>131864.82</v>
      </c>
      <c r="H85" s="323">
        <v>41715</v>
      </c>
      <c r="I85" s="152">
        <v>6198.39</v>
      </c>
      <c r="J85" s="157" t="s">
        <v>1853</v>
      </c>
      <c r="K85" s="154" t="s">
        <v>1874</v>
      </c>
      <c r="L85" s="227">
        <v>9936.09</v>
      </c>
      <c r="M85" s="157" t="s">
        <v>1853</v>
      </c>
      <c r="N85" s="227">
        <f t="shared" si="6"/>
        <v>249401.17996201068</v>
      </c>
      <c r="O85" s="152">
        <f t="shared" si="7"/>
        <v>601122.37296201149</v>
      </c>
    </row>
    <row r="86" spans="1:15" x14ac:dyDescent="0.15">
      <c r="A86" s="154"/>
      <c r="B86" s="151"/>
      <c r="C86" s="152"/>
      <c r="D86" s="323"/>
      <c r="E86" s="155"/>
      <c r="F86" s="157"/>
      <c r="G86" s="152"/>
      <c r="H86" s="323">
        <v>41715</v>
      </c>
      <c r="I86" s="152"/>
      <c r="J86" s="154"/>
      <c r="K86" s="154" t="s">
        <v>1874</v>
      </c>
      <c r="L86" s="227">
        <v>1114.81</v>
      </c>
      <c r="M86" s="157" t="s">
        <v>1853</v>
      </c>
      <c r="N86" s="227">
        <f t="shared" si="6"/>
        <v>248286.36996201068</v>
      </c>
      <c r="O86" s="152">
        <f t="shared" si="7"/>
        <v>600007.56296201143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>
        <v>41715</v>
      </c>
      <c r="I87" s="152"/>
      <c r="J87" s="154"/>
      <c r="K87" s="154" t="s">
        <v>1874</v>
      </c>
      <c r="L87" s="227">
        <v>36151.660000000003</v>
      </c>
      <c r="M87" s="157" t="s">
        <v>1853</v>
      </c>
      <c r="N87" s="227">
        <f t="shared" si="6"/>
        <v>212134.70996201067</v>
      </c>
      <c r="O87" s="152">
        <f t="shared" si="7"/>
        <v>563855.9029620114</v>
      </c>
    </row>
    <row r="88" spans="1:15" x14ac:dyDescent="0.15">
      <c r="A88" s="154"/>
      <c r="B88" s="151"/>
      <c r="C88" s="152"/>
      <c r="D88" s="323">
        <v>41716</v>
      </c>
      <c r="E88" s="154" t="s">
        <v>72</v>
      </c>
      <c r="F88" s="157" t="s">
        <v>1854</v>
      </c>
      <c r="G88" s="152">
        <v>87890.554000000004</v>
      </c>
      <c r="H88" s="323">
        <v>41716</v>
      </c>
      <c r="I88" s="152">
        <v>2868.6471999999999</v>
      </c>
      <c r="J88" s="157" t="s">
        <v>1853</v>
      </c>
      <c r="K88" s="154" t="s">
        <v>1874</v>
      </c>
      <c r="L88" s="227">
        <v>9378.19</v>
      </c>
      <c r="M88" s="157" t="s">
        <v>1853</v>
      </c>
      <c r="N88" s="227">
        <f t="shared" si="6"/>
        <v>199887.87276201067</v>
      </c>
      <c r="O88" s="152">
        <f t="shared" si="7"/>
        <v>639499.61976201145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>
        <v>41716</v>
      </c>
      <c r="I89" s="152"/>
      <c r="J89" s="157"/>
      <c r="K89" s="154" t="s">
        <v>1874</v>
      </c>
      <c r="L89" s="227">
        <v>13883.49</v>
      </c>
      <c r="M89" s="157" t="s">
        <v>1853</v>
      </c>
      <c r="N89" s="227">
        <f t="shared" si="6"/>
        <v>186004.38276201067</v>
      </c>
      <c r="O89" s="152">
        <f t="shared" si="7"/>
        <v>625616.12976201146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>
        <v>41716</v>
      </c>
      <c r="I90" s="152"/>
      <c r="J90" s="157"/>
      <c r="K90" s="154" t="s">
        <v>1874</v>
      </c>
      <c r="L90" s="227">
        <v>37479.71</v>
      </c>
      <c r="M90" s="157" t="s">
        <v>1853</v>
      </c>
      <c r="N90" s="227">
        <f t="shared" si="6"/>
        <v>148524.67276201068</v>
      </c>
      <c r="O90" s="152">
        <f t="shared" si="7"/>
        <v>588136.4197620115</v>
      </c>
    </row>
    <row r="91" spans="1:15" x14ac:dyDescent="0.15">
      <c r="A91" s="154"/>
      <c r="B91" s="151"/>
      <c r="C91" s="152"/>
      <c r="D91" s="323">
        <v>41717</v>
      </c>
      <c r="E91" s="154" t="s">
        <v>72</v>
      </c>
      <c r="F91" s="157" t="s">
        <v>1854</v>
      </c>
      <c r="G91" s="152">
        <v>43902.05700000003</v>
      </c>
      <c r="H91" s="323">
        <v>41717</v>
      </c>
      <c r="I91" s="152"/>
      <c r="J91" s="154"/>
      <c r="K91" s="154" t="s">
        <v>1874</v>
      </c>
      <c r="L91" s="227">
        <v>37619.94</v>
      </c>
      <c r="M91" s="157" t="s">
        <v>1853</v>
      </c>
      <c r="N91" s="227">
        <f t="shared" si="6"/>
        <v>110904.73276201068</v>
      </c>
      <c r="O91" s="152">
        <f t="shared" si="7"/>
        <v>594418.53676201147</v>
      </c>
    </row>
    <row r="92" spans="1:15" x14ac:dyDescent="0.15">
      <c r="A92" s="154"/>
      <c r="B92" s="151"/>
      <c r="C92" s="152"/>
      <c r="D92" s="323">
        <v>41717</v>
      </c>
      <c r="E92" s="154" t="s">
        <v>72</v>
      </c>
      <c r="F92" s="157" t="s">
        <v>1855</v>
      </c>
      <c r="G92" s="152">
        <v>219815.96599999999</v>
      </c>
      <c r="H92" s="323">
        <v>41717</v>
      </c>
      <c r="I92" s="152"/>
      <c r="J92" s="154"/>
      <c r="K92" s="154" t="s">
        <v>1874</v>
      </c>
      <c r="L92" s="227">
        <v>93761.87</v>
      </c>
      <c r="M92" s="157" t="s">
        <v>1853</v>
      </c>
      <c r="N92" s="227">
        <f t="shared" si="6"/>
        <v>17142.862762010685</v>
      </c>
      <c r="O92" s="152">
        <f t="shared" si="7"/>
        <v>720472.63276201149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>
        <v>41717</v>
      </c>
      <c r="I93" s="152"/>
      <c r="J93" s="157"/>
      <c r="K93" s="154" t="s">
        <v>1874</v>
      </c>
      <c r="L93" s="227">
        <v>17142.862762010685</v>
      </c>
      <c r="M93" s="157" t="s">
        <v>1853</v>
      </c>
      <c r="N93" s="227">
        <f t="shared" si="6"/>
        <v>0</v>
      </c>
      <c r="O93" s="152">
        <f t="shared" si="7"/>
        <v>703329.77000000083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>
        <v>41717</v>
      </c>
      <c r="I94" s="152"/>
      <c r="J94" s="157"/>
      <c r="K94" s="154" t="s">
        <v>1876</v>
      </c>
      <c r="L94" s="227">
        <v>14568.497237989301</v>
      </c>
      <c r="M94" s="157" t="s">
        <v>1854</v>
      </c>
      <c r="N94" s="227">
        <f>G79+G85+G88+G91+N93-I94-L94</f>
        <v>468945.30676201067</v>
      </c>
      <c r="O94" s="152">
        <f t="shared" si="7"/>
        <v>688761.2727620115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>
        <v>41717</v>
      </c>
      <c r="I95" s="152"/>
      <c r="J95" s="157"/>
      <c r="K95" s="154" t="s">
        <v>1876</v>
      </c>
      <c r="L95" s="227">
        <v>78497.149999999994</v>
      </c>
      <c r="M95" s="157" t="s">
        <v>1854</v>
      </c>
      <c r="N95" s="227">
        <f t="shared" si="6"/>
        <v>390448.15676201065</v>
      </c>
      <c r="O95" s="152">
        <f t="shared" si="7"/>
        <v>610264.12276201148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>
        <v>41717</v>
      </c>
      <c r="I96" s="152"/>
      <c r="J96" s="157"/>
      <c r="K96" s="154" t="s">
        <v>1876</v>
      </c>
      <c r="L96" s="227">
        <v>56221.06</v>
      </c>
      <c r="M96" s="157" t="s">
        <v>1854</v>
      </c>
      <c r="N96" s="227">
        <f t="shared" si="6"/>
        <v>334227.09676201065</v>
      </c>
      <c r="O96" s="152">
        <f t="shared" si="7"/>
        <v>554043.06276201154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>
        <v>41717</v>
      </c>
      <c r="I97" s="152"/>
      <c r="J97" s="157"/>
      <c r="K97" s="154" t="s">
        <v>1876</v>
      </c>
      <c r="L97" s="227">
        <v>1016.48</v>
      </c>
      <c r="M97" s="157" t="s">
        <v>1854</v>
      </c>
      <c r="N97" s="227">
        <f t="shared" si="6"/>
        <v>333210.61676201067</v>
      </c>
      <c r="O97" s="152">
        <f t="shared" si="7"/>
        <v>553026.58276201156</v>
      </c>
    </row>
    <row r="98" spans="1:15" x14ac:dyDescent="0.15">
      <c r="A98" s="154"/>
      <c r="B98" s="151"/>
      <c r="C98" s="152"/>
      <c r="D98" s="323"/>
      <c r="E98" s="154"/>
      <c r="F98" s="154"/>
      <c r="G98" s="152"/>
      <c r="H98" s="323">
        <v>41717</v>
      </c>
      <c r="I98" s="152"/>
      <c r="J98" s="157"/>
      <c r="K98" s="154" t="s">
        <v>1876</v>
      </c>
      <c r="L98" s="227">
        <v>72643.149999999994</v>
      </c>
      <c r="M98" s="157" t="s">
        <v>1854</v>
      </c>
      <c r="N98" s="227">
        <f t="shared" si="6"/>
        <v>260567.46676201068</v>
      </c>
      <c r="O98" s="152">
        <f t="shared" si="7"/>
        <v>480383.43276201154</v>
      </c>
    </row>
    <row r="99" spans="1:15" x14ac:dyDescent="0.15">
      <c r="A99" s="154"/>
      <c r="B99" s="151"/>
      <c r="C99" s="152"/>
      <c r="D99" s="323"/>
      <c r="E99" s="155"/>
      <c r="F99" s="154"/>
      <c r="G99" s="152"/>
      <c r="H99" s="323">
        <v>41717</v>
      </c>
      <c r="I99" s="152"/>
      <c r="J99" s="157"/>
      <c r="K99" s="154" t="s">
        <v>1876</v>
      </c>
      <c r="L99" s="152">
        <v>13659.07</v>
      </c>
      <c r="M99" s="157" t="s">
        <v>1854</v>
      </c>
      <c r="N99" s="227">
        <f t="shared" si="6"/>
        <v>246908.39676201067</v>
      </c>
      <c r="O99" s="152">
        <f t="shared" si="7"/>
        <v>466724.36276201153</v>
      </c>
    </row>
    <row r="100" spans="1:15" x14ac:dyDescent="0.15">
      <c r="A100" s="154"/>
      <c r="B100" s="151"/>
      <c r="C100" s="152"/>
      <c r="D100" s="323">
        <v>41718</v>
      </c>
      <c r="E100" s="154" t="s">
        <v>72</v>
      </c>
      <c r="F100" s="157" t="s">
        <v>1855</v>
      </c>
      <c r="G100" s="152">
        <v>85503.127000000008</v>
      </c>
      <c r="H100" s="323">
        <v>41718</v>
      </c>
      <c r="I100" s="152">
        <v>13987.24</v>
      </c>
      <c r="J100" s="157" t="s">
        <v>1854</v>
      </c>
      <c r="K100" s="154" t="s">
        <v>1876</v>
      </c>
      <c r="L100" s="227">
        <v>82325.009999999995</v>
      </c>
      <c r="M100" s="157" t="s">
        <v>1854</v>
      </c>
      <c r="N100" s="227">
        <f t="shared" si="6"/>
        <v>150596.1467620107</v>
      </c>
      <c r="O100" s="152">
        <f t="shared" si="7"/>
        <v>455915.23976201157</v>
      </c>
    </row>
    <row r="101" spans="1:15" x14ac:dyDescent="0.15">
      <c r="A101" s="154"/>
      <c r="B101" s="151"/>
      <c r="C101" s="152"/>
      <c r="D101" s="323">
        <v>41718</v>
      </c>
      <c r="E101" s="154" t="s">
        <v>72</v>
      </c>
      <c r="F101" s="154" t="s">
        <v>1856</v>
      </c>
      <c r="G101" s="152">
        <v>134205.28700000001</v>
      </c>
      <c r="H101" s="323">
        <v>41718</v>
      </c>
      <c r="I101" s="152"/>
      <c r="J101" s="157"/>
      <c r="K101" s="154" t="s">
        <v>1876</v>
      </c>
      <c r="L101" s="227">
        <v>98169.07</v>
      </c>
      <c r="M101" s="157" t="s">
        <v>1854</v>
      </c>
      <c r="N101" s="227">
        <f t="shared" si="6"/>
        <v>52427.076762010693</v>
      </c>
      <c r="O101" s="152">
        <f t="shared" si="7"/>
        <v>491951.45676201157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>
        <v>41718</v>
      </c>
      <c r="I102" s="152"/>
      <c r="J102" s="157"/>
      <c r="K102" s="154" t="s">
        <v>1876</v>
      </c>
      <c r="L102" s="227">
        <v>1411.28</v>
      </c>
      <c r="M102" s="157" t="s">
        <v>1854</v>
      </c>
      <c r="N102" s="227">
        <f t="shared" si="6"/>
        <v>51015.796762010694</v>
      </c>
      <c r="O102" s="152">
        <f t="shared" si="7"/>
        <v>490540.17676201154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>
        <v>41718</v>
      </c>
      <c r="I103" s="152"/>
      <c r="J103" s="157"/>
      <c r="K103" s="154" t="s">
        <v>1876</v>
      </c>
      <c r="L103" s="227">
        <v>21928.880000000001</v>
      </c>
      <c r="M103" s="157" t="s">
        <v>1854</v>
      </c>
      <c r="N103" s="227">
        <f t="shared" si="6"/>
        <v>29086.916762010693</v>
      </c>
      <c r="O103" s="152">
        <f t="shared" si="7"/>
        <v>468611.29676201154</v>
      </c>
    </row>
    <row r="104" spans="1:15" x14ac:dyDescent="0.15">
      <c r="A104" s="154"/>
      <c r="B104" s="151"/>
      <c r="C104" s="152"/>
      <c r="D104" s="323">
        <v>41719</v>
      </c>
      <c r="E104" s="154" t="s">
        <v>72</v>
      </c>
      <c r="F104" s="154" t="s">
        <v>1856</v>
      </c>
      <c r="G104" s="152">
        <v>211743.46499999997</v>
      </c>
      <c r="H104" s="323">
        <v>41719</v>
      </c>
      <c r="I104" s="152">
        <v>5745.73</v>
      </c>
      <c r="J104" s="157" t="s">
        <v>1854</v>
      </c>
      <c r="K104" s="154" t="s">
        <v>1876</v>
      </c>
      <c r="L104" s="227">
        <v>1256.9100000000001</v>
      </c>
      <c r="M104" s="157" t="s">
        <v>1854</v>
      </c>
      <c r="N104" s="227">
        <f t="shared" si="6"/>
        <v>22084.276762010693</v>
      </c>
      <c r="O104" s="152">
        <f t="shared" si="7"/>
        <v>673352.12176201155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>
        <v>41719</v>
      </c>
      <c r="I105" s="152"/>
      <c r="J105" s="157"/>
      <c r="K105" s="154" t="s">
        <v>1876</v>
      </c>
      <c r="L105" s="227">
        <v>22084.276762010693</v>
      </c>
      <c r="M105" s="157" t="s">
        <v>1854</v>
      </c>
      <c r="N105" s="227">
        <f t="shared" si="6"/>
        <v>0</v>
      </c>
      <c r="O105" s="152">
        <f t="shared" si="7"/>
        <v>651267.8450000009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>
        <v>41719</v>
      </c>
      <c r="I106" s="152"/>
      <c r="J106" s="157"/>
      <c r="K106" s="154" t="s">
        <v>1874</v>
      </c>
      <c r="L106" s="227">
        <v>15097.1832379893</v>
      </c>
      <c r="M106" s="157" t="s">
        <v>1855</v>
      </c>
      <c r="N106" s="227">
        <f>G92+G100+N105-I106-L106</f>
        <v>290221.90976201068</v>
      </c>
      <c r="O106" s="152">
        <f t="shared" si="7"/>
        <v>636170.66176201159</v>
      </c>
    </row>
    <row r="107" spans="1:15" x14ac:dyDescent="0.15">
      <c r="A107" s="154"/>
      <c r="B107" s="151"/>
      <c r="C107" s="152"/>
      <c r="D107" s="323"/>
      <c r="E107" s="155"/>
      <c r="F107" s="157"/>
      <c r="G107" s="152"/>
      <c r="H107" s="323">
        <v>41719</v>
      </c>
      <c r="I107" s="152"/>
      <c r="J107" s="157"/>
      <c r="K107" s="154" t="s">
        <v>1874</v>
      </c>
      <c r="L107" s="227">
        <v>49275.01</v>
      </c>
      <c r="M107" s="157" t="s">
        <v>1855</v>
      </c>
      <c r="N107" s="227">
        <f t="shared" si="6"/>
        <v>240946.89976201067</v>
      </c>
      <c r="O107" s="152">
        <f t="shared" si="7"/>
        <v>586895.65176201158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>
        <v>41719</v>
      </c>
      <c r="I108" s="152"/>
      <c r="J108" s="157"/>
      <c r="K108" s="154" t="s">
        <v>1874</v>
      </c>
      <c r="L108" s="227">
        <v>38170.639999999999</v>
      </c>
      <c r="M108" s="157" t="s">
        <v>1855</v>
      </c>
      <c r="N108" s="227">
        <f t="shared" si="6"/>
        <v>202776.25976201065</v>
      </c>
      <c r="O108" s="152">
        <f t="shared" si="7"/>
        <v>548725.01176201156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>
        <v>41719</v>
      </c>
      <c r="I109" s="152"/>
      <c r="J109" s="154"/>
      <c r="K109" s="154" t="s">
        <v>1874</v>
      </c>
      <c r="L109" s="227">
        <v>84337.22</v>
      </c>
      <c r="M109" s="157" t="s">
        <v>1855</v>
      </c>
      <c r="N109" s="227">
        <f t="shared" si="6"/>
        <v>118439.03976201065</v>
      </c>
      <c r="O109" s="152">
        <f t="shared" si="7"/>
        <v>464387.79176201159</v>
      </c>
    </row>
    <row r="110" spans="1:15" x14ac:dyDescent="0.15">
      <c r="A110" s="154"/>
      <c r="B110" s="151"/>
      <c r="C110" s="152"/>
      <c r="D110" s="323">
        <v>41720</v>
      </c>
      <c r="E110" s="154" t="s">
        <v>72</v>
      </c>
      <c r="F110" s="154" t="s">
        <v>1856</v>
      </c>
      <c r="G110" s="152">
        <v>43948.746000000043</v>
      </c>
      <c r="H110" s="323">
        <v>41720</v>
      </c>
      <c r="I110" s="152">
        <v>4245.01</v>
      </c>
      <c r="J110" s="157" t="s">
        <v>1855</v>
      </c>
      <c r="K110" s="154" t="s">
        <v>1874</v>
      </c>
      <c r="L110" s="227">
        <v>63845.279999999999</v>
      </c>
      <c r="M110" s="157" t="s">
        <v>1855</v>
      </c>
      <c r="N110" s="227">
        <f t="shared" si="6"/>
        <v>50348.749762010659</v>
      </c>
      <c r="O110" s="152">
        <f t="shared" si="7"/>
        <v>440246.2477620116</v>
      </c>
    </row>
    <row r="111" spans="1:15" x14ac:dyDescent="0.15">
      <c r="A111" s="154"/>
      <c r="B111" s="151"/>
      <c r="C111" s="152"/>
      <c r="D111" s="323">
        <v>41720</v>
      </c>
      <c r="E111" s="154" t="s">
        <v>72</v>
      </c>
      <c r="F111" s="157" t="s">
        <v>1857</v>
      </c>
      <c r="G111" s="152">
        <v>221838.20499999999</v>
      </c>
      <c r="H111" s="323">
        <v>41720</v>
      </c>
      <c r="I111" s="152"/>
      <c r="J111" s="157"/>
      <c r="K111" s="154" t="s">
        <v>1874</v>
      </c>
      <c r="L111" s="227">
        <v>50348.749762010659</v>
      </c>
      <c r="M111" s="157" t="s">
        <v>1855</v>
      </c>
      <c r="N111" s="227">
        <f t="shared" si="6"/>
        <v>0</v>
      </c>
      <c r="O111" s="152">
        <f t="shared" si="7"/>
        <v>611735.70300000091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>
        <v>41720</v>
      </c>
      <c r="I112" s="152"/>
      <c r="J112" s="157"/>
      <c r="K112" s="154" t="s">
        <v>1875</v>
      </c>
      <c r="L112" s="227">
        <v>26605.830237989299</v>
      </c>
      <c r="M112" s="154" t="s">
        <v>1856</v>
      </c>
      <c r="N112" s="227">
        <f>G101+G104+G110+N111-I112-L112</f>
        <v>363291.66776201071</v>
      </c>
      <c r="O112" s="152">
        <f t="shared" si="7"/>
        <v>585129.8727620116</v>
      </c>
    </row>
    <row r="113" spans="1:15" x14ac:dyDescent="0.15">
      <c r="A113" s="154"/>
      <c r="B113" s="151"/>
      <c r="C113" s="152"/>
      <c r="D113" s="323"/>
      <c r="E113" s="155"/>
      <c r="F113" s="157"/>
      <c r="G113" s="152"/>
      <c r="H113" s="323">
        <v>41720</v>
      </c>
      <c r="I113" s="152"/>
      <c r="J113" s="157"/>
      <c r="K113" s="154" t="s">
        <v>1875</v>
      </c>
      <c r="L113" s="227">
        <v>2953.5</v>
      </c>
      <c r="M113" s="154" t="s">
        <v>1856</v>
      </c>
      <c r="N113" s="227">
        <f t="shared" si="6"/>
        <v>360338.16776201071</v>
      </c>
      <c r="O113" s="152">
        <f t="shared" si="7"/>
        <v>582176.3727620116</v>
      </c>
    </row>
    <row r="114" spans="1:15" x14ac:dyDescent="0.15">
      <c r="A114" s="154"/>
      <c r="B114" s="151"/>
      <c r="C114" s="152"/>
      <c r="D114" s="323">
        <v>41721</v>
      </c>
      <c r="E114" s="154" t="s">
        <v>72</v>
      </c>
      <c r="F114" s="157" t="s">
        <v>1857</v>
      </c>
      <c r="G114" s="152">
        <v>219553.29599999997</v>
      </c>
      <c r="H114" s="323">
        <v>41721</v>
      </c>
      <c r="I114" s="152"/>
      <c r="J114" s="157"/>
      <c r="K114" s="154" t="s">
        <v>1875</v>
      </c>
      <c r="L114" s="227">
        <v>9320.61</v>
      </c>
      <c r="M114" s="154" t="s">
        <v>1856</v>
      </c>
      <c r="N114" s="227">
        <f t="shared" si="6"/>
        <v>351017.55776201072</v>
      </c>
      <c r="O114" s="152">
        <f t="shared" si="7"/>
        <v>792409.05876201158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>
        <v>41721</v>
      </c>
      <c r="I115" s="152"/>
      <c r="J115" s="157"/>
      <c r="K115" s="154" t="s">
        <v>1875</v>
      </c>
      <c r="L115" s="227">
        <v>14931.59</v>
      </c>
      <c r="M115" s="154" t="s">
        <v>1856</v>
      </c>
      <c r="N115" s="227">
        <f t="shared" si="6"/>
        <v>336085.9677620107</v>
      </c>
      <c r="O115" s="152">
        <f t="shared" si="7"/>
        <v>777477.46876201162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>
        <v>41721</v>
      </c>
      <c r="I116" s="152"/>
      <c r="J116" s="157"/>
      <c r="K116" s="154" t="s">
        <v>1875</v>
      </c>
      <c r="L116" s="227">
        <v>35275.019999999997</v>
      </c>
      <c r="M116" s="154" t="s">
        <v>1856</v>
      </c>
      <c r="N116" s="227">
        <f t="shared" si="6"/>
        <v>300810.94776201068</v>
      </c>
      <c r="O116" s="152">
        <f t="shared" si="7"/>
        <v>742202.4487620116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>
        <v>41721</v>
      </c>
      <c r="I117" s="152"/>
      <c r="J117" s="157"/>
      <c r="K117" s="154" t="s">
        <v>1875</v>
      </c>
      <c r="L117" s="227">
        <v>74873.100000000006</v>
      </c>
      <c r="M117" s="154" t="s">
        <v>1856</v>
      </c>
      <c r="N117" s="227">
        <f t="shared" si="6"/>
        <v>225937.84776201067</v>
      </c>
      <c r="O117" s="152">
        <f t="shared" si="7"/>
        <v>667329.34876201162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>
        <v>41721</v>
      </c>
      <c r="I118" s="152"/>
      <c r="J118" s="157"/>
      <c r="K118" s="154" t="s">
        <v>1875</v>
      </c>
      <c r="L118" s="227">
        <v>77094.679999999993</v>
      </c>
      <c r="M118" s="154" t="s">
        <v>1856</v>
      </c>
      <c r="N118" s="227">
        <f t="shared" si="6"/>
        <v>148843.16776201068</v>
      </c>
      <c r="O118" s="152">
        <f t="shared" si="7"/>
        <v>590234.66876201169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>
        <v>41721</v>
      </c>
      <c r="I119" s="152"/>
      <c r="J119" s="157"/>
      <c r="K119" s="154" t="s">
        <v>1875</v>
      </c>
      <c r="L119" s="227">
        <v>34518.99</v>
      </c>
      <c r="M119" s="154" t="s">
        <v>1856</v>
      </c>
      <c r="N119" s="227">
        <f t="shared" si="6"/>
        <v>114324.17776201069</v>
      </c>
      <c r="O119" s="152">
        <f t="shared" si="7"/>
        <v>555715.6787620117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>
        <v>41721</v>
      </c>
      <c r="I120" s="152"/>
      <c r="J120" s="157"/>
      <c r="K120" s="154" t="s">
        <v>1875</v>
      </c>
      <c r="L120" s="227">
        <v>36227.949999999997</v>
      </c>
      <c r="M120" s="154" t="s">
        <v>1856</v>
      </c>
      <c r="N120" s="227">
        <f t="shared" si="6"/>
        <v>78096.227762010691</v>
      </c>
      <c r="O120" s="152">
        <f t="shared" si="7"/>
        <v>519487.72876201168</v>
      </c>
    </row>
    <row r="121" spans="1:15" x14ac:dyDescent="0.15">
      <c r="A121" s="154"/>
      <c r="B121" s="151"/>
      <c r="C121" s="152"/>
      <c r="D121" s="323">
        <v>41722</v>
      </c>
      <c r="E121" s="154" t="s">
        <v>72</v>
      </c>
      <c r="F121" s="157" t="s">
        <v>1857</v>
      </c>
      <c r="G121" s="152">
        <v>97179.461000000127</v>
      </c>
      <c r="H121" s="323">
        <v>41722</v>
      </c>
      <c r="I121" s="152"/>
      <c r="J121" s="157"/>
      <c r="K121" s="154" t="s">
        <v>1875</v>
      </c>
      <c r="L121" s="227">
        <v>817.58</v>
      </c>
      <c r="M121" s="154" t="s">
        <v>1856</v>
      </c>
      <c r="N121" s="227">
        <f t="shared" si="6"/>
        <v>77278.647762010689</v>
      </c>
      <c r="O121" s="152">
        <f t="shared" si="7"/>
        <v>615849.60976201191</v>
      </c>
    </row>
    <row r="122" spans="1:15" x14ac:dyDescent="0.15">
      <c r="A122" s="154"/>
      <c r="B122" s="151"/>
      <c r="C122" s="152"/>
      <c r="D122" s="323">
        <v>41722</v>
      </c>
      <c r="E122" s="154" t="s">
        <v>72</v>
      </c>
      <c r="F122" s="157" t="s">
        <v>1858</v>
      </c>
      <c r="G122" s="152">
        <v>34584.464999999902</v>
      </c>
      <c r="H122" s="323">
        <v>41722</v>
      </c>
      <c r="I122" s="152"/>
      <c r="J122" s="157"/>
      <c r="K122" s="154" t="s">
        <v>1875</v>
      </c>
      <c r="L122" s="227">
        <v>51376.44</v>
      </c>
      <c r="M122" s="154" t="s">
        <v>1856</v>
      </c>
      <c r="N122" s="227">
        <f t="shared" si="6"/>
        <v>25902.207762010687</v>
      </c>
      <c r="O122" s="152">
        <f t="shared" si="7"/>
        <v>599057.6347620117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>
        <v>41722</v>
      </c>
      <c r="I123" s="152"/>
      <c r="J123" s="157"/>
      <c r="K123" s="154" t="s">
        <v>1875</v>
      </c>
      <c r="L123" s="227">
        <v>25902.207762010687</v>
      </c>
      <c r="M123" s="154" t="s">
        <v>1856</v>
      </c>
      <c r="N123" s="227">
        <f t="shared" si="6"/>
        <v>0</v>
      </c>
      <c r="O123" s="152">
        <f t="shared" si="7"/>
        <v>573155.42700000107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>
        <v>41722</v>
      </c>
      <c r="I124" s="152"/>
      <c r="J124" s="157"/>
      <c r="K124" s="154" t="s">
        <v>1875</v>
      </c>
      <c r="L124" s="227">
        <v>45378.342237989302</v>
      </c>
      <c r="M124" s="157" t="s">
        <v>1857</v>
      </c>
      <c r="N124" s="227">
        <f>G111+G114+G121+N123-I124-L124</f>
        <v>493192.61976201076</v>
      </c>
      <c r="O124" s="152">
        <f t="shared" si="7"/>
        <v>527777.08476201177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>
        <v>41722</v>
      </c>
      <c r="I125" s="152"/>
      <c r="J125" s="157"/>
      <c r="K125" s="154" t="s">
        <v>1875</v>
      </c>
      <c r="L125" s="227">
        <v>145.93</v>
      </c>
      <c r="M125" s="157" t="s">
        <v>1857</v>
      </c>
      <c r="N125" s="227">
        <f t="shared" si="6"/>
        <v>493046.68976201076</v>
      </c>
      <c r="O125" s="152">
        <f t="shared" si="7"/>
        <v>527631.15476201172</v>
      </c>
    </row>
    <row r="126" spans="1:15" x14ac:dyDescent="0.15">
      <c r="A126" s="154"/>
      <c r="B126" s="151"/>
      <c r="C126" s="152"/>
      <c r="D126" s="323">
        <v>41723</v>
      </c>
      <c r="E126" s="154" t="s">
        <v>72</v>
      </c>
      <c r="F126" s="157" t="s">
        <v>1858</v>
      </c>
      <c r="G126" s="152">
        <v>87887.051000000007</v>
      </c>
      <c r="H126" s="323">
        <v>41723</v>
      </c>
      <c r="I126" s="152">
        <v>8690.0499999999993</v>
      </c>
      <c r="J126" s="157" t="s">
        <v>1857</v>
      </c>
      <c r="K126" s="154" t="s">
        <v>1875</v>
      </c>
      <c r="L126" s="227">
        <v>33769.72</v>
      </c>
      <c r="M126" s="157" t="s">
        <v>1857</v>
      </c>
      <c r="N126" s="227">
        <f t="shared" si="6"/>
        <v>450586.9197620108</v>
      </c>
      <c r="O126" s="152">
        <f t="shared" si="7"/>
        <v>573058.43576201168</v>
      </c>
    </row>
    <row r="127" spans="1:15" x14ac:dyDescent="0.15">
      <c r="A127" s="154"/>
      <c r="B127" s="151"/>
      <c r="C127" s="152"/>
      <c r="D127" s="323">
        <v>41724</v>
      </c>
      <c r="E127" s="154" t="s">
        <v>72</v>
      </c>
      <c r="F127" s="157" t="s">
        <v>1858</v>
      </c>
      <c r="G127" s="152">
        <v>300776.49099999998</v>
      </c>
      <c r="H127" s="323">
        <v>41724</v>
      </c>
      <c r="I127" s="152">
        <v>4542.22</v>
      </c>
      <c r="J127" s="157" t="s">
        <v>1857</v>
      </c>
      <c r="K127" s="154" t="s">
        <v>1875</v>
      </c>
      <c r="L127" s="227">
        <v>88352.66</v>
      </c>
      <c r="M127" s="157" t="s">
        <v>1857</v>
      </c>
      <c r="N127" s="227">
        <f t="shared" si="6"/>
        <v>357692.0397620108</v>
      </c>
      <c r="O127" s="152">
        <f t="shared" si="7"/>
        <v>780940.0467620116</v>
      </c>
    </row>
    <row r="128" spans="1:15" x14ac:dyDescent="0.15">
      <c r="A128" s="154"/>
      <c r="B128" s="151"/>
      <c r="C128" s="152"/>
      <c r="D128" s="323"/>
      <c r="E128" s="155"/>
      <c r="F128" s="157"/>
      <c r="G128" s="152"/>
      <c r="H128" s="323">
        <v>41724</v>
      </c>
      <c r="I128" s="152"/>
      <c r="J128" s="154"/>
      <c r="K128" s="154" t="s">
        <v>1875</v>
      </c>
      <c r="L128" s="227">
        <v>49415.05</v>
      </c>
      <c r="M128" s="157" t="s">
        <v>1857</v>
      </c>
      <c r="N128" s="227">
        <f t="shared" si="6"/>
        <v>308276.98976201081</v>
      </c>
      <c r="O128" s="152">
        <f t="shared" si="7"/>
        <v>731524.99676201155</v>
      </c>
    </row>
    <row r="129" spans="1:15" x14ac:dyDescent="0.15">
      <c r="A129" s="154"/>
      <c r="B129" s="151"/>
      <c r="C129" s="152"/>
      <c r="D129" s="323"/>
      <c r="E129" s="155"/>
      <c r="F129" s="157"/>
      <c r="G129" s="152"/>
      <c r="H129" s="323">
        <v>41724</v>
      </c>
      <c r="I129" s="152"/>
      <c r="J129" s="157"/>
      <c r="K129" s="154" t="s">
        <v>1875</v>
      </c>
      <c r="L129" s="227">
        <v>76394.179999999993</v>
      </c>
      <c r="M129" s="157" t="s">
        <v>1857</v>
      </c>
      <c r="N129" s="227">
        <f t="shared" si="6"/>
        <v>231882.80976201082</v>
      </c>
      <c r="O129" s="152">
        <f t="shared" si="7"/>
        <v>655130.8167620115</v>
      </c>
    </row>
    <row r="130" spans="1:15" x14ac:dyDescent="0.15">
      <c r="A130" s="154"/>
      <c r="B130" s="151"/>
      <c r="C130" s="152"/>
      <c r="D130" s="323"/>
      <c r="E130" s="155"/>
      <c r="F130" s="157"/>
      <c r="G130" s="152"/>
      <c r="H130" s="323">
        <v>41724</v>
      </c>
      <c r="I130" s="152"/>
      <c r="J130" s="157"/>
      <c r="K130" s="154" t="s">
        <v>1875</v>
      </c>
      <c r="L130" s="227">
        <v>50806.69</v>
      </c>
      <c r="M130" s="157" t="s">
        <v>1857</v>
      </c>
      <c r="N130" s="227">
        <f t="shared" si="6"/>
        <v>181076.11976201081</v>
      </c>
      <c r="O130" s="152">
        <f t="shared" si="7"/>
        <v>604324.12676201155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>
        <v>41724</v>
      </c>
      <c r="I131" s="152"/>
      <c r="J131" s="157"/>
      <c r="K131" s="154" t="s">
        <v>1875</v>
      </c>
      <c r="L131" s="227">
        <v>31513.61</v>
      </c>
      <c r="M131" s="157" t="s">
        <v>1857</v>
      </c>
      <c r="N131" s="227">
        <f t="shared" si="6"/>
        <v>149562.50976201083</v>
      </c>
      <c r="O131" s="152">
        <f t="shared" si="7"/>
        <v>572810.51676201157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>
        <v>41724</v>
      </c>
      <c r="I132" s="152"/>
      <c r="J132" s="157"/>
      <c r="K132" s="154" t="s">
        <v>1875</v>
      </c>
      <c r="L132" s="227">
        <v>21945.55</v>
      </c>
      <c r="M132" s="157" t="s">
        <v>1857</v>
      </c>
      <c r="N132" s="227">
        <f t="shared" si="6"/>
        <v>127616.95976201083</v>
      </c>
      <c r="O132" s="152">
        <f t="shared" si="7"/>
        <v>550864.96676201152</v>
      </c>
    </row>
    <row r="133" spans="1:15" x14ac:dyDescent="0.15">
      <c r="A133" s="154"/>
      <c r="B133" s="151"/>
      <c r="C133" s="152"/>
      <c r="D133" s="323">
        <v>41725</v>
      </c>
      <c r="E133" s="154" t="s">
        <v>72</v>
      </c>
      <c r="F133" s="157" t="s">
        <v>1858</v>
      </c>
      <c r="G133" s="152">
        <v>144926.06600000028</v>
      </c>
      <c r="H133" s="323">
        <v>41725</v>
      </c>
      <c r="I133" s="152">
        <v>6054.8</v>
      </c>
      <c r="J133" s="157" t="s">
        <v>1857</v>
      </c>
      <c r="K133" s="154" t="s">
        <v>1875</v>
      </c>
      <c r="L133" s="227">
        <v>65546.17</v>
      </c>
      <c r="M133" s="157" t="s">
        <v>1857</v>
      </c>
      <c r="N133" s="227">
        <f t="shared" si="6"/>
        <v>56015.989762010824</v>
      </c>
      <c r="O133" s="152">
        <f t="shared" si="7"/>
        <v>624190.06276201166</v>
      </c>
    </row>
    <row r="134" spans="1:15" x14ac:dyDescent="0.15">
      <c r="A134" s="154"/>
      <c r="B134" s="151"/>
      <c r="C134" s="152"/>
      <c r="D134" s="323">
        <v>41725</v>
      </c>
      <c r="E134" s="154" t="s">
        <v>72</v>
      </c>
      <c r="F134" s="157" t="s">
        <v>1859</v>
      </c>
      <c r="G134" s="152">
        <v>30856.959999999701</v>
      </c>
      <c r="H134" s="323">
        <v>41725</v>
      </c>
      <c r="I134" s="152"/>
      <c r="J134" s="157"/>
      <c r="K134" s="154" t="s">
        <v>1875</v>
      </c>
      <c r="L134" s="227">
        <v>56015.989762010824</v>
      </c>
      <c r="M134" s="157" t="s">
        <v>1857</v>
      </c>
      <c r="N134" s="227">
        <f t="shared" si="6"/>
        <v>0</v>
      </c>
      <c r="O134" s="152">
        <f t="shared" si="7"/>
        <v>599031.03300000052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>
        <v>41725</v>
      </c>
      <c r="I135" s="152"/>
      <c r="J135" s="157"/>
      <c r="K135" s="154" t="s">
        <v>1874</v>
      </c>
      <c r="L135" s="227">
        <v>14904.820237989201</v>
      </c>
      <c r="M135" s="157" t="s">
        <v>1858</v>
      </c>
      <c r="N135" s="227">
        <f>G122+G126+G127+G133+N134-I135-L135</f>
        <v>553269.2527620109</v>
      </c>
      <c r="O135" s="152">
        <f t="shared" si="7"/>
        <v>584126.21276201133</v>
      </c>
    </row>
    <row r="136" spans="1:15" x14ac:dyDescent="0.15">
      <c r="A136" s="154"/>
      <c r="B136" s="151"/>
      <c r="C136" s="152"/>
      <c r="D136" s="323">
        <v>41726</v>
      </c>
      <c r="E136" s="154" t="s">
        <v>72</v>
      </c>
      <c r="F136" s="157" t="s">
        <v>1859</v>
      </c>
      <c r="G136" s="152">
        <v>131810.46400000001</v>
      </c>
      <c r="H136" s="323">
        <v>41726</v>
      </c>
      <c r="I136" s="152">
        <v>30589.68</v>
      </c>
      <c r="J136" s="157" t="s">
        <v>1858</v>
      </c>
      <c r="K136" s="154" t="s">
        <v>1874</v>
      </c>
      <c r="L136" s="227">
        <v>9933.06</v>
      </c>
      <c r="M136" s="157" t="s">
        <v>1858</v>
      </c>
      <c r="N136" s="227">
        <f t="shared" si="6"/>
        <v>512746.51276201091</v>
      </c>
      <c r="O136" s="152">
        <f t="shared" si="7"/>
        <v>675413.93676201126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>
        <v>41726</v>
      </c>
      <c r="I137" s="152"/>
      <c r="J137" s="157"/>
      <c r="K137" s="154" t="s">
        <v>1874</v>
      </c>
      <c r="L137" s="227">
        <v>13571.75</v>
      </c>
      <c r="M137" s="157" t="s">
        <v>1858</v>
      </c>
      <c r="N137" s="227">
        <f t="shared" si="6"/>
        <v>499174.76276201091</v>
      </c>
      <c r="O137" s="152">
        <f t="shared" si="7"/>
        <v>661842.18676201126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>
        <v>41726</v>
      </c>
      <c r="I138" s="152"/>
      <c r="J138" s="157"/>
      <c r="K138" s="154" t="s">
        <v>1874</v>
      </c>
      <c r="L138" s="227">
        <v>35105.56</v>
      </c>
      <c r="M138" s="157" t="s">
        <v>1858</v>
      </c>
      <c r="N138" s="227">
        <f t="shared" si="6"/>
        <v>464069.20276201091</v>
      </c>
      <c r="O138" s="152">
        <f t="shared" si="7"/>
        <v>626736.62676201132</v>
      </c>
    </row>
    <row r="139" spans="1:15" x14ac:dyDescent="0.15">
      <c r="A139" s="154"/>
      <c r="B139" s="151"/>
      <c r="C139" s="152"/>
      <c r="D139" s="323"/>
      <c r="E139" s="155"/>
      <c r="F139" s="157"/>
      <c r="G139" s="152"/>
      <c r="H139" s="323">
        <v>41726</v>
      </c>
      <c r="I139" s="152"/>
      <c r="J139" s="157"/>
      <c r="K139" s="154" t="s">
        <v>1874</v>
      </c>
      <c r="L139" s="227">
        <v>37647.96</v>
      </c>
      <c r="M139" s="157" t="s">
        <v>1858</v>
      </c>
      <c r="N139" s="227">
        <f t="shared" si="6"/>
        <v>426421.24276201089</v>
      </c>
      <c r="O139" s="152">
        <f t="shared" si="7"/>
        <v>589088.66676201136</v>
      </c>
    </row>
    <row r="140" spans="1:15" x14ac:dyDescent="0.15">
      <c r="A140" s="154"/>
      <c r="B140" s="151"/>
      <c r="C140" s="152"/>
      <c r="D140" s="323">
        <v>41727</v>
      </c>
      <c r="E140" s="154" t="s">
        <v>72</v>
      </c>
      <c r="F140" s="157" t="s">
        <v>1859</v>
      </c>
      <c r="G140" s="152">
        <v>43897.191000000283</v>
      </c>
      <c r="H140" s="323">
        <v>41727</v>
      </c>
      <c r="I140" s="152"/>
      <c r="J140" s="157"/>
      <c r="K140" s="154" t="s">
        <v>1874</v>
      </c>
      <c r="L140" s="227">
        <v>34424.870000000003</v>
      </c>
      <c r="M140" s="157" t="s">
        <v>1858</v>
      </c>
      <c r="N140" s="227">
        <f t="shared" ref="N140:N203" si="8">+N139-I140-L140</f>
        <v>391996.3727620109</v>
      </c>
      <c r="O140" s="152">
        <f t="shared" ref="O140:O203" si="9">O139+G140-I140-L140</f>
        <v>598560.9877620117</v>
      </c>
    </row>
    <row r="141" spans="1:15" x14ac:dyDescent="0.15">
      <c r="A141" s="154"/>
      <c r="B141" s="151"/>
      <c r="C141" s="152"/>
      <c r="D141" s="323">
        <v>41727</v>
      </c>
      <c r="E141" s="154" t="s">
        <v>72</v>
      </c>
      <c r="F141" s="157" t="s">
        <v>1860</v>
      </c>
      <c r="G141" s="152">
        <v>87857.788999999699</v>
      </c>
      <c r="H141" s="323">
        <v>41727</v>
      </c>
      <c r="I141" s="152"/>
      <c r="J141" s="154"/>
      <c r="K141" s="154" t="s">
        <v>1874</v>
      </c>
      <c r="L141" s="227">
        <v>79407.429999999993</v>
      </c>
      <c r="M141" s="157" t="s">
        <v>1858</v>
      </c>
      <c r="N141" s="227">
        <f t="shared" si="8"/>
        <v>312588.94276201091</v>
      </c>
      <c r="O141" s="152">
        <f t="shared" si="9"/>
        <v>607011.34676201153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>
        <v>41727</v>
      </c>
      <c r="I142" s="152"/>
      <c r="J142" s="154"/>
      <c r="K142" s="154" t="s">
        <v>1874</v>
      </c>
      <c r="L142" s="227">
        <v>73874.83</v>
      </c>
      <c r="M142" s="157" t="s">
        <v>1858</v>
      </c>
      <c r="N142" s="227">
        <f t="shared" si="8"/>
        <v>238714.11276201089</v>
      </c>
      <c r="O142" s="152">
        <f t="shared" si="9"/>
        <v>533136.51676201157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>
        <v>41727</v>
      </c>
      <c r="I143" s="152"/>
      <c r="J143" s="154"/>
      <c r="K143" s="154" t="s">
        <v>1874</v>
      </c>
      <c r="L143" s="227">
        <v>14145.2</v>
      </c>
      <c r="M143" s="157" t="s">
        <v>1858</v>
      </c>
      <c r="N143" s="227">
        <f t="shared" si="8"/>
        <v>224568.91276201088</v>
      </c>
      <c r="O143" s="152">
        <f t="shared" si="9"/>
        <v>518991.31676201156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>
        <v>41728</v>
      </c>
      <c r="I144" s="152">
        <v>13252.73</v>
      </c>
      <c r="J144" s="157" t="s">
        <v>1858</v>
      </c>
      <c r="K144" s="154" t="s">
        <v>1874</v>
      </c>
      <c r="L144" s="227">
        <v>33822.230000000003</v>
      </c>
      <c r="M144" s="157" t="s">
        <v>1858</v>
      </c>
      <c r="N144" s="227">
        <f t="shared" si="8"/>
        <v>177493.95276201086</v>
      </c>
      <c r="O144" s="152">
        <f t="shared" si="9"/>
        <v>471916.35676201159</v>
      </c>
    </row>
    <row r="145" spans="1:15" x14ac:dyDescent="0.15">
      <c r="A145" s="154"/>
      <c r="B145" s="151"/>
      <c r="C145" s="152"/>
      <c r="D145" s="323">
        <v>41729</v>
      </c>
      <c r="E145" s="154" t="s">
        <v>72</v>
      </c>
      <c r="F145" s="157" t="s">
        <v>1861</v>
      </c>
      <c r="G145" s="152">
        <v>131690.742</v>
      </c>
      <c r="H145" s="323">
        <v>41729</v>
      </c>
      <c r="I145" s="152">
        <v>11681.720000000001</v>
      </c>
      <c r="J145" s="157" t="s">
        <v>1858</v>
      </c>
      <c r="K145" s="154" t="s">
        <v>1874</v>
      </c>
      <c r="L145" s="227">
        <v>35740.1</v>
      </c>
      <c r="M145" s="157" t="s">
        <v>1858</v>
      </c>
      <c r="N145" s="227">
        <f t="shared" si="8"/>
        <v>130072.13276201085</v>
      </c>
      <c r="O145" s="152">
        <f t="shared" si="9"/>
        <v>556185.27876201167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>
        <v>41729</v>
      </c>
      <c r="I146" s="152"/>
      <c r="J146" s="157"/>
      <c r="K146" s="154" t="s">
        <v>1874</v>
      </c>
      <c r="L146" s="227">
        <v>47946.47</v>
      </c>
      <c r="M146" s="157" t="s">
        <v>1858</v>
      </c>
      <c r="N146" s="227">
        <f t="shared" si="8"/>
        <v>82125.662762010848</v>
      </c>
      <c r="O146" s="152">
        <f t="shared" si="9"/>
        <v>508238.8087620117</v>
      </c>
    </row>
    <row r="147" spans="1:15" hidden="1" x14ac:dyDescent="0.15">
      <c r="A147" s="154"/>
      <c r="B147" s="151"/>
      <c r="C147" s="152"/>
      <c r="D147" s="323"/>
      <c r="E147" s="154"/>
      <c r="F147" s="157"/>
      <c r="G147" s="152"/>
      <c r="H147" s="323"/>
      <c r="I147" s="152"/>
      <c r="J147" s="154"/>
      <c r="K147" s="154"/>
      <c r="L147" s="227"/>
      <c r="M147" s="157"/>
      <c r="N147" s="227">
        <f t="shared" si="8"/>
        <v>82125.662762010848</v>
      </c>
      <c r="O147" s="152">
        <f t="shared" si="9"/>
        <v>508238.8087620117</v>
      </c>
    </row>
    <row r="148" spans="1:15" hidden="1" x14ac:dyDescent="0.15">
      <c r="A148" s="154"/>
      <c r="B148" s="151"/>
      <c r="C148" s="152"/>
      <c r="D148" s="323"/>
      <c r="E148" s="155"/>
      <c r="F148" s="157"/>
      <c r="G148" s="152"/>
      <c r="H148" s="323"/>
      <c r="I148" s="152"/>
      <c r="J148" s="154"/>
      <c r="K148" s="154"/>
      <c r="L148" s="227"/>
      <c r="M148" s="157"/>
      <c r="N148" s="227">
        <f t="shared" si="8"/>
        <v>82125.662762010848</v>
      </c>
      <c r="O148" s="152">
        <f t="shared" si="9"/>
        <v>508238.8087620117</v>
      </c>
    </row>
    <row r="149" spans="1:15" hidden="1" x14ac:dyDescent="0.15">
      <c r="A149" s="154"/>
      <c r="B149" s="151"/>
      <c r="C149" s="152"/>
      <c r="D149" s="323"/>
      <c r="E149" s="155"/>
      <c r="F149" s="157"/>
      <c r="G149" s="152"/>
      <c r="H149" s="323"/>
      <c r="I149" s="152"/>
      <c r="J149" s="154"/>
      <c r="K149" s="154"/>
      <c r="L149" s="227"/>
      <c r="M149" s="157"/>
      <c r="N149" s="227">
        <f t="shared" si="8"/>
        <v>82125.662762010848</v>
      </c>
      <c r="O149" s="152">
        <f t="shared" si="9"/>
        <v>508238.8087620117</v>
      </c>
    </row>
    <row r="150" spans="1:15" hidden="1" x14ac:dyDescent="0.15">
      <c r="A150" s="154"/>
      <c r="B150" s="151"/>
      <c r="C150" s="152"/>
      <c r="D150" s="323"/>
      <c r="E150" s="154"/>
      <c r="F150" s="157"/>
      <c r="G150" s="152"/>
      <c r="H150" s="323"/>
      <c r="I150" s="152"/>
      <c r="J150" s="157"/>
      <c r="K150" s="154"/>
      <c r="L150" s="227"/>
      <c r="M150" s="157"/>
      <c r="N150" s="227">
        <f t="shared" si="8"/>
        <v>82125.662762010848</v>
      </c>
      <c r="O150" s="152">
        <f t="shared" si="9"/>
        <v>508238.8087620117</v>
      </c>
    </row>
    <row r="151" spans="1:15" hidden="1" x14ac:dyDescent="0.15">
      <c r="A151" s="154"/>
      <c r="B151" s="151"/>
      <c r="C151" s="152"/>
      <c r="D151" s="323"/>
      <c r="E151" s="154"/>
      <c r="F151" s="157"/>
      <c r="G151" s="152"/>
      <c r="H151" s="323"/>
      <c r="I151" s="152"/>
      <c r="J151" s="157"/>
      <c r="K151" s="154"/>
      <c r="L151" s="227"/>
      <c r="M151" s="157"/>
      <c r="N151" s="227">
        <f t="shared" si="8"/>
        <v>82125.662762010848</v>
      </c>
      <c r="O151" s="152">
        <f t="shared" si="9"/>
        <v>508238.8087620117</v>
      </c>
    </row>
    <row r="152" spans="1:15" hidden="1" x14ac:dyDescent="0.15">
      <c r="A152" s="154"/>
      <c r="B152" s="151"/>
      <c r="C152" s="152"/>
      <c r="D152" s="323"/>
      <c r="E152" s="154"/>
      <c r="F152" s="157"/>
      <c r="G152" s="152"/>
      <c r="H152" s="323"/>
      <c r="I152" s="152"/>
      <c r="J152" s="154"/>
      <c r="K152" s="154"/>
      <c r="L152" s="227"/>
      <c r="M152" s="157"/>
      <c r="N152" s="227">
        <f t="shared" si="8"/>
        <v>82125.662762010848</v>
      </c>
      <c r="O152" s="152">
        <f t="shared" si="9"/>
        <v>508238.8087620117</v>
      </c>
    </row>
    <row r="153" spans="1:15" hidden="1" x14ac:dyDescent="0.15">
      <c r="A153" s="154"/>
      <c r="B153" s="151"/>
      <c r="C153" s="152"/>
      <c r="D153" s="323"/>
      <c r="E153" s="155"/>
      <c r="F153" s="157"/>
      <c r="G153" s="152"/>
      <c r="H153" s="323"/>
      <c r="I153" s="152"/>
      <c r="J153" s="154"/>
      <c r="K153" s="154"/>
      <c r="L153" s="227"/>
      <c r="M153" s="157"/>
      <c r="N153" s="227">
        <f t="shared" si="8"/>
        <v>82125.662762010848</v>
      </c>
      <c r="O153" s="152">
        <f t="shared" si="9"/>
        <v>508238.8087620117</v>
      </c>
    </row>
    <row r="154" spans="1:15" hidden="1" x14ac:dyDescent="0.15">
      <c r="A154" s="154"/>
      <c r="B154" s="151"/>
      <c r="C154" s="152"/>
      <c r="D154" s="323"/>
      <c r="E154" s="155"/>
      <c r="F154" s="157"/>
      <c r="G154" s="152"/>
      <c r="H154" s="323"/>
      <c r="I154" s="152"/>
      <c r="J154" s="154"/>
      <c r="K154" s="154"/>
      <c r="L154" s="227"/>
      <c r="M154" s="157"/>
      <c r="N154" s="227">
        <f t="shared" si="8"/>
        <v>82125.662762010848</v>
      </c>
      <c r="O154" s="152">
        <f t="shared" si="9"/>
        <v>508238.8087620117</v>
      </c>
    </row>
    <row r="155" spans="1:15" hidden="1" x14ac:dyDescent="0.15">
      <c r="A155" s="154"/>
      <c r="B155" s="151"/>
      <c r="C155" s="152"/>
      <c r="D155" s="323"/>
      <c r="E155" s="155"/>
      <c r="F155" s="157"/>
      <c r="G155" s="152"/>
      <c r="H155" s="323"/>
      <c r="I155" s="152"/>
      <c r="J155" s="154"/>
      <c r="K155" s="154"/>
      <c r="L155" s="227"/>
      <c r="M155" s="157"/>
      <c r="N155" s="227">
        <f t="shared" si="8"/>
        <v>82125.662762010848</v>
      </c>
      <c r="O155" s="152">
        <f t="shared" si="9"/>
        <v>508238.8087620117</v>
      </c>
    </row>
    <row r="156" spans="1:15" hidden="1" x14ac:dyDescent="0.15">
      <c r="A156" s="154"/>
      <c r="B156" s="151"/>
      <c r="C156" s="152"/>
      <c r="D156" s="323"/>
      <c r="E156" s="155"/>
      <c r="F156" s="157"/>
      <c r="G156" s="152"/>
      <c r="H156" s="323"/>
      <c r="I156" s="152"/>
      <c r="J156" s="154"/>
      <c r="K156" s="154"/>
      <c r="L156" s="227"/>
      <c r="M156" s="157"/>
      <c r="N156" s="227">
        <f t="shared" si="8"/>
        <v>82125.662762010848</v>
      </c>
      <c r="O156" s="152">
        <f t="shared" si="9"/>
        <v>508238.8087620117</v>
      </c>
    </row>
    <row r="157" spans="1:15" hidden="1" x14ac:dyDescent="0.15">
      <c r="A157" s="154"/>
      <c r="B157" s="151"/>
      <c r="C157" s="152"/>
      <c r="D157" s="323"/>
      <c r="E157" s="155"/>
      <c r="F157" s="157"/>
      <c r="G157" s="152"/>
      <c r="H157" s="323"/>
      <c r="I157" s="152"/>
      <c r="J157" s="154"/>
      <c r="K157" s="154"/>
      <c r="L157" s="227"/>
      <c r="M157" s="157"/>
      <c r="N157" s="227">
        <f t="shared" si="8"/>
        <v>82125.662762010848</v>
      </c>
      <c r="O157" s="152">
        <f t="shared" si="9"/>
        <v>508238.8087620117</v>
      </c>
    </row>
    <row r="158" spans="1:15" hidden="1" x14ac:dyDescent="0.15">
      <c r="A158" s="154"/>
      <c r="B158" s="151"/>
      <c r="C158" s="152"/>
      <c r="D158" s="323"/>
      <c r="E158" s="154"/>
      <c r="F158" s="157"/>
      <c r="G158" s="152"/>
      <c r="H158" s="323"/>
      <c r="I158" s="152"/>
      <c r="J158" s="157"/>
      <c r="K158" s="154"/>
      <c r="L158" s="227"/>
      <c r="M158" s="157"/>
      <c r="N158" s="227">
        <f t="shared" si="8"/>
        <v>82125.662762010848</v>
      </c>
      <c r="O158" s="152">
        <f t="shared" si="9"/>
        <v>508238.8087620117</v>
      </c>
    </row>
    <row r="159" spans="1:15" hidden="1" x14ac:dyDescent="0.15">
      <c r="A159" s="154"/>
      <c r="B159" s="151"/>
      <c r="C159" s="152"/>
      <c r="D159" s="323"/>
      <c r="E159" s="154"/>
      <c r="F159" s="157"/>
      <c r="G159" s="152"/>
      <c r="H159" s="323"/>
      <c r="I159" s="152"/>
      <c r="J159" s="157"/>
      <c r="K159" s="154"/>
      <c r="L159" s="227"/>
      <c r="M159" s="157"/>
      <c r="N159" s="227">
        <f t="shared" si="8"/>
        <v>82125.662762010848</v>
      </c>
      <c r="O159" s="152">
        <f t="shared" si="9"/>
        <v>508238.8087620117</v>
      </c>
    </row>
    <row r="160" spans="1:15" hidden="1" x14ac:dyDescent="0.15">
      <c r="A160" s="154"/>
      <c r="B160" s="151"/>
      <c r="C160" s="152"/>
      <c r="D160" s="323"/>
      <c r="E160" s="154"/>
      <c r="F160" s="157"/>
      <c r="G160" s="152"/>
      <c r="H160" s="323"/>
      <c r="I160" s="152"/>
      <c r="J160" s="154"/>
      <c r="K160" s="154"/>
      <c r="L160" s="227"/>
      <c r="M160" s="157"/>
      <c r="N160" s="227">
        <f t="shared" si="8"/>
        <v>82125.662762010848</v>
      </c>
      <c r="O160" s="152">
        <f t="shared" si="9"/>
        <v>508238.8087620117</v>
      </c>
    </row>
    <row r="161" spans="1:15" hidden="1" x14ac:dyDescent="0.15">
      <c r="A161" s="154"/>
      <c r="B161" s="151"/>
      <c r="C161" s="152"/>
      <c r="D161" s="323"/>
      <c r="E161" s="154"/>
      <c r="F161" s="157"/>
      <c r="G161" s="152"/>
      <c r="H161" s="323"/>
      <c r="I161" s="152"/>
      <c r="J161" s="154"/>
      <c r="K161" s="154"/>
      <c r="L161" s="227"/>
      <c r="M161" s="157"/>
      <c r="N161" s="227">
        <f t="shared" si="8"/>
        <v>82125.662762010848</v>
      </c>
      <c r="O161" s="152">
        <f t="shared" si="9"/>
        <v>508238.8087620117</v>
      </c>
    </row>
    <row r="162" spans="1:15" hidden="1" x14ac:dyDescent="0.15">
      <c r="A162" s="154"/>
      <c r="B162" s="151"/>
      <c r="C162" s="152"/>
      <c r="D162" s="323"/>
      <c r="E162" s="154"/>
      <c r="F162" s="157"/>
      <c r="G162" s="152"/>
      <c r="H162" s="323"/>
      <c r="I162" s="152"/>
      <c r="J162" s="157"/>
      <c r="K162" s="154"/>
      <c r="L162" s="227"/>
      <c r="M162" s="157"/>
      <c r="N162" s="227">
        <f t="shared" si="8"/>
        <v>82125.662762010848</v>
      </c>
      <c r="O162" s="152">
        <f t="shared" si="9"/>
        <v>508238.8087620117</v>
      </c>
    </row>
    <row r="163" spans="1:15" hidden="1" x14ac:dyDescent="0.15">
      <c r="A163" s="154"/>
      <c r="B163" s="151"/>
      <c r="C163" s="152"/>
      <c r="D163" s="323"/>
      <c r="E163" s="154"/>
      <c r="F163" s="157"/>
      <c r="G163" s="152"/>
      <c r="H163" s="323"/>
      <c r="I163" s="152"/>
      <c r="J163" s="154"/>
      <c r="K163" s="154"/>
      <c r="L163" s="227"/>
      <c r="M163" s="157"/>
      <c r="N163" s="227">
        <f t="shared" si="8"/>
        <v>82125.662762010848</v>
      </c>
      <c r="O163" s="152">
        <f t="shared" si="9"/>
        <v>508238.8087620117</v>
      </c>
    </row>
    <row r="164" spans="1:15" hidden="1" x14ac:dyDescent="0.15">
      <c r="A164" s="154"/>
      <c r="B164" s="151"/>
      <c r="C164" s="152"/>
      <c r="D164" s="323"/>
      <c r="E164" s="154"/>
      <c r="F164" s="157"/>
      <c r="G164" s="152"/>
      <c r="H164" s="323"/>
      <c r="I164" s="152"/>
      <c r="J164" s="157"/>
      <c r="K164" s="154"/>
      <c r="L164" s="227"/>
      <c r="M164" s="157"/>
      <c r="N164" s="227">
        <f t="shared" si="8"/>
        <v>82125.662762010848</v>
      </c>
      <c r="O164" s="152">
        <f t="shared" si="9"/>
        <v>508238.8087620117</v>
      </c>
    </row>
    <row r="165" spans="1:15" hidden="1" x14ac:dyDescent="0.15">
      <c r="A165" s="154"/>
      <c r="B165" s="151"/>
      <c r="C165" s="152"/>
      <c r="D165" s="323"/>
      <c r="E165" s="155"/>
      <c r="F165" s="157"/>
      <c r="G165" s="152"/>
      <c r="H165" s="323"/>
      <c r="I165" s="152"/>
      <c r="J165" s="154"/>
      <c r="K165" s="154"/>
      <c r="L165" s="227"/>
      <c r="M165" s="157"/>
      <c r="N165" s="227">
        <f t="shared" si="8"/>
        <v>82125.662762010848</v>
      </c>
      <c r="O165" s="152">
        <f t="shared" si="9"/>
        <v>508238.8087620117</v>
      </c>
    </row>
    <row r="166" spans="1:15" hidden="1" x14ac:dyDescent="0.15">
      <c r="A166" s="154"/>
      <c r="B166" s="151"/>
      <c r="C166" s="152"/>
      <c r="D166" s="323"/>
      <c r="E166" s="155"/>
      <c r="F166" s="157"/>
      <c r="G166" s="152"/>
      <c r="H166" s="323"/>
      <c r="I166" s="152"/>
      <c r="J166" s="157"/>
      <c r="K166" s="154"/>
      <c r="L166" s="227"/>
      <c r="M166" s="157"/>
      <c r="N166" s="227">
        <f t="shared" si="8"/>
        <v>82125.662762010848</v>
      </c>
      <c r="O166" s="152">
        <f t="shared" si="9"/>
        <v>508238.8087620117</v>
      </c>
    </row>
    <row r="167" spans="1:15" hidden="1" x14ac:dyDescent="0.15">
      <c r="A167" s="154"/>
      <c r="B167" s="151"/>
      <c r="C167" s="152"/>
      <c r="D167" s="323"/>
      <c r="E167" s="155"/>
      <c r="F167" s="157"/>
      <c r="G167" s="152"/>
      <c r="H167" s="323"/>
      <c r="I167" s="152"/>
      <c r="J167" s="157"/>
      <c r="K167" s="154"/>
      <c r="L167" s="227"/>
      <c r="M167" s="157"/>
      <c r="N167" s="227">
        <f t="shared" si="8"/>
        <v>82125.662762010848</v>
      </c>
      <c r="O167" s="152">
        <f t="shared" si="9"/>
        <v>508238.8087620117</v>
      </c>
    </row>
    <row r="168" spans="1:15" hidden="1" x14ac:dyDescent="0.15">
      <c r="A168" s="154"/>
      <c r="B168" s="151"/>
      <c r="C168" s="151"/>
      <c r="D168" s="323"/>
      <c r="E168" s="155"/>
      <c r="F168" s="157"/>
      <c r="G168" s="152"/>
      <c r="H168" s="323"/>
      <c r="I168" s="152"/>
      <c r="J168" s="157"/>
      <c r="K168" s="154"/>
      <c r="L168" s="227"/>
      <c r="M168" s="157"/>
      <c r="N168" s="227">
        <f t="shared" si="8"/>
        <v>82125.662762010848</v>
      </c>
      <c r="O168" s="152">
        <f t="shared" si="9"/>
        <v>508238.8087620117</v>
      </c>
    </row>
    <row r="169" spans="1:15" hidden="1" x14ac:dyDescent="0.15">
      <c r="A169" s="154"/>
      <c r="B169" s="151"/>
      <c r="C169" s="151"/>
      <c r="D169" s="323"/>
      <c r="E169" s="154"/>
      <c r="F169" s="157"/>
      <c r="G169" s="152"/>
      <c r="H169" s="323"/>
      <c r="I169" s="152"/>
      <c r="J169" s="157"/>
      <c r="K169" s="154"/>
      <c r="L169" s="227"/>
      <c r="M169" s="157"/>
      <c r="N169" s="227">
        <f t="shared" si="8"/>
        <v>82125.662762010848</v>
      </c>
      <c r="O169" s="152">
        <f t="shared" si="9"/>
        <v>508238.8087620117</v>
      </c>
    </row>
    <row r="170" spans="1:15" hidden="1" x14ac:dyDescent="0.15">
      <c r="A170" s="154"/>
      <c r="B170" s="151"/>
      <c r="C170" s="151"/>
      <c r="D170" s="323"/>
      <c r="E170" s="154"/>
      <c r="F170" s="157"/>
      <c r="G170" s="152"/>
      <c r="H170" s="323"/>
      <c r="I170" s="152"/>
      <c r="J170" s="154"/>
      <c r="K170" s="154"/>
      <c r="L170" s="227"/>
      <c r="M170" s="157"/>
      <c r="N170" s="227">
        <f t="shared" si="8"/>
        <v>82125.662762010848</v>
      </c>
      <c r="O170" s="152">
        <f t="shared" si="9"/>
        <v>508238.8087620117</v>
      </c>
    </row>
    <row r="171" spans="1:15" hidden="1" x14ac:dyDescent="0.15">
      <c r="A171" s="154"/>
      <c r="B171" s="151"/>
      <c r="C171" s="151"/>
      <c r="D171" s="323"/>
      <c r="E171" s="155"/>
      <c r="F171" s="157"/>
      <c r="G171" s="152"/>
      <c r="H171" s="323"/>
      <c r="I171" s="152"/>
      <c r="J171" s="154"/>
      <c r="K171" s="154"/>
      <c r="L171" s="227"/>
      <c r="M171" s="157"/>
      <c r="N171" s="227">
        <f t="shared" si="8"/>
        <v>82125.662762010848</v>
      </c>
      <c r="O171" s="152">
        <f t="shared" si="9"/>
        <v>508238.8087620117</v>
      </c>
    </row>
    <row r="172" spans="1:15" hidden="1" x14ac:dyDescent="0.15">
      <c r="A172" s="154"/>
      <c r="B172" s="151"/>
      <c r="C172" s="151"/>
      <c r="D172" s="323"/>
      <c r="E172" s="154"/>
      <c r="F172" s="157"/>
      <c r="G172" s="152"/>
      <c r="H172" s="323"/>
      <c r="I172" s="152"/>
      <c r="J172" s="157"/>
      <c r="K172" s="154"/>
      <c r="L172" s="227"/>
      <c r="M172" s="157"/>
      <c r="N172" s="227">
        <f t="shared" si="8"/>
        <v>82125.662762010848</v>
      </c>
      <c r="O172" s="152">
        <f t="shared" si="9"/>
        <v>508238.8087620117</v>
      </c>
    </row>
    <row r="173" spans="1:15" hidden="1" x14ac:dyDescent="0.15">
      <c r="A173" s="154"/>
      <c r="B173" s="151"/>
      <c r="C173" s="151"/>
      <c r="D173" s="323"/>
      <c r="E173" s="155"/>
      <c r="F173" s="157"/>
      <c r="G173" s="152"/>
      <c r="H173" s="323"/>
      <c r="I173" s="152"/>
      <c r="J173" s="154"/>
      <c r="K173" s="154"/>
      <c r="L173" s="227"/>
      <c r="M173" s="157"/>
      <c r="N173" s="227">
        <f t="shared" si="8"/>
        <v>82125.662762010848</v>
      </c>
      <c r="O173" s="152">
        <f t="shared" si="9"/>
        <v>508238.8087620117</v>
      </c>
    </row>
    <row r="174" spans="1:15" hidden="1" x14ac:dyDescent="0.15">
      <c r="A174" s="154"/>
      <c r="B174" s="151"/>
      <c r="C174" s="151"/>
      <c r="D174" s="323"/>
      <c r="E174" s="155"/>
      <c r="F174" s="157"/>
      <c r="G174" s="152"/>
      <c r="H174" s="323"/>
      <c r="I174" s="152"/>
      <c r="J174" s="154"/>
      <c r="K174" s="154"/>
      <c r="L174" s="227"/>
      <c r="M174" s="157"/>
      <c r="N174" s="227">
        <f t="shared" si="8"/>
        <v>82125.662762010848</v>
      </c>
      <c r="O174" s="152">
        <f t="shared" si="9"/>
        <v>508238.8087620117</v>
      </c>
    </row>
    <row r="175" spans="1:15" hidden="1" x14ac:dyDescent="0.15">
      <c r="A175" s="154"/>
      <c r="B175" s="151"/>
      <c r="C175" s="151"/>
      <c r="D175" s="323"/>
      <c r="E175" s="154"/>
      <c r="F175" s="157"/>
      <c r="G175" s="152"/>
      <c r="H175" s="323"/>
      <c r="I175" s="152"/>
      <c r="J175" s="154"/>
      <c r="K175" s="154"/>
      <c r="L175" s="227"/>
      <c r="M175" s="157"/>
      <c r="N175" s="227">
        <f t="shared" si="8"/>
        <v>82125.662762010848</v>
      </c>
      <c r="O175" s="152">
        <f t="shared" si="9"/>
        <v>508238.8087620117</v>
      </c>
    </row>
    <row r="176" spans="1:15" hidden="1" x14ac:dyDescent="0.15">
      <c r="A176" s="154"/>
      <c r="B176" s="151"/>
      <c r="C176" s="151"/>
      <c r="D176" s="323"/>
      <c r="E176" s="155"/>
      <c r="F176" s="157"/>
      <c r="G176" s="152"/>
      <c r="H176" s="323"/>
      <c r="I176" s="152"/>
      <c r="J176" s="154"/>
      <c r="K176" s="154"/>
      <c r="L176" s="227"/>
      <c r="M176" s="157"/>
      <c r="N176" s="227">
        <f t="shared" si="8"/>
        <v>82125.662762010848</v>
      </c>
      <c r="O176" s="152">
        <f t="shared" si="9"/>
        <v>508238.8087620117</v>
      </c>
    </row>
    <row r="177" spans="1:15" hidden="1" x14ac:dyDescent="0.15">
      <c r="A177" s="154"/>
      <c r="B177" s="151"/>
      <c r="C177" s="151"/>
      <c r="D177" s="323"/>
      <c r="E177" s="155"/>
      <c r="F177" s="157"/>
      <c r="G177" s="152"/>
      <c r="H177" s="323"/>
      <c r="I177" s="152"/>
      <c r="J177" s="154"/>
      <c r="K177" s="154"/>
      <c r="L177" s="227"/>
      <c r="M177" s="157"/>
      <c r="N177" s="227">
        <f t="shared" si="8"/>
        <v>82125.662762010848</v>
      </c>
      <c r="O177" s="152">
        <f t="shared" si="9"/>
        <v>508238.8087620117</v>
      </c>
    </row>
    <row r="178" spans="1:15" hidden="1" x14ac:dyDescent="0.15">
      <c r="A178" s="154"/>
      <c r="B178" s="151"/>
      <c r="C178" s="151"/>
      <c r="D178" s="323"/>
      <c r="E178" s="155"/>
      <c r="F178" s="157"/>
      <c r="G178" s="152"/>
      <c r="H178" s="323"/>
      <c r="I178" s="152"/>
      <c r="J178" s="154"/>
      <c r="K178" s="154"/>
      <c r="L178" s="227"/>
      <c r="M178" s="157"/>
      <c r="N178" s="227">
        <f t="shared" si="8"/>
        <v>82125.662762010848</v>
      </c>
      <c r="O178" s="152">
        <f t="shared" si="9"/>
        <v>508238.8087620117</v>
      </c>
    </row>
    <row r="179" spans="1:15" hidden="1" x14ac:dyDescent="0.15">
      <c r="A179" s="154"/>
      <c r="B179" s="151"/>
      <c r="C179" s="151"/>
      <c r="D179" s="323"/>
      <c r="E179" s="155"/>
      <c r="F179" s="157"/>
      <c r="G179" s="152"/>
      <c r="H179" s="323"/>
      <c r="I179" s="152"/>
      <c r="J179" s="154"/>
      <c r="K179" s="154"/>
      <c r="L179" s="227"/>
      <c r="M179" s="157"/>
      <c r="N179" s="227">
        <f t="shared" si="8"/>
        <v>82125.662762010848</v>
      </c>
      <c r="O179" s="152">
        <f t="shared" si="9"/>
        <v>508238.8087620117</v>
      </c>
    </row>
    <row r="180" spans="1:15" hidden="1" x14ac:dyDescent="0.15">
      <c r="A180" s="154"/>
      <c r="B180" s="151"/>
      <c r="C180" s="151"/>
      <c r="D180" s="323"/>
      <c r="E180" s="155"/>
      <c r="F180" s="157"/>
      <c r="G180" s="152"/>
      <c r="H180" s="323"/>
      <c r="I180" s="152"/>
      <c r="J180" s="154"/>
      <c r="K180" s="154"/>
      <c r="L180" s="227"/>
      <c r="M180" s="157"/>
      <c r="N180" s="227">
        <f t="shared" si="8"/>
        <v>82125.662762010848</v>
      </c>
      <c r="O180" s="152">
        <f t="shared" si="9"/>
        <v>508238.8087620117</v>
      </c>
    </row>
    <row r="181" spans="1:15" hidden="1" x14ac:dyDescent="0.15">
      <c r="A181" s="154"/>
      <c r="B181" s="151"/>
      <c r="C181" s="151"/>
      <c r="D181" s="323"/>
      <c r="E181" s="154"/>
      <c r="F181" s="291"/>
      <c r="G181" s="152"/>
      <c r="H181" s="323"/>
      <c r="I181" s="152"/>
      <c r="J181" s="157"/>
      <c r="K181" s="154"/>
      <c r="L181" s="227"/>
      <c r="M181" s="157"/>
      <c r="N181" s="227">
        <f t="shared" si="8"/>
        <v>82125.662762010848</v>
      </c>
      <c r="O181" s="152">
        <f t="shared" si="9"/>
        <v>508238.8087620117</v>
      </c>
    </row>
    <row r="182" spans="1:15" hidden="1" x14ac:dyDescent="0.15">
      <c r="A182" s="154"/>
      <c r="B182" s="151"/>
      <c r="C182" s="151"/>
      <c r="D182" s="323"/>
      <c r="E182" s="154"/>
      <c r="F182" s="291"/>
      <c r="G182" s="152"/>
      <c r="H182" s="323"/>
      <c r="I182" s="152"/>
      <c r="J182" s="157"/>
      <c r="K182" s="154"/>
      <c r="L182" s="227"/>
      <c r="M182" s="157"/>
      <c r="N182" s="227">
        <f t="shared" si="8"/>
        <v>82125.662762010848</v>
      </c>
      <c r="O182" s="152">
        <f t="shared" si="9"/>
        <v>508238.8087620117</v>
      </c>
    </row>
    <row r="183" spans="1:15" hidden="1" x14ac:dyDescent="0.15">
      <c r="A183" s="154"/>
      <c r="B183" s="151"/>
      <c r="C183" s="151"/>
      <c r="D183" s="323"/>
      <c r="E183" s="154"/>
      <c r="F183" s="157"/>
      <c r="G183" s="152"/>
      <c r="H183" s="323"/>
      <c r="I183" s="152"/>
      <c r="J183" s="157"/>
      <c r="K183" s="154"/>
      <c r="L183" s="227"/>
      <c r="M183" s="157"/>
      <c r="N183" s="227">
        <f t="shared" si="8"/>
        <v>82125.662762010848</v>
      </c>
      <c r="O183" s="152">
        <f t="shared" si="9"/>
        <v>508238.8087620117</v>
      </c>
    </row>
    <row r="184" spans="1:15" hidden="1" x14ac:dyDescent="0.15">
      <c r="A184" s="154"/>
      <c r="B184" s="151"/>
      <c r="C184" s="151"/>
      <c r="D184" s="323"/>
      <c r="E184" s="154"/>
      <c r="F184" s="291"/>
      <c r="G184" s="152"/>
      <c r="H184" s="323"/>
      <c r="I184" s="152"/>
      <c r="J184" s="157"/>
      <c r="K184" s="154"/>
      <c r="L184" s="227"/>
      <c r="M184" s="157"/>
      <c r="N184" s="227">
        <f t="shared" si="8"/>
        <v>82125.662762010848</v>
      </c>
      <c r="O184" s="152">
        <f t="shared" si="9"/>
        <v>508238.8087620117</v>
      </c>
    </row>
    <row r="185" spans="1:15" hidden="1" x14ac:dyDescent="0.15">
      <c r="A185" s="154"/>
      <c r="B185" s="151"/>
      <c r="C185" s="151"/>
      <c r="D185" s="323"/>
      <c r="E185" s="154"/>
      <c r="F185" s="291"/>
      <c r="G185" s="152"/>
      <c r="H185" s="323"/>
      <c r="I185" s="152"/>
      <c r="J185" s="157"/>
      <c r="K185" s="154"/>
      <c r="L185" s="227"/>
      <c r="M185" s="157"/>
      <c r="N185" s="227">
        <f t="shared" si="8"/>
        <v>82125.662762010848</v>
      </c>
      <c r="O185" s="152">
        <f t="shared" si="9"/>
        <v>508238.8087620117</v>
      </c>
    </row>
    <row r="186" spans="1:15" hidden="1" x14ac:dyDescent="0.15">
      <c r="A186" s="154"/>
      <c r="B186" s="151"/>
      <c r="C186" s="151"/>
      <c r="D186" s="323"/>
      <c r="E186" s="154"/>
      <c r="F186" s="291"/>
      <c r="G186" s="152"/>
      <c r="H186" s="323"/>
      <c r="I186" s="152"/>
      <c r="J186" s="157"/>
      <c r="K186" s="154"/>
      <c r="L186" s="227"/>
      <c r="M186" s="157"/>
      <c r="N186" s="227">
        <f t="shared" si="8"/>
        <v>82125.662762010848</v>
      </c>
      <c r="O186" s="152">
        <f t="shared" si="9"/>
        <v>508238.8087620117</v>
      </c>
    </row>
    <row r="187" spans="1:15" hidden="1" x14ac:dyDescent="0.15">
      <c r="A187" s="154"/>
      <c r="B187" s="151"/>
      <c r="C187" s="151"/>
      <c r="D187" s="323"/>
      <c r="E187" s="154"/>
      <c r="F187" s="291"/>
      <c r="G187" s="152"/>
      <c r="H187" s="323"/>
      <c r="I187" s="152"/>
      <c r="J187" s="157"/>
      <c r="K187" s="154"/>
      <c r="L187" s="227"/>
      <c r="M187" s="157"/>
      <c r="N187" s="227">
        <f t="shared" si="8"/>
        <v>82125.662762010848</v>
      </c>
      <c r="O187" s="152">
        <f t="shared" si="9"/>
        <v>508238.8087620117</v>
      </c>
    </row>
    <row r="188" spans="1:15" hidden="1" x14ac:dyDescent="0.15">
      <c r="A188" s="154"/>
      <c r="B188" s="151"/>
      <c r="C188" s="151"/>
      <c r="D188" s="323"/>
      <c r="E188" s="154"/>
      <c r="F188" s="291"/>
      <c r="G188" s="152"/>
      <c r="H188" s="323"/>
      <c r="I188" s="152"/>
      <c r="J188" s="157"/>
      <c r="K188" s="154"/>
      <c r="L188" s="227"/>
      <c r="M188" s="157"/>
      <c r="N188" s="227">
        <f t="shared" si="8"/>
        <v>82125.662762010848</v>
      </c>
      <c r="O188" s="152">
        <f t="shared" si="9"/>
        <v>508238.8087620117</v>
      </c>
    </row>
    <row r="189" spans="1:15" hidden="1" x14ac:dyDescent="0.15">
      <c r="A189" s="154"/>
      <c r="B189" s="151"/>
      <c r="C189" s="151"/>
      <c r="D189" s="323"/>
      <c r="E189" s="154"/>
      <c r="F189" s="291"/>
      <c r="G189" s="152"/>
      <c r="H189" s="323"/>
      <c r="I189" s="152"/>
      <c r="J189" s="157"/>
      <c r="K189" s="154"/>
      <c r="L189" s="227"/>
      <c r="M189" s="157"/>
      <c r="N189" s="227">
        <f t="shared" si="8"/>
        <v>82125.662762010848</v>
      </c>
      <c r="O189" s="152">
        <f t="shared" si="9"/>
        <v>508238.8087620117</v>
      </c>
    </row>
    <row r="190" spans="1:15" hidden="1" x14ac:dyDescent="0.15">
      <c r="A190" s="154"/>
      <c r="B190" s="151"/>
      <c r="C190" s="151"/>
      <c r="D190" s="323"/>
      <c r="E190" s="154"/>
      <c r="F190" s="291"/>
      <c r="G190" s="152"/>
      <c r="H190" s="323"/>
      <c r="I190" s="152"/>
      <c r="J190" s="157"/>
      <c r="K190" s="154"/>
      <c r="L190" s="227"/>
      <c r="M190" s="157"/>
      <c r="N190" s="227">
        <f t="shared" si="8"/>
        <v>82125.662762010848</v>
      </c>
      <c r="O190" s="152">
        <f t="shared" si="9"/>
        <v>508238.8087620117</v>
      </c>
    </row>
    <row r="191" spans="1:15" hidden="1" x14ac:dyDescent="0.15">
      <c r="A191" s="154"/>
      <c r="B191" s="151"/>
      <c r="C191" s="151"/>
      <c r="D191" s="323"/>
      <c r="E191" s="154"/>
      <c r="F191" s="291"/>
      <c r="G191" s="152"/>
      <c r="H191" s="323"/>
      <c r="I191" s="152"/>
      <c r="J191" s="157"/>
      <c r="K191" s="154"/>
      <c r="L191" s="227"/>
      <c r="M191" s="157"/>
      <c r="N191" s="227">
        <f t="shared" si="8"/>
        <v>82125.662762010848</v>
      </c>
      <c r="O191" s="152">
        <f t="shared" si="9"/>
        <v>508238.8087620117</v>
      </c>
    </row>
    <row r="192" spans="1:15" hidden="1" x14ac:dyDescent="0.15">
      <c r="A192" s="154"/>
      <c r="B192" s="151"/>
      <c r="C192" s="151"/>
      <c r="D192" s="323"/>
      <c r="E192" s="154"/>
      <c r="F192" s="291"/>
      <c r="G192" s="152"/>
      <c r="H192" s="323"/>
      <c r="I192" s="152"/>
      <c r="J192" s="157"/>
      <c r="K192" s="154"/>
      <c r="L192" s="227"/>
      <c r="M192" s="157"/>
      <c r="N192" s="227">
        <f t="shared" si="8"/>
        <v>82125.662762010848</v>
      </c>
      <c r="O192" s="152">
        <f t="shared" si="9"/>
        <v>508238.8087620117</v>
      </c>
    </row>
    <row r="193" spans="1:15" hidden="1" x14ac:dyDescent="0.15">
      <c r="A193" s="154"/>
      <c r="B193" s="151"/>
      <c r="C193" s="151"/>
      <c r="D193" s="323"/>
      <c r="E193" s="154"/>
      <c r="F193" s="291"/>
      <c r="G193" s="152"/>
      <c r="H193" s="323"/>
      <c r="I193" s="152"/>
      <c r="J193" s="157"/>
      <c r="K193" s="154"/>
      <c r="L193" s="227"/>
      <c r="M193" s="157"/>
      <c r="N193" s="227">
        <f t="shared" si="8"/>
        <v>82125.662762010848</v>
      </c>
      <c r="O193" s="152">
        <f t="shared" si="9"/>
        <v>508238.8087620117</v>
      </c>
    </row>
    <row r="194" spans="1:15" hidden="1" x14ac:dyDescent="0.15">
      <c r="A194" s="154"/>
      <c r="B194" s="151"/>
      <c r="C194" s="151"/>
      <c r="D194" s="323"/>
      <c r="E194" s="154"/>
      <c r="F194" s="291"/>
      <c r="G194" s="152"/>
      <c r="H194" s="323"/>
      <c r="I194" s="152"/>
      <c r="J194" s="157"/>
      <c r="K194" s="154"/>
      <c r="L194" s="227"/>
      <c r="M194" s="157"/>
      <c r="N194" s="227">
        <f t="shared" si="8"/>
        <v>82125.662762010848</v>
      </c>
      <c r="O194" s="152">
        <f t="shared" si="9"/>
        <v>508238.8087620117</v>
      </c>
    </row>
    <row r="195" spans="1:15" hidden="1" x14ac:dyDescent="0.15">
      <c r="A195" s="154"/>
      <c r="B195" s="151"/>
      <c r="C195" s="151"/>
      <c r="D195" s="323"/>
      <c r="E195" s="154"/>
      <c r="F195" s="291"/>
      <c r="G195" s="152"/>
      <c r="H195" s="323"/>
      <c r="I195" s="152"/>
      <c r="J195" s="157"/>
      <c r="K195" s="154"/>
      <c r="L195" s="227"/>
      <c r="M195" s="157"/>
      <c r="N195" s="227">
        <f t="shared" si="8"/>
        <v>82125.662762010848</v>
      </c>
      <c r="O195" s="152">
        <f t="shared" si="9"/>
        <v>508238.8087620117</v>
      </c>
    </row>
    <row r="196" spans="1:15" hidden="1" x14ac:dyDescent="0.15">
      <c r="A196" s="154"/>
      <c r="B196" s="151"/>
      <c r="C196" s="151"/>
      <c r="D196" s="323"/>
      <c r="E196" s="154"/>
      <c r="F196" s="291"/>
      <c r="G196" s="152"/>
      <c r="H196" s="323"/>
      <c r="I196" s="152"/>
      <c r="J196" s="157"/>
      <c r="K196" s="154"/>
      <c r="L196" s="227"/>
      <c r="M196" s="157"/>
      <c r="N196" s="227">
        <f t="shared" si="8"/>
        <v>82125.662762010848</v>
      </c>
      <c r="O196" s="152">
        <f t="shared" si="9"/>
        <v>508238.8087620117</v>
      </c>
    </row>
    <row r="197" spans="1:15" hidden="1" x14ac:dyDescent="0.15">
      <c r="A197" s="154"/>
      <c r="B197" s="151"/>
      <c r="C197" s="151"/>
      <c r="D197" s="323"/>
      <c r="E197" s="154"/>
      <c r="F197" s="291"/>
      <c r="G197" s="152"/>
      <c r="H197" s="323"/>
      <c r="I197" s="152"/>
      <c r="J197" s="157"/>
      <c r="K197" s="154"/>
      <c r="L197" s="227"/>
      <c r="M197" s="157"/>
      <c r="N197" s="227">
        <f t="shared" si="8"/>
        <v>82125.662762010848</v>
      </c>
      <c r="O197" s="152">
        <f t="shared" si="9"/>
        <v>508238.8087620117</v>
      </c>
    </row>
    <row r="198" spans="1:15" hidden="1" x14ac:dyDescent="0.15">
      <c r="A198" s="154"/>
      <c r="B198" s="151"/>
      <c r="C198" s="151"/>
      <c r="D198" s="323"/>
      <c r="E198" s="154"/>
      <c r="F198" s="291"/>
      <c r="G198" s="152"/>
      <c r="H198" s="323"/>
      <c r="I198" s="152"/>
      <c r="J198" s="157"/>
      <c r="K198" s="154"/>
      <c r="L198" s="227"/>
      <c r="M198" s="157"/>
      <c r="N198" s="227">
        <f t="shared" si="8"/>
        <v>82125.662762010848</v>
      </c>
      <c r="O198" s="152">
        <f t="shared" si="9"/>
        <v>508238.8087620117</v>
      </c>
    </row>
    <row r="199" spans="1:15" hidden="1" x14ac:dyDescent="0.15">
      <c r="A199" s="154"/>
      <c r="B199" s="151"/>
      <c r="C199" s="151"/>
      <c r="D199" s="323"/>
      <c r="E199" s="154"/>
      <c r="F199" s="291"/>
      <c r="G199" s="152"/>
      <c r="H199" s="323"/>
      <c r="I199" s="152"/>
      <c r="J199" s="157"/>
      <c r="K199" s="154"/>
      <c r="L199" s="227"/>
      <c r="M199" s="157"/>
      <c r="N199" s="227">
        <f t="shared" si="8"/>
        <v>82125.662762010848</v>
      </c>
      <c r="O199" s="152">
        <f t="shared" si="9"/>
        <v>508238.8087620117</v>
      </c>
    </row>
    <row r="200" spans="1:15" hidden="1" x14ac:dyDescent="0.15">
      <c r="A200" s="154"/>
      <c r="B200" s="151"/>
      <c r="C200" s="151"/>
      <c r="D200" s="323"/>
      <c r="E200" s="154"/>
      <c r="F200" s="291"/>
      <c r="G200" s="152"/>
      <c r="H200" s="323"/>
      <c r="I200" s="152"/>
      <c r="J200" s="157"/>
      <c r="K200" s="154"/>
      <c r="L200" s="227"/>
      <c r="M200" s="157"/>
      <c r="N200" s="227">
        <f t="shared" si="8"/>
        <v>82125.662762010848</v>
      </c>
      <c r="O200" s="152">
        <f t="shared" si="9"/>
        <v>508238.8087620117</v>
      </c>
    </row>
    <row r="201" spans="1:15" hidden="1" x14ac:dyDescent="0.15">
      <c r="A201" s="154"/>
      <c r="B201" s="151"/>
      <c r="C201" s="151"/>
      <c r="D201" s="323"/>
      <c r="E201" s="154"/>
      <c r="F201" s="291"/>
      <c r="G201" s="152"/>
      <c r="H201" s="323"/>
      <c r="I201" s="152"/>
      <c r="J201" s="157"/>
      <c r="K201" s="154"/>
      <c r="L201" s="227"/>
      <c r="M201" s="157"/>
      <c r="N201" s="227">
        <f t="shared" si="8"/>
        <v>82125.662762010848</v>
      </c>
      <c r="O201" s="152">
        <f t="shared" si="9"/>
        <v>508238.8087620117</v>
      </c>
    </row>
    <row r="202" spans="1:15" hidden="1" x14ac:dyDescent="0.15">
      <c r="A202" s="154"/>
      <c r="B202" s="151"/>
      <c r="C202" s="151"/>
      <c r="D202" s="323"/>
      <c r="E202" s="154"/>
      <c r="F202" s="291"/>
      <c r="G202" s="152"/>
      <c r="H202" s="323"/>
      <c r="I202" s="152"/>
      <c r="J202" s="157"/>
      <c r="K202" s="154"/>
      <c r="L202" s="227"/>
      <c r="M202" s="157"/>
      <c r="N202" s="227">
        <f t="shared" si="8"/>
        <v>82125.662762010848</v>
      </c>
      <c r="O202" s="152">
        <f t="shared" si="9"/>
        <v>508238.8087620117</v>
      </c>
    </row>
    <row r="203" spans="1:15" hidden="1" x14ac:dyDescent="0.15">
      <c r="A203" s="154"/>
      <c r="B203" s="151"/>
      <c r="C203" s="151"/>
      <c r="D203" s="323"/>
      <c r="E203" s="154"/>
      <c r="F203" s="291"/>
      <c r="G203" s="152"/>
      <c r="H203" s="323"/>
      <c r="I203" s="152"/>
      <c r="J203" s="157"/>
      <c r="K203" s="154"/>
      <c r="L203" s="227"/>
      <c r="M203" s="157"/>
      <c r="N203" s="227">
        <f t="shared" si="8"/>
        <v>82125.662762010848</v>
      </c>
      <c r="O203" s="152">
        <f t="shared" si="9"/>
        <v>508238.8087620117</v>
      </c>
    </row>
    <row r="204" spans="1:15" hidden="1" x14ac:dyDescent="0.15">
      <c r="A204" s="154"/>
      <c r="B204" s="151"/>
      <c r="C204" s="151"/>
      <c r="D204" s="323"/>
      <c r="E204" s="154"/>
      <c r="F204" s="291"/>
      <c r="G204" s="152"/>
      <c r="H204" s="323"/>
      <c r="I204" s="152"/>
      <c r="J204" s="157"/>
      <c r="K204" s="154"/>
      <c r="L204" s="227"/>
      <c r="M204" s="157"/>
      <c r="N204" s="227">
        <f t="shared" ref="N204:N218" si="10">+N203-I204-L204</f>
        <v>82125.662762010848</v>
      </c>
      <c r="O204" s="152">
        <f t="shared" ref="O204:O218" si="11">O203+G204-I204-L204</f>
        <v>508238.8087620117</v>
      </c>
    </row>
    <row r="205" spans="1:15" hidden="1" x14ac:dyDescent="0.15">
      <c r="A205" s="154"/>
      <c r="B205" s="151"/>
      <c r="C205" s="151"/>
      <c r="D205" s="323"/>
      <c r="E205" s="154"/>
      <c r="F205" s="291"/>
      <c r="G205" s="152"/>
      <c r="H205" s="323"/>
      <c r="I205" s="152"/>
      <c r="J205" s="157"/>
      <c r="K205" s="154"/>
      <c r="L205" s="227"/>
      <c r="M205" s="157"/>
      <c r="N205" s="227">
        <f t="shared" si="10"/>
        <v>82125.662762010848</v>
      </c>
      <c r="O205" s="152">
        <f t="shared" si="11"/>
        <v>508238.8087620117</v>
      </c>
    </row>
    <row r="206" spans="1:15" hidden="1" x14ac:dyDescent="0.15">
      <c r="A206" s="154"/>
      <c r="B206" s="151"/>
      <c r="C206" s="151"/>
      <c r="D206" s="323"/>
      <c r="E206" s="154"/>
      <c r="F206" s="291"/>
      <c r="G206" s="152"/>
      <c r="H206" s="323"/>
      <c r="I206" s="152"/>
      <c r="J206" s="157"/>
      <c r="K206" s="154"/>
      <c r="L206" s="227"/>
      <c r="M206" s="157"/>
      <c r="N206" s="227">
        <f t="shared" si="10"/>
        <v>82125.662762010848</v>
      </c>
      <c r="O206" s="152">
        <f t="shared" si="11"/>
        <v>508238.8087620117</v>
      </c>
    </row>
    <row r="207" spans="1:15" hidden="1" x14ac:dyDescent="0.15">
      <c r="A207" s="154"/>
      <c r="B207" s="151"/>
      <c r="C207" s="151"/>
      <c r="D207" s="323"/>
      <c r="E207" s="154"/>
      <c r="F207" s="291"/>
      <c r="G207" s="152"/>
      <c r="H207" s="323"/>
      <c r="I207" s="152"/>
      <c r="J207" s="157"/>
      <c r="K207" s="154"/>
      <c r="L207" s="227"/>
      <c r="M207" s="157"/>
      <c r="N207" s="227">
        <f t="shared" si="10"/>
        <v>82125.662762010848</v>
      </c>
      <c r="O207" s="152">
        <f t="shared" si="11"/>
        <v>508238.8087620117</v>
      </c>
    </row>
    <row r="208" spans="1:15" hidden="1" x14ac:dyDescent="0.15">
      <c r="A208" s="154"/>
      <c r="B208" s="151"/>
      <c r="C208" s="151"/>
      <c r="D208" s="323"/>
      <c r="E208" s="154"/>
      <c r="F208" s="291"/>
      <c r="G208" s="152"/>
      <c r="H208" s="323"/>
      <c r="I208" s="152"/>
      <c r="J208" s="157"/>
      <c r="K208" s="154"/>
      <c r="L208" s="227"/>
      <c r="M208" s="157"/>
      <c r="N208" s="227">
        <f t="shared" si="10"/>
        <v>82125.662762010848</v>
      </c>
      <c r="O208" s="152">
        <f t="shared" si="11"/>
        <v>508238.8087620117</v>
      </c>
    </row>
    <row r="209" spans="1:15" hidden="1" x14ac:dyDescent="0.15">
      <c r="A209" s="154"/>
      <c r="B209" s="151"/>
      <c r="C209" s="151"/>
      <c r="D209" s="323"/>
      <c r="E209" s="154"/>
      <c r="F209" s="291"/>
      <c r="G209" s="152"/>
      <c r="H209" s="323"/>
      <c r="I209" s="152"/>
      <c r="J209" s="157"/>
      <c r="K209" s="154"/>
      <c r="L209" s="227"/>
      <c r="M209" s="157"/>
      <c r="N209" s="227">
        <f t="shared" si="10"/>
        <v>82125.662762010848</v>
      </c>
      <c r="O209" s="152">
        <f t="shared" si="11"/>
        <v>508238.8087620117</v>
      </c>
    </row>
    <row r="210" spans="1:15" hidden="1" x14ac:dyDescent="0.15">
      <c r="A210" s="154"/>
      <c r="B210" s="151"/>
      <c r="C210" s="151"/>
      <c r="D210" s="323"/>
      <c r="E210" s="154"/>
      <c r="F210" s="291"/>
      <c r="G210" s="152"/>
      <c r="H210" s="323"/>
      <c r="I210" s="152"/>
      <c r="J210" s="157"/>
      <c r="K210" s="154"/>
      <c r="L210" s="227"/>
      <c r="M210" s="157"/>
      <c r="N210" s="227">
        <f t="shared" si="10"/>
        <v>82125.662762010848</v>
      </c>
      <c r="O210" s="152">
        <f t="shared" si="11"/>
        <v>508238.8087620117</v>
      </c>
    </row>
    <row r="211" spans="1:15" hidden="1" x14ac:dyDescent="0.15">
      <c r="A211" s="154"/>
      <c r="B211" s="151"/>
      <c r="C211" s="151"/>
      <c r="D211" s="323"/>
      <c r="E211" s="154"/>
      <c r="F211" s="291"/>
      <c r="G211" s="152"/>
      <c r="H211" s="323"/>
      <c r="I211" s="152"/>
      <c r="J211" s="157"/>
      <c r="K211" s="154"/>
      <c r="L211" s="227"/>
      <c r="M211" s="157"/>
      <c r="N211" s="227">
        <f t="shared" si="10"/>
        <v>82125.662762010848</v>
      </c>
      <c r="O211" s="152">
        <f t="shared" si="11"/>
        <v>508238.8087620117</v>
      </c>
    </row>
    <row r="212" spans="1:15" hidden="1" x14ac:dyDescent="0.15">
      <c r="A212" s="154"/>
      <c r="B212" s="151"/>
      <c r="C212" s="151"/>
      <c r="D212" s="323"/>
      <c r="E212" s="154"/>
      <c r="F212" s="291"/>
      <c r="G212" s="152"/>
      <c r="H212" s="323"/>
      <c r="I212" s="152"/>
      <c r="J212" s="157"/>
      <c r="K212" s="154"/>
      <c r="L212" s="227"/>
      <c r="M212" s="157"/>
      <c r="N212" s="227">
        <f t="shared" si="10"/>
        <v>82125.662762010848</v>
      </c>
      <c r="O212" s="152">
        <f t="shared" si="11"/>
        <v>508238.8087620117</v>
      </c>
    </row>
    <row r="213" spans="1:15" hidden="1" x14ac:dyDescent="0.15">
      <c r="A213" s="154"/>
      <c r="B213" s="151"/>
      <c r="C213" s="151"/>
      <c r="D213" s="323"/>
      <c r="E213" s="154"/>
      <c r="F213" s="157"/>
      <c r="G213" s="152"/>
      <c r="H213" s="323"/>
      <c r="I213" s="152"/>
      <c r="J213" s="157"/>
      <c r="K213" s="154"/>
      <c r="L213" s="227"/>
      <c r="M213" s="157"/>
      <c r="N213" s="227">
        <f t="shared" si="10"/>
        <v>82125.662762010848</v>
      </c>
      <c r="O213" s="152">
        <f t="shared" si="11"/>
        <v>508238.8087620117</v>
      </c>
    </row>
    <row r="214" spans="1:15" hidden="1" x14ac:dyDescent="0.15">
      <c r="A214" s="154"/>
      <c r="B214" s="151"/>
      <c r="C214" s="151"/>
      <c r="D214" s="323"/>
      <c r="E214" s="154"/>
      <c r="F214" s="157"/>
      <c r="G214" s="152"/>
      <c r="H214" s="323"/>
      <c r="I214" s="152"/>
      <c r="J214" s="154"/>
      <c r="K214" s="154"/>
      <c r="L214" s="227"/>
      <c r="M214" s="157"/>
      <c r="N214" s="227">
        <f t="shared" si="10"/>
        <v>82125.662762010848</v>
      </c>
      <c r="O214" s="152">
        <f t="shared" si="11"/>
        <v>508238.8087620117</v>
      </c>
    </row>
    <row r="215" spans="1:15" hidden="1" x14ac:dyDescent="0.15">
      <c r="A215" s="154"/>
      <c r="B215" s="151"/>
      <c r="C215" s="151"/>
      <c r="D215" s="323"/>
      <c r="E215" s="155"/>
      <c r="F215" s="157"/>
      <c r="G215" s="152"/>
      <c r="H215" s="323"/>
      <c r="I215" s="152"/>
      <c r="J215" s="154"/>
      <c r="K215" s="154"/>
      <c r="L215" s="227"/>
      <c r="M215" s="157"/>
      <c r="N215" s="227">
        <f t="shared" si="10"/>
        <v>82125.662762010848</v>
      </c>
      <c r="O215" s="152">
        <f t="shared" si="11"/>
        <v>508238.8087620117</v>
      </c>
    </row>
    <row r="216" spans="1:15" hidden="1" x14ac:dyDescent="0.15">
      <c r="A216" s="154"/>
      <c r="B216" s="151"/>
      <c r="C216" s="151"/>
      <c r="D216" s="323"/>
      <c r="E216" s="154"/>
      <c r="F216" s="160"/>
      <c r="G216" s="152"/>
      <c r="H216" s="323"/>
      <c r="I216" s="152"/>
      <c r="J216" s="157"/>
      <c r="K216" s="154"/>
      <c r="L216" s="227"/>
      <c r="M216" s="157"/>
      <c r="N216" s="227">
        <f t="shared" si="10"/>
        <v>82125.662762010848</v>
      </c>
      <c r="O216" s="152">
        <f t="shared" si="11"/>
        <v>508238.8087620117</v>
      </c>
    </row>
    <row r="217" spans="1:15" hidden="1" x14ac:dyDescent="0.15">
      <c r="A217" s="154"/>
      <c r="B217" s="151"/>
      <c r="C217" s="151"/>
      <c r="D217" s="323"/>
      <c r="E217" s="154"/>
      <c r="F217" s="160"/>
      <c r="G217" s="152"/>
      <c r="H217" s="323"/>
      <c r="I217" s="152"/>
      <c r="J217" s="150"/>
      <c r="K217" s="154"/>
      <c r="L217" s="227"/>
      <c r="M217" s="157"/>
      <c r="N217" s="227">
        <f t="shared" si="10"/>
        <v>82125.662762010848</v>
      </c>
      <c r="O217" s="152">
        <f t="shared" si="11"/>
        <v>508238.8087620117</v>
      </c>
    </row>
    <row r="218" spans="1:15" x14ac:dyDescent="0.15">
      <c r="A218" s="173"/>
      <c r="B218" s="173"/>
      <c r="C218" s="174"/>
      <c r="D218" s="323"/>
      <c r="E218" s="173"/>
      <c r="F218" s="173"/>
      <c r="G218" s="174"/>
      <c r="H218" s="323"/>
      <c r="I218" s="174"/>
      <c r="J218" s="173"/>
      <c r="K218" s="154"/>
      <c r="L218" s="228"/>
      <c r="M218" s="173"/>
      <c r="N218" s="227">
        <f t="shared" si="10"/>
        <v>82125.662762010848</v>
      </c>
      <c r="O218" s="152">
        <f t="shared" si="11"/>
        <v>508238.8087620117</v>
      </c>
    </row>
    <row r="219" spans="1:15" x14ac:dyDescent="0.15">
      <c r="A219" s="177"/>
      <c r="B219" s="177"/>
      <c r="C219" s="178">
        <f>SUM(C7:C217)</f>
        <v>635136.65396201063</v>
      </c>
      <c r="D219" s="177"/>
      <c r="E219" s="177"/>
      <c r="F219" s="177"/>
      <c r="G219" s="178">
        <f>SUM(G7:G218)</f>
        <v>5553390.7920000004</v>
      </c>
      <c r="H219" s="179"/>
      <c r="I219" s="178">
        <f>SUM(I7:I218)</f>
        <v>199128.98719999997</v>
      </c>
      <c r="J219" s="177"/>
      <c r="K219" s="177"/>
      <c r="L219" s="178">
        <f>SUM(L7:L218)</f>
        <v>5481159.6499999976</v>
      </c>
      <c r="M219" s="177"/>
      <c r="N219" s="180"/>
      <c r="O219" s="181">
        <f>C219+G219-I219-L219</f>
        <v>508238.80876201298</v>
      </c>
    </row>
    <row r="220" spans="1:15" x14ac:dyDescent="0.15">
      <c r="A220" s="182"/>
      <c r="B220" s="465"/>
      <c r="C220" s="465"/>
      <c r="D220" s="465"/>
      <c r="E220" s="183"/>
      <c r="F220" s="284"/>
      <c r="G220" s="185"/>
      <c r="H220" s="186"/>
      <c r="I220" s="187"/>
      <c r="J220" s="188"/>
      <c r="K220" s="189" t="s">
        <v>139</v>
      </c>
      <c r="L220" s="190">
        <f>+L219+I219</f>
        <v>5680288.6371999979</v>
      </c>
      <c r="M220" s="197"/>
      <c r="N220" s="230">
        <f>+N218</f>
        <v>82125.662762010848</v>
      </c>
      <c r="O220" s="195" t="s">
        <v>1858</v>
      </c>
    </row>
    <row r="221" spans="1:15" x14ac:dyDescent="0.15">
      <c r="A221" s="193"/>
      <c r="B221" s="470"/>
      <c r="C221" s="470"/>
      <c r="D221" s="470"/>
      <c r="E221" s="183"/>
      <c r="F221" s="347"/>
      <c r="G221" s="219"/>
      <c r="H221" s="186"/>
      <c r="I221" s="187"/>
      <c r="J221" s="210"/>
      <c r="K221" s="210"/>
      <c r="N221" s="230">
        <f>+G134+G136+G140</f>
        <v>206564.61499999999</v>
      </c>
      <c r="O221" s="195" t="s">
        <v>1859</v>
      </c>
    </row>
    <row r="222" spans="1:15" x14ac:dyDescent="0.15">
      <c r="A222" s="193" t="s">
        <v>1823</v>
      </c>
      <c r="B222" s="131" t="s">
        <v>1843</v>
      </c>
      <c r="E222" s="183" t="s">
        <v>55</v>
      </c>
      <c r="F222" s="348">
        <v>4993347.99</v>
      </c>
      <c r="G222" s="219" t="s">
        <v>56</v>
      </c>
      <c r="H222" s="186">
        <v>41732</v>
      </c>
      <c r="I222" s="187" t="s">
        <v>71</v>
      </c>
      <c r="J222" s="210">
        <v>121999.94996201068</v>
      </c>
      <c r="K222" s="297"/>
      <c r="N222" s="230">
        <f>+G141</f>
        <v>87857.788999999699</v>
      </c>
      <c r="O222" s="334" t="str">
        <f>+F141</f>
        <v>GC 260314</v>
      </c>
    </row>
    <row r="223" spans="1:15" x14ac:dyDescent="0.15">
      <c r="A223" s="193" t="s">
        <v>1824</v>
      </c>
      <c r="B223" s="131" t="s">
        <v>1862</v>
      </c>
      <c r="E223" s="183" t="s">
        <v>55</v>
      </c>
      <c r="F223" s="348">
        <v>671339.77</v>
      </c>
      <c r="G223" s="219" t="s">
        <v>56</v>
      </c>
      <c r="H223" s="186">
        <v>41734</v>
      </c>
      <c r="I223" s="187" t="s">
        <v>71</v>
      </c>
      <c r="J223" s="210">
        <v>579529.81199999992</v>
      </c>
      <c r="K223" s="333"/>
      <c r="N223" s="230">
        <f>+G145</f>
        <v>131690.742</v>
      </c>
      <c r="O223" s="195" t="str">
        <f>+F145</f>
        <v>GC 270314</v>
      </c>
    </row>
    <row r="224" spans="1:15" x14ac:dyDescent="0.15">
      <c r="A224" s="193" t="s">
        <v>1845</v>
      </c>
      <c r="B224" s="131" t="s">
        <v>1863</v>
      </c>
      <c r="E224" s="183" t="s">
        <v>55</v>
      </c>
      <c r="F224" s="348">
        <v>635445.06999999995</v>
      </c>
      <c r="G224" s="219" t="s">
        <v>56</v>
      </c>
      <c r="H224" s="186">
        <v>41704</v>
      </c>
      <c r="I224" s="187" t="s">
        <v>71</v>
      </c>
      <c r="J224" s="210">
        <v>338295.16699999996</v>
      </c>
      <c r="N224" s="230"/>
      <c r="O224" s="195"/>
    </row>
    <row r="225" spans="1:15" x14ac:dyDescent="0.15">
      <c r="A225" s="193" t="s">
        <v>1846</v>
      </c>
      <c r="B225" s="131" t="s">
        <v>1864</v>
      </c>
      <c r="E225" s="183" t="s">
        <v>55</v>
      </c>
      <c r="F225" s="348">
        <v>4243640.6100000003</v>
      </c>
      <c r="G225" s="219" t="s">
        <v>56</v>
      </c>
      <c r="H225" s="186">
        <v>41708</v>
      </c>
      <c r="I225" s="187" t="s">
        <v>71</v>
      </c>
      <c r="J225" s="210">
        <v>219609.91</v>
      </c>
      <c r="K225" s="333"/>
      <c r="N225" s="230"/>
      <c r="O225" s="195"/>
    </row>
    <row r="226" spans="1:15" x14ac:dyDescent="0.15">
      <c r="A226" s="193" t="s">
        <v>1847</v>
      </c>
      <c r="B226" s="131" t="s">
        <v>1865</v>
      </c>
      <c r="E226" s="183" t="s">
        <v>55</v>
      </c>
      <c r="F226" s="348">
        <v>2894266.69</v>
      </c>
      <c r="G226" s="219" t="s">
        <v>56</v>
      </c>
      <c r="H226" s="186">
        <v>41708</v>
      </c>
      <c r="I226" s="187" t="s">
        <v>71</v>
      </c>
      <c r="J226" s="210">
        <v>305589.96400000004</v>
      </c>
      <c r="N226" s="230"/>
      <c r="O226" s="195"/>
    </row>
    <row r="227" spans="1:15" x14ac:dyDescent="0.15">
      <c r="A227" s="193" t="s">
        <v>1848</v>
      </c>
      <c r="B227" s="131" t="s">
        <v>1866</v>
      </c>
      <c r="E227" s="183" t="s">
        <v>55</v>
      </c>
      <c r="F227" s="348">
        <v>630918.63</v>
      </c>
      <c r="G227" s="219" t="s">
        <v>56</v>
      </c>
      <c r="H227" s="186">
        <v>41710</v>
      </c>
      <c r="I227" s="187" t="s">
        <v>71</v>
      </c>
      <c r="J227" s="210">
        <v>385219.55800000002</v>
      </c>
      <c r="N227" s="206" t="s">
        <v>33</v>
      </c>
      <c r="O227" s="207">
        <f>SUM(N220:N226)</f>
        <v>508238.80876201054</v>
      </c>
    </row>
    <row r="228" spans="1:15" x14ac:dyDescent="0.15">
      <c r="A228" s="193" t="s">
        <v>1849</v>
      </c>
      <c r="B228" s="131" t="s">
        <v>1867</v>
      </c>
      <c r="E228" s="183" t="s">
        <v>55</v>
      </c>
      <c r="F228" s="348">
        <v>2898251.95</v>
      </c>
      <c r="G228" s="219" t="s">
        <v>56</v>
      </c>
      <c r="H228" s="186">
        <v>41712</v>
      </c>
      <c r="I228" s="187" t="s">
        <v>71</v>
      </c>
      <c r="J228" s="210">
        <v>293764.78200000001</v>
      </c>
      <c r="K228" s="297"/>
      <c r="O228" s="132">
        <f>+O219-O227</f>
        <v>2.4447217583656311E-9</v>
      </c>
    </row>
    <row r="229" spans="1:15" s="132" customFormat="1" x14ac:dyDescent="0.15">
      <c r="A229" s="193" t="s">
        <v>1850</v>
      </c>
      <c r="B229" s="131" t="s">
        <v>1868</v>
      </c>
      <c r="D229" s="133"/>
      <c r="E229" s="183" t="s">
        <v>55</v>
      </c>
      <c r="F229" s="348">
        <v>2285990.4</v>
      </c>
      <c r="G229" s="219" t="s">
        <v>56</v>
      </c>
      <c r="H229" s="186">
        <v>41715</v>
      </c>
      <c r="I229" s="187" t="s">
        <v>71</v>
      </c>
      <c r="J229" s="210">
        <v>340632.46799999999</v>
      </c>
      <c r="K229" s="333"/>
      <c r="M229" s="134"/>
    </row>
    <row r="230" spans="1:15" s="132" customFormat="1" x14ac:dyDescent="0.15">
      <c r="A230" s="193" t="s">
        <v>1851</v>
      </c>
      <c r="B230" s="131" t="s">
        <v>1869</v>
      </c>
      <c r="D230" s="133"/>
      <c r="E230" s="183" t="s">
        <v>55</v>
      </c>
      <c r="F230" s="348">
        <v>641150.81999999995</v>
      </c>
      <c r="G230" s="219" t="s">
        <v>56</v>
      </c>
      <c r="H230" s="186">
        <v>41716</v>
      </c>
      <c r="I230" s="187" t="s">
        <v>71</v>
      </c>
      <c r="J230" s="210">
        <v>235584.17300000001</v>
      </c>
      <c r="K230" s="133"/>
      <c r="M230" s="134"/>
    </row>
    <row r="231" spans="1:15" s="132" customFormat="1" x14ac:dyDescent="0.15">
      <c r="A231" s="193" t="s">
        <v>1852</v>
      </c>
      <c r="B231" s="131" t="s">
        <v>1870</v>
      </c>
      <c r="D231" s="133"/>
      <c r="E231" s="183" t="s">
        <v>55</v>
      </c>
      <c r="F231" s="348">
        <v>2190640.1800000002</v>
      </c>
      <c r="G231" s="219" t="s">
        <v>56</v>
      </c>
      <c r="H231" s="186">
        <v>41718</v>
      </c>
      <c r="I231" s="187" t="s">
        <v>71</v>
      </c>
      <c r="J231" s="210">
        <v>213898.72699999996</v>
      </c>
      <c r="K231" s="133"/>
      <c r="M231" s="134"/>
    </row>
    <row r="232" spans="1:15" s="132" customFormat="1" x14ac:dyDescent="0.15">
      <c r="A232" s="193" t="s">
        <v>1853</v>
      </c>
      <c r="B232" s="131" t="s">
        <v>1871</v>
      </c>
      <c r="D232" s="133"/>
      <c r="E232" s="183" t="s">
        <v>55</v>
      </c>
      <c r="F232" s="348">
        <v>2132107.7599999998</v>
      </c>
      <c r="G232" s="219" t="s">
        <v>56</v>
      </c>
      <c r="H232" s="186">
        <v>41719</v>
      </c>
      <c r="I232" s="187" t="s">
        <v>71</v>
      </c>
      <c r="J232" s="210">
        <v>342474.55180000002</v>
      </c>
      <c r="K232" s="333"/>
      <c r="M232" s="134"/>
    </row>
    <row r="233" spans="1:15" s="132" customFormat="1" x14ac:dyDescent="0.15">
      <c r="A233" s="193" t="s">
        <v>1855</v>
      </c>
      <c r="B233" s="131" t="s">
        <v>1872</v>
      </c>
      <c r="D233" s="133"/>
      <c r="E233" s="183" t="s">
        <v>55</v>
      </c>
      <c r="F233" s="348">
        <v>2095411.8</v>
      </c>
      <c r="G233" s="219" t="s">
        <v>56</v>
      </c>
      <c r="H233" s="186">
        <v>41722</v>
      </c>
      <c r="I233" s="187" t="s">
        <v>71</v>
      </c>
      <c r="J233" s="210">
        <v>301074.08299999998</v>
      </c>
      <c r="K233" s="133"/>
      <c r="M233" s="134"/>
    </row>
    <row r="234" spans="1:15" s="132" customFormat="1" x14ac:dyDescent="0.15">
      <c r="A234" s="193" t="s">
        <v>1858</v>
      </c>
      <c r="B234" s="131" t="s">
        <v>1873</v>
      </c>
      <c r="D234" s="133"/>
      <c r="E234" s="183" t="s">
        <v>55</v>
      </c>
      <c r="F234" s="348">
        <v>1589774.77</v>
      </c>
      <c r="G234" s="219" t="s">
        <v>56</v>
      </c>
      <c r="H234" s="186">
        <v>41730</v>
      </c>
      <c r="I234" s="187" t="s">
        <v>71</v>
      </c>
      <c r="J234" s="210">
        <v>430524.28023798915</v>
      </c>
      <c r="K234" s="133"/>
      <c r="M234" s="134"/>
    </row>
    <row r="235" spans="1:15" s="132" customFormat="1" ht="12" thickBot="1" x14ac:dyDescent="0.2">
      <c r="A235" s="133"/>
      <c r="B235" s="345"/>
      <c r="C235" s="345"/>
      <c r="D235" s="345"/>
      <c r="E235" s="183"/>
      <c r="F235" s="346"/>
      <c r="G235" s="219"/>
      <c r="H235" s="186"/>
      <c r="I235" s="217" t="s">
        <v>856</v>
      </c>
      <c r="J235" s="211">
        <f>SUM(J222:J234)</f>
        <v>4108197.4259999995</v>
      </c>
      <c r="K235" s="133"/>
      <c r="M235" s="134"/>
    </row>
    <row r="236" spans="1:15" s="132" customFormat="1" ht="12" thickTop="1" x14ac:dyDescent="0.15">
      <c r="A236" s="193" t="s">
        <v>1856</v>
      </c>
      <c r="B236" s="131" t="s">
        <v>1877</v>
      </c>
      <c r="D236" s="133"/>
      <c r="E236" s="183" t="s">
        <v>55</v>
      </c>
      <c r="F236" s="348">
        <v>2055096.25</v>
      </c>
      <c r="G236" s="219" t="s">
        <v>56</v>
      </c>
      <c r="H236" s="186">
        <v>41725</v>
      </c>
      <c r="I236" s="187" t="s">
        <v>71</v>
      </c>
      <c r="J236" s="210">
        <v>389897.49800000002</v>
      </c>
      <c r="K236" s="133"/>
      <c r="M236" s="134"/>
    </row>
    <row r="237" spans="1:15" s="132" customFormat="1" x14ac:dyDescent="0.15">
      <c r="A237" s="193" t="s">
        <v>1857</v>
      </c>
      <c r="B237" s="131" t="s">
        <v>1878</v>
      </c>
      <c r="D237" s="133"/>
      <c r="E237" s="183" t="s">
        <v>55</v>
      </c>
      <c r="F237" s="348">
        <v>2409606.9900000002</v>
      </c>
      <c r="G237" s="219" t="s">
        <v>56</v>
      </c>
      <c r="H237" s="186">
        <v>41729</v>
      </c>
      <c r="I237" s="187" t="s">
        <v>71</v>
      </c>
      <c r="J237" s="210">
        <v>519283.89200000005</v>
      </c>
      <c r="K237" s="133"/>
      <c r="M237" s="134"/>
    </row>
    <row r="238" spans="1:15" s="132" customFormat="1" ht="12" thickBot="1" x14ac:dyDescent="0.2">
      <c r="A238" s="133"/>
      <c r="B238" s="345"/>
      <c r="C238" s="345"/>
      <c r="D238" s="345"/>
      <c r="E238" s="183"/>
      <c r="F238" s="347"/>
      <c r="G238" s="219"/>
      <c r="H238" s="186"/>
      <c r="I238" s="217" t="s">
        <v>856</v>
      </c>
      <c r="J238" s="211">
        <f>SUM(J236:J237)</f>
        <v>909181.39000000013</v>
      </c>
      <c r="K238" s="133"/>
      <c r="M238" s="134"/>
    </row>
    <row r="239" spans="1:15" s="132" customFormat="1" ht="12" thickTop="1" x14ac:dyDescent="0.15">
      <c r="A239" s="133"/>
      <c r="B239" s="345"/>
      <c r="C239" s="345"/>
      <c r="D239" s="345"/>
      <c r="E239" s="183"/>
      <c r="F239" s="347"/>
      <c r="G239" s="219"/>
      <c r="H239" s="186"/>
      <c r="I239" s="187"/>
      <c r="J239" s="210"/>
      <c r="K239" s="133"/>
      <c r="M239" s="134"/>
    </row>
    <row r="240" spans="1:15" s="132" customFormat="1" x14ac:dyDescent="0.15">
      <c r="A240" s="133" t="s">
        <v>1854</v>
      </c>
      <c r="B240" s="131" t="s">
        <v>1879</v>
      </c>
      <c r="D240" s="133"/>
      <c r="E240" s="183" t="s">
        <v>55</v>
      </c>
      <c r="F240" s="348">
        <v>61232762.829999998</v>
      </c>
      <c r="G240" s="219" t="s">
        <v>56</v>
      </c>
      <c r="H240" s="186">
        <v>41722</v>
      </c>
      <c r="I240" s="187" t="s">
        <v>71</v>
      </c>
      <c r="J240" s="210">
        <v>463780.83400000003</v>
      </c>
      <c r="K240" s="133"/>
      <c r="M240" s="134"/>
    </row>
    <row r="241" spans="1:15" s="132" customFormat="1" ht="12" thickBot="1" x14ac:dyDescent="0.2">
      <c r="A241" s="193"/>
      <c r="B241" s="210"/>
      <c r="C241" s="221"/>
      <c r="D241" s="237"/>
      <c r="E241" s="235"/>
      <c r="F241" s="347"/>
      <c r="H241" s="133"/>
      <c r="I241" s="218" t="s">
        <v>106</v>
      </c>
      <c r="J241" s="212">
        <f>SUM(J240)</f>
        <v>463780.83400000003</v>
      </c>
      <c r="K241" s="133"/>
      <c r="M241" s="134"/>
    </row>
    <row r="242" spans="1:15" s="132" customFormat="1" ht="12" thickTop="1" x14ac:dyDescent="0.15">
      <c r="A242" s="193"/>
      <c r="B242" s="210"/>
      <c r="C242" s="221"/>
      <c r="D242" s="237"/>
      <c r="E242" s="235"/>
      <c r="F242" s="347"/>
      <c r="H242" s="133"/>
      <c r="J242" s="205"/>
      <c r="K242" s="133"/>
      <c r="M242" s="134"/>
    </row>
    <row r="243" spans="1:15" s="132" customFormat="1" x14ac:dyDescent="0.15">
      <c r="A243" s="133"/>
      <c r="B243" s="133" t="s">
        <v>9</v>
      </c>
      <c r="C243" s="220" t="s">
        <v>729</v>
      </c>
      <c r="D243" s="220" t="s">
        <v>850</v>
      </c>
      <c r="E243" s="133" t="s">
        <v>570</v>
      </c>
      <c r="F243" s="133" t="s">
        <v>571</v>
      </c>
      <c r="G243" s="133" t="s">
        <v>16</v>
      </c>
      <c r="H243" s="134"/>
      <c r="J243" s="205"/>
      <c r="K243" s="133"/>
      <c r="M243" s="134"/>
    </row>
    <row r="244" spans="1:15" s="132" customFormat="1" x14ac:dyDescent="0.15">
      <c r="A244" s="193" t="s">
        <v>1823</v>
      </c>
      <c r="B244" s="210">
        <v>122000</v>
      </c>
      <c r="C244" s="221">
        <v>25.683700000000002</v>
      </c>
      <c r="D244" s="237">
        <f t="shared" ref="D244:D256" si="12">+B244*C244</f>
        <v>3133411.4000000004</v>
      </c>
      <c r="E244" s="235">
        <f t="shared" ref="E244:E256" si="13">+D244*0.01</f>
        <v>31334.114000000005</v>
      </c>
      <c r="F244" s="235">
        <f t="shared" ref="F244:F256" si="14">+E244*0.1</f>
        <v>3133.4114000000009</v>
      </c>
      <c r="G244" s="236">
        <f t="shared" ref="G244:G256" si="15">SUM(E244:F244)</f>
        <v>34467.525400000006</v>
      </c>
      <c r="H244" s="134"/>
      <c r="J244" s="205"/>
      <c r="K244" s="133"/>
      <c r="M244" s="134"/>
    </row>
    <row r="245" spans="1:15" s="132" customFormat="1" x14ac:dyDescent="0.15">
      <c r="A245" s="193" t="s">
        <v>1824</v>
      </c>
      <c r="B245" s="210">
        <v>579530</v>
      </c>
      <c r="C245" s="221">
        <v>25.682600000000001</v>
      </c>
      <c r="D245" s="237">
        <f t="shared" si="12"/>
        <v>14883837.178000001</v>
      </c>
      <c r="E245" s="235">
        <f t="shared" si="13"/>
        <v>148838.37178000002</v>
      </c>
      <c r="F245" s="235">
        <f t="shared" si="14"/>
        <v>14883.837178000002</v>
      </c>
      <c r="G245" s="236">
        <f t="shared" si="15"/>
        <v>163722.208958</v>
      </c>
      <c r="H245" s="133"/>
      <c r="J245" s="205"/>
      <c r="K245" s="133"/>
      <c r="M245" s="134"/>
    </row>
    <row r="246" spans="1:15" s="132" customFormat="1" x14ac:dyDescent="0.15">
      <c r="A246" s="193" t="s">
        <v>1845</v>
      </c>
      <c r="B246" s="210">
        <v>338295</v>
      </c>
      <c r="C246" s="221">
        <v>25.682600000000001</v>
      </c>
      <c r="D246" s="237">
        <f t="shared" si="12"/>
        <v>8688295.1669999994</v>
      </c>
      <c r="E246" s="235">
        <f t="shared" si="13"/>
        <v>86882.951669999995</v>
      </c>
      <c r="F246" s="235">
        <f t="shared" si="14"/>
        <v>8688.2951670000002</v>
      </c>
      <c r="G246" s="236">
        <f t="shared" si="15"/>
        <v>95571.246836999999</v>
      </c>
      <c r="H246" s="133"/>
      <c r="J246" s="205"/>
      <c r="K246" s="133"/>
      <c r="M246" s="134"/>
    </row>
    <row r="247" spans="1:15" s="132" customFormat="1" x14ac:dyDescent="0.15">
      <c r="A247" s="193" t="s">
        <v>1846</v>
      </c>
      <c r="B247" s="210">
        <v>219610</v>
      </c>
      <c r="C247" s="221">
        <v>25.413399999999999</v>
      </c>
      <c r="D247" s="237">
        <f t="shared" si="12"/>
        <v>5581036.7740000002</v>
      </c>
      <c r="E247" s="235">
        <f t="shared" si="13"/>
        <v>55810.367740000002</v>
      </c>
      <c r="F247" s="235">
        <f t="shared" si="14"/>
        <v>5581.0367740000002</v>
      </c>
      <c r="G247" s="236">
        <f t="shared" si="15"/>
        <v>61391.404514000002</v>
      </c>
      <c r="H247" s="134"/>
      <c r="J247" s="205"/>
      <c r="K247" s="133"/>
      <c r="M247" s="134"/>
    </row>
    <row r="248" spans="1:15" s="132" customFormat="1" x14ac:dyDescent="0.15">
      <c r="A248" s="193" t="s">
        <v>1847</v>
      </c>
      <c r="B248" s="210">
        <v>305590</v>
      </c>
      <c r="C248" s="221">
        <v>25.341200000000001</v>
      </c>
      <c r="D248" s="237">
        <f t="shared" si="12"/>
        <v>7744017.3080000002</v>
      </c>
      <c r="E248" s="235">
        <f t="shared" si="13"/>
        <v>77440.173080000008</v>
      </c>
      <c r="F248" s="235">
        <f t="shared" si="14"/>
        <v>7744.0173080000013</v>
      </c>
      <c r="G248" s="236">
        <f t="shared" si="15"/>
        <v>85184.190388000003</v>
      </c>
      <c r="H248" s="133"/>
      <c r="J248" s="205"/>
      <c r="K248" s="133"/>
      <c r="M248" s="134"/>
    </row>
    <row r="249" spans="1:15" s="132" customFormat="1" x14ac:dyDescent="0.15">
      <c r="A249" s="193" t="s">
        <v>1848</v>
      </c>
      <c r="B249" s="210">
        <v>385220</v>
      </c>
      <c r="C249" s="221">
        <v>25.3172</v>
      </c>
      <c r="D249" s="237">
        <f t="shared" si="12"/>
        <v>9752691.784</v>
      </c>
      <c r="E249" s="235">
        <f t="shared" si="13"/>
        <v>97526.917839999995</v>
      </c>
      <c r="F249" s="235">
        <f t="shared" si="14"/>
        <v>9752.6917840000006</v>
      </c>
      <c r="G249" s="236">
        <f t="shared" si="15"/>
        <v>107279.60962399999</v>
      </c>
      <c r="H249" s="133"/>
      <c r="I249" s="134"/>
      <c r="J249" s="205"/>
      <c r="K249" s="133"/>
      <c r="M249" s="134"/>
    </row>
    <row r="250" spans="1:15" s="132" customFormat="1" x14ac:dyDescent="0.15">
      <c r="A250" s="193" t="s">
        <v>1849</v>
      </c>
      <c r="B250" s="210">
        <v>293765</v>
      </c>
      <c r="C250" s="221">
        <v>25.301100000000002</v>
      </c>
      <c r="D250" s="237">
        <f t="shared" si="12"/>
        <v>7432577.6415000008</v>
      </c>
      <c r="E250" s="235">
        <f t="shared" si="13"/>
        <v>74325.776415000015</v>
      </c>
      <c r="F250" s="235">
        <f t="shared" si="14"/>
        <v>7432.5776415000018</v>
      </c>
      <c r="G250" s="236">
        <f t="shared" si="15"/>
        <v>81758.354056500015</v>
      </c>
      <c r="H250" s="134"/>
      <c r="I250" s="134"/>
      <c r="J250" s="134"/>
      <c r="K250" s="133"/>
      <c r="M250" s="134"/>
    </row>
    <row r="251" spans="1:15" s="133" customFormat="1" x14ac:dyDescent="0.15">
      <c r="A251" s="193" t="s">
        <v>1850</v>
      </c>
      <c r="B251" s="210">
        <v>340632</v>
      </c>
      <c r="C251" s="221">
        <v>24.614599999999999</v>
      </c>
      <c r="D251" s="237">
        <f t="shared" si="12"/>
        <v>8384520.4271999998</v>
      </c>
      <c r="E251" s="235">
        <f t="shared" si="13"/>
        <v>83845.204272000003</v>
      </c>
      <c r="F251" s="235">
        <f t="shared" si="14"/>
        <v>8384.520427200001</v>
      </c>
      <c r="G251" s="236">
        <f t="shared" si="15"/>
        <v>92229.7246992</v>
      </c>
      <c r="I251" s="132"/>
      <c r="J251" s="134"/>
      <c r="L251" s="132"/>
      <c r="M251" s="134"/>
      <c r="N251" s="132"/>
      <c r="O251" s="132"/>
    </row>
    <row r="252" spans="1:15" s="133" customFormat="1" x14ac:dyDescent="0.15">
      <c r="A252" s="193" t="s">
        <v>1851</v>
      </c>
      <c r="B252" s="210">
        <v>235584</v>
      </c>
      <c r="C252" s="221">
        <v>24.614599999999999</v>
      </c>
      <c r="D252" s="237">
        <f t="shared" si="12"/>
        <v>5798805.9264000002</v>
      </c>
      <c r="E252" s="235">
        <f t="shared" si="13"/>
        <v>57988.059264000003</v>
      </c>
      <c r="F252" s="235">
        <f t="shared" si="14"/>
        <v>5798.8059264000003</v>
      </c>
      <c r="G252" s="236">
        <f t="shared" si="15"/>
        <v>63786.8651904</v>
      </c>
      <c r="I252" s="132"/>
      <c r="J252" s="134"/>
      <c r="L252" s="132"/>
      <c r="M252" s="134"/>
      <c r="N252" s="132"/>
      <c r="O252" s="132"/>
    </row>
    <row r="253" spans="1:15" s="133" customFormat="1" x14ac:dyDescent="0.15">
      <c r="A253" s="193" t="s">
        <v>1852</v>
      </c>
      <c r="B253" s="210">
        <v>213899</v>
      </c>
      <c r="C253" s="221">
        <v>24.713799999999999</v>
      </c>
      <c r="D253" s="237">
        <f t="shared" si="12"/>
        <v>5286257.1062000003</v>
      </c>
      <c r="E253" s="235">
        <f t="shared" si="13"/>
        <v>52862.571062000003</v>
      </c>
      <c r="F253" s="235">
        <f t="shared" si="14"/>
        <v>5286.2571062000006</v>
      </c>
      <c r="G253" s="236">
        <f t="shared" si="15"/>
        <v>58148.828168200002</v>
      </c>
      <c r="H253" s="134"/>
      <c r="I253" s="134"/>
      <c r="J253" s="134"/>
      <c r="L253" s="132"/>
      <c r="M253" s="134"/>
      <c r="N253" s="132"/>
      <c r="O253" s="132"/>
    </row>
    <row r="254" spans="1:15" s="133" customFormat="1" x14ac:dyDescent="0.15">
      <c r="A254" s="193" t="s">
        <v>1853</v>
      </c>
      <c r="B254" s="210">
        <v>342475</v>
      </c>
      <c r="C254" s="221">
        <v>24.6403</v>
      </c>
      <c r="D254" s="237">
        <f t="shared" si="12"/>
        <v>8438686.7424999997</v>
      </c>
      <c r="E254" s="235">
        <f t="shared" si="13"/>
        <v>84386.867425000004</v>
      </c>
      <c r="F254" s="235">
        <f t="shared" si="14"/>
        <v>8438.6867425</v>
      </c>
      <c r="G254" s="236">
        <f t="shared" si="15"/>
        <v>92825.554167499999</v>
      </c>
      <c r="I254" s="132"/>
      <c r="J254" s="134"/>
      <c r="L254" s="132"/>
      <c r="M254" s="134"/>
      <c r="N254" s="132"/>
      <c r="O254" s="132"/>
    </row>
    <row r="255" spans="1:15" s="133" customFormat="1" x14ac:dyDescent="0.15">
      <c r="A255" s="193" t="s">
        <v>1855</v>
      </c>
      <c r="B255" s="210">
        <v>301074</v>
      </c>
      <c r="C255" s="221">
        <v>24.455100000000002</v>
      </c>
      <c r="D255" s="237">
        <f t="shared" si="12"/>
        <v>7362794.7774</v>
      </c>
      <c r="E255" s="235">
        <f t="shared" si="13"/>
        <v>73627.947774</v>
      </c>
      <c r="F255" s="235">
        <f t="shared" si="14"/>
        <v>7362.7947774000004</v>
      </c>
      <c r="G255" s="236">
        <f t="shared" si="15"/>
        <v>80990.742551400006</v>
      </c>
      <c r="I255" s="132"/>
      <c r="J255" s="134"/>
      <c r="L255" s="132"/>
      <c r="M255" s="134"/>
      <c r="N255" s="132"/>
      <c r="O255" s="132"/>
    </row>
    <row r="256" spans="1:15" s="133" customFormat="1" x14ac:dyDescent="0.15">
      <c r="A256" s="193" t="s">
        <v>1858</v>
      </c>
      <c r="B256" s="210">
        <v>430524</v>
      </c>
      <c r="C256" s="221">
        <v>24.444400000000002</v>
      </c>
      <c r="D256" s="237">
        <f t="shared" si="12"/>
        <v>10523900.865600001</v>
      </c>
      <c r="E256" s="235">
        <f t="shared" si="13"/>
        <v>105239.00865600002</v>
      </c>
      <c r="F256" s="235">
        <f t="shared" si="14"/>
        <v>10523.900865600002</v>
      </c>
      <c r="G256" s="236">
        <f t="shared" si="15"/>
        <v>115762.90952160003</v>
      </c>
      <c r="H256" s="134"/>
      <c r="I256" s="134"/>
      <c r="J256" s="134"/>
      <c r="L256" s="132"/>
      <c r="M256" s="134"/>
      <c r="N256" s="132"/>
      <c r="O256" s="132"/>
    </row>
    <row r="257" spans="1:13" ht="12" thickBot="1" x14ac:dyDescent="0.2">
      <c r="A257" s="133"/>
      <c r="B257" s="211">
        <f>SUM(B244:B256)</f>
        <v>4108198</v>
      </c>
      <c r="C257" s="221"/>
      <c r="D257" s="237"/>
      <c r="E257" s="242">
        <f>SUM(E244:E256)</f>
        <v>1030108.3309780001</v>
      </c>
      <c r="F257" s="242">
        <f t="shared" ref="F257" si="16">SUM(F244:F256)</f>
        <v>103010.83309780003</v>
      </c>
      <c r="G257" s="242">
        <f t="shared" ref="G257" si="17">SUM(G244:G256)</f>
        <v>1133119.1640758</v>
      </c>
    </row>
    <row r="258" spans="1:13" s="132" customFormat="1" ht="12" thickTop="1" x14ac:dyDescent="0.15">
      <c r="A258" s="193" t="s">
        <v>1856</v>
      </c>
      <c r="B258" s="210">
        <v>389897</v>
      </c>
      <c r="C258" s="221">
        <v>24.502300000000002</v>
      </c>
      <c r="D258" s="237">
        <f t="shared" ref="D258:D259" si="18">+B258*C258</f>
        <v>9553373.2631000001</v>
      </c>
      <c r="E258" s="235">
        <f t="shared" ref="E258:E259" si="19">+D258*0.01</f>
        <v>95533.732631000006</v>
      </c>
      <c r="F258" s="235">
        <f t="shared" ref="F258:F259" si="20">+E258*0.1</f>
        <v>9553.3732631000003</v>
      </c>
      <c r="G258" s="236">
        <f t="shared" ref="G258:G259" si="21">SUM(E258:F258)</f>
        <v>105087.10589410001</v>
      </c>
      <c r="H258" s="134"/>
      <c r="J258" s="134"/>
      <c r="K258" s="133"/>
      <c r="M258" s="134"/>
    </row>
    <row r="259" spans="1:13" s="132" customFormat="1" x14ac:dyDescent="0.15">
      <c r="A259" s="193" t="s">
        <v>1857</v>
      </c>
      <c r="B259" s="210">
        <v>519284</v>
      </c>
      <c r="C259" s="221">
        <v>24.2578</v>
      </c>
      <c r="D259" s="237">
        <f t="shared" si="18"/>
        <v>12596687.415200001</v>
      </c>
      <c r="E259" s="235">
        <f t="shared" si="19"/>
        <v>125966.874152</v>
      </c>
      <c r="F259" s="235">
        <f t="shared" si="20"/>
        <v>12596.687415200002</v>
      </c>
      <c r="G259" s="236">
        <f t="shared" si="21"/>
        <v>138563.5615672</v>
      </c>
      <c r="H259" s="133"/>
      <c r="I259" s="134"/>
      <c r="J259" s="134"/>
      <c r="K259" s="133"/>
      <c r="M259" s="134"/>
    </row>
    <row r="260" spans="1:13" s="132" customFormat="1" ht="12" thickBot="1" x14ac:dyDescent="0.2">
      <c r="A260" s="133"/>
      <c r="B260" s="211">
        <f>SUM(B258:B259)</f>
        <v>909181</v>
      </c>
      <c r="C260" s="221"/>
      <c r="D260" s="237"/>
      <c r="E260" s="242">
        <f>SUM(E258:E259)</f>
        <v>221500.606783</v>
      </c>
      <c r="F260" s="242">
        <f t="shared" ref="F260" si="22">SUM(F258:F259)</f>
        <v>22150.060678300004</v>
      </c>
      <c r="G260" s="242">
        <f t="shared" ref="G260" si="23">SUM(G258:G259)</f>
        <v>243650.66746130001</v>
      </c>
      <c r="H260" s="133"/>
      <c r="J260" s="134"/>
      <c r="K260" s="133"/>
      <c r="M260" s="134"/>
    </row>
    <row r="261" spans="1:13" s="132" customFormat="1" ht="12" thickTop="1" x14ac:dyDescent="0.15">
      <c r="A261" s="133" t="s">
        <v>1854</v>
      </c>
      <c r="B261" s="210">
        <v>463781</v>
      </c>
      <c r="C261" s="221">
        <v>24.7668</v>
      </c>
      <c r="D261" s="237">
        <f t="shared" ref="D261" si="24">+B261*C261</f>
        <v>11486371.2708</v>
      </c>
      <c r="E261" s="235">
        <f t="shared" ref="E261" si="25">+D261*0.01</f>
        <v>114863.71270800001</v>
      </c>
      <c r="F261" s="235">
        <f t="shared" ref="F261" si="26">+E261*0.1</f>
        <v>11486.371270800002</v>
      </c>
      <c r="G261" s="236">
        <f>SUM(E261:F261)</f>
        <v>126350.08397880002</v>
      </c>
      <c r="H261" s="133"/>
      <c r="J261" s="134"/>
      <c r="K261" s="133"/>
      <c r="M261" s="134"/>
    </row>
    <row r="262" spans="1:13" s="132" customFormat="1" ht="12" thickBot="1" x14ac:dyDescent="0.2">
      <c r="A262" s="133"/>
      <c r="B262" s="211">
        <f>SUM(B261)</f>
        <v>463781</v>
      </c>
      <c r="C262" s="221"/>
      <c r="D262" s="237"/>
      <c r="E262" s="242">
        <f>SUM(E261)</f>
        <v>114863.71270800001</v>
      </c>
      <c r="F262" s="242">
        <f t="shared" ref="F262" si="27">SUM(F261)</f>
        <v>11486.371270800002</v>
      </c>
      <c r="G262" s="242">
        <f t="shared" ref="G262" si="28">SUM(G261)</f>
        <v>126350.08397880002</v>
      </c>
      <c r="H262" s="133"/>
      <c r="I262" s="134"/>
      <c r="J262" s="134"/>
      <c r="K262" s="133"/>
      <c r="M262" s="134"/>
    </row>
    <row r="263" spans="1:13" s="132" customFormat="1" ht="12" thickTop="1" x14ac:dyDescent="0.15">
      <c r="A263" s="134"/>
      <c r="B263" s="231"/>
      <c r="D263" s="133"/>
      <c r="E263" s="133"/>
      <c r="F263" s="134"/>
      <c r="H263" s="133"/>
      <c r="J263" s="134"/>
      <c r="K263" s="133"/>
      <c r="M263" s="134"/>
    </row>
    <row r="264" spans="1:13" s="132" customFormat="1" x14ac:dyDescent="0.15">
      <c r="A264" s="134"/>
      <c r="B264" s="131"/>
      <c r="D264" s="133"/>
      <c r="E264" s="133"/>
      <c r="F264" s="134"/>
      <c r="H264" s="133"/>
      <c r="J264" s="134"/>
      <c r="K264" s="133"/>
      <c r="M264" s="134"/>
    </row>
    <row r="265" spans="1:13" s="132" customFormat="1" x14ac:dyDescent="0.15">
      <c r="A265" s="134"/>
      <c r="B265" s="131"/>
      <c r="D265" s="133"/>
      <c r="E265" s="133"/>
      <c r="F265" s="134"/>
      <c r="H265" s="133"/>
      <c r="J265" s="134"/>
      <c r="K265" s="133"/>
      <c r="M265" s="134"/>
    </row>
    <row r="266" spans="1:13" s="132" customFormat="1" x14ac:dyDescent="0.15">
      <c r="A266" s="188"/>
      <c r="B266" s="131"/>
      <c r="D266" s="133"/>
      <c r="E266" s="183"/>
      <c r="F266" s="348"/>
      <c r="G266" s="219"/>
      <c r="H266" s="186"/>
      <c r="J266" s="134"/>
      <c r="K266" s="133"/>
      <c r="M266" s="134"/>
    </row>
    <row r="267" spans="1:13" s="132" customFormat="1" x14ac:dyDescent="0.15">
      <c r="A267" s="247"/>
      <c r="B267" s="131"/>
      <c r="D267" s="133"/>
      <c r="E267" s="183"/>
      <c r="F267" s="348"/>
      <c r="G267" s="219"/>
      <c r="H267" s="186"/>
      <c r="J267" s="134"/>
      <c r="K267" s="133"/>
      <c r="M267" s="134"/>
    </row>
    <row r="268" spans="1:13" s="132" customFormat="1" x14ac:dyDescent="0.15">
      <c r="A268" s="188"/>
      <c r="B268" s="131"/>
      <c r="D268" s="133"/>
      <c r="E268" s="183"/>
      <c r="F268" s="348"/>
      <c r="G268" s="219"/>
      <c r="H268" s="186"/>
      <c r="J268" s="134"/>
      <c r="K268" s="133"/>
      <c r="M268" s="134"/>
    </row>
    <row r="269" spans="1:13" s="132" customFormat="1" x14ac:dyDescent="0.15">
      <c r="A269" s="247"/>
      <c r="B269" s="131"/>
      <c r="D269" s="133"/>
      <c r="E269" s="183"/>
      <c r="F269" s="348"/>
      <c r="G269" s="219"/>
      <c r="H269" s="186"/>
      <c r="J269" s="134"/>
      <c r="K269" s="133"/>
      <c r="M269" s="134"/>
    </row>
    <row r="270" spans="1:13" s="132" customFormat="1" x14ac:dyDescent="0.15">
      <c r="A270" s="247"/>
      <c r="B270" s="131"/>
      <c r="D270" s="133"/>
      <c r="E270" s="183"/>
      <c r="F270" s="348"/>
      <c r="G270" s="219"/>
      <c r="H270" s="186"/>
      <c r="J270" s="134"/>
      <c r="K270" s="133"/>
      <c r="M270" s="134"/>
    </row>
    <row r="271" spans="1:13" s="132" customFormat="1" x14ac:dyDescent="0.15">
      <c r="A271" s="247"/>
      <c r="B271" s="131"/>
      <c r="D271" s="133"/>
      <c r="E271" s="183"/>
      <c r="F271" s="348"/>
      <c r="G271" s="219"/>
      <c r="H271" s="186"/>
      <c r="J271" s="134"/>
      <c r="K271" s="133"/>
      <c r="M271" s="134"/>
    </row>
    <row r="272" spans="1:13" s="132" customFormat="1" x14ac:dyDescent="0.15">
      <c r="A272" s="247"/>
      <c r="B272" s="131"/>
      <c r="D272" s="133"/>
      <c r="E272" s="183"/>
      <c r="F272" s="348"/>
      <c r="G272" s="219"/>
      <c r="H272" s="186"/>
      <c r="J272" s="134"/>
      <c r="K272" s="133"/>
      <c r="M272" s="134"/>
    </row>
    <row r="273" spans="1:15" s="132" customFormat="1" x14ac:dyDescent="0.15">
      <c r="A273" s="247"/>
      <c r="B273" s="131"/>
      <c r="D273" s="133"/>
      <c r="E273" s="183"/>
      <c r="F273" s="348"/>
      <c r="G273" s="219"/>
      <c r="H273" s="186"/>
      <c r="J273" s="134"/>
      <c r="K273" s="133"/>
      <c r="M273" s="134"/>
    </row>
    <row r="274" spans="1:15" s="132" customFormat="1" x14ac:dyDescent="0.15">
      <c r="A274" s="349"/>
      <c r="B274" s="131"/>
      <c r="D274" s="133"/>
      <c r="E274" s="183"/>
      <c r="F274" s="348"/>
      <c r="G274" s="219"/>
      <c r="H274" s="186"/>
      <c r="J274" s="134"/>
      <c r="K274" s="133"/>
      <c r="M274" s="134"/>
    </row>
    <row r="275" spans="1:15" s="133" customFormat="1" x14ac:dyDescent="0.15">
      <c r="A275" s="247"/>
      <c r="B275" s="131"/>
      <c r="C275" s="132"/>
      <c r="E275" s="183"/>
      <c r="F275" s="348"/>
      <c r="G275" s="219"/>
      <c r="H275" s="186"/>
      <c r="I275" s="132"/>
      <c r="J275" s="134"/>
      <c r="L275" s="132"/>
      <c r="M275" s="134"/>
      <c r="N275" s="132"/>
      <c r="O275" s="132"/>
    </row>
    <row r="276" spans="1:15" s="133" customFormat="1" x14ac:dyDescent="0.15">
      <c r="A276" s="349"/>
      <c r="B276" s="131"/>
      <c r="C276" s="132"/>
      <c r="E276" s="183"/>
      <c r="F276" s="348"/>
      <c r="G276" s="219"/>
      <c r="H276" s="186"/>
      <c r="I276" s="132"/>
      <c r="J276" s="134"/>
      <c r="L276" s="132"/>
      <c r="M276" s="134"/>
      <c r="N276" s="132"/>
      <c r="O276" s="132"/>
    </row>
    <row r="277" spans="1:15" x14ac:dyDescent="0.15">
      <c r="A277" s="349"/>
      <c r="E277" s="183"/>
      <c r="F277" s="348"/>
      <c r="G277" s="219"/>
      <c r="H277" s="186"/>
    </row>
    <row r="278" spans="1:15" x14ac:dyDescent="0.15">
      <c r="A278" s="247"/>
      <c r="E278" s="183"/>
      <c r="F278" s="348"/>
      <c r="G278" s="219"/>
      <c r="H278" s="186"/>
    </row>
  </sheetData>
  <mergeCells count="8">
    <mergeCell ref="B220:D220"/>
    <mergeCell ref="B221:D22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74"/>
  <sheetViews>
    <sheetView zoomScale="115" zoomScaleNormal="115" workbookViewId="0">
      <pane ySplit="6" topLeftCell="A189" activePane="bottomLeft" state="frozen"/>
      <selection pane="bottomLeft" activeCell="M219" sqref="M219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3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2.7109375" style="132" bestFit="1" customWidth="1"/>
    <col min="16" max="16384" width="18.5703125" style="134"/>
  </cols>
  <sheetData>
    <row r="1" spans="1:15" x14ac:dyDescent="0.15">
      <c r="A1" s="130" t="s">
        <v>1808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1781</v>
      </c>
      <c r="B7" s="146"/>
      <c r="C7" s="147">
        <v>80573.817962010638</v>
      </c>
      <c r="D7" s="323"/>
      <c r="E7" s="149"/>
      <c r="F7" s="149"/>
      <c r="G7" s="147"/>
      <c r="H7" s="323"/>
      <c r="I7" s="147"/>
      <c r="J7" s="149"/>
      <c r="K7" s="149"/>
      <c r="L7" s="226"/>
      <c r="M7" s="149"/>
      <c r="N7" s="226">
        <f>+C7</f>
        <v>80573.817962010638</v>
      </c>
      <c r="O7" s="147">
        <f>+C218</f>
        <v>663571.21496201062</v>
      </c>
    </row>
    <row r="8" spans="1:15" x14ac:dyDescent="0.15">
      <c r="A8" s="154" t="s">
        <v>1782</v>
      </c>
      <c r="B8" s="151"/>
      <c r="C8" s="152">
        <v>582997.397</v>
      </c>
      <c r="D8" s="323"/>
      <c r="E8" s="154"/>
      <c r="F8" s="154"/>
      <c r="G8" s="152"/>
      <c r="H8" s="323"/>
      <c r="I8" s="152"/>
      <c r="J8" s="154"/>
      <c r="K8" s="156"/>
      <c r="L8" s="227"/>
      <c r="M8" s="154"/>
      <c r="N8" s="227">
        <f>+N7-I8-L8</f>
        <v>80573.817962010638</v>
      </c>
      <c r="O8" s="152">
        <f t="shared" ref="O8:O9" si="0">O7+G8-I8-L8</f>
        <v>663571.21496201062</v>
      </c>
    </row>
    <row r="9" spans="1:15" x14ac:dyDescent="0.15">
      <c r="A9" s="157"/>
      <c r="B9" s="151"/>
      <c r="C9" s="152"/>
      <c r="D9" s="323">
        <v>41671</v>
      </c>
      <c r="E9" s="154" t="s">
        <v>72</v>
      </c>
      <c r="F9" s="157" t="s">
        <v>1782</v>
      </c>
      <c r="G9" s="152">
        <v>88255.14</v>
      </c>
      <c r="H9" s="323">
        <v>41671</v>
      </c>
      <c r="I9" s="152">
        <v>11482.259999999998</v>
      </c>
      <c r="J9" s="154" t="s">
        <v>1781</v>
      </c>
      <c r="K9" s="154" t="s">
        <v>1825</v>
      </c>
      <c r="L9" s="227">
        <v>15326.38</v>
      </c>
      <c r="M9" s="154" t="s">
        <v>1781</v>
      </c>
      <c r="N9" s="227">
        <f t="shared" ref="N9" si="1">+N8-I9-L9</f>
        <v>53765.177962010646</v>
      </c>
      <c r="O9" s="152">
        <f t="shared" si="0"/>
        <v>725017.71496201062</v>
      </c>
    </row>
    <row r="10" spans="1:15" x14ac:dyDescent="0.15">
      <c r="A10" s="154"/>
      <c r="B10" s="151"/>
      <c r="C10" s="152"/>
      <c r="D10" s="323"/>
      <c r="E10" s="154"/>
      <c r="F10" s="154"/>
      <c r="G10" s="152"/>
      <c r="H10" s="323">
        <v>41671</v>
      </c>
      <c r="I10" s="152"/>
      <c r="J10" s="154"/>
      <c r="K10" s="154" t="s">
        <v>1825</v>
      </c>
      <c r="L10" s="227">
        <v>14375.75</v>
      </c>
      <c r="M10" s="154" t="s">
        <v>1781</v>
      </c>
      <c r="N10" s="227">
        <f t="shared" ref="N10:N78" si="2">+N9-I10-L10</f>
        <v>39389.427962010646</v>
      </c>
      <c r="O10" s="152">
        <f t="shared" ref="O10:O78" si="3">O9+G10-I10-L10</f>
        <v>710641.96496201062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>
        <v>41671</v>
      </c>
      <c r="I11" s="152"/>
      <c r="J11" s="154"/>
      <c r="K11" s="154" t="s">
        <v>1825</v>
      </c>
      <c r="L11" s="227">
        <v>8036.83</v>
      </c>
      <c r="M11" s="154" t="s">
        <v>1781</v>
      </c>
      <c r="N11" s="227">
        <f t="shared" si="2"/>
        <v>31352.597962010645</v>
      </c>
      <c r="O11" s="152">
        <f t="shared" si="3"/>
        <v>702605.13496201066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41671</v>
      </c>
      <c r="I12" s="152"/>
      <c r="J12" s="154"/>
      <c r="K12" s="154" t="s">
        <v>1825</v>
      </c>
      <c r="L12" s="227">
        <v>8018.8</v>
      </c>
      <c r="M12" s="154" t="s">
        <v>1781</v>
      </c>
      <c r="N12" s="227">
        <f t="shared" si="2"/>
        <v>23333.797962010645</v>
      </c>
      <c r="O12" s="152">
        <f t="shared" si="3"/>
        <v>694586.33496201062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41671</v>
      </c>
      <c r="I13" s="152"/>
      <c r="J13" s="154"/>
      <c r="K13" s="154" t="s">
        <v>1825</v>
      </c>
      <c r="L13" s="227">
        <v>13641.48</v>
      </c>
      <c r="M13" s="154" t="s">
        <v>1781</v>
      </c>
      <c r="N13" s="227">
        <f t="shared" si="2"/>
        <v>9692.3179620106457</v>
      </c>
      <c r="O13" s="152">
        <f t="shared" si="3"/>
        <v>680944.85496201064</v>
      </c>
    </row>
    <row r="14" spans="1:15" x14ac:dyDescent="0.15">
      <c r="A14" s="154"/>
      <c r="B14" s="151"/>
      <c r="C14" s="152"/>
      <c r="D14" s="323"/>
      <c r="E14" s="155"/>
      <c r="F14" s="157"/>
      <c r="G14" s="152"/>
      <c r="H14" s="323">
        <v>41671</v>
      </c>
      <c r="I14" s="152"/>
      <c r="J14" s="154"/>
      <c r="K14" s="154" t="s">
        <v>1825</v>
      </c>
      <c r="L14" s="227">
        <v>9692.3179620106457</v>
      </c>
      <c r="M14" s="154" t="s">
        <v>1781</v>
      </c>
      <c r="N14" s="227">
        <f t="shared" ref="N14:N18" si="4">+N13-I14-L14</f>
        <v>0</v>
      </c>
      <c r="O14" s="152">
        <f t="shared" ref="O14:O18" si="5">O13+G14-I14-L14</f>
        <v>671252.53700000001</v>
      </c>
    </row>
    <row r="15" spans="1:15" x14ac:dyDescent="0.15">
      <c r="A15" s="154"/>
      <c r="B15" s="151"/>
      <c r="C15" s="152"/>
      <c r="D15" s="323"/>
      <c r="E15" s="155"/>
      <c r="F15" s="157"/>
      <c r="G15" s="152"/>
      <c r="H15" s="323">
        <v>41671</v>
      </c>
      <c r="I15" s="152"/>
      <c r="J15" s="154"/>
      <c r="K15" s="154" t="s">
        <v>1825</v>
      </c>
      <c r="L15" s="227">
        <v>54057.422037989403</v>
      </c>
      <c r="M15" s="157" t="s">
        <v>1782</v>
      </c>
      <c r="N15" s="227">
        <f>C8+G9+G20+N14-I15-L15</f>
        <v>724359.37796201068</v>
      </c>
      <c r="O15" s="152">
        <f t="shared" si="5"/>
        <v>617195.11496201064</v>
      </c>
    </row>
    <row r="16" spans="1:15" x14ac:dyDescent="0.15">
      <c r="A16" s="154"/>
      <c r="B16" s="151"/>
      <c r="C16" s="152"/>
      <c r="D16" s="323"/>
      <c r="E16" s="154"/>
      <c r="F16" s="154"/>
      <c r="G16" s="152"/>
      <c r="H16" s="323">
        <v>41671</v>
      </c>
      <c r="I16" s="152"/>
      <c r="J16" s="154"/>
      <c r="K16" s="154" t="s">
        <v>1825</v>
      </c>
      <c r="L16" s="227">
        <v>76842.27</v>
      </c>
      <c r="M16" s="157" t="s">
        <v>1782</v>
      </c>
      <c r="N16" s="227">
        <f t="shared" si="4"/>
        <v>647517.10796201066</v>
      </c>
      <c r="O16" s="152">
        <f t="shared" si="5"/>
        <v>540352.84496201063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>
        <v>41671</v>
      </c>
      <c r="I17" s="152"/>
      <c r="J17" s="154"/>
      <c r="K17" s="154" t="s">
        <v>1825</v>
      </c>
      <c r="L17" s="227">
        <v>15855.65</v>
      </c>
      <c r="M17" s="157" t="s">
        <v>1782</v>
      </c>
      <c r="N17" s="227">
        <f t="shared" si="4"/>
        <v>631661.45796201064</v>
      </c>
      <c r="O17" s="152">
        <f t="shared" si="5"/>
        <v>524497.1949620106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>
        <v>41671</v>
      </c>
      <c r="I18" s="152"/>
      <c r="J18" s="154"/>
      <c r="K18" s="154" t="s">
        <v>1825</v>
      </c>
      <c r="L18" s="227">
        <v>10456.36</v>
      </c>
      <c r="M18" s="157" t="s">
        <v>1782</v>
      </c>
      <c r="N18" s="227">
        <f t="shared" si="4"/>
        <v>621205.09796201065</v>
      </c>
      <c r="O18" s="152">
        <f t="shared" si="5"/>
        <v>514040.83496201062</v>
      </c>
    </row>
    <row r="19" spans="1:15" x14ac:dyDescent="0.15">
      <c r="A19" s="154"/>
      <c r="B19" s="151"/>
      <c r="C19" s="152"/>
      <c r="D19" s="323"/>
      <c r="E19" s="155"/>
      <c r="F19" s="157"/>
      <c r="G19" s="152"/>
      <c r="H19" s="323">
        <v>41671</v>
      </c>
      <c r="I19" s="152"/>
      <c r="J19" s="154"/>
      <c r="K19" s="154" t="s">
        <v>1825</v>
      </c>
      <c r="L19" s="227">
        <v>34551.019999999997</v>
      </c>
      <c r="M19" s="157" t="s">
        <v>1782</v>
      </c>
      <c r="N19" s="227">
        <f t="shared" si="2"/>
        <v>586654.07796201063</v>
      </c>
      <c r="O19" s="152">
        <f t="shared" si="3"/>
        <v>479489.8149620106</v>
      </c>
    </row>
    <row r="20" spans="1:15" x14ac:dyDescent="0.15">
      <c r="A20" s="154"/>
      <c r="B20" s="151"/>
      <c r="C20" s="152"/>
      <c r="D20" s="323">
        <v>41672</v>
      </c>
      <c r="E20" s="154" t="s">
        <v>72</v>
      </c>
      <c r="F20" s="157" t="s">
        <v>1782</v>
      </c>
      <c r="G20" s="152">
        <v>107164.26299999999</v>
      </c>
      <c r="H20" s="323">
        <v>41672</v>
      </c>
      <c r="I20" s="152">
        <v>2525.33</v>
      </c>
      <c r="J20" s="157" t="s">
        <v>1782</v>
      </c>
      <c r="K20" s="154" t="s">
        <v>1825</v>
      </c>
      <c r="L20" s="227">
        <v>15726.48</v>
      </c>
      <c r="M20" s="157" t="s">
        <v>1782</v>
      </c>
      <c r="N20" s="227">
        <f t="shared" si="2"/>
        <v>568402.26796201069</v>
      </c>
      <c r="O20" s="152">
        <f t="shared" si="3"/>
        <v>568402.26796201069</v>
      </c>
    </row>
    <row r="21" spans="1:15" x14ac:dyDescent="0.15">
      <c r="A21" s="154"/>
      <c r="B21" s="151"/>
      <c r="C21" s="152"/>
      <c r="D21" s="323">
        <v>41672</v>
      </c>
      <c r="E21" s="154" t="s">
        <v>72</v>
      </c>
      <c r="F21" s="157" t="s">
        <v>1809</v>
      </c>
      <c r="G21" s="152">
        <v>184425.413</v>
      </c>
      <c r="H21" s="323">
        <v>41672</v>
      </c>
      <c r="I21" s="152"/>
      <c r="J21" s="154"/>
      <c r="K21" s="154" t="s">
        <v>1825</v>
      </c>
      <c r="L21" s="227">
        <v>16970.490000000002</v>
      </c>
      <c r="M21" s="157" t="s">
        <v>1782</v>
      </c>
      <c r="N21" s="227">
        <f t="shared" si="2"/>
        <v>551431.7779620107</v>
      </c>
      <c r="O21" s="152">
        <f t="shared" si="3"/>
        <v>735857.19096201076</v>
      </c>
    </row>
    <row r="22" spans="1:15" x14ac:dyDescent="0.15">
      <c r="A22" s="154"/>
      <c r="B22" s="151"/>
      <c r="C22" s="152"/>
      <c r="D22" s="323"/>
      <c r="E22" s="155"/>
      <c r="F22" s="157"/>
      <c r="G22" s="152"/>
      <c r="H22" s="323">
        <v>41672</v>
      </c>
      <c r="I22" s="152"/>
      <c r="J22" s="154"/>
      <c r="K22" s="154" t="s">
        <v>1825</v>
      </c>
      <c r="L22" s="227">
        <v>10974.78</v>
      </c>
      <c r="M22" s="157" t="s">
        <v>1782</v>
      </c>
      <c r="N22" s="227">
        <f t="shared" si="2"/>
        <v>540456.99796201068</v>
      </c>
      <c r="O22" s="152">
        <f t="shared" si="3"/>
        <v>724882.41096201073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>
        <v>41672</v>
      </c>
      <c r="I23" s="152"/>
      <c r="J23" s="154"/>
      <c r="K23" s="154" t="s">
        <v>1825</v>
      </c>
      <c r="L23" s="227">
        <v>15225.67</v>
      </c>
      <c r="M23" s="157" t="s">
        <v>1782</v>
      </c>
      <c r="N23" s="227">
        <f t="shared" si="2"/>
        <v>525231.32796201063</v>
      </c>
      <c r="O23" s="152">
        <f t="shared" si="3"/>
        <v>709656.74096201069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>
        <v>41672</v>
      </c>
      <c r="I24" s="152"/>
      <c r="J24" s="157"/>
      <c r="K24" s="154" t="s">
        <v>1825</v>
      </c>
      <c r="L24" s="227">
        <v>16877.34</v>
      </c>
      <c r="M24" s="157" t="s">
        <v>1782</v>
      </c>
      <c r="N24" s="227">
        <f t="shared" si="2"/>
        <v>508353.98796201061</v>
      </c>
      <c r="O24" s="152">
        <f t="shared" si="3"/>
        <v>692779.40096201072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41672</v>
      </c>
      <c r="I25" s="152"/>
      <c r="J25" s="157"/>
      <c r="K25" s="154" t="s">
        <v>1825</v>
      </c>
      <c r="L25" s="227">
        <v>71610.009999999995</v>
      </c>
      <c r="M25" s="157" t="s">
        <v>1782</v>
      </c>
      <c r="N25" s="227">
        <f t="shared" si="2"/>
        <v>436743.9779620106</v>
      </c>
      <c r="O25" s="152">
        <f t="shared" si="3"/>
        <v>621169.39096201072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>
        <v>41672</v>
      </c>
      <c r="I26" s="152"/>
      <c r="J26" s="157"/>
      <c r="K26" s="154" t="s">
        <v>1825</v>
      </c>
      <c r="L26" s="227">
        <v>70614.399999999994</v>
      </c>
      <c r="M26" s="157" t="s">
        <v>1782</v>
      </c>
      <c r="N26" s="227">
        <f t="shared" si="2"/>
        <v>366129.57796201063</v>
      </c>
      <c r="O26" s="152">
        <f t="shared" si="3"/>
        <v>550554.99096201069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>
        <v>41672</v>
      </c>
      <c r="I27" s="152"/>
      <c r="J27" s="157"/>
      <c r="K27" s="154" t="s">
        <v>1825</v>
      </c>
      <c r="L27" s="227">
        <v>76238.64</v>
      </c>
      <c r="M27" s="157" t="s">
        <v>1782</v>
      </c>
      <c r="N27" s="227">
        <f t="shared" si="2"/>
        <v>289890.93796201062</v>
      </c>
      <c r="O27" s="152">
        <f t="shared" si="3"/>
        <v>474316.35096201068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>
        <v>41672</v>
      </c>
      <c r="I28" s="152"/>
      <c r="J28" s="154"/>
      <c r="K28" s="154" t="s">
        <v>1825</v>
      </c>
      <c r="L28" s="227">
        <v>13273.73</v>
      </c>
      <c r="M28" s="157" t="s">
        <v>1782</v>
      </c>
      <c r="N28" s="227">
        <f t="shared" si="2"/>
        <v>276617.20796201064</v>
      </c>
      <c r="O28" s="152">
        <f t="shared" si="3"/>
        <v>461042.6209620107</v>
      </c>
    </row>
    <row r="29" spans="1:15" x14ac:dyDescent="0.15">
      <c r="A29" s="154"/>
      <c r="B29" s="151"/>
      <c r="C29" s="152"/>
      <c r="D29" s="323"/>
      <c r="E29" s="155"/>
      <c r="F29" s="157"/>
      <c r="G29" s="152"/>
      <c r="H29" s="323">
        <v>41672</v>
      </c>
      <c r="I29" s="152"/>
      <c r="J29" s="154"/>
      <c r="K29" s="154" t="s">
        <v>1825</v>
      </c>
      <c r="L29" s="227">
        <v>31115.77</v>
      </c>
      <c r="M29" s="157" t="s">
        <v>1782</v>
      </c>
      <c r="N29" s="227">
        <f t="shared" si="2"/>
        <v>245501.43796201065</v>
      </c>
      <c r="O29" s="152">
        <f t="shared" si="3"/>
        <v>429926.85096201068</v>
      </c>
    </row>
    <row r="30" spans="1:15" x14ac:dyDescent="0.15">
      <c r="A30" s="154"/>
      <c r="B30" s="151"/>
      <c r="C30" s="152"/>
      <c r="D30" s="323"/>
      <c r="E30" s="155"/>
      <c r="F30" s="157"/>
      <c r="G30" s="152"/>
      <c r="H30" s="323">
        <v>41672</v>
      </c>
      <c r="I30" s="152"/>
      <c r="J30" s="154"/>
      <c r="K30" s="154" t="s">
        <v>1825</v>
      </c>
      <c r="L30" s="227">
        <v>10577.36</v>
      </c>
      <c r="M30" s="157" t="s">
        <v>1782</v>
      </c>
      <c r="N30" s="227">
        <f t="shared" si="2"/>
        <v>234924.07796201063</v>
      </c>
      <c r="O30" s="152">
        <f t="shared" si="3"/>
        <v>419349.49096201069</v>
      </c>
    </row>
    <row r="31" spans="1:15" x14ac:dyDescent="0.15">
      <c r="A31" s="154"/>
      <c r="B31" s="151"/>
      <c r="C31" s="152"/>
      <c r="D31" s="323">
        <v>41673</v>
      </c>
      <c r="E31" s="154" t="s">
        <v>72</v>
      </c>
      <c r="F31" s="157" t="s">
        <v>1809</v>
      </c>
      <c r="G31" s="152">
        <v>44061.657999999996</v>
      </c>
      <c r="H31" s="323">
        <v>41673</v>
      </c>
      <c r="I31" s="152">
        <v>8787.34</v>
      </c>
      <c r="J31" s="157" t="s">
        <v>1782</v>
      </c>
      <c r="K31" s="154" t="s">
        <v>1825</v>
      </c>
      <c r="L31" s="227">
        <v>15110.48</v>
      </c>
      <c r="M31" s="157" t="s">
        <v>1782</v>
      </c>
      <c r="N31" s="227">
        <f t="shared" si="2"/>
        <v>211026.25796201063</v>
      </c>
      <c r="O31" s="152">
        <f t="shared" si="3"/>
        <v>439513.32896201068</v>
      </c>
    </row>
    <row r="32" spans="1:15" x14ac:dyDescent="0.15">
      <c r="A32" s="154"/>
      <c r="B32" s="151"/>
      <c r="C32" s="152"/>
      <c r="D32" s="323">
        <v>41673</v>
      </c>
      <c r="E32" s="154" t="s">
        <v>72</v>
      </c>
      <c r="F32" s="157" t="s">
        <v>1810</v>
      </c>
      <c r="G32" s="152">
        <v>132144.56</v>
      </c>
      <c r="H32" s="323">
        <v>41673</v>
      </c>
      <c r="I32" s="152"/>
      <c r="J32" s="157"/>
      <c r="K32" s="154" t="s">
        <v>1825</v>
      </c>
      <c r="L32" s="227">
        <v>14616.68</v>
      </c>
      <c r="M32" s="157" t="s">
        <v>1782</v>
      </c>
      <c r="N32" s="227">
        <f t="shared" si="2"/>
        <v>196409.57796201063</v>
      </c>
      <c r="O32" s="152">
        <f t="shared" si="3"/>
        <v>557041.20896201057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>
        <v>41673</v>
      </c>
      <c r="I33" s="152"/>
      <c r="J33" s="154"/>
      <c r="K33" s="154" t="s">
        <v>1825</v>
      </c>
      <c r="L33" s="227">
        <v>11008.7</v>
      </c>
      <c r="M33" s="157" t="s">
        <v>1782</v>
      </c>
      <c r="N33" s="227">
        <f t="shared" si="2"/>
        <v>185400.87796201062</v>
      </c>
      <c r="O33" s="152">
        <f t="shared" si="3"/>
        <v>546032.50896201062</v>
      </c>
    </row>
    <row r="34" spans="1:15" x14ac:dyDescent="0.15">
      <c r="A34" s="154"/>
      <c r="B34" s="151"/>
      <c r="C34" s="152"/>
      <c r="D34" s="323">
        <v>41674</v>
      </c>
      <c r="E34" s="154" t="s">
        <v>72</v>
      </c>
      <c r="F34" s="157" t="s">
        <v>1810</v>
      </c>
      <c r="G34" s="152">
        <v>132288.505</v>
      </c>
      <c r="H34" s="323">
        <v>41674</v>
      </c>
      <c r="I34" s="152">
        <v>8127.06</v>
      </c>
      <c r="J34" s="157" t="s">
        <v>1782</v>
      </c>
      <c r="K34" s="154" t="s">
        <v>1825</v>
      </c>
      <c r="L34" s="227">
        <v>10636.23</v>
      </c>
      <c r="M34" s="157" t="s">
        <v>1782</v>
      </c>
      <c r="N34" s="227">
        <f t="shared" si="2"/>
        <v>166637.58796201061</v>
      </c>
      <c r="O34" s="152">
        <f t="shared" si="3"/>
        <v>659557.72396201058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>
        <v>41674</v>
      </c>
      <c r="I35" s="152"/>
      <c r="J35" s="157"/>
      <c r="K35" s="154" t="s">
        <v>1825</v>
      </c>
      <c r="L35" s="227">
        <v>15103.47</v>
      </c>
      <c r="M35" s="157" t="s">
        <v>1782</v>
      </c>
      <c r="N35" s="227">
        <f t="shared" si="2"/>
        <v>151534.11796201061</v>
      </c>
      <c r="O35" s="152">
        <f t="shared" si="3"/>
        <v>644454.25396201061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>
        <v>41674</v>
      </c>
      <c r="I36" s="152"/>
      <c r="J36" s="157"/>
      <c r="K36" s="154" t="s">
        <v>1825</v>
      </c>
      <c r="L36" s="227">
        <v>10700.34</v>
      </c>
      <c r="M36" s="157" t="s">
        <v>1782</v>
      </c>
      <c r="N36" s="227">
        <f t="shared" si="2"/>
        <v>140833.77796201062</v>
      </c>
      <c r="O36" s="152">
        <f t="shared" si="3"/>
        <v>633753.91396201064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>
        <v>41674</v>
      </c>
      <c r="I37" s="152"/>
      <c r="J37" s="154"/>
      <c r="K37" s="154" t="s">
        <v>1825</v>
      </c>
      <c r="L37" s="227">
        <v>34445.81</v>
      </c>
      <c r="M37" s="157" t="s">
        <v>1782</v>
      </c>
      <c r="N37" s="227">
        <f t="shared" si="2"/>
        <v>106387.96796201062</v>
      </c>
      <c r="O37" s="152">
        <f t="shared" si="3"/>
        <v>599308.1039620107</v>
      </c>
    </row>
    <row r="38" spans="1:15" x14ac:dyDescent="0.15">
      <c r="A38" s="154"/>
      <c r="B38" s="151"/>
      <c r="C38" s="152"/>
      <c r="D38" s="323"/>
      <c r="E38" s="155"/>
      <c r="F38" s="157"/>
      <c r="G38" s="152"/>
      <c r="H38" s="323">
        <v>41674</v>
      </c>
      <c r="I38" s="152"/>
      <c r="J38" s="154"/>
      <c r="K38" s="154" t="s">
        <v>1825</v>
      </c>
      <c r="L38" s="227">
        <v>10230.19</v>
      </c>
      <c r="M38" s="157" t="s">
        <v>1782</v>
      </c>
      <c r="N38" s="227">
        <f t="shared" si="2"/>
        <v>96157.777962010616</v>
      </c>
      <c r="O38" s="152">
        <f t="shared" si="3"/>
        <v>589077.91396201076</v>
      </c>
    </row>
    <row r="39" spans="1:15" x14ac:dyDescent="0.15">
      <c r="A39" s="154"/>
      <c r="B39" s="151"/>
      <c r="C39" s="152"/>
      <c r="D39" s="323">
        <v>41675</v>
      </c>
      <c r="E39" s="154" t="s">
        <v>72</v>
      </c>
      <c r="F39" s="157" t="s">
        <v>1810</v>
      </c>
      <c r="G39" s="152">
        <v>132159.54399999999</v>
      </c>
      <c r="H39" s="323">
        <v>41675</v>
      </c>
      <c r="I39" s="152">
        <v>6756.42</v>
      </c>
      <c r="J39" s="157" t="s">
        <v>1782</v>
      </c>
      <c r="K39" s="154" t="s">
        <v>1825</v>
      </c>
      <c r="L39" s="227">
        <v>15608.29</v>
      </c>
      <c r="M39" s="157" t="s">
        <v>1782</v>
      </c>
      <c r="N39" s="227">
        <f t="shared" si="2"/>
        <v>73793.067962010624</v>
      </c>
      <c r="O39" s="152">
        <f t="shared" si="3"/>
        <v>698872.74796201068</v>
      </c>
    </row>
    <row r="40" spans="1:15" x14ac:dyDescent="0.15">
      <c r="A40" s="154"/>
      <c r="B40" s="151"/>
      <c r="C40" s="152"/>
      <c r="D40" s="323">
        <v>41675</v>
      </c>
      <c r="E40" s="154" t="s">
        <v>72</v>
      </c>
      <c r="F40" s="157" t="s">
        <v>1811</v>
      </c>
      <c r="G40" s="152">
        <v>132042.954</v>
      </c>
      <c r="H40" s="323">
        <v>41675</v>
      </c>
      <c r="I40" s="152"/>
      <c r="J40" s="154"/>
      <c r="K40" s="154" t="s">
        <v>1825</v>
      </c>
      <c r="L40" s="227">
        <v>15131.52</v>
      </c>
      <c r="M40" s="157" t="s">
        <v>1782</v>
      </c>
      <c r="N40" s="227">
        <f t="shared" si="2"/>
        <v>58661.54796201062</v>
      </c>
      <c r="O40" s="152">
        <f t="shared" si="3"/>
        <v>815784.18196201068</v>
      </c>
    </row>
    <row r="41" spans="1:15" x14ac:dyDescent="0.15">
      <c r="A41" s="154"/>
      <c r="B41" s="151"/>
      <c r="C41" s="152"/>
      <c r="D41" s="323"/>
      <c r="E41" s="155"/>
      <c r="F41" s="157"/>
      <c r="G41" s="152"/>
      <c r="H41" s="323">
        <v>41675</v>
      </c>
      <c r="I41" s="152"/>
      <c r="J41" s="154"/>
      <c r="K41" s="154" t="s">
        <v>1825</v>
      </c>
      <c r="L41" s="227">
        <v>8419.64</v>
      </c>
      <c r="M41" s="157" t="s">
        <v>1782</v>
      </c>
      <c r="N41" s="227">
        <f t="shared" si="2"/>
        <v>50241.90796201062</v>
      </c>
      <c r="O41" s="152">
        <f t="shared" si="3"/>
        <v>807364.54196201067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>
        <v>41675</v>
      </c>
      <c r="I42" s="152"/>
      <c r="J42" s="154"/>
      <c r="K42" s="154" t="s">
        <v>1825</v>
      </c>
      <c r="L42" s="227">
        <v>7569.26</v>
      </c>
      <c r="M42" s="157" t="s">
        <v>1782</v>
      </c>
      <c r="N42" s="227">
        <f t="shared" si="2"/>
        <v>42672.647962010618</v>
      </c>
      <c r="O42" s="152">
        <f t="shared" si="3"/>
        <v>799795.28196201066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>
        <v>41675</v>
      </c>
      <c r="I43" s="152"/>
      <c r="J43" s="154"/>
      <c r="K43" s="154" t="s">
        <v>1825</v>
      </c>
      <c r="L43" s="227">
        <v>13906.53</v>
      </c>
      <c r="M43" s="157" t="s">
        <v>1782</v>
      </c>
      <c r="N43" s="227">
        <f t="shared" si="2"/>
        <v>28766.11796201062</v>
      </c>
      <c r="O43" s="152">
        <f t="shared" si="3"/>
        <v>785888.75196201063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41675</v>
      </c>
      <c r="I44" s="152"/>
      <c r="J44" s="154"/>
      <c r="K44" s="154" t="s">
        <v>1825</v>
      </c>
      <c r="L44" s="227">
        <v>28766.11796201062</v>
      </c>
      <c r="M44" s="157" t="s">
        <v>1782</v>
      </c>
      <c r="N44" s="227">
        <f t="shared" si="2"/>
        <v>0</v>
      </c>
      <c r="O44" s="152">
        <f t="shared" si="3"/>
        <v>757122.63399999996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>
        <v>41675</v>
      </c>
      <c r="I45" s="152"/>
      <c r="J45" s="154"/>
      <c r="K45" s="154" t="s">
        <v>1825</v>
      </c>
      <c r="L45" s="227">
        <v>65586.762037989407</v>
      </c>
      <c r="M45" s="157" t="s">
        <v>1809</v>
      </c>
      <c r="N45" s="227">
        <f>G21+G31+N44-I45-L45</f>
        <v>162900.3089620106</v>
      </c>
      <c r="O45" s="152">
        <f t="shared" ref="O45:O48" si="6">O44+G45-I45-L45</f>
        <v>691535.87196201051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>
        <v>41675</v>
      </c>
      <c r="I46" s="152"/>
      <c r="J46" s="154"/>
      <c r="K46" s="154" t="s">
        <v>1825</v>
      </c>
      <c r="L46" s="227">
        <v>34570.01</v>
      </c>
      <c r="M46" s="157" t="s">
        <v>1809</v>
      </c>
      <c r="N46" s="227">
        <f t="shared" ref="N46:N48" si="7">+N45-I46-L46</f>
        <v>128330.29896201059</v>
      </c>
      <c r="O46" s="152">
        <f t="shared" si="6"/>
        <v>656965.8619620105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>
        <v>41675</v>
      </c>
      <c r="I47" s="152"/>
      <c r="J47" s="157"/>
      <c r="K47" s="154" t="s">
        <v>1825</v>
      </c>
      <c r="L47" s="227">
        <v>77786.03</v>
      </c>
      <c r="M47" s="157" t="s">
        <v>1809</v>
      </c>
      <c r="N47" s="227">
        <f t="shared" si="7"/>
        <v>50544.268962010596</v>
      </c>
      <c r="O47" s="152">
        <f t="shared" si="6"/>
        <v>579179.83196201047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>
        <v>41675</v>
      </c>
      <c r="I48" s="152"/>
      <c r="J48" s="154"/>
      <c r="K48" s="154" t="s">
        <v>1825</v>
      </c>
      <c r="L48" s="227">
        <v>50544.268962010596</v>
      </c>
      <c r="M48" s="157" t="s">
        <v>1809</v>
      </c>
      <c r="N48" s="227">
        <f t="shared" si="7"/>
        <v>0</v>
      </c>
      <c r="O48" s="152">
        <f t="shared" si="6"/>
        <v>528635.56299999985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41675</v>
      </c>
      <c r="I49" s="152"/>
      <c r="J49" s="154"/>
      <c r="K49" s="154" t="s">
        <v>1825</v>
      </c>
      <c r="L49" s="227">
        <v>19168.681037989401</v>
      </c>
      <c r="M49" s="157" t="s">
        <v>1810</v>
      </c>
      <c r="N49" s="227">
        <f>G32+G34+G39+N48-I49-L49</f>
        <v>377423.92796201061</v>
      </c>
      <c r="O49" s="152">
        <f t="shared" ref="O49:O53" si="8">O48+G49-I49-L49</f>
        <v>509466.88196201046</v>
      </c>
    </row>
    <row r="50" spans="1:15" x14ac:dyDescent="0.15">
      <c r="A50" s="154"/>
      <c r="B50" s="151"/>
      <c r="C50" s="152"/>
      <c r="D50" s="323"/>
      <c r="E50" s="155"/>
      <c r="F50" s="157"/>
      <c r="G50" s="152"/>
      <c r="H50" s="323">
        <v>41675</v>
      </c>
      <c r="I50" s="152"/>
      <c r="J50" s="154"/>
      <c r="K50" s="154" t="s">
        <v>1825</v>
      </c>
      <c r="L50" s="227">
        <v>13639.3</v>
      </c>
      <c r="M50" s="157" t="s">
        <v>1810</v>
      </c>
      <c r="N50" s="227">
        <f t="shared" ref="N50:N53" si="9">+N49-I50-L50</f>
        <v>363784.62796201062</v>
      </c>
      <c r="O50" s="152">
        <f t="shared" si="8"/>
        <v>495827.58196201047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>
        <v>41675</v>
      </c>
      <c r="I51" s="152"/>
      <c r="J51" s="157"/>
      <c r="K51" s="154" t="s">
        <v>1825</v>
      </c>
      <c r="L51" s="227">
        <v>9832.98</v>
      </c>
      <c r="M51" s="157" t="s">
        <v>1810</v>
      </c>
      <c r="N51" s="227">
        <f t="shared" si="9"/>
        <v>353951.64796201064</v>
      </c>
      <c r="O51" s="152">
        <f t="shared" si="8"/>
        <v>485994.60196201049</v>
      </c>
    </row>
    <row r="52" spans="1:15" x14ac:dyDescent="0.15">
      <c r="A52" s="154"/>
      <c r="B52" s="151"/>
      <c r="C52" s="152"/>
      <c r="D52" s="323">
        <v>41676</v>
      </c>
      <c r="E52" s="154" t="s">
        <v>72</v>
      </c>
      <c r="F52" s="157" t="s">
        <v>1811</v>
      </c>
      <c r="G52" s="152">
        <v>44056.599000000017</v>
      </c>
      <c r="H52" s="323">
        <v>41676</v>
      </c>
      <c r="I52" s="152">
        <v>6473.3200000000006</v>
      </c>
      <c r="J52" s="157" t="s">
        <v>1810</v>
      </c>
      <c r="K52" s="154" t="s">
        <v>1825</v>
      </c>
      <c r="L52" s="227">
        <v>15767.54</v>
      </c>
      <c r="M52" s="157" t="s">
        <v>1810</v>
      </c>
      <c r="N52" s="227">
        <f t="shared" si="9"/>
        <v>331710.78796201065</v>
      </c>
      <c r="O52" s="152">
        <f t="shared" si="8"/>
        <v>507810.34096201055</v>
      </c>
    </row>
    <row r="53" spans="1:15" x14ac:dyDescent="0.15">
      <c r="A53" s="154"/>
      <c r="B53" s="151"/>
      <c r="C53" s="152"/>
      <c r="D53" s="323">
        <v>41676</v>
      </c>
      <c r="E53" s="154" t="s">
        <v>72</v>
      </c>
      <c r="F53" s="157" t="s">
        <v>1812</v>
      </c>
      <c r="G53" s="152">
        <v>220253.391</v>
      </c>
      <c r="H53" s="323">
        <v>41676</v>
      </c>
      <c r="I53" s="152"/>
      <c r="J53" s="157"/>
      <c r="K53" s="154" t="s">
        <v>1825</v>
      </c>
      <c r="L53" s="227">
        <v>8863.36</v>
      </c>
      <c r="M53" s="157" t="s">
        <v>1810</v>
      </c>
      <c r="N53" s="227">
        <f t="shared" si="9"/>
        <v>322847.42796201067</v>
      </c>
      <c r="O53" s="152">
        <f t="shared" si="8"/>
        <v>719200.37196201051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>
        <v>41676</v>
      </c>
      <c r="I54" s="152"/>
      <c r="J54" s="157"/>
      <c r="K54" s="154" t="s">
        <v>1825</v>
      </c>
      <c r="L54" s="227">
        <v>15874.72</v>
      </c>
      <c r="M54" s="157" t="s">
        <v>1810</v>
      </c>
      <c r="N54" s="227">
        <f t="shared" si="2"/>
        <v>306972.7079620107</v>
      </c>
      <c r="O54" s="152">
        <f t="shared" si="3"/>
        <v>703325.65196201054</v>
      </c>
    </row>
    <row r="55" spans="1:15" x14ac:dyDescent="0.15">
      <c r="A55" s="154"/>
      <c r="B55" s="151"/>
      <c r="C55" s="152"/>
      <c r="D55" s="323"/>
      <c r="E55" s="155"/>
      <c r="F55" s="157"/>
      <c r="G55" s="152"/>
      <c r="H55" s="323">
        <v>41676</v>
      </c>
      <c r="I55" s="152"/>
      <c r="J55" s="154"/>
      <c r="K55" s="154" t="s">
        <v>1825</v>
      </c>
      <c r="L55" s="227">
        <v>8234.34</v>
      </c>
      <c r="M55" s="157" t="s">
        <v>1810</v>
      </c>
      <c r="N55" s="227">
        <f t="shared" si="2"/>
        <v>298738.36796201067</v>
      </c>
      <c r="O55" s="152">
        <f t="shared" si="3"/>
        <v>695091.31196201057</v>
      </c>
    </row>
    <row r="56" spans="1:15" x14ac:dyDescent="0.15">
      <c r="A56" s="154"/>
      <c r="B56" s="151"/>
      <c r="C56" s="152"/>
      <c r="D56" s="323"/>
      <c r="E56" s="155"/>
      <c r="F56" s="157"/>
      <c r="G56" s="152"/>
      <c r="H56" s="323">
        <v>41676</v>
      </c>
      <c r="I56" s="152"/>
      <c r="J56" s="154"/>
      <c r="K56" s="154" t="s">
        <v>1825</v>
      </c>
      <c r="L56" s="227">
        <v>14472.44</v>
      </c>
      <c r="M56" s="157" t="s">
        <v>1810</v>
      </c>
      <c r="N56" s="227">
        <f t="shared" si="2"/>
        <v>284265.92796201067</v>
      </c>
      <c r="O56" s="152">
        <f t="shared" si="3"/>
        <v>680618.87196201063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41676</v>
      </c>
      <c r="I57" s="152"/>
      <c r="J57" s="157"/>
      <c r="K57" s="154" t="s">
        <v>1825</v>
      </c>
      <c r="L57" s="227">
        <v>12876.86</v>
      </c>
      <c r="M57" s="157" t="s">
        <v>1810</v>
      </c>
      <c r="N57" s="227">
        <f t="shared" si="2"/>
        <v>271389.06796201068</v>
      </c>
      <c r="O57" s="152">
        <f t="shared" si="3"/>
        <v>667742.01196201064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>
        <v>41676</v>
      </c>
      <c r="I58" s="152"/>
      <c r="J58" s="154"/>
      <c r="K58" s="154" t="s">
        <v>1825</v>
      </c>
      <c r="L58" s="227">
        <v>15944.83</v>
      </c>
      <c r="M58" s="157" t="s">
        <v>1810</v>
      </c>
      <c r="N58" s="227">
        <f t="shared" si="2"/>
        <v>255444.23796201069</v>
      </c>
      <c r="O58" s="152">
        <f t="shared" si="3"/>
        <v>651797.18196201068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>
        <v>41676</v>
      </c>
      <c r="I59" s="152"/>
      <c r="J59" s="157"/>
      <c r="K59" s="154" t="s">
        <v>1825</v>
      </c>
      <c r="L59" s="227">
        <v>77826.070000000007</v>
      </c>
      <c r="M59" s="157" t="s">
        <v>1810</v>
      </c>
      <c r="N59" s="227">
        <f t="shared" si="2"/>
        <v>177618.16796201069</v>
      </c>
      <c r="O59" s="152">
        <f t="shared" si="3"/>
        <v>573971.11196201062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>
        <v>41676</v>
      </c>
      <c r="I60" s="152"/>
      <c r="J60" s="154"/>
      <c r="K60" s="154" t="s">
        <v>1825</v>
      </c>
      <c r="L60" s="227">
        <v>93821.98</v>
      </c>
      <c r="M60" s="157" t="s">
        <v>1810</v>
      </c>
      <c r="N60" s="227">
        <f t="shared" si="2"/>
        <v>83796.187962010692</v>
      </c>
      <c r="O60" s="152">
        <f t="shared" si="3"/>
        <v>480149.13196201064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>
        <v>41676</v>
      </c>
      <c r="I61" s="152"/>
      <c r="J61" s="157"/>
      <c r="K61" s="154" t="s">
        <v>1825</v>
      </c>
      <c r="L61" s="227">
        <v>34087.279999999999</v>
      </c>
      <c r="M61" s="157" t="s">
        <v>1810</v>
      </c>
      <c r="N61" s="227">
        <f t="shared" si="2"/>
        <v>49708.907962010693</v>
      </c>
      <c r="O61" s="152">
        <f t="shared" si="3"/>
        <v>446061.85196201061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>
        <v>41676</v>
      </c>
      <c r="I62" s="152"/>
      <c r="J62" s="154"/>
      <c r="K62" s="154" t="s">
        <v>1825</v>
      </c>
      <c r="L62" s="227">
        <v>10234.19</v>
      </c>
      <c r="M62" s="157" t="s">
        <v>1810</v>
      </c>
      <c r="N62" s="227">
        <f t="shared" si="2"/>
        <v>39474.717962010691</v>
      </c>
      <c r="O62" s="152">
        <f t="shared" si="3"/>
        <v>435827.66196201061</v>
      </c>
    </row>
    <row r="63" spans="1:15" x14ac:dyDescent="0.15">
      <c r="A63" s="154"/>
      <c r="B63" s="151"/>
      <c r="C63" s="152"/>
      <c r="D63" s="323">
        <v>41677</v>
      </c>
      <c r="E63" s="154" t="s">
        <v>72</v>
      </c>
      <c r="F63" s="157" t="s">
        <v>1776</v>
      </c>
      <c r="G63" s="152">
        <v>220428.878</v>
      </c>
      <c r="H63" s="323">
        <v>41677</v>
      </c>
      <c r="I63" s="152">
        <v>8583.82</v>
      </c>
      <c r="J63" s="157" t="s">
        <v>1810</v>
      </c>
      <c r="K63" s="154" t="s">
        <v>1825</v>
      </c>
      <c r="L63" s="227">
        <v>14906.15</v>
      </c>
      <c r="M63" s="157" t="s">
        <v>1810</v>
      </c>
      <c r="N63" s="227">
        <f t="shared" si="2"/>
        <v>15984.747962010691</v>
      </c>
      <c r="O63" s="152">
        <f t="shared" si="3"/>
        <v>632766.5699620106</v>
      </c>
    </row>
    <row r="64" spans="1:15" x14ac:dyDescent="0.15">
      <c r="A64" s="154"/>
      <c r="B64" s="151"/>
      <c r="C64" s="152"/>
      <c r="D64" s="323"/>
      <c r="E64" s="155"/>
      <c r="F64" s="157"/>
      <c r="G64" s="152"/>
      <c r="H64" s="323">
        <v>41677</v>
      </c>
      <c r="I64" s="152"/>
      <c r="J64" s="154"/>
      <c r="K64" s="154" t="s">
        <v>1825</v>
      </c>
      <c r="L64" s="227">
        <v>9557.48</v>
      </c>
      <c r="M64" s="157" t="s">
        <v>1810</v>
      </c>
      <c r="N64" s="227">
        <f t="shared" si="2"/>
        <v>6427.2679620106919</v>
      </c>
      <c r="O64" s="152">
        <f t="shared" si="3"/>
        <v>623209.08996201062</v>
      </c>
    </row>
    <row r="65" spans="1:15" x14ac:dyDescent="0.15">
      <c r="A65" s="154"/>
      <c r="B65" s="151"/>
      <c r="C65" s="152"/>
      <c r="D65" s="323"/>
      <c r="E65" s="155"/>
      <c r="F65" s="157"/>
      <c r="G65" s="152"/>
      <c r="H65" s="323">
        <v>41677</v>
      </c>
      <c r="I65" s="152"/>
      <c r="J65" s="154"/>
      <c r="K65" s="154" t="s">
        <v>1825</v>
      </c>
      <c r="L65" s="227">
        <v>6427.2679620106919</v>
      </c>
      <c r="M65" s="157" t="s">
        <v>1810</v>
      </c>
      <c r="N65" s="227">
        <f t="shared" ref="N65:N70" si="10">+N64-I65-L65</f>
        <v>0</v>
      </c>
      <c r="O65" s="152">
        <f t="shared" ref="O65:O70" si="11">O64+G65-I65-L65</f>
        <v>616781.82199999993</v>
      </c>
    </row>
    <row r="66" spans="1:15" x14ac:dyDescent="0.15">
      <c r="A66" s="154"/>
      <c r="B66" s="151"/>
      <c r="C66" s="152"/>
      <c r="D66" s="323"/>
      <c r="E66" s="155"/>
      <c r="F66" s="157"/>
      <c r="G66" s="152"/>
      <c r="H66" s="323">
        <v>41677</v>
      </c>
      <c r="I66" s="152"/>
      <c r="J66" s="154"/>
      <c r="K66" s="154" t="s">
        <v>1825</v>
      </c>
      <c r="L66" s="227">
        <v>8601.07203798931</v>
      </c>
      <c r="M66" s="157" t="s">
        <v>1811</v>
      </c>
      <c r="N66" s="227">
        <f>G40+G52+N65-I66-L66</f>
        <v>167498.48096201071</v>
      </c>
      <c r="O66" s="152">
        <f t="shared" si="11"/>
        <v>608180.74996201065</v>
      </c>
    </row>
    <row r="67" spans="1:15" x14ac:dyDescent="0.15">
      <c r="A67" s="154"/>
      <c r="B67" s="151"/>
      <c r="C67" s="152"/>
      <c r="D67" s="323"/>
      <c r="E67" s="155"/>
      <c r="F67" s="157"/>
      <c r="G67" s="152"/>
      <c r="H67" s="323">
        <v>41677</v>
      </c>
      <c r="I67" s="152"/>
      <c r="J67" s="154"/>
      <c r="K67" s="154" t="s">
        <v>1825</v>
      </c>
      <c r="L67" s="227">
        <v>35187</v>
      </c>
      <c r="M67" s="157" t="s">
        <v>1811</v>
      </c>
      <c r="N67" s="227">
        <f t="shared" si="10"/>
        <v>132311.48096201071</v>
      </c>
      <c r="O67" s="152">
        <f t="shared" si="11"/>
        <v>572993.74996201065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>
        <v>41677</v>
      </c>
      <c r="I68" s="152"/>
      <c r="J68" s="157"/>
      <c r="K68" s="154" t="s">
        <v>1825</v>
      </c>
      <c r="L68" s="227">
        <v>13907.05</v>
      </c>
      <c r="M68" s="157" t="s">
        <v>1811</v>
      </c>
      <c r="N68" s="227">
        <f t="shared" si="10"/>
        <v>118404.43096201071</v>
      </c>
      <c r="O68" s="152">
        <f t="shared" si="11"/>
        <v>559086.69996201061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>
        <v>41677</v>
      </c>
      <c r="I69" s="152"/>
      <c r="J69" s="157"/>
      <c r="K69" s="154" t="s">
        <v>1825</v>
      </c>
      <c r="L69" s="227">
        <v>85293.23</v>
      </c>
      <c r="M69" s="157" t="s">
        <v>1811</v>
      </c>
      <c r="N69" s="227">
        <f t="shared" si="10"/>
        <v>33111.200962010713</v>
      </c>
      <c r="O69" s="152">
        <f t="shared" si="11"/>
        <v>473793.46996201063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>
        <v>41677</v>
      </c>
      <c r="I70" s="152"/>
      <c r="J70" s="154"/>
      <c r="K70" s="154" t="s">
        <v>1825</v>
      </c>
      <c r="L70" s="227">
        <v>10335.24</v>
      </c>
      <c r="M70" s="157" t="s">
        <v>1811</v>
      </c>
      <c r="N70" s="227">
        <f t="shared" si="10"/>
        <v>22775.960962010715</v>
      </c>
      <c r="O70" s="152">
        <f t="shared" si="11"/>
        <v>463458.22996201064</v>
      </c>
    </row>
    <row r="71" spans="1:15" x14ac:dyDescent="0.15">
      <c r="A71" s="154"/>
      <c r="B71" s="151"/>
      <c r="C71" s="152"/>
      <c r="D71" s="323">
        <v>41678</v>
      </c>
      <c r="E71" s="154" t="s">
        <v>72</v>
      </c>
      <c r="F71" s="157" t="s">
        <v>1776</v>
      </c>
      <c r="G71" s="152">
        <v>44066.486999999994</v>
      </c>
      <c r="H71" s="323">
        <v>41678</v>
      </c>
      <c r="I71" s="152">
        <v>11072.779999999999</v>
      </c>
      <c r="J71" s="157" t="s">
        <v>1811</v>
      </c>
      <c r="K71" s="154" t="s">
        <v>1825</v>
      </c>
      <c r="L71" s="227">
        <v>11703.180962010716</v>
      </c>
      <c r="M71" s="157" t="s">
        <v>1811</v>
      </c>
      <c r="N71" s="227">
        <f t="shared" si="2"/>
        <v>0</v>
      </c>
      <c r="O71" s="152">
        <f t="shared" si="3"/>
        <v>484748.75599999988</v>
      </c>
    </row>
    <row r="72" spans="1:15" x14ac:dyDescent="0.15">
      <c r="A72" s="154"/>
      <c r="B72" s="151"/>
      <c r="C72" s="152"/>
      <c r="D72" s="323">
        <v>41678</v>
      </c>
      <c r="E72" s="154" t="s">
        <v>72</v>
      </c>
      <c r="F72" s="157" t="s">
        <v>1813</v>
      </c>
      <c r="G72" s="152">
        <v>176103.152</v>
      </c>
      <c r="H72" s="323">
        <v>41678</v>
      </c>
      <c r="I72" s="152"/>
      <c r="J72" s="157"/>
      <c r="K72" s="154" t="s">
        <v>1826</v>
      </c>
      <c r="L72" s="227">
        <v>2246.4190379892798</v>
      </c>
      <c r="M72" s="157" t="s">
        <v>1812</v>
      </c>
      <c r="N72" s="227">
        <f>G53+N71-I72-L72</f>
        <v>218006.97196201072</v>
      </c>
      <c r="O72" s="152">
        <f t="shared" ref="O72:O76" si="12">O71+G72-I72-L72</f>
        <v>658605.4889620106</v>
      </c>
    </row>
    <row r="73" spans="1:15" x14ac:dyDescent="0.15">
      <c r="A73" s="154"/>
      <c r="B73" s="151"/>
      <c r="C73" s="152"/>
      <c r="D73" s="323"/>
      <c r="E73" s="155"/>
      <c r="F73" s="157"/>
      <c r="G73" s="152"/>
      <c r="H73" s="323">
        <v>41678</v>
      </c>
      <c r="I73" s="152"/>
      <c r="J73" s="157"/>
      <c r="K73" s="154" t="s">
        <v>1826</v>
      </c>
      <c r="L73" s="227">
        <v>15034.36</v>
      </c>
      <c r="M73" s="157" t="s">
        <v>1812</v>
      </c>
      <c r="N73" s="227">
        <f t="shared" ref="N73:N76" si="13">+N72-I73-L73</f>
        <v>202972.61196201073</v>
      </c>
      <c r="O73" s="152">
        <f t="shared" si="12"/>
        <v>643571.12896201061</v>
      </c>
    </row>
    <row r="74" spans="1:15" x14ac:dyDescent="0.15">
      <c r="A74" s="154"/>
      <c r="B74" s="151"/>
      <c r="C74" s="152"/>
      <c r="D74" s="323"/>
      <c r="E74" s="155"/>
      <c r="F74" s="157"/>
      <c r="G74" s="152"/>
      <c r="H74" s="323">
        <v>41678</v>
      </c>
      <c r="I74" s="152"/>
      <c r="J74" s="154"/>
      <c r="K74" s="154" t="s">
        <v>1826</v>
      </c>
      <c r="L74" s="227">
        <v>35367.300000000003</v>
      </c>
      <c r="M74" s="157" t="s">
        <v>1812</v>
      </c>
      <c r="N74" s="227">
        <f t="shared" si="13"/>
        <v>167605.31196201075</v>
      </c>
      <c r="O74" s="152">
        <f t="shared" si="12"/>
        <v>608203.82896201056</v>
      </c>
    </row>
    <row r="75" spans="1:15" x14ac:dyDescent="0.15">
      <c r="A75" s="154"/>
      <c r="B75" s="151"/>
      <c r="C75" s="152"/>
      <c r="D75" s="323"/>
      <c r="E75" s="155"/>
      <c r="F75" s="157"/>
      <c r="G75" s="152"/>
      <c r="H75" s="323">
        <v>41678</v>
      </c>
      <c r="I75" s="152"/>
      <c r="J75" s="154"/>
      <c r="K75" s="154" t="s">
        <v>1826</v>
      </c>
      <c r="L75" s="227">
        <v>68726.34</v>
      </c>
      <c r="M75" s="157" t="s">
        <v>1812</v>
      </c>
      <c r="N75" s="227">
        <f t="shared" si="13"/>
        <v>98878.97196201075</v>
      </c>
      <c r="O75" s="152">
        <f t="shared" si="12"/>
        <v>539477.4889620106</v>
      </c>
    </row>
    <row r="76" spans="1:15" x14ac:dyDescent="0.15">
      <c r="A76" s="154"/>
      <c r="B76" s="151"/>
      <c r="C76" s="152"/>
      <c r="D76" s="323"/>
      <c r="E76" s="155"/>
      <c r="F76" s="157"/>
      <c r="G76" s="152"/>
      <c r="H76" s="323">
        <v>41678</v>
      </c>
      <c r="I76" s="152"/>
      <c r="J76" s="154"/>
      <c r="K76" s="154" t="s">
        <v>1826</v>
      </c>
      <c r="L76" s="227">
        <v>79829.33</v>
      </c>
      <c r="M76" s="157" t="s">
        <v>1812</v>
      </c>
      <c r="N76" s="227">
        <f t="shared" si="13"/>
        <v>19049.641962010748</v>
      </c>
      <c r="O76" s="152">
        <f t="shared" si="12"/>
        <v>459648.15896201058</v>
      </c>
    </row>
    <row r="77" spans="1:15" x14ac:dyDescent="0.15">
      <c r="A77" s="154"/>
      <c r="B77" s="151"/>
      <c r="C77" s="152"/>
      <c r="D77" s="323"/>
      <c r="E77" s="155"/>
      <c r="F77" s="157"/>
      <c r="G77" s="152"/>
      <c r="H77" s="323">
        <v>41678</v>
      </c>
      <c r="I77" s="152"/>
      <c r="J77" s="154"/>
      <c r="K77" s="154" t="s">
        <v>1826</v>
      </c>
      <c r="L77" s="227">
        <v>1216.6199999999999</v>
      </c>
      <c r="M77" s="157" t="s">
        <v>1812</v>
      </c>
      <c r="N77" s="227">
        <f t="shared" si="2"/>
        <v>17833.021962010749</v>
      </c>
      <c r="O77" s="152">
        <f t="shared" si="3"/>
        <v>458431.53896201059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>
        <v>41678</v>
      </c>
      <c r="I78" s="152"/>
      <c r="J78" s="157"/>
      <c r="K78" s="154" t="s">
        <v>1826</v>
      </c>
      <c r="L78" s="227">
        <v>270.14</v>
      </c>
      <c r="M78" s="157" t="s">
        <v>1812</v>
      </c>
      <c r="N78" s="227">
        <f t="shared" si="2"/>
        <v>17562.88196201075</v>
      </c>
      <c r="O78" s="152">
        <f t="shared" si="3"/>
        <v>458161.39896201057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>
        <v>41678</v>
      </c>
      <c r="I79" s="152"/>
      <c r="J79" s="157"/>
      <c r="K79" s="154" t="s">
        <v>1826</v>
      </c>
      <c r="L79" s="227">
        <v>13053.62</v>
      </c>
      <c r="M79" s="157" t="s">
        <v>1812</v>
      </c>
      <c r="N79" s="227">
        <f t="shared" ref="N79:N143" si="14">+N78-I79-L79</f>
        <v>4509.2619620107489</v>
      </c>
      <c r="O79" s="152">
        <f t="shared" ref="O79:O143" si="15">O78+G79-I79-L79</f>
        <v>445107.77896201058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>
        <v>41678</v>
      </c>
      <c r="I80" s="152"/>
      <c r="J80" s="154"/>
      <c r="K80" s="154" t="s">
        <v>1826</v>
      </c>
      <c r="L80" s="227">
        <v>4509.2619620107489</v>
      </c>
      <c r="M80" s="157" t="s">
        <v>1812</v>
      </c>
      <c r="N80" s="227">
        <f t="shared" ref="N80:N85" si="16">+N79-I80-L80</f>
        <v>0</v>
      </c>
      <c r="O80" s="152">
        <f t="shared" ref="O80:O85" si="17">O79+G80-I80-L80</f>
        <v>440598.51699999982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>
        <v>41678</v>
      </c>
      <c r="I81" s="152"/>
      <c r="J81" s="154"/>
      <c r="K81" s="154" t="s">
        <v>1826</v>
      </c>
      <c r="L81" s="227">
        <v>6220.1780379892498</v>
      </c>
      <c r="M81" s="157" t="s">
        <v>1776</v>
      </c>
      <c r="N81" s="227">
        <f>G63+G71+N80-I81-L81</f>
        <v>258275.18696201075</v>
      </c>
      <c r="O81" s="152">
        <f t="shared" si="17"/>
        <v>434378.33896201057</v>
      </c>
    </row>
    <row r="82" spans="1:15" x14ac:dyDescent="0.15">
      <c r="A82" s="154"/>
      <c r="B82" s="151"/>
      <c r="C82" s="152"/>
      <c r="D82" s="323">
        <v>41679</v>
      </c>
      <c r="E82" s="154" t="s">
        <v>72</v>
      </c>
      <c r="F82" s="157" t="s">
        <v>1813</v>
      </c>
      <c r="G82" s="152">
        <v>251093.34600000002</v>
      </c>
      <c r="H82" s="323">
        <v>41679</v>
      </c>
      <c r="I82" s="152">
        <v>9943.99</v>
      </c>
      <c r="J82" s="157" t="s">
        <v>1776</v>
      </c>
      <c r="K82" s="154" t="s">
        <v>1826</v>
      </c>
      <c r="L82" s="227">
        <v>15447.02</v>
      </c>
      <c r="M82" s="157" t="s">
        <v>1776</v>
      </c>
      <c r="N82" s="227">
        <f t="shared" si="16"/>
        <v>232884.17696201077</v>
      </c>
      <c r="O82" s="152">
        <f t="shared" si="17"/>
        <v>660080.67496201058</v>
      </c>
    </row>
    <row r="83" spans="1:15" x14ac:dyDescent="0.15">
      <c r="A83" s="154"/>
      <c r="B83" s="151"/>
      <c r="C83" s="152"/>
      <c r="D83" s="323"/>
      <c r="E83" s="155"/>
      <c r="F83" s="157"/>
      <c r="G83" s="152"/>
      <c r="H83" s="323">
        <v>41679</v>
      </c>
      <c r="I83" s="152"/>
      <c r="J83" s="157"/>
      <c r="K83" s="154" t="s">
        <v>1826</v>
      </c>
      <c r="L83" s="227">
        <v>13855.44</v>
      </c>
      <c r="M83" s="157" t="s">
        <v>1776</v>
      </c>
      <c r="N83" s="227">
        <f t="shared" si="16"/>
        <v>219028.73696201076</v>
      </c>
      <c r="O83" s="152">
        <f t="shared" si="17"/>
        <v>646225.23496201064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>
        <v>41679</v>
      </c>
      <c r="I84" s="152"/>
      <c r="J84" s="157"/>
      <c r="K84" s="154" t="s">
        <v>1826</v>
      </c>
      <c r="L84" s="227">
        <v>14041.75</v>
      </c>
      <c r="M84" s="157" t="s">
        <v>1776</v>
      </c>
      <c r="N84" s="227">
        <f t="shared" si="16"/>
        <v>204986.98696201076</v>
      </c>
      <c r="O84" s="152">
        <f t="shared" si="17"/>
        <v>632183.48496201064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>
        <v>41679</v>
      </c>
      <c r="I85" s="152"/>
      <c r="J85" s="157"/>
      <c r="K85" s="154" t="s">
        <v>1826</v>
      </c>
      <c r="L85" s="227">
        <v>12331.98</v>
      </c>
      <c r="M85" s="157" t="s">
        <v>1776</v>
      </c>
      <c r="N85" s="227">
        <f t="shared" si="16"/>
        <v>192655.00696201075</v>
      </c>
      <c r="O85" s="152">
        <f t="shared" si="17"/>
        <v>619851.50496201066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>
        <v>41679</v>
      </c>
      <c r="I86" s="152"/>
      <c r="J86" s="157"/>
      <c r="K86" s="154" t="s">
        <v>1826</v>
      </c>
      <c r="L86" s="227">
        <v>11301.31</v>
      </c>
      <c r="M86" s="157" t="s">
        <v>1776</v>
      </c>
      <c r="N86" s="227">
        <f t="shared" si="14"/>
        <v>181353.69696201076</v>
      </c>
      <c r="O86" s="152">
        <f t="shared" si="15"/>
        <v>608550.1949620106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>
        <v>41679</v>
      </c>
      <c r="I87" s="152"/>
      <c r="J87" s="157"/>
      <c r="K87" s="154" t="s">
        <v>1826</v>
      </c>
      <c r="L87" s="152">
        <v>14473.45</v>
      </c>
      <c r="M87" s="157" t="s">
        <v>1776</v>
      </c>
      <c r="N87" s="227">
        <f t="shared" si="14"/>
        <v>166880.24696201074</v>
      </c>
      <c r="O87" s="152">
        <f t="shared" si="15"/>
        <v>594076.74496201065</v>
      </c>
    </row>
    <row r="88" spans="1:15" x14ac:dyDescent="0.15">
      <c r="A88" s="154"/>
      <c r="B88" s="151"/>
      <c r="C88" s="152"/>
      <c r="D88" s="323"/>
      <c r="E88" s="154"/>
      <c r="F88" s="154"/>
      <c r="G88" s="152"/>
      <c r="H88" s="323">
        <v>41679</v>
      </c>
      <c r="I88" s="152"/>
      <c r="J88" s="157"/>
      <c r="K88" s="154" t="s">
        <v>1826</v>
      </c>
      <c r="L88" s="227">
        <v>73438.97</v>
      </c>
      <c r="M88" s="157" t="s">
        <v>1776</v>
      </c>
      <c r="N88" s="227">
        <f t="shared" si="14"/>
        <v>93441.276962010743</v>
      </c>
      <c r="O88" s="152">
        <f t="shared" si="15"/>
        <v>520637.77496201068</v>
      </c>
    </row>
    <row r="89" spans="1:15" x14ac:dyDescent="0.15">
      <c r="A89" s="154"/>
      <c r="B89" s="151"/>
      <c r="C89" s="152"/>
      <c r="D89" s="323"/>
      <c r="E89" s="155"/>
      <c r="F89" s="154"/>
      <c r="G89" s="152"/>
      <c r="H89" s="323">
        <v>41679</v>
      </c>
      <c r="I89" s="152"/>
      <c r="J89" s="157"/>
      <c r="K89" s="154" t="s">
        <v>1826</v>
      </c>
      <c r="L89" s="227">
        <v>77555.63</v>
      </c>
      <c r="M89" s="157" t="s">
        <v>1776</v>
      </c>
      <c r="N89" s="227">
        <f t="shared" si="14"/>
        <v>15885.646962010738</v>
      </c>
      <c r="O89" s="152">
        <f t="shared" si="15"/>
        <v>443082.14496201067</v>
      </c>
    </row>
    <row r="90" spans="1:15" x14ac:dyDescent="0.15">
      <c r="A90" s="154"/>
      <c r="B90" s="151"/>
      <c r="C90" s="152"/>
      <c r="D90" s="323"/>
      <c r="E90" s="155"/>
      <c r="F90" s="154"/>
      <c r="G90" s="152"/>
      <c r="H90" s="323">
        <v>41679</v>
      </c>
      <c r="I90" s="152"/>
      <c r="J90" s="157"/>
      <c r="K90" s="154" t="s">
        <v>1826</v>
      </c>
      <c r="L90" s="227">
        <v>15885.646962010738</v>
      </c>
      <c r="M90" s="157" t="s">
        <v>1776</v>
      </c>
      <c r="N90" s="227">
        <f t="shared" ref="N90:N94" si="18">+N89-I90-L90</f>
        <v>0</v>
      </c>
      <c r="O90" s="152">
        <f t="shared" ref="O90:O94" si="19">O89+G90-I90-L90</f>
        <v>427196.49799999991</v>
      </c>
    </row>
    <row r="91" spans="1:15" x14ac:dyDescent="0.15">
      <c r="A91" s="154"/>
      <c r="B91" s="151"/>
      <c r="C91" s="152"/>
      <c r="D91" s="323"/>
      <c r="E91" s="155"/>
      <c r="F91" s="154"/>
      <c r="G91" s="152"/>
      <c r="H91" s="323">
        <v>41679</v>
      </c>
      <c r="I91" s="152"/>
      <c r="J91" s="157"/>
      <c r="K91" s="154" t="s">
        <v>1826</v>
      </c>
      <c r="L91" s="227">
        <v>63358.723037989301</v>
      </c>
      <c r="M91" s="157" t="s">
        <v>1813</v>
      </c>
      <c r="N91" s="227">
        <f>G72+G82+G93+N90-I91-L91</f>
        <v>495956.22696201067</v>
      </c>
      <c r="O91" s="152">
        <f t="shared" si="19"/>
        <v>363837.77496201062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>
        <v>41679</v>
      </c>
      <c r="I92" s="152"/>
      <c r="J92" s="157"/>
      <c r="K92" s="154" t="s">
        <v>1826</v>
      </c>
      <c r="L92" s="227">
        <v>10096.120000000001</v>
      </c>
      <c r="M92" s="157" t="s">
        <v>1813</v>
      </c>
      <c r="N92" s="227">
        <f t="shared" si="18"/>
        <v>485860.10696201067</v>
      </c>
      <c r="O92" s="152">
        <f t="shared" si="19"/>
        <v>353741.65496201062</v>
      </c>
    </row>
    <row r="93" spans="1:15" x14ac:dyDescent="0.15">
      <c r="A93" s="154"/>
      <c r="B93" s="151"/>
      <c r="C93" s="152"/>
      <c r="D93" s="323">
        <v>41680</v>
      </c>
      <c r="E93" s="154" t="s">
        <v>72</v>
      </c>
      <c r="F93" s="157" t="s">
        <v>1813</v>
      </c>
      <c r="G93" s="152">
        <v>132118.45199999993</v>
      </c>
      <c r="H93" s="323">
        <v>41680</v>
      </c>
      <c r="I93" s="152">
        <v>9664.6699999999983</v>
      </c>
      <c r="J93" s="157" t="s">
        <v>1813</v>
      </c>
      <c r="K93" s="154" t="s">
        <v>1826</v>
      </c>
      <c r="L93" s="227">
        <v>15310.25</v>
      </c>
      <c r="M93" s="157" t="s">
        <v>1813</v>
      </c>
      <c r="N93" s="227">
        <f t="shared" si="18"/>
        <v>460885.18696201069</v>
      </c>
      <c r="O93" s="152">
        <f t="shared" si="19"/>
        <v>460885.18696201057</v>
      </c>
    </row>
    <row r="94" spans="1:15" x14ac:dyDescent="0.15">
      <c r="A94" s="154"/>
      <c r="B94" s="151"/>
      <c r="C94" s="152"/>
      <c r="D94" s="323">
        <v>41680</v>
      </c>
      <c r="E94" s="154" t="s">
        <v>72</v>
      </c>
      <c r="F94" s="157" t="s">
        <v>1814</v>
      </c>
      <c r="G94" s="152">
        <v>172111.69500000001</v>
      </c>
      <c r="H94" s="323">
        <v>41680</v>
      </c>
      <c r="I94" s="152"/>
      <c r="J94" s="157"/>
      <c r="K94" s="154" t="s">
        <v>1826</v>
      </c>
      <c r="L94" s="227">
        <v>14665.27</v>
      </c>
      <c r="M94" s="157" t="s">
        <v>1813</v>
      </c>
      <c r="N94" s="227">
        <f t="shared" si="18"/>
        <v>446219.91696201067</v>
      </c>
      <c r="O94" s="152">
        <f t="shared" si="19"/>
        <v>618331.61196201062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>
        <v>41680</v>
      </c>
      <c r="I95" s="152"/>
      <c r="J95" s="157"/>
      <c r="K95" s="154" t="s">
        <v>1826</v>
      </c>
      <c r="L95" s="227">
        <v>12410.29</v>
      </c>
      <c r="M95" s="157" t="s">
        <v>1813</v>
      </c>
      <c r="N95" s="227">
        <f t="shared" si="14"/>
        <v>433809.62696201069</v>
      </c>
      <c r="O95" s="152">
        <f t="shared" si="15"/>
        <v>605921.32196201058</v>
      </c>
    </row>
    <row r="96" spans="1:15" x14ac:dyDescent="0.15">
      <c r="A96" s="154"/>
      <c r="B96" s="151"/>
      <c r="C96" s="152"/>
      <c r="D96" s="323"/>
      <c r="E96" s="155"/>
      <c r="F96" s="157"/>
      <c r="G96" s="152"/>
      <c r="H96" s="323">
        <v>41680</v>
      </c>
      <c r="I96" s="152"/>
      <c r="J96" s="154"/>
      <c r="K96" s="154" t="s">
        <v>1826</v>
      </c>
      <c r="L96" s="227">
        <v>8269.19</v>
      </c>
      <c r="M96" s="157" t="s">
        <v>1813</v>
      </c>
      <c r="N96" s="227">
        <f t="shared" si="14"/>
        <v>425540.43696201069</v>
      </c>
      <c r="O96" s="152">
        <f t="shared" si="15"/>
        <v>597652.13196201064</v>
      </c>
    </row>
    <row r="97" spans="1:15" x14ac:dyDescent="0.15">
      <c r="A97" s="154"/>
      <c r="B97" s="151"/>
      <c r="C97" s="152"/>
      <c r="D97" s="323">
        <v>41681</v>
      </c>
      <c r="E97" s="154" t="s">
        <v>72</v>
      </c>
      <c r="F97" s="157" t="s">
        <v>1814</v>
      </c>
      <c r="G97" s="152">
        <v>44021.001999999979</v>
      </c>
      <c r="H97" s="323">
        <v>41681</v>
      </c>
      <c r="I97" s="152">
        <v>5785.52</v>
      </c>
      <c r="J97" s="157" t="s">
        <v>1813</v>
      </c>
      <c r="K97" s="154" t="s">
        <v>1826</v>
      </c>
      <c r="L97" s="227">
        <v>14561.11</v>
      </c>
      <c r="M97" s="157" t="s">
        <v>1813</v>
      </c>
      <c r="N97" s="227">
        <f t="shared" si="14"/>
        <v>405193.80696201068</v>
      </c>
      <c r="O97" s="152">
        <f t="shared" si="15"/>
        <v>621326.50396201061</v>
      </c>
    </row>
    <row r="98" spans="1:15" x14ac:dyDescent="0.15">
      <c r="A98" s="154"/>
      <c r="B98" s="151"/>
      <c r="C98" s="152"/>
      <c r="D98" s="323">
        <v>41681</v>
      </c>
      <c r="E98" s="154" t="s">
        <v>72</v>
      </c>
      <c r="F98" s="157" t="s">
        <v>1815</v>
      </c>
      <c r="G98" s="152">
        <v>88082.202999999994</v>
      </c>
      <c r="H98" s="323">
        <v>41681</v>
      </c>
      <c r="I98" s="152"/>
      <c r="J98" s="157"/>
      <c r="K98" s="154" t="s">
        <v>1826</v>
      </c>
      <c r="L98" s="227">
        <v>36655.660000000003</v>
      </c>
      <c r="M98" s="157" t="s">
        <v>1813</v>
      </c>
      <c r="N98" s="227">
        <f t="shared" si="14"/>
        <v>368538.14696201065</v>
      </c>
      <c r="O98" s="152">
        <f t="shared" si="15"/>
        <v>672753.04696201056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>
        <v>41681</v>
      </c>
      <c r="I99" s="152"/>
      <c r="J99" s="157"/>
      <c r="K99" s="154" t="s">
        <v>1826</v>
      </c>
      <c r="L99" s="227">
        <v>24074.560000000001</v>
      </c>
      <c r="M99" s="157" t="s">
        <v>1813</v>
      </c>
      <c r="N99" s="227">
        <f t="shared" si="14"/>
        <v>344463.58696201065</v>
      </c>
      <c r="O99" s="152">
        <f t="shared" si="15"/>
        <v>648678.4869620105</v>
      </c>
    </row>
    <row r="100" spans="1:15" x14ac:dyDescent="0.15">
      <c r="A100" s="154"/>
      <c r="B100" s="151"/>
      <c r="C100" s="152"/>
      <c r="D100" s="323"/>
      <c r="E100" s="155"/>
      <c r="F100" s="157"/>
      <c r="G100" s="152"/>
      <c r="H100" s="323">
        <v>41681</v>
      </c>
      <c r="I100" s="152"/>
      <c r="J100" s="157"/>
      <c r="K100" s="154" t="s">
        <v>1826</v>
      </c>
      <c r="L100" s="227">
        <v>16021.74</v>
      </c>
      <c r="M100" s="157" t="s">
        <v>1813</v>
      </c>
      <c r="N100" s="227">
        <f t="shared" si="14"/>
        <v>328441.84696201066</v>
      </c>
      <c r="O100" s="152">
        <f t="shared" si="15"/>
        <v>632656.74696201051</v>
      </c>
    </row>
    <row r="101" spans="1:15" x14ac:dyDescent="0.15">
      <c r="A101" s="154"/>
      <c r="B101" s="151"/>
      <c r="C101" s="152"/>
      <c r="D101" s="323"/>
      <c r="E101" s="155"/>
      <c r="F101" s="157"/>
      <c r="G101" s="152"/>
      <c r="H101" s="323">
        <v>41681</v>
      </c>
      <c r="I101" s="152"/>
      <c r="J101" s="157"/>
      <c r="K101" s="154" t="s">
        <v>1826</v>
      </c>
      <c r="L101" s="227">
        <v>10014.09</v>
      </c>
      <c r="M101" s="157" t="s">
        <v>1813</v>
      </c>
      <c r="N101" s="227">
        <f t="shared" si="14"/>
        <v>318427.75696201064</v>
      </c>
      <c r="O101" s="152">
        <f t="shared" si="15"/>
        <v>622642.65696201054</v>
      </c>
    </row>
    <row r="102" spans="1:15" x14ac:dyDescent="0.15">
      <c r="A102" s="154"/>
      <c r="B102" s="151"/>
      <c r="C102" s="152"/>
      <c r="D102" s="323">
        <v>41682</v>
      </c>
      <c r="E102" s="154" t="s">
        <v>72</v>
      </c>
      <c r="F102" s="157" t="s">
        <v>1815</v>
      </c>
      <c r="G102" s="152">
        <v>263888.86599999998</v>
      </c>
      <c r="H102" s="323">
        <v>41682</v>
      </c>
      <c r="I102" s="152">
        <v>8610.7200000000012</v>
      </c>
      <c r="J102" s="157" t="s">
        <v>1813</v>
      </c>
      <c r="K102" s="154" t="s">
        <v>1826</v>
      </c>
      <c r="L102" s="227">
        <v>10952.74</v>
      </c>
      <c r="M102" s="157" t="s">
        <v>1813</v>
      </c>
      <c r="N102" s="227">
        <f t="shared" si="14"/>
        <v>298864.29696201067</v>
      </c>
      <c r="O102" s="152">
        <f t="shared" si="15"/>
        <v>866968.0629620105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>
        <v>41682</v>
      </c>
      <c r="I103" s="152"/>
      <c r="J103" s="157"/>
      <c r="K103" s="154" t="s">
        <v>1826</v>
      </c>
      <c r="L103" s="227">
        <v>99290.84</v>
      </c>
      <c r="M103" s="157" t="s">
        <v>1813</v>
      </c>
      <c r="N103" s="227">
        <f t="shared" si="14"/>
        <v>199573.45696201068</v>
      </c>
      <c r="O103" s="152">
        <f t="shared" si="15"/>
        <v>767677.22296201054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>
        <v>41682</v>
      </c>
      <c r="I104" s="152"/>
      <c r="J104" s="157"/>
      <c r="K104" s="154" t="s">
        <v>1826</v>
      </c>
      <c r="L104" s="227">
        <v>34913.56</v>
      </c>
      <c r="M104" s="157" t="s">
        <v>1813</v>
      </c>
      <c r="N104" s="227">
        <f t="shared" si="14"/>
        <v>164659.89696201068</v>
      </c>
      <c r="O104" s="152">
        <f t="shared" si="15"/>
        <v>732763.6629620106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>
        <v>41682</v>
      </c>
      <c r="I105" s="152"/>
      <c r="J105" s="157"/>
      <c r="K105" s="154" t="s">
        <v>1826</v>
      </c>
      <c r="L105" s="227">
        <v>77124.94</v>
      </c>
      <c r="M105" s="157" t="s">
        <v>1813</v>
      </c>
      <c r="N105" s="227">
        <f t="shared" si="14"/>
        <v>87534.956962010678</v>
      </c>
      <c r="O105" s="152">
        <f t="shared" si="15"/>
        <v>655638.72296201065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>
        <v>41682</v>
      </c>
      <c r="I106" s="152"/>
      <c r="J106" s="157"/>
      <c r="K106" s="154" t="s">
        <v>1826</v>
      </c>
      <c r="L106" s="227">
        <v>63789.33</v>
      </c>
      <c r="M106" s="157" t="s">
        <v>1813</v>
      </c>
      <c r="N106" s="227">
        <f t="shared" si="14"/>
        <v>23745.626962010676</v>
      </c>
      <c r="O106" s="152">
        <f t="shared" si="15"/>
        <v>591849.39296201069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>
        <v>41682</v>
      </c>
      <c r="I107" s="152"/>
      <c r="J107" s="157"/>
      <c r="K107" s="154" t="s">
        <v>1826</v>
      </c>
      <c r="L107" s="227">
        <v>23745.626962010676</v>
      </c>
      <c r="M107" s="157" t="s">
        <v>1813</v>
      </c>
      <c r="N107" s="227">
        <f t="shared" ref="N107:N112" si="20">+N106-I107-L107</f>
        <v>0</v>
      </c>
      <c r="O107" s="152">
        <f t="shared" ref="O107:O112" si="21">O106+G107-I107-L107</f>
        <v>568103.76600000006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>
        <v>41682</v>
      </c>
      <c r="I108" s="152"/>
      <c r="J108" s="157"/>
      <c r="K108" s="154" t="s">
        <v>1826</v>
      </c>
      <c r="L108" s="227">
        <v>56544.4330379893</v>
      </c>
      <c r="M108" s="157" t="s">
        <v>1814</v>
      </c>
      <c r="N108" s="227">
        <f>G94+G97+N107-I108-L108</f>
        <v>159588.26396201068</v>
      </c>
      <c r="O108" s="152">
        <f t="shared" si="21"/>
        <v>511559.33296201075</v>
      </c>
    </row>
    <row r="109" spans="1:15" x14ac:dyDescent="0.15">
      <c r="A109" s="154"/>
      <c r="B109" s="151"/>
      <c r="C109" s="152"/>
      <c r="D109" s="323"/>
      <c r="E109" s="155"/>
      <c r="F109" s="157"/>
      <c r="G109" s="152"/>
      <c r="H109" s="323">
        <v>41682</v>
      </c>
      <c r="I109" s="152"/>
      <c r="J109" s="157"/>
      <c r="K109" s="154" t="s">
        <v>1826</v>
      </c>
      <c r="L109" s="227">
        <v>13248.72</v>
      </c>
      <c r="M109" s="157" t="s">
        <v>1814</v>
      </c>
      <c r="N109" s="227">
        <f t="shared" si="20"/>
        <v>146339.54396201068</v>
      </c>
      <c r="O109" s="152">
        <f t="shared" si="21"/>
        <v>498310.61296201078</v>
      </c>
    </row>
    <row r="110" spans="1:15" x14ac:dyDescent="0.15">
      <c r="A110" s="154"/>
      <c r="B110" s="151"/>
      <c r="C110" s="152"/>
      <c r="D110" s="323"/>
      <c r="E110" s="155"/>
      <c r="F110" s="157"/>
      <c r="G110" s="152"/>
      <c r="H110" s="323">
        <v>41682</v>
      </c>
      <c r="I110" s="152"/>
      <c r="J110" s="157"/>
      <c r="K110" s="154" t="s">
        <v>1826</v>
      </c>
      <c r="L110" s="227">
        <v>10654.4</v>
      </c>
      <c r="M110" s="157" t="s">
        <v>1814</v>
      </c>
      <c r="N110" s="227">
        <f t="shared" si="20"/>
        <v>135685.14396201068</v>
      </c>
      <c r="O110" s="152">
        <f t="shared" si="21"/>
        <v>487656.21296201076</v>
      </c>
    </row>
    <row r="111" spans="1:15" x14ac:dyDescent="0.15">
      <c r="A111" s="154"/>
      <c r="B111" s="151"/>
      <c r="C111" s="152"/>
      <c r="D111" s="323">
        <v>41683</v>
      </c>
      <c r="E111" s="154" t="s">
        <v>72</v>
      </c>
      <c r="F111" s="157" t="s">
        <v>1816</v>
      </c>
      <c r="G111" s="152">
        <v>263931.46999999997</v>
      </c>
      <c r="H111" s="323">
        <v>41683</v>
      </c>
      <c r="I111" s="152">
        <v>6368.23</v>
      </c>
      <c r="J111" s="157" t="s">
        <v>1814</v>
      </c>
      <c r="K111" s="154" t="s">
        <v>1826</v>
      </c>
      <c r="L111" s="227">
        <v>11471.23</v>
      </c>
      <c r="M111" s="157" t="s">
        <v>1814</v>
      </c>
      <c r="N111" s="227">
        <f t="shared" si="20"/>
        <v>117845.68396201069</v>
      </c>
      <c r="O111" s="152">
        <f t="shared" si="21"/>
        <v>733748.22296201077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>
        <v>41683</v>
      </c>
      <c r="I112" s="152"/>
      <c r="J112" s="157"/>
      <c r="K112" s="154" t="s">
        <v>1826</v>
      </c>
      <c r="L112" s="227">
        <v>15030.35</v>
      </c>
      <c r="M112" s="157" t="s">
        <v>1814</v>
      </c>
      <c r="N112" s="227">
        <f t="shared" si="20"/>
        <v>102815.33396201069</v>
      </c>
      <c r="O112" s="152">
        <f t="shared" si="21"/>
        <v>718717.87296201079</v>
      </c>
    </row>
    <row r="113" spans="1:15" x14ac:dyDescent="0.15">
      <c r="A113" s="154"/>
      <c r="B113" s="151"/>
      <c r="C113" s="152"/>
      <c r="D113" s="323"/>
      <c r="E113" s="155"/>
      <c r="F113" s="157"/>
      <c r="G113" s="152"/>
      <c r="H113" s="323">
        <v>41683</v>
      </c>
      <c r="I113" s="152"/>
      <c r="J113" s="154"/>
      <c r="K113" s="154" t="s">
        <v>1826</v>
      </c>
      <c r="L113" s="227">
        <v>35036.76</v>
      </c>
      <c r="M113" s="157" t="s">
        <v>1814</v>
      </c>
      <c r="N113" s="227">
        <f t="shared" si="14"/>
        <v>67778.573962010676</v>
      </c>
      <c r="O113" s="152">
        <f t="shared" si="15"/>
        <v>683681.11296201078</v>
      </c>
    </row>
    <row r="114" spans="1:15" x14ac:dyDescent="0.15">
      <c r="A114" s="154"/>
      <c r="B114" s="151"/>
      <c r="C114" s="152"/>
      <c r="D114" s="323"/>
      <c r="E114" s="155"/>
      <c r="F114" s="157"/>
      <c r="G114" s="152"/>
      <c r="H114" s="323">
        <v>41683</v>
      </c>
      <c r="I114" s="152"/>
      <c r="J114" s="157"/>
      <c r="K114" s="154" t="s">
        <v>1826</v>
      </c>
      <c r="L114" s="227">
        <v>67778.573962010676</v>
      </c>
      <c r="M114" s="157" t="s">
        <v>1814</v>
      </c>
      <c r="N114" s="227">
        <f t="shared" ref="N114:N118" si="22">+N113-I114-L114</f>
        <v>0</v>
      </c>
      <c r="O114" s="152">
        <f t="shared" ref="O114:O118" si="23">O113+G114-I114-L114</f>
        <v>615902.53900000011</v>
      </c>
    </row>
    <row r="115" spans="1:15" x14ac:dyDescent="0.15">
      <c r="A115" s="154"/>
      <c r="B115" s="151"/>
      <c r="C115" s="152"/>
      <c r="D115" s="323"/>
      <c r="E115" s="155"/>
      <c r="F115" s="157"/>
      <c r="G115" s="152"/>
      <c r="H115" s="323">
        <v>41683</v>
      </c>
      <c r="I115" s="152"/>
      <c r="J115" s="157"/>
      <c r="K115" s="154" t="s">
        <v>1827</v>
      </c>
      <c r="L115" s="227">
        <v>28878.0060379893</v>
      </c>
      <c r="M115" s="157" t="s">
        <v>1815</v>
      </c>
      <c r="N115" s="227">
        <f>G98+G102+N114-I115-L115</f>
        <v>323093.06296201068</v>
      </c>
      <c r="O115" s="152">
        <f t="shared" si="23"/>
        <v>587024.53296201082</v>
      </c>
    </row>
    <row r="116" spans="1:15" x14ac:dyDescent="0.15">
      <c r="A116" s="154"/>
      <c r="B116" s="151"/>
      <c r="C116" s="152"/>
      <c r="D116" s="323"/>
      <c r="E116" s="155"/>
      <c r="F116" s="157"/>
      <c r="G116" s="152"/>
      <c r="H116" s="323">
        <v>41683</v>
      </c>
      <c r="I116" s="152"/>
      <c r="J116" s="157"/>
      <c r="K116" s="154" t="s">
        <v>1827</v>
      </c>
      <c r="L116" s="227">
        <v>71936.460000000006</v>
      </c>
      <c r="M116" s="157" t="s">
        <v>1815</v>
      </c>
      <c r="N116" s="227">
        <f t="shared" si="22"/>
        <v>251156.60296201066</v>
      </c>
      <c r="O116" s="152">
        <f t="shared" si="23"/>
        <v>515088.0729620108</v>
      </c>
    </row>
    <row r="117" spans="1:15" x14ac:dyDescent="0.15">
      <c r="A117" s="154"/>
      <c r="B117" s="151"/>
      <c r="C117" s="152"/>
      <c r="D117" s="323"/>
      <c r="E117" s="155"/>
      <c r="F117" s="157"/>
      <c r="G117" s="152"/>
      <c r="H117" s="323">
        <v>41683</v>
      </c>
      <c r="I117" s="152"/>
      <c r="J117" s="157"/>
      <c r="K117" s="154" t="s">
        <v>1827</v>
      </c>
      <c r="L117" s="227">
        <v>11346.75</v>
      </c>
      <c r="M117" s="157" t="s">
        <v>1815</v>
      </c>
      <c r="N117" s="227">
        <f t="shared" si="22"/>
        <v>239809.85296201066</v>
      </c>
      <c r="O117" s="152">
        <f t="shared" si="23"/>
        <v>503741.3229620108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>
        <v>41683</v>
      </c>
      <c r="I118" s="152"/>
      <c r="J118" s="157"/>
      <c r="K118" s="154" t="s">
        <v>1827</v>
      </c>
      <c r="L118" s="227">
        <v>9724.93</v>
      </c>
      <c r="M118" s="157" t="s">
        <v>1815</v>
      </c>
      <c r="N118" s="227">
        <f t="shared" si="22"/>
        <v>230084.92296201066</v>
      </c>
      <c r="O118" s="152">
        <f t="shared" si="23"/>
        <v>494016.39296201081</v>
      </c>
    </row>
    <row r="119" spans="1:15" x14ac:dyDescent="0.15">
      <c r="A119" s="154"/>
      <c r="B119" s="151"/>
      <c r="C119" s="152"/>
      <c r="D119" s="323">
        <v>41684</v>
      </c>
      <c r="E119" s="154" t="s">
        <v>72</v>
      </c>
      <c r="F119" s="157" t="s">
        <v>1817</v>
      </c>
      <c r="G119" s="152">
        <v>219961.31400000001</v>
      </c>
      <c r="H119" s="323">
        <v>41684</v>
      </c>
      <c r="I119" s="152">
        <v>8745.0499999999993</v>
      </c>
      <c r="J119" s="157" t="s">
        <v>1815</v>
      </c>
      <c r="K119" s="154" t="s">
        <v>1827</v>
      </c>
      <c r="L119" s="227">
        <v>13718.22</v>
      </c>
      <c r="M119" s="157" t="s">
        <v>1815</v>
      </c>
      <c r="N119" s="227">
        <f t="shared" si="14"/>
        <v>207621.65296201067</v>
      </c>
      <c r="O119" s="152">
        <f t="shared" si="15"/>
        <v>691514.4369620108</v>
      </c>
    </row>
    <row r="120" spans="1:15" x14ac:dyDescent="0.15">
      <c r="A120" s="154"/>
      <c r="B120" s="151"/>
      <c r="C120" s="152"/>
      <c r="D120" s="323"/>
      <c r="E120" s="155"/>
      <c r="F120" s="157"/>
      <c r="G120" s="152"/>
      <c r="H120" s="323">
        <v>41684</v>
      </c>
      <c r="I120" s="152"/>
      <c r="J120" s="154"/>
      <c r="K120" s="154" t="s">
        <v>1827</v>
      </c>
      <c r="L120" s="227">
        <v>687.35</v>
      </c>
      <c r="M120" s="157" t="s">
        <v>1815</v>
      </c>
      <c r="N120" s="227">
        <f t="shared" si="14"/>
        <v>206934.30296201067</v>
      </c>
      <c r="O120" s="152">
        <f t="shared" si="15"/>
        <v>690827.08696201083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>
        <v>41684</v>
      </c>
      <c r="I121" s="152"/>
      <c r="J121" s="157"/>
      <c r="K121" s="154" t="s">
        <v>1827</v>
      </c>
      <c r="L121" s="227">
        <v>33977.22</v>
      </c>
      <c r="M121" s="157" t="s">
        <v>1815</v>
      </c>
      <c r="N121" s="227">
        <f t="shared" si="14"/>
        <v>172957.08296201067</v>
      </c>
      <c r="O121" s="152">
        <f t="shared" si="15"/>
        <v>656849.86696201086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>
        <v>41684</v>
      </c>
      <c r="I122" s="152"/>
      <c r="J122" s="157"/>
      <c r="K122" s="154" t="s">
        <v>1827</v>
      </c>
      <c r="L122" s="227">
        <v>12129.15</v>
      </c>
      <c r="M122" s="157" t="s">
        <v>1815</v>
      </c>
      <c r="N122" s="227">
        <f t="shared" si="14"/>
        <v>160827.93296201067</v>
      </c>
      <c r="O122" s="152">
        <f t="shared" si="15"/>
        <v>644720.71696201083</v>
      </c>
    </row>
    <row r="123" spans="1:15" x14ac:dyDescent="0.15">
      <c r="A123" s="154"/>
      <c r="B123" s="151"/>
      <c r="C123" s="152"/>
      <c r="D123" s="323">
        <v>41685</v>
      </c>
      <c r="E123" s="154" t="s">
        <v>72</v>
      </c>
      <c r="F123" s="157" t="s">
        <v>1817</v>
      </c>
      <c r="G123" s="152">
        <v>132101.27799999999</v>
      </c>
      <c r="H123" s="323">
        <v>41685</v>
      </c>
      <c r="I123" s="152">
        <v>7010.35</v>
      </c>
      <c r="J123" s="157" t="s">
        <v>1815</v>
      </c>
      <c r="K123" s="154" t="s">
        <v>1827</v>
      </c>
      <c r="L123" s="227">
        <v>66217.25</v>
      </c>
      <c r="M123" s="157" t="s">
        <v>1815</v>
      </c>
      <c r="N123" s="227">
        <f t="shared" si="14"/>
        <v>87600.332962010667</v>
      </c>
      <c r="O123" s="152">
        <f t="shared" si="15"/>
        <v>703594.39496201079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>
        <v>41685</v>
      </c>
      <c r="I124" s="152"/>
      <c r="J124" s="157"/>
      <c r="K124" s="154" t="s">
        <v>1827</v>
      </c>
      <c r="L124" s="227">
        <v>75198.789999999994</v>
      </c>
      <c r="M124" s="157" t="s">
        <v>1815</v>
      </c>
      <c r="N124" s="227">
        <f t="shared" si="14"/>
        <v>12401.542962010673</v>
      </c>
      <c r="O124" s="152">
        <f t="shared" si="15"/>
        <v>628395.60496201075</v>
      </c>
    </row>
    <row r="125" spans="1:15" x14ac:dyDescent="0.15">
      <c r="A125" s="154"/>
      <c r="B125" s="151"/>
      <c r="C125" s="152"/>
      <c r="D125" s="323"/>
      <c r="E125" s="155"/>
      <c r="F125" s="157"/>
      <c r="G125" s="152"/>
      <c r="H125" s="323">
        <v>41685</v>
      </c>
      <c r="I125" s="152"/>
      <c r="J125" s="154"/>
      <c r="K125" s="154" t="s">
        <v>1827</v>
      </c>
      <c r="L125" s="227">
        <v>12401.542962010673</v>
      </c>
      <c r="M125" s="157" t="s">
        <v>1815</v>
      </c>
      <c r="N125" s="227">
        <f t="shared" ref="N125:N129" si="24">+N124-I125-L125</f>
        <v>0</v>
      </c>
      <c r="O125" s="152">
        <f t="shared" ref="O125:O129" si="25">O124+G125-I125-L125</f>
        <v>615994.06200000003</v>
      </c>
    </row>
    <row r="126" spans="1:15" x14ac:dyDescent="0.15">
      <c r="A126" s="154"/>
      <c r="B126" s="151"/>
      <c r="C126" s="152"/>
      <c r="D126" s="323"/>
      <c r="E126" s="155"/>
      <c r="F126" s="157"/>
      <c r="G126" s="152"/>
      <c r="H126" s="323">
        <v>41685</v>
      </c>
      <c r="I126" s="152"/>
      <c r="J126" s="154"/>
      <c r="K126" s="154" t="s">
        <v>1825</v>
      </c>
      <c r="L126" s="227">
        <v>21345.5570379893</v>
      </c>
      <c r="M126" s="157" t="s">
        <v>1816</v>
      </c>
      <c r="N126" s="227">
        <f>G111+N125-I126-L126</f>
        <v>242585.91296201068</v>
      </c>
      <c r="O126" s="152">
        <f t="shared" si="25"/>
        <v>594648.50496201077</v>
      </c>
    </row>
    <row r="127" spans="1:15" x14ac:dyDescent="0.15">
      <c r="A127" s="154"/>
      <c r="B127" s="151"/>
      <c r="C127" s="152"/>
      <c r="D127" s="323"/>
      <c r="E127" s="155"/>
      <c r="F127" s="157"/>
      <c r="G127" s="152"/>
      <c r="H127" s="323">
        <v>41685</v>
      </c>
      <c r="I127" s="152"/>
      <c r="J127" s="154"/>
      <c r="K127" s="154" t="s">
        <v>1825</v>
      </c>
      <c r="L127" s="227">
        <v>9455.7900000000009</v>
      </c>
      <c r="M127" s="157" t="s">
        <v>1816</v>
      </c>
      <c r="N127" s="227">
        <f t="shared" si="24"/>
        <v>233130.12296201068</v>
      </c>
      <c r="O127" s="152">
        <f t="shared" si="25"/>
        <v>585192.71496201074</v>
      </c>
    </row>
    <row r="128" spans="1:15" x14ac:dyDescent="0.15">
      <c r="A128" s="154"/>
      <c r="B128" s="151"/>
      <c r="C128" s="152"/>
      <c r="D128" s="323">
        <v>41686</v>
      </c>
      <c r="E128" s="154" t="s">
        <v>72</v>
      </c>
      <c r="F128" s="157" t="s">
        <v>1817</v>
      </c>
      <c r="G128" s="152">
        <v>128205.04400000017</v>
      </c>
      <c r="H128" s="323">
        <v>41686</v>
      </c>
      <c r="I128" s="152">
        <v>1931.98</v>
      </c>
      <c r="J128" s="157" t="s">
        <v>1816</v>
      </c>
      <c r="K128" s="154" t="s">
        <v>1825</v>
      </c>
      <c r="L128" s="227">
        <v>14715.83</v>
      </c>
      <c r="M128" s="157" t="s">
        <v>1816</v>
      </c>
      <c r="N128" s="227">
        <f t="shared" si="24"/>
        <v>216482.31296201068</v>
      </c>
      <c r="O128" s="152">
        <f t="shared" si="25"/>
        <v>696749.94896201103</v>
      </c>
    </row>
    <row r="129" spans="1:15" x14ac:dyDescent="0.15">
      <c r="A129" s="154"/>
      <c r="B129" s="151"/>
      <c r="C129" s="152"/>
      <c r="D129" s="323">
        <v>41686</v>
      </c>
      <c r="E129" s="154" t="s">
        <v>72</v>
      </c>
      <c r="F129" s="157" t="s">
        <v>1818</v>
      </c>
      <c r="G129" s="152">
        <v>47705.757999999798</v>
      </c>
      <c r="H129" s="323">
        <v>41686</v>
      </c>
      <c r="I129" s="152"/>
      <c r="J129" s="154"/>
      <c r="K129" s="154" t="s">
        <v>1825</v>
      </c>
      <c r="L129" s="227">
        <v>79847.320000000007</v>
      </c>
      <c r="M129" s="157" t="s">
        <v>1816</v>
      </c>
      <c r="N129" s="227">
        <f t="shared" si="24"/>
        <v>136634.99296201067</v>
      </c>
      <c r="O129" s="152">
        <f t="shared" si="25"/>
        <v>664608.38696201076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>
        <v>41686</v>
      </c>
      <c r="I130" s="152"/>
      <c r="J130" s="157"/>
      <c r="K130" s="154" t="s">
        <v>1825</v>
      </c>
      <c r="L130" s="227">
        <v>80109.75</v>
      </c>
      <c r="M130" s="157" t="s">
        <v>1816</v>
      </c>
      <c r="N130" s="227">
        <f t="shared" si="14"/>
        <v>56525.24296201067</v>
      </c>
      <c r="O130" s="152">
        <f t="shared" si="15"/>
        <v>584498.63696201076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>
        <v>41686</v>
      </c>
      <c r="I131" s="152"/>
      <c r="J131" s="157"/>
      <c r="K131" s="154" t="s">
        <v>1825</v>
      </c>
      <c r="L131" s="227">
        <v>6948.52</v>
      </c>
      <c r="M131" s="157" t="s">
        <v>1816</v>
      </c>
      <c r="N131" s="227">
        <f t="shared" si="14"/>
        <v>49576.722962010666</v>
      </c>
      <c r="O131" s="152">
        <f t="shared" si="15"/>
        <v>577550.11696201074</v>
      </c>
    </row>
    <row r="132" spans="1:15" x14ac:dyDescent="0.15">
      <c r="A132" s="154"/>
      <c r="B132" s="151"/>
      <c r="C132" s="152"/>
      <c r="D132" s="323">
        <v>41687</v>
      </c>
      <c r="E132" s="154" t="s">
        <v>72</v>
      </c>
      <c r="F132" s="157" t="s">
        <v>1818</v>
      </c>
      <c r="G132" s="152">
        <v>87952.195000000007</v>
      </c>
      <c r="H132" s="323">
        <v>41687</v>
      </c>
      <c r="I132" s="152">
        <v>7480</v>
      </c>
      <c r="J132" s="157" t="s">
        <v>1816</v>
      </c>
      <c r="K132" s="154" t="s">
        <v>1825</v>
      </c>
      <c r="L132" s="227">
        <v>35475</v>
      </c>
      <c r="M132" s="157" t="s">
        <v>1816</v>
      </c>
      <c r="N132" s="227">
        <f t="shared" si="14"/>
        <v>6621.7229620106664</v>
      </c>
      <c r="O132" s="152">
        <f t="shared" si="15"/>
        <v>622547.3119620108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>
        <v>41687</v>
      </c>
      <c r="I133" s="152"/>
      <c r="J133" s="154"/>
      <c r="K133" s="154" t="s">
        <v>1825</v>
      </c>
      <c r="L133" s="227">
        <v>6621.7229620106664</v>
      </c>
      <c r="M133" s="157" t="s">
        <v>1816</v>
      </c>
      <c r="N133" s="227">
        <f t="shared" ref="N133:N136" si="26">+N132-I133-L133</f>
        <v>0</v>
      </c>
      <c r="O133" s="152">
        <f t="shared" ref="O133:O136" si="27">O132+G133-I133-L133</f>
        <v>615925.58900000015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>
        <v>41687</v>
      </c>
      <c r="I134" s="152"/>
      <c r="J134" s="154"/>
      <c r="K134" s="154" t="s">
        <v>1825</v>
      </c>
      <c r="L134" s="227">
        <v>71088.277037989305</v>
      </c>
      <c r="M134" s="157" t="s">
        <v>1817</v>
      </c>
      <c r="N134" s="227">
        <f>G119+G123+G128+N133-I134-L134</f>
        <v>409179.35896201088</v>
      </c>
      <c r="O134" s="152">
        <f t="shared" si="27"/>
        <v>544837.3119620108</v>
      </c>
    </row>
    <row r="135" spans="1:15" x14ac:dyDescent="0.15">
      <c r="A135" s="154"/>
      <c r="B135" s="151"/>
      <c r="C135" s="152"/>
      <c r="D135" s="323"/>
      <c r="E135" s="155"/>
      <c r="F135" s="157"/>
      <c r="G135" s="152"/>
      <c r="H135" s="323">
        <v>41687</v>
      </c>
      <c r="I135" s="152"/>
      <c r="J135" s="154"/>
      <c r="K135" s="154" t="s">
        <v>1825</v>
      </c>
      <c r="L135" s="227">
        <v>519</v>
      </c>
      <c r="M135" s="157" t="s">
        <v>1817</v>
      </c>
      <c r="N135" s="227">
        <f t="shared" si="26"/>
        <v>408660.35896201088</v>
      </c>
      <c r="O135" s="152">
        <f t="shared" si="27"/>
        <v>544318.3119620108</v>
      </c>
    </row>
    <row r="136" spans="1:15" x14ac:dyDescent="0.15">
      <c r="A136" s="154"/>
      <c r="B136" s="151"/>
      <c r="C136" s="152"/>
      <c r="D136" s="323">
        <v>41688</v>
      </c>
      <c r="E136" s="154" t="s">
        <v>72</v>
      </c>
      <c r="F136" s="157" t="s">
        <v>1818</v>
      </c>
      <c r="G136" s="152">
        <v>131923.55499999999</v>
      </c>
      <c r="H136" s="323">
        <v>41688</v>
      </c>
      <c r="I136" s="152">
        <v>5895.99</v>
      </c>
      <c r="J136" s="157" t="s">
        <v>1817</v>
      </c>
      <c r="K136" s="154" t="s">
        <v>1825</v>
      </c>
      <c r="L136" s="227">
        <v>34231.980000000003</v>
      </c>
      <c r="M136" s="157" t="s">
        <v>1817</v>
      </c>
      <c r="N136" s="227">
        <f t="shared" si="26"/>
        <v>368532.38896201091</v>
      </c>
      <c r="O136" s="152">
        <f t="shared" si="27"/>
        <v>636113.89696201077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>
        <v>41688</v>
      </c>
      <c r="I137" s="152"/>
      <c r="J137" s="157"/>
      <c r="K137" s="154" t="s">
        <v>1825</v>
      </c>
      <c r="L137" s="227">
        <v>666.01</v>
      </c>
      <c r="M137" s="157" t="s">
        <v>1817</v>
      </c>
      <c r="N137" s="227">
        <f t="shared" si="14"/>
        <v>367866.3789620109</v>
      </c>
      <c r="O137" s="152">
        <f t="shared" si="15"/>
        <v>635447.88696201076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>
        <v>41688</v>
      </c>
      <c r="I138" s="152"/>
      <c r="J138" s="157"/>
      <c r="K138" s="154" t="s">
        <v>1825</v>
      </c>
      <c r="L138" s="227">
        <v>6483.29</v>
      </c>
      <c r="M138" s="157" t="s">
        <v>1817</v>
      </c>
      <c r="N138" s="227">
        <f t="shared" si="14"/>
        <v>361383.08896201092</v>
      </c>
      <c r="O138" s="152">
        <f t="shared" si="15"/>
        <v>628964.59696201072</v>
      </c>
    </row>
    <row r="139" spans="1:15" x14ac:dyDescent="0.15">
      <c r="A139" s="154"/>
      <c r="B139" s="151"/>
      <c r="C139" s="152"/>
      <c r="D139" s="323">
        <v>41689</v>
      </c>
      <c r="E139" s="154" t="s">
        <v>72</v>
      </c>
      <c r="F139" s="157" t="s">
        <v>1818</v>
      </c>
      <c r="G139" s="152">
        <v>76682.545999999973</v>
      </c>
      <c r="H139" s="323">
        <v>41689</v>
      </c>
      <c r="I139" s="152">
        <v>11874.19</v>
      </c>
      <c r="J139" s="157" t="s">
        <v>1817</v>
      </c>
      <c r="K139" s="154" t="s">
        <v>1825</v>
      </c>
      <c r="L139" s="227">
        <v>92950.54</v>
      </c>
      <c r="M139" s="157" t="s">
        <v>1817</v>
      </c>
      <c r="N139" s="227">
        <f t="shared" si="14"/>
        <v>256558.35896201094</v>
      </c>
      <c r="O139" s="152">
        <f t="shared" si="15"/>
        <v>600822.41296201071</v>
      </c>
    </row>
    <row r="140" spans="1:15" x14ac:dyDescent="0.15">
      <c r="A140" s="154"/>
      <c r="B140" s="151"/>
      <c r="C140" s="152"/>
      <c r="D140" s="323">
        <v>41689</v>
      </c>
      <c r="E140" s="154" t="s">
        <v>72</v>
      </c>
      <c r="F140" s="157" t="s">
        <v>1819</v>
      </c>
      <c r="G140" s="152">
        <v>187166.16500000001</v>
      </c>
      <c r="H140" s="323">
        <v>41689</v>
      </c>
      <c r="I140" s="152"/>
      <c r="J140" s="154"/>
      <c r="K140" s="154" t="s">
        <v>1825</v>
      </c>
      <c r="L140" s="227">
        <v>67008.53</v>
      </c>
      <c r="M140" s="157" t="s">
        <v>1817</v>
      </c>
      <c r="N140" s="227">
        <f t="shared" si="14"/>
        <v>189549.82896201094</v>
      </c>
      <c r="O140" s="152">
        <f t="shared" si="15"/>
        <v>720980.04796201072</v>
      </c>
    </row>
    <row r="141" spans="1:15" x14ac:dyDescent="0.15">
      <c r="A141" s="154"/>
      <c r="B141" s="151"/>
      <c r="C141" s="152"/>
      <c r="D141" s="323"/>
      <c r="E141" s="155"/>
      <c r="F141" s="157"/>
      <c r="G141" s="152"/>
      <c r="H141" s="323">
        <v>41689</v>
      </c>
      <c r="I141" s="152"/>
      <c r="J141" s="154"/>
      <c r="K141" s="154" t="s">
        <v>1825</v>
      </c>
      <c r="L141" s="227">
        <v>35287.879999999997</v>
      </c>
      <c r="M141" s="157" t="s">
        <v>1817</v>
      </c>
      <c r="N141" s="227">
        <f t="shared" si="14"/>
        <v>154261.94896201094</v>
      </c>
      <c r="O141" s="152">
        <f t="shared" si="15"/>
        <v>685692.16796201072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>
        <v>41689</v>
      </c>
      <c r="I142" s="152"/>
      <c r="J142" s="157"/>
      <c r="K142" s="154" t="s">
        <v>1825</v>
      </c>
      <c r="L142" s="227">
        <v>77899.47</v>
      </c>
      <c r="M142" s="157" t="s">
        <v>1817</v>
      </c>
      <c r="N142" s="227">
        <f t="shared" si="14"/>
        <v>76362.478962010937</v>
      </c>
      <c r="O142" s="152">
        <f t="shared" si="15"/>
        <v>607792.69796201074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>
        <v>41689</v>
      </c>
      <c r="I143" s="152"/>
      <c r="J143" s="154"/>
      <c r="K143" s="154" t="s">
        <v>1825</v>
      </c>
      <c r="L143" s="227">
        <v>1196.6099999999999</v>
      </c>
      <c r="M143" s="157" t="s">
        <v>1817</v>
      </c>
      <c r="N143" s="227">
        <f t="shared" si="14"/>
        <v>75165.868962010936</v>
      </c>
      <c r="O143" s="152">
        <f t="shared" si="15"/>
        <v>606596.08796201076</v>
      </c>
    </row>
    <row r="144" spans="1:15" x14ac:dyDescent="0.15">
      <c r="A144" s="154"/>
      <c r="B144" s="151"/>
      <c r="C144" s="152"/>
      <c r="D144" s="323">
        <v>41690</v>
      </c>
      <c r="E144" s="154" t="s">
        <v>72</v>
      </c>
      <c r="F144" s="157" t="s">
        <v>1820</v>
      </c>
      <c r="G144" s="152">
        <v>176234.26800000001</v>
      </c>
      <c r="H144" s="323">
        <v>41690</v>
      </c>
      <c r="I144" s="152">
        <v>4179</v>
      </c>
      <c r="J144" s="157" t="s">
        <v>1817</v>
      </c>
      <c r="K144" s="154" t="s">
        <v>1825</v>
      </c>
      <c r="L144" s="227">
        <v>70986.868962010936</v>
      </c>
      <c r="M144" s="157" t="s">
        <v>1817</v>
      </c>
      <c r="N144" s="227">
        <f t="shared" ref="N144:N149" si="28">+N143-I144-L144</f>
        <v>0</v>
      </c>
      <c r="O144" s="152">
        <f t="shared" ref="O144:O149" si="29">O143+G144-I144-L144</f>
        <v>707664.48699999985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>
        <v>41690</v>
      </c>
      <c r="I145" s="152"/>
      <c r="J145" s="154"/>
      <c r="K145" s="154" t="s">
        <v>1825</v>
      </c>
      <c r="L145" s="227">
        <v>11212.1310379891</v>
      </c>
      <c r="M145" s="157" t="s">
        <v>1818</v>
      </c>
      <c r="N145" s="227">
        <f>G129+G132+G136+G139+N144-I145-L145</f>
        <v>333051.92296201066</v>
      </c>
      <c r="O145" s="152">
        <f t="shared" si="29"/>
        <v>696452.3559620108</v>
      </c>
    </row>
    <row r="146" spans="1:15" x14ac:dyDescent="0.15">
      <c r="A146" s="154"/>
      <c r="B146" s="151"/>
      <c r="C146" s="152"/>
      <c r="D146" s="323"/>
      <c r="E146" s="155"/>
      <c r="F146" s="157"/>
      <c r="G146" s="152"/>
      <c r="H146" s="323">
        <v>41690</v>
      </c>
      <c r="I146" s="152"/>
      <c r="J146" s="154"/>
      <c r="K146" s="154" t="s">
        <v>1825</v>
      </c>
      <c r="L146" s="227">
        <v>92280</v>
      </c>
      <c r="M146" s="157" t="s">
        <v>1818</v>
      </c>
      <c r="N146" s="227">
        <f t="shared" si="28"/>
        <v>240771.92296201066</v>
      </c>
      <c r="O146" s="152">
        <f t="shared" si="29"/>
        <v>604172.3559620108</v>
      </c>
    </row>
    <row r="147" spans="1:15" x14ac:dyDescent="0.15">
      <c r="A147" s="154"/>
      <c r="B147" s="151"/>
      <c r="C147" s="152"/>
      <c r="D147" s="323"/>
      <c r="E147" s="155"/>
      <c r="F147" s="157"/>
      <c r="G147" s="152"/>
      <c r="H147" s="323">
        <v>41690</v>
      </c>
      <c r="I147" s="152"/>
      <c r="J147" s="154"/>
      <c r="K147" s="154" t="s">
        <v>1825</v>
      </c>
      <c r="L147" s="227">
        <v>34552</v>
      </c>
      <c r="M147" s="157" t="s">
        <v>1818</v>
      </c>
      <c r="N147" s="227">
        <f t="shared" si="28"/>
        <v>206219.92296201066</v>
      </c>
      <c r="O147" s="152">
        <f t="shared" si="29"/>
        <v>569620.3559620108</v>
      </c>
    </row>
    <row r="148" spans="1:15" x14ac:dyDescent="0.15">
      <c r="A148" s="154"/>
      <c r="B148" s="151"/>
      <c r="C148" s="152"/>
      <c r="D148" s="323"/>
      <c r="E148" s="155"/>
      <c r="F148" s="157"/>
      <c r="G148" s="152"/>
      <c r="H148" s="323">
        <v>41690</v>
      </c>
      <c r="I148" s="152"/>
      <c r="J148" s="154"/>
      <c r="K148" s="154" t="s">
        <v>1825</v>
      </c>
      <c r="L148" s="227">
        <v>33560</v>
      </c>
      <c r="M148" s="157" t="s">
        <v>1818</v>
      </c>
      <c r="N148" s="227">
        <f t="shared" si="28"/>
        <v>172659.92296201066</v>
      </c>
      <c r="O148" s="152">
        <f t="shared" si="29"/>
        <v>536060.3559620108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>
        <v>41690</v>
      </c>
      <c r="I149" s="152"/>
      <c r="J149" s="157"/>
      <c r="K149" s="154" t="s">
        <v>1825</v>
      </c>
      <c r="L149" s="227">
        <v>8849</v>
      </c>
      <c r="M149" s="157" t="s">
        <v>1818</v>
      </c>
      <c r="N149" s="227">
        <f t="shared" si="28"/>
        <v>163810.92296201066</v>
      </c>
      <c r="O149" s="152">
        <f t="shared" si="29"/>
        <v>527211.3559620108</v>
      </c>
    </row>
    <row r="150" spans="1:15" x14ac:dyDescent="0.15">
      <c r="A150" s="154"/>
      <c r="B150" s="151"/>
      <c r="C150" s="152"/>
      <c r="D150" s="323">
        <v>41691</v>
      </c>
      <c r="E150" s="154" t="s">
        <v>72</v>
      </c>
      <c r="F150" s="157" t="s">
        <v>1820</v>
      </c>
      <c r="G150" s="152">
        <v>88028.08699999997</v>
      </c>
      <c r="H150" s="323">
        <v>41691</v>
      </c>
      <c r="I150" s="152">
        <v>2990.09</v>
      </c>
      <c r="J150" s="157" t="s">
        <v>1818</v>
      </c>
      <c r="K150" s="154" t="s">
        <v>1825</v>
      </c>
      <c r="L150" s="227">
        <v>13738.82</v>
      </c>
      <c r="M150" s="157" t="s">
        <v>1818</v>
      </c>
      <c r="N150" s="227">
        <f t="shared" ref="N150:N217" si="30">+N149-I150-L150</f>
        <v>147082.01296201066</v>
      </c>
      <c r="O150" s="152">
        <f t="shared" ref="O150:O217" si="31">O149+G150-I150-L150</f>
        <v>598510.53296201082</v>
      </c>
    </row>
    <row r="151" spans="1:15" x14ac:dyDescent="0.15">
      <c r="A151" s="154"/>
      <c r="B151" s="151"/>
      <c r="C151" s="152"/>
      <c r="D151" s="323">
        <v>41691</v>
      </c>
      <c r="E151" s="154" t="s">
        <v>72</v>
      </c>
      <c r="F151" s="157" t="s">
        <v>1821</v>
      </c>
      <c r="G151" s="152">
        <v>131946.18900000001</v>
      </c>
      <c r="H151" s="323">
        <v>41691</v>
      </c>
      <c r="I151" s="152"/>
      <c r="J151" s="154"/>
      <c r="K151" s="154" t="s">
        <v>1825</v>
      </c>
      <c r="L151" s="227">
        <v>13477.9</v>
      </c>
      <c r="M151" s="157" t="s">
        <v>1818</v>
      </c>
      <c r="N151" s="227">
        <f t="shared" si="30"/>
        <v>133604.11296201067</v>
      </c>
      <c r="O151" s="152">
        <f t="shared" si="31"/>
        <v>716978.82196201081</v>
      </c>
    </row>
    <row r="152" spans="1:15" x14ac:dyDescent="0.15">
      <c r="A152" s="154"/>
      <c r="B152" s="151"/>
      <c r="C152" s="152"/>
      <c r="D152" s="323"/>
      <c r="E152" s="155"/>
      <c r="F152" s="157"/>
      <c r="G152" s="152"/>
      <c r="H152" s="323">
        <v>41691</v>
      </c>
      <c r="I152" s="152"/>
      <c r="J152" s="154"/>
      <c r="K152" s="154" t="s">
        <v>1825</v>
      </c>
      <c r="L152" s="227">
        <v>34059.629999999997</v>
      </c>
      <c r="M152" s="157" t="s">
        <v>1818</v>
      </c>
      <c r="N152" s="227">
        <f t="shared" si="30"/>
        <v>99544.482962010661</v>
      </c>
      <c r="O152" s="152">
        <f t="shared" si="31"/>
        <v>682919.19196201081</v>
      </c>
    </row>
    <row r="153" spans="1:15" x14ac:dyDescent="0.15">
      <c r="A153" s="154"/>
      <c r="B153" s="151"/>
      <c r="C153" s="152"/>
      <c r="D153" s="323"/>
      <c r="E153" s="155"/>
      <c r="F153" s="157"/>
      <c r="G153" s="152"/>
      <c r="H153" s="323">
        <v>41691</v>
      </c>
      <c r="I153" s="152"/>
      <c r="J153" s="154"/>
      <c r="K153" s="154" t="s">
        <v>1825</v>
      </c>
      <c r="L153" s="227">
        <v>34399.53</v>
      </c>
      <c r="M153" s="157" t="s">
        <v>1818</v>
      </c>
      <c r="N153" s="227">
        <f t="shared" si="30"/>
        <v>65144.952962010662</v>
      </c>
      <c r="O153" s="152">
        <f t="shared" si="31"/>
        <v>648519.66196201078</v>
      </c>
    </row>
    <row r="154" spans="1:15" x14ac:dyDescent="0.15">
      <c r="A154" s="154"/>
      <c r="B154" s="151"/>
      <c r="C154" s="152"/>
      <c r="D154" s="323"/>
      <c r="E154" s="155"/>
      <c r="F154" s="157"/>
      <c r="G154" s="152"/>
      <c r="H154" s="323">
        <v>41691</v>
      </c>
      <c r="I154" s="152"/>
      <c r="J154" s="154"/>
      <c r="K154" s="154" t="s">
        <v>1825</v>
      </c>
      <c r="L154" s="227">
        <v>65144.952962010662</v>
      </c>
      <c r="M154" s="157" t="s">
        <v>1818</v>
      </c>
      <c r="N154" s="227">
        <f t="shared" si="30"/>
        <v>0</v>
      </c>
      <c r="O154" s="152">
        <f t="shared" si="31"/>
        <v>583374.70900000015</v>
      </c>
    </row>
    <row r="155" spans="1:15" x14ac:dyDescent="0.15">
      <c r="A155" s="154"/>
      <c r="B155" s="151"/>
      <c r="C155" s="152"/>
      <c r="D155" s="323"/>
      <c r="E155" s="155"/>
      <c r="F155" s="157"/>
      <c r="G155" s="152"/>
      <c r="H155" s="323">
        <v>41691</v>
      </c>
      <c r="I155" s="152"/>
      <c r="J155" s="154"/>
      <c r="K155" s="154" t="s">
        <v>1825</v>
      </c>
      <c r="L155" s="227">
        <v>17709.817037989302</v>
      </c>
      <c r="M155" s="157" t="s">
        <v>1819</v>
      </c>
      <c r="N155" s="227">
        <f>G140+N154-I155-L155</f>
        <v>169456.34796201071</v>
      </c>
      <c r="O155" s="152">
        <f t="shared" ref="O155:O158" si="32">O154+G155-I155-L155</f>
        <v>565664.89196201088</v>
      </c>
    </row>
    <row r="156" spans="1:15" x14ac:dyDescent="0.15">
      <c r="A156" s="154"/>
      <c r="B156" s="151"/>
      <c r="C156" s="152"/>
      <c r="D156" s="323"/>
      <c r="E156" s="155"/>
      <c r="F156" s="157"/>
      <c r="G156" s="152"/>
      <c r="H156" s="323">
        <v>41691</v>
      </c>
      <c r="I156" s="152"/>
      <c r="J156" s="154"/>
      <c r="K156" s="154" t="s">
        <v>1825</v>
      </c>
      <c r="L156" s="227">
        <v>36674.83</v>
      </c>
      <c r="M156" s="157" t="s">
        <v>1819</v>
      </c>
      <c r="N156" s="227">
        <f t="shared" ref="N156:N158" si="33">+N155-I156-L156</f>
        <v>132781.51796201069</v>
      </c>
      <c r="O156" s="152">
        <f t="shared" si="32"/>
        <v>528990.06196201092</v>
      </c>
    </row>
    <row r="157" spans="1:15" x14ac:dyDescent="0.15">
      <c r="A157" s="154"/>
      <c r="B157" s="151"/>
      <c r="C157" s="152"/>
      <c r="D157" s="323">
        <v>41692</v>
      </c>
      <c r="E157" s="154" t="s">
        <v>72</v>
      </c>
      <c r="F157" s="157" t="s">
        <v>1821</v>
      </c>
      <c r="G157" s="152">
        <v>263967.20199999999</v>
      </c>
      <c r="H157" s="323">
        <v>41692</v>
      </c>
      <c r="I157" s="152">
        <v>4943.08</v>
      </c>
      <c r="J157" s="157" t="s">
        <v>1819</v>
      </c>
      <c r="K157" s="154" t="s">
        <v>1825</v>
      </c>
      <c r="L157" s="227">
        <v>34246</v>
      </c>
      <c r="M157" s="157" t="s">
        <v>1819</v>
      </c>
      <c r="N157" s="227">
        <f t="shared" si="33"/>
        <v>93592.437962010692</v>
      </c>
      <c r="O157" s="152">
        <f t="shared" si="32"/>
        <v>753768.18396201089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>
        <v>41692</v>
      </c>
      <c r="I158" s="152"/>
      <c r="J158" s="157"/>
      <c r="K158" s="154" t="s">
        <v>1825</v>
      </c>
      <c r="L158" s="227">
        <v>69595.67</v>
      </c>
      <c r="M158" s="157" t="s">
        <v>1819</v>
      </c>
      <c r="N158" s="227">
        <f t="shared" si="33"/>
        <v>23996.767962010694</v>
      </c>
      <c r="O158" s="152">
        <f t="shared" si="32"/>
        <v>684172.51396201085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>
        <v>41692</v>
      </c>
      <c r="I159" s="152"/>
      <c r="J159" s="154"/>
      <c r="K159" s="154" t="s">
        <v>1825</v>
      </c>
      <c r="L159" s="227">
        <v>23996.767962010694</v>
      </c>
      <c r="M159" s="157" t="s">
        <v>1819</v>
      </c>
      <c r="N159" s="227">
        <f t="shared" ref="N159:N165" si="34">+N158-I159-L159</f>
        <v>0</v>
      </c>
      <c r="O159" s="152">
        <f t="shared" ref="O159:O165" si="35">O158+G159-I159-L159</f>
        <v>660175.74600000016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>
        <v>41692</v>
      </c>
      <c r="I160" s="152"/>
      <c r="J160" s="154"/>
      <c r="K160" s="154" t="s">
        <v>1825</v>
      </c>
      <c r="L160" s="227">
        <v>51227.352037989302</v>
      </c>
      <c r="M160" s="157" t="s">
        <v>1820</v>
      </c>
      <c r="N160" s="227">
        <f>G144+G150+N159-I160-L160</f>
        <v>213035.00296201068</v>
      </c>
      <c r="O160" s="152">
        <f t="shared" si="35"/>
        <v>608948.39396201086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>
        <v>41692</v>
      </c>
      <c r="I161" s="152"/>
      <c r="J161" s="157"/>
      <c r="K161" s="154" t="s">
        <v>1825</v>
      </c>
      <c r="L161" s="227">
        <v>476.24</v>
      </c>
      <c r="M161" s="157" t="s">
        <v>1820</v>
      </c>
      <c r="N161" s="227">
        <f t="shared" si="34"/>
        <v>212558.76296201069</v>
      </c>
      <c r="O161" s="152">
        <f t="shared" si="35"/>
        <v>608472.15396201087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>
        <v>41692</v>
      </c>
      <c r="I162" s="152"/>
      <c r="J162" s="154"/>
      <c r="K162" s="154" t="s">
        <v>1825</v>
      </c>
      <c r="L162" s="227">
        <v>71336.149999999994</v>
      </c>
      <c r="M162" s="157" t="s">
        <v>1820</v>
      </c>
      <c r="N162" s="227">
        <f t="shared" si="34"/>
        <v>141222.61296201069</v>
      </c>
      <c r="O162" s="152">
        <f t="shared" si="35"/>
        <v>537136.00396201084</v>
      </c>
    </row>
    <row r="163" spans="1:15" x14ac:dyDescent="0.15">
      <c r="A163" s="154"/>
      <c r="B163" s="151"/>
      <c r="C163" s="152"/>
      <c r="D163" s="323">
        <v>41693</v>
      </c>
      <c r="E163" s="154" t="s">
        <v>72</v>
      </c>
      <c r="F163" s="157" t="s">
        <v>1822</v>
      </c>
      <c r="G163" s="152">
        <v>220048.826</v>
      </c>
      <c r="H163" s="323">
        <v>41693</v>
      </c>
      <c r="I163" s="152">
        <v>3972.9199999999996</v>
      </c>
      <c r="J163" s="157" t="s">
        <v>1820</v>
      </c>
      <c r="K163" s="154" t="s">
        <v>1825</v>
      </c>
      <c r="L163" s="227">
        <v>70622.39</v>
      </c>
      <c r="M163" s="157" t="s">
        <v>1820</v>
      </c>
      <c r="N163" s="227">
        <f t="shared" si="34"/>
        <v>66627.302962010683</v>
      </c>
      <c r="O163" s="152">
        <f t="shared" si="35"/>
        <v>682589.51996201079</v>
      </c>
    </row>
    <row r="164" spans="1:15" x14ac:dyDescent="0.15">
      <c r="A164" s="154"/>
      <c r="B164" s="151"/>
      <c r="C164" s="152"/>
      <c r="D164" s="323"/>
      <c r="E164" s="155"/>
      <c r="F164" s="157"/>
      <c r="G164" s="152"/>
      <c r="H164" s="323">
        <v>41693</v>
      </c>
      <c r="I164" s="152"/>
      <c r="J164" s="154"/>
      <c r="K164" s="154" t="s">
        <v>1825</v>
      </c>
      <c r="L164" s="227">
        <v>2674.33</v>
      </c>
      <c r="M164" s="157" t="s">
        <v>1820</v>
      </c>
      <c r="N164" s="227">
        <f t="shared" si="34"/>
        <v>63952.972962010681</v>
      </c>
      <c r="O164" s="152">
        <f t="shared" si="35"/>
        <v>679915.18996201083</v>
      </c>
    </row>
    <row r="165" spans="1:15" x14ac:dyDescent="0.15">
      <c r="A165" s="154"/>
      <c r="B165" s="151"/>
      <c r="C165" s="152"/>
      <c r="D165" s="323"/>
      <c r="E165" s="155"/>
      <c r="F165" s="157"/>
      <c r="G165" s="152"/>
      <c r="H165" s="323">
        <v>41693</v>
      </c>
      <c r="I165" s="152"/>
      <c r="J165" s="157"/>
      <c r="K165" s="154" t="s">
        <v>1825</v>
      </c>
      <c r="L165" s="227">
        <v>63952.972962010681</v>
      </c>
      <c r="M165" s="157" t="s">
        <v>1820</v>
      </c>
      <c r="N165" s="227">
        <f t="shared" si="34"/>
        <v>0</v>
      </c>
      <c r="O165" s="152">
        <f t="shared" si="35"/>
        <v>615962.21700000018</v>
      </c>
    </row>
    <row r="166" spans="1:15" x14ac:dyDescent="0.15">
      <c r="A166" s="154"/>
      <c r="B166" s="151"/>
      <c r="C166" s="152"/>
      <c r="D166" s="323"/>
      <c r="E166" s="155"/>
      <c r="F166" s="157"/>
      <c r="G166" s="152"/>
      <c r="H166" s="323">
        <v>41693</v>
      </c>
      <c r="I166" s="152"/>
      <c r="J166" s="157"/>
      <c r="K166" s="154" t="s">
        <v>1825</v>
      </c>
      <c r="L166" s="227">
        <v>14995.9070379893</v>
      </c>
      <c r="M166" s="157" t="s">
        <v>1821</v>
      </c>
      <c r="N166" s="227">
        <f>G151+G157+N165-I166-L166</f>
        <v>380917.48396201071</v>
      </c>
      <c r="O166" s="152">
        <f t="shared" ref="O166:O170" si="36">O165+G166-I166-L166</f>
        <v>600966.30996201083</v>
      </c>
    </row>
    <row r="167" spans="1:15" x14ac:dyDescent="0.15">
      <c r="A167" s="154"/>
      <c r="B167" s="151"/>
      <c r="C167" s="151"/>
      <c r="D167" s="323"/>
      <c r="E167" s="155"/>
      <c r="F167" s="157"/>
      <c r="G167" s="152"/>
      <c r="H167" s="323">
        <v>41693</v>
      </c>
      <c r="I167" s="152"/>
      <c r="J167" s="157"/>
      <c r="K167" s="154" t="s">
        <v>1825</v>
      </c>
      <c r="L167" s="227">
        <v>73920.460000000006</v>
      </c>
      <c r="M167" s="157" t="s">
        <v>1821</v>
      </c>
      <c r="N167" s="227">
        <f t="shared" ref="N167:N170" si="37">+N166-I167-L167</f>
        <v>306997.02396201069</v>
      </c>
      <c r="O167" s="152">
        <f t="shared" si="36"/>
        <v>527045.84996201086</v>
      </c>
    </row>
    <row r="168" spans="1:15" x14ac:dyDescent="0.15">
      <c r="A168" s="154"/>
      <c r="B168" s="151"/>
      <c r="C168" s="151"/>
      <c r="D168" s="323">
        <v>41694</v>
      </c>
      <c r="E168" s="154" t="s">
        <v>72</v>
      </c>
      <c r="F168" s="157" t="s">
        <v>1822</v>
      </c>
      <c r="G168" s="152">
        <v>80201.445999999938</v>
      </c>
      <c r="H168" s="323">
        <v>41694</v>
      </c>
      <c r="I168" s="152">
        <v>7362.73</v>
      </c>
      <c r="J168" s="157" t="s">
        <v>1821</v>
      </c>
      <c r="K168" s="154" t="s">
        <v>1825</v>
      </c>
      <c r="L168" s="227">
        <v>77891.179999999993</v>
      </c>
      <c r="M168" s="157" t="s">
        <v>1821</v>
      </c>
      <c r="N168" s="227">
        <f t="shared" si="37"/>
        <v>221743.11396201071</v>
      </c>
      <c r="O168" s="152">
        <f t="shared" si="36"/>
        <v>521993.38596201077</v>
      </c>
    </row>
    <row r="169" spans="1:15" x14ac:dyDescent="0.15">
      <c r="A169" s="154"/>
      <c r="B169" s="151"/>
      <c r="C169" s="151"/>
      <c r="D169" s="323">
        <v>41694</v>
      </c>
      <c r="E169" s="154" t="s">
        <v>72</v>
      </c>
      <c r="F169" s="157" t="s">
        <v>1823</v>
      </c>
      <c r="G169" s="152">
        <v>139832.23699999999</v>
      </c>
      <c r="H169" s="323">
        <v>41694</v>
      </c>
      <c r="I169" s="152"/>
      <c r="J169" s="154"/>
      <c r="K169" s="154" t="s">
        <v>1825</v>
      </c>
      <c r="L169" s="227">
        <v>28702.5</v>
      </c>
      <c r="M169" s="157" t="s">
        <v>1821</v>
      </c>
      <c r="N169" s="227">
        <f t="shared" si="37"/>
        <v>193040.61396201071</v>
      </c>
      <c r="O169" s="152">
        <f t="shared" si="36"/>
        <v>633123.12296201079</v>
      </c>
    </row>
    <row r="170" spans="1:15" x14ac:dyDescent="0.15">
      <c r="A170" s="154"/>
      <c r="B170" s="151"/>
      <c r="C170" s="151"/>
      <c r="D170" s="323"/>
      <c r="E170" s="155"/>
      <c r="F170" s="157"/>
      <c r="G170" s="152"/>
      <c r="H170" s="323">
        <v>41694</v>
      </c>
      <c r="I170" s="152"/>
      <c r="J170" s="154"/>
      <c r="K170" s="154" t="s">
        <v>1825</v>
      </c>
      <c r="L170" s="227">
        <v>51430.06</v>
      </c>
      <c r="M170" s="157" t="s">
        <v>1821</v>
      </c>
      <c r="N170" s="227">
        <f t="shared" si="37"/>
        <v>141610.55396201072</v>
      </c>
      <c r="O170" s="152">
        <f t="shared" si="36"/>
        <v>581693.06296201074</v>
      </c>
    </row>
    <row r="171" spans="1:15" x14ac:dyDescent="0.15">
      <c r="A171" s="154"/>
      <c r="B171" s="151"/>
      <c r="C171" s="151"/>
      <c r="D171" s="323">
        <v>41695</v>
      </c>
      <c r="E171" s="154" t="s">
        <v>72</v>
      </c>
      <c r="F171" s="157" t="s">
        <v>1823</v>
      </c>
      <c r="G171" s="152">
        <v>88037.263000000006</v>
      </c>
      <c r="H171" s="323">
        <v>41695</v>
      </c>
      <c r="I171" s="152">
        <v>3553.76</v>
      </c>
      <c r="J171" s="157" t="s">
        <v>1821</v>
      </c>
      <c r="K171" s="154" t="s">
        <v>1825</v>
      </c>
      <c r="L171" s="227">
        <v>9666.9</v>
      </c>
      <c r="M171" s="157" t="s">
        <v>1821</v>
      </c>
      <c r="N171" s="227">
        <f t="shared" si="30"/>
        <v>128389.89396201071</v>
      </c>
      <c r="O171" s="152">
        <f t="shared" si="31"/>
        <v>656509.66596201074</v>
      </c>
    </row>
    <row r="172" spans="1:15" x14ac:dyDescent="0.15">
      <c r="A172" s="154"/>
      <c r="B172" s="151"/>
      <c r="C172" s="151"/>
      <c r="D172" s="323"/>
      <c r="E172" s="155"/>
      <c r="F172" s="157"/>
      <c r="G172" s="152"/>
      <c r="H172" s="323">
        <v>41695</v>
      </c>
      <c r="I172" s="152"/>
      <c r="J172" s="154"/>
      <c r="K172" s="154" t="s">
        <v>1825</v>
      </c>
      <c r="L172" s="227">
        <v>34841.660000000003</v>
      </c>
      <c r="M172" s="157" t="s">
        <v>1821</v>
      </c>
      <c r="N172" s="227">
        <f t="shared" si="30"/>
        <v>93548.233962010709</v>
      </c>
      <c r="O172" s="152">
        <f t="shared" si="31"/>
        <v>621668.00596201071</v>
      </c>
    </row>
    <row r="173" spans="1:15" x14ac:dyDescent="0.15">
      <c r="A173" s="154"/>
      <c r="B173" s="151"/>
      <c r="C173" s="151"/>
      <c r="D173" s="323"/>
      <c r="E173" s="155"/>
      <c r="F173" s="157"/>
      <c r="G173" s="152"/>
      <c r="H173" s="323">
        <v>41695</v>
      </c>
      <c r="I173" s="152"/>
      <c r="J173" s="154"/>
      <c r="K173" s="154" t="s">
        <v>1825</v>
      </c>
      <c r="L173" s="227">
        <v>33287.870000000003</v>
      </c>
      <c r="M173" s="157" t="s">
        <v>1821</v>
      </c>
      <c r="N173" s="227">
        <f t="shared" si="30"/>
        <v>60260.363962010706</v>
      </c>
      <c r="O173" s="152">
        <f t="shared" si="31"/>
        <v>588380.13596201071</v>
      </c>
    </row>
    <row r="174" spans="1:15" x14ac:dyDescent="0.15">
      <c r="A174" s="154"/>
      <c r="B174" s="151"/>
      <c r="C174" s="151"/>
      <c r="D174" s="323">
        <v>41696</v>
      </c>
      <c r="E174" s="154" t="s">
        <v>72</v>
      </c>
      <c r="F174" s="157" t="s">
        <v>1823</v>
      </c>
      <c r="G174" s="152">
        <v>219868.92499999999</v>
      </c>
      <c r="H174" s="323">
        <v>41696</v>
      </c>
      <c r="I174" s="152"/>
      <c r="J174" s="154"/>
      <c r="K174" s="154" t="s">
        <v>1825</v>
      </c>
      <c r="L174" s="227">
        <v>13005.91</v>
      </c>
      <c r="M174" s="157" t="s">
        <v>1821</v>
      </c>
      <c r="N174" s="227">
        <f t="shared" si="30"/>
        <v>47254.45396201071</v>
      </c>
      <c r="O174" s="152">
        <f t="shared" si="31"/>
        <v>795243.15096201061</v>
      </c>
    </row>
    <row r="175" spans="1:15" x14ac:dyDescent="0.15">
      <c r="A175" s="154"/>
      <c r="B175" s="151"/>
      <c r="C175" s="151"/>
      <c r="D175" s="323"/>
      <c r="E175" s="155"/>
      <c r="F175" s="157"/>
      <c r="G175" s="152"/>
      <c r="H175" s="323">
        <v>41696</v>
      </c>
      <c r="I175" s="152"/>
      <c r="J175" s="154"/>
      <c r="K175" s="154" t="s">
        <v>1825</v>
      </c>
      <c r="L175" s="227">
        <v>47254.45396201071</v>
      </c>
      <c r="M175" s="157" t="s">
        <v>1821</v>
      </c>
      <c r="N175" s="227">
        <f t="shared" ref="N175:N178" si="38">+N174-I175-L175</f>
        <v>0</v>
      </c>
      <c r="O175" s="152">
        <f t="shared" ref="O175:O178" si="39">O174+G175-I175-L175</f>
        <v>747988.69699999993</v>
      </c>
    </row>
    <row r="176" spans="1:15" x14ac:dyDescent="0.15">
      <c r="A176" s="154"/>
      <c r="B176" s="151"/>
      <c r="C176" s="151"/>
      <c r="D176" s="323"/>
      <c r="E176" s="155"/>
      <c r="F176" s="157"/>
      <c r="G176" s="152"/>
      <c r="H176" s="323">
        <v>41696</v>
      </c>
      <c r="I176" s="152"/>
      <c r="J176" s="154"/>
      <c r="K176" s="154" t="s">
        <v>1825</v>
      </c>
      <c r="L176" s="227">
        <v>43030.466037989303</v>
      </c>
      <c r="M176" s="157" t="s">
        <v>1822</v>
      </c>
      <c r="N176" s="227">
        <f>G163+G168+N175-I176-L176</f>
        <v>257219.80596201064</v>
      </c>
      <c r="O176" s="152">
        <f t="shared" si="39"/>
        <v>704958.23096201057</v>
      </c>
    </row>
    <row r="177" spans="1:15" x14ac:dyDescent="0.15">
      <c r="A177" s="154"/>
      <c r="B177" s="151"/>
      <c r="C177" s="151"/>
      <c r="D177" s="323"/>
      <c r="E177" s="155"/>
      <c r="F177" s="157"/>
      <c r="G177" s="152"/>
      <c r="H177" s="323">
        <v>41696</v>
      </c>
      <c r="I177" s="152"/>
      <c r="J177" s="154"/>
      <c r="K177" s="154" t="s">
        <v>1825</v>
      </c>
      <c r="L177" s="227">
        <v>68301.55</v>
      </c>
      <c r="M177" s="157" t="s">
        <v>1822</v>
      </c>
      <c r="N177" s="227">
        <f t="shared" si="38"/>
        <v>188918.25596201065</v>
      </c>
      <c r="O177" s="152">
        <f t="shared" si="39"/>
        <v>636656.68096201052</v>
      </c>
    </row>
    <row r="178" spans="1:15" x14ac:dyDescent="0.15">
      <c r="A178" s="154"/>
      <c r="B178" s="151"/>
      <c r="C178" s="151"/>
      <c r="D178" s="323"/>
      <c r="E178" s="155"/>
      <c r="F178" s="157"/>
      <c r="G178" s="152"/>
      <c r="H178" s="323">
        <v>41696</v>
      </c>
      <c r="I178" s="152"/>
      <c r="J178" s="154"/>
      <c r="K178" s="154" t="s">
        <v>1825</v>
      </c>
      <c r="L178" s="227">
        <v>72870.33</v>
      </c>
      <c r="M178" s="157" t="s">
        <v>1822</v>
      </c>
      <c r="N178" s="227">
        <f t="shared" si="38"/>
        <v>116047.92596201065</v>
      </c>
      <c r="O178" s="152">
        <f t="shared" si="39"/>
        <v>563786.35096201056</v>
      </c>
    </row>
    <row r="179" spans="1:15" x14ac:dyDescent="0.15">
      <c r="A179" s="154"/>
      <c r="B179" s="151"/>
      <c r="C179" s="151"/>
      <c r="D179" s="323"/>
      <c r="E179" s="155"/>
      <c r="F179" s="157"/>
      <c r="G179" s="152"/>
      <c r="H179" s="323">
        <v>41696</v>
      </c>
      <c r="I179" s="152"/>
      <c r="J179" s="154"/>
      <c r="K179" s="154" t="s">
        <v>1825</v>
      </c>
      <c r="L179" s="227">
        <v>74400.259999999995</v>
      </c>
      <c r="M179" s="157" t="s">
        <v>1822</v>
      </c>
      <c r="N179" s="227">
        <f t="shared" ref="N179:N215" si="40">+N178-I179-L179</f>
        <v>41647.665962010651</v>
      </c>
      <c r="O179" s="152">
        <f t="shared" ref="O179:O215" si="41">O178+G179-I179-L179</f>
        <v>489386.09096201055</v>
      </c>
    </row>
    <row r="180" spans="1:15" x14ac:dyDescent="0.15">
      <c r="A180" s="154"/>
      <c r="B180" s="151"/>
      <c r="C180" s="151"/>
      <c r="D180" s="323"/>
      <c r="E180" s="154"/>
      <c r="F180" s="291"/>
      <c r="G180" s="152"/>
      <c r="H180" s="323">
        <v>41696</v>
      </c>
      <c r="I180" s="152"/>
      <c r="J180" s="157"/>
      <c r="K180" s="154" t="s">
        <v>1825</v>
      </c>
      <c r="L180" s="227">
        <v>41647.665962010651</v>
      </c>
      <c r="M180" s="157" t="s">
        <v>1822</v>
      </c>
      <c r="N180" s="227">
        <f t="shared" si="40"/>
        <v>0</v>
      </c>
      <c r="O180" s="152">
        <f t="shared" si="41"/>
        <v>447738.42499999993</v>
      </c>
    </row>
    <row r="181" spans="1:15" x14ac:dyDescent="0.15">
      <c r="A181" s="154"/>
      <c r="B181" s="151"/>
      <c r="C181" s="151"/>
      <c r="D181" s="323"/>
      <c r="E181" s="154"/>
      <c r="F181" s="291"/>
      <c r="G181" s="152"/>
      <c r="H181" s="323">
        <v>41696</v>
      </c>
      <c r="I181" s="152"/>
      <c r="J181" s="157"/>
      <c r="K181" s="154" t="s">
        <v>1825</v>
      </c>
      <c r="L181" s="227">
        <v>27951.144037989299</v>
      </c>
      <c r="M181" s="157" t="s">
        <v>1823</v>
      </c>
      <c r="N181" s="227">
        <f>G169+G171+G174+G182+N180-I181-L181</f>
        <v>515889.14996201068</v>
      </c>
      <c r="O181" s="152">
        <f t="shared" ref="O181:O184" si="42">O180+G181-I181-L181</f>
        <v>419787.28096201061</v>
      </c>
    </row>
    <row r="182" spans="1:15" x14ac:dyDescent="0.15">
      <c r="A182" s="154"/>
      <c r="B182" s="151"/>
      <c r="C182" s="151"/>
      <c r="D182" s="323">
        <v>41697</v>
      </c>
      <c r="E182" s="154" t="s">
        <v>72</v>
      </c>
      <c r="F182" s="157" t="s">
        <v>1823</v>
      </c>
      <c r="G182" s="152">
        <v>96101.869000000006</v>
      </c>
      <c r="H182" s="323">
        <v>41697</v>
      </c>
      <c r="I182" s="152">
        <v>2314.1799999999998</v>
      </c>
      <c r="J182" s="157" t="s">
        <v>1823</v>
      </c>
      <c r="K182" s="154" t="s">
        <v>1825</v>
      </c>
      <c r="L182" s="227">
        <v>53160.73</v>
      </c>
      <c r="M182" s="157" t="s">
        <v>1823</v>
      </c>
      <c r="N182" s="227">
        <f t="shared" ref="N182:N184" si="43">+N181-I182-L182</f>
        <v>460414.2399620107</v>
      </c>
      <c r="O182" s="152">
        <f t="shared" si="42"/>
        <v>460414.23996201064</v>
      </c>
    </row>
    <row r="183" spans="1:15" x14ac:dyDescent="0.15">
      <c r="A183" s="154"/>
      <c r="B183" s="151"/>
      <c r="C183" s="151"/>
      <c r="D183" s="323">
        <v>41697</v>
      </c>
      <c r="E183" s="154" t="s">
        <v>72</v>
      </c>
      <c r="F183" s="291" t="s">
        <v>1824</v>
      </c>
      <c r="G183" s="152">
        <v>209216.049</v>
      </c>
      <c r="H183" s="323">
        <v>41697</v>
      </c>
      <c r="I183" s="152"/>
      <c r="J183" s="157"/>
      <c r="K183" s="154" t="s">
        <v>1825</v>
      </c>
      <c r="L183" s="227">
        <v>39783.410000000003</v>
      </c>
      <c r="M183" s="157" t="s">
        <v>1823</v>
      </c>
      <c r="N183" s="227">
        <f t="shared" si="43"/>
        <v>420630.82996201073</v>
      </c>
      <c r="O183" s="152">
        <f t="shared" si="42"/>
        <v>629846.87896201061</v>
      </c>
    </row>
    <row r="184" spans="1:15" x14ac:dyDescent="0.15">
      <c r="A184" s="154"/>
      <c r="B184" s="151"/>
      <c r="C184" s="151"/>
      <c r="D184" s="323"/>
      <c r="E184" s="154"/>
      <c r="F184" s="291"/>
      <c r="G184" s="152"/>
      <c r="H184" s="323">
        <v>41697</v>
      </c>
      <c r="I184" s="152"/>
      <c r="J184" s="157"/>
      <c r="K184" s="154" t="s">
        <v>1825</v>
      </c>
      <c r="L184" s="227">
        <v>90307.13</v>
      </c>
      <c r="M184" s="157" t="s">
        <v>1823</v>
      </c>
      <c r="N184" s="227">
        <f t="shared" si="43"/>
        <v>330323.69996201072</v>
      </c>
      <c r="O184" s="152">
        <f t="shared" si="42"/>
        <v>539539.74896201061</v>
      </c>
    </row>
    <row r="185" spans="1:15" x14ac:dyDescent="0.15">
      <c r="A185" s="154"/>
      <c r="B185" s="151"/>
      <c r="C185" s="151"/>
      <c r="D185" s="323"/>
      <c r="E185" s="154"/>
      <c r="F185" s="291"/>
      <c r="G185" s="152"/>
      <c r="H185" s="323">
        <v>41697</v>
      </c>
      <c r="I185" s="152"/>
      <c r="J185" s="157"/>
      <c r="K185" s="154" t="s">
        <v>1825</v>
      </c>
      <c r="L185" s="227">
        <v>72442.710000000006</v>
      </c>
      <c r="M185" s="157" t="s">
        <v>1823</v>
      </c>
      <c r="N185" s="227">
        <f t="shared" si="40"/>
        <v>257880.9899620107</v>
      </c>
      <c r="O185" s="152">
        <f t="shared" si="41"/>
        <v>467097.03896201059</v>
      </c>
    </row>
    <row r="186" spans="1:15" x14ac:dyDescent="0.15">
      <c r="A186" s="154"/>
      <c r="B186" s="151"/>
      <c r="C186" s="151"/>
      <c r="D186" s="323"/>
      <c r="E186" s="154"/>
      <c r="F186" s="291"/>
      <c r="G186" s="152"/>
      <c r="H186" s="323">
        <v>41697</v>
      </c>
      <c r="I186" s="152"/>
      <c r="J186" s="157"/>
      <c r="K186" s="154" t="s">
        <v>1825</v>
      </c>
      <c r="L186" s="227">
        <v>140.07</v>
      </c>
      <c r="M186" s="157" t="s">
        <v>1823</v>
      </c>
      <c r="N186" s="227">
        <f t="shared" si="40"/>
        <v>257740.9199620107</v>
      </c>
      <c r="O186" s="152">
        <f t="shared" si="41"/>
        <v>466956.96896201058</v>
      </c>
    </row>
    <row r="187" spans="1:15" x14ac:dyDescent="0.15">
      <c r="A187" s="154"/>
      <c r="B187" s="151"/>
      <c r="C187" s="151"/>
      <c r="D187" s="323"/>
      <c r="E187" s="154"/>
      <c r="F187" s="291"/>
      <c r="G187" s="152"/>
      <c r="H187" s="323">
        <v>41697</v>
      </c>
      <c r="I187" s="152"/>
      <c r="J187" s="157"/>
      <c r="K187" s="154" t="s">
        <v>1825</v>
      </c>
      <c r="L187" s="227">
        <v>33939.199999999997</v>
      </c>
      <c r="M187" s="157" t="s">
        <v>1823</v>
      </c>
      <c r="N187" s="227">
        <f t="shared" si="40"/>
        <v>223801.71996201068</v>
      </c>
      <c r="O187" s="152">
        <f t="shared" si="41"/>
        <v>433017.76896201057</v>
      </c>
    </row>
    <row r="188" spans="1:15" x14ac:dyDescent="0.15">
      <c r="A188" s="154"/>
      <c r="B188" s="151"/>
      <c r="C188" s="151"/>
      <c r="D188" s="323">
        <v>41698</v>
      </c>
      <c r="E188" s="154" t="s">
        <v>72</v>
      </c>
      <c r="F188" s="291" t="s">
        <v>1824</v>
      </c>
      <c r="G188" s="152">
        <v>301269.08499999996</v>
      </c>
      <c r="H188" s="323">
        <v>41698</v>
      </c>
      <c r="I188" s="152">
        <v>7079</v>
      </c>
      <c r="J188" s="157" t="s">
        <v>1823</v>
      </c>
      <c r="K188" s="154" t="s">
        <v>1825</v>
      </c>
      <c r="L188" s="227">
        <v>43580.18</v>
      </c>
      <c r="M188" s="157" t="s">
        <v>1823</v>
      </c>
      <c r="N188" s="227">
        <f t="shared" si="40"/>
        <v>173142.53996201069</v>
      </c>
      <c r="O188" s="152">
        <f t="shared" si="41"/>
        <v>683627.67396201042</v>
      </c>
    </row>
    <row r="189" spans="1:15" x14ac:dyDescent="0.15">
      <c r="A189" s="154"/>
      <c r="B189" s="151"/>
      <c r="C189" s="151"/>
      <c r="D189" s="323"/>
      <c r="E189" s="154"/>
      <c r="F189" s="291"/>
      <c r="G189" s="152"/>
      <c r="H189" s="323">
        <v>41698</v>
      </c>
      <c r="I189" s="152"/>
      <c r="J189" s="157"/>
      <c r="K189" s="154" t="s">
        <v>1825</v>
      </c>
      <c r="L189" s="227">
        <v>3305.02</v>
      </c>
      <c r="M189" s="157" t="s">
        <v>1823</v>
      </c>
      <c r="N189" s="227">
        <f t="shared" si="40"/>
        <v>169837.5199620107</v>
      </c>
      <c r="O189" s="152">
        <f t="shared" si="41"/>
        <v>680322.6539620104</v>
      </c>
    </row>
    <row r="190" spans="1:15" x14ac:dyDescent="0.15">
      <c r="A190" s="154"/>
      <c r="B190" s="151"/>
      <c r="C190" s="151"/>
      <c r="D190" s="323"/>
      <c r="E190" s="154"/>
      <c r="F190" s="291"/>
      <c r="G190" s="152"/>
      <c r="H190" s="323">
        <v>41698</v>
      </c>
      <c r="I190" s="152"/>
      <c r="J190" s="157"/>
      <c r="K190" s="154" t="s">
        <v>1825</v>
      </c>
      <c r="L190" s="227">
        <v>31268</v>
      </c>
      <c r="M190" s="157" t="s">
        <v>1823</v>
      </c>
      <c r="N190" s="227">
        <f t="shared" si="40"/>
        <v>138569.5199620107</v>
      </c>
      <c r="O190" s="152">
        <f t="shared" si="41"/>
        <v>649054.6539620104</v>
      </c>
    </row>
    <row r="191" spans="1:15" x14ac:dyDescent="0.15">
      <c r="A191" s="154"/>
      <c r="B191" s="151"/>
      <c r="C191" s="151"/>
      <c r="D191" s="323"/>
      <c r="E191" s="154"/>
      <c r="F191" s="291"/>
      <c r="G191" s="152"/>
      <c r="H191" s="323">
        <v>41698</v>
      </c>
      <c r="I191" s="152"/>
      <c r="J191" s="157"/>
      <c r="K191" s="154" t="s">
        <v>1825</v>
      </c>
      <c r="L191" s="227">
        <v>1114</v>
      </c>
      <c r="M191" s="157" t="s">
        <v>1823</v>
      </c>
      <c r="N191" s="227">
        <f t="shared" si="40"/>
        <v>137455.5199620107</v>
      </c>
      <c r="O191" s="152">
        <f t="shared" si="41"/>
        <v>647940.6539620104</v>
      </c>
    </row>
    <row r="192" spans="1:15" x14ac:dyDescent="0.15">
      <c r="A192" s="154"/>
      <c r="B192" s="151"/>
      <c r="C192" s="151"/>
      <c r="D192" s="323"/>
      <c r="E192" s="154"/>
      <c r="F192" s="291"/>
      <c r="G192" s="152"/>
      <c r="H192" s="323">
        <v>41698</v>
      </c>
      <c r="I192" s="152"/>
      <c r="J192" s="157"/>
      <c r="K192" s="154" t="s">
        <v>1825</v>
      </c>
      <c r="L192" s="227">
        <v>12804</v>
      </c>
      <c r="M192" s="157" t="s">
        <v>1823</v>
      </c>
      <c r="N192" s="227">
        <f t="shared" si="40"/>
        <v>124651.5199620107</v>
      </c>
      <c r="O192" s="152">
        <f t="shared" si="41"/>
        <v>635136.6539620104</v>
      </c>
    </row>
    <row r="193" spans="1:15" hidden="1" x14ac:dyDescent="0.15">
      <c r="A193" s="154"/>
      <c r="B193" s="151"/>
      <c r="C193" s="151"/>
      <c r="D193" s="323"/>
      <c r="E193" s="154"/>
      <c r="F193" s="291"/>
      <c r="G193" s="152"/>
      <c r="H193" s="323"/>
      <c r="I193" s="152"/>
      <c r="J193" s="157"/>
      <c r="K193" s="154"/>
      <c r="L193" s="227"/>
      <c r="M193" s="157"/>
      <c r="N193" s="227">
        <f t="shared" si="40"/>
        <v>124651.5199620107</v>
      </c>
      <c r="O193" s="152">
        <f t="shared" si="41"/>
        <v>635136.6539620104</v>
      </c>
    </row>
    <row r="194" spans="1:15" hidden="1" x14ac:dyDescent="0.15">
      <c r="A194" s="154"/>
      <c r="B194" s="151"/>
      <c r="C194" s="151"/>
      <c r="D194" s="323"/>
      <c r="E194" s="154"/>
      <c r="F194" s="291"/>
      <c r="G194" s="152"/>
      <c r="H194" s="323"/>
      <c r="I194" s="152"/>
      <c r="J194" s="157"/>
      <c r="K194" s="154"/>
      <c r="L194" s="227"/>
      <c r="M194" s="157"/>
      <c r="N194" s="227">
        <f t="shared" si="40"/>
        <v>124651.5199620107</v>
      </c>
      <c r="O194" s="152">
        <f t="shared" si="41"/>
        <v>635136.6539620104</v>
      </c>
    </row>
    <row r="195" spans="1:15" hidden="1" x14ac:dyDescent="0.15">
      <c r="A195" s="154"/>
      <c r="B195" s="151"/>
      <c r="C195" s="151"/>
      <c r="D195" s="323"/>
      <c r="E195" s="154"/>
      <c r="F195" s="291"/>
      <c r="G195" s="152"/>
      <c r="H195" s="323"/>
      <c r="I195" s="152"/>
      <c r="J195" s="157"/>
      <c r="K195" s="154"/>
      <c r="L195" s="227"/>
      <c r="M195" s="157"/>
      <c r="N195" s="227">
        <f t="shared" si="40"/>
        <v>124651.5199620107</v>
      </c>
      <c r="O195" s="152">
        <f t="shared" si="41"/>
        <v>635136.6539620104</v>
      </c>
    </row>
    <row r="196" spans="1:15" hidden="1" x14ac:dyDescent="0.15">
      <c r="A196" s="154"/>
      <c r="B196" s="151"/>
      <c r="C196" s="151"/>
      <c r="D196" s="323"/>
      <c r="E196" s="154"/>
      <c r="F196" s="291"/>
      <c r="G196" s="152"/>
      <c r="H196" s="323"/>
      <c r="I196" s="152"/>
      <c r="J196" s="157"/>
      <c r="K196" s="154"/>
      <c r="L196" s="227"/>
      <c r="M196" s="157"/>
      <c r="N196" s="227">
        <f t="shared" si="40"/>
        <v>124651.5199620107</v>
      </c>
      <c r="O196" s="152">
        <f t="shared" si="41"/>
        <v>635136.6539620104</v>
      </c>
    </row>
    <row r="197" spans="1:15" hidden="1" x14ac:dyDescent="0.15">
      <c r="A197" s="154"/>
      <c r="B197" s="151"/>
      <c r="C197" s="151"/>
      <c r="D197" s="323"/>
      <c r="E197" s="154"/>
      <c r="F197" s="291"/>
      <c r="G197" s="152"/>
      <c r="H197" s="323"/>
      <c r="I197" s="152"/>
      <c r="J197" s="157"/>
      <c r="K197" s="154"/>
      <c r="L197" s="227"/>
      <c r="M197" s="157"/>
      <c r="N197" s="227">
        <f t="shared" si="40"/>
        <v>124651.5199620107</v>
      </c>
      <c r="O197" s="152">
        <f t="shared" si="41"/>
        <v>635136.6539620104</v>
      </c>
    </row>
    <row r="198" spans="1:15" hidden="1" x14ac:dyDescent="0.15">
      <c r="A198" s="154"/>
      <c r="B198" s="151"/>
      <c r="C198" s="151"/>
      <c r="D198" s="323"/>
      <c r="E198" s="154"/>
      <c r="F198" s="291"/>
      <c r="G198" s="152"/>
      <c r="H198" s="323"/>
      <c r="I198" s="152"/>
      <c r="J198" s="157"/>
      <c r="K198" s="154"/>
      <c r="L198" s="227"/>
      <c r="M198" s="157"/>
      <c r="N198" s="227">
        <f t="shared" si="40"/>
        <v>124651.5199620107</v>
      </c>
      <c r="O198" s="152">
        <f t="shared" si="41"/>
        <v>635136.6539620104</v>
      </c>
    </row>
    <row r="199" spans="1:15" hidden="1" x14ac:dyDescent="0.15">
      <c r="A199" s="154"/>
      <c r="B199" s="151"/>
      <c r="C199" s="151"/>
      <c r="D199" s="323"/>
      <c r="E199" s="154"/>
      <c r="F199" s="291"/>
      <c r="G199" s="152"/>
      <c r="H199" s="323"/>
      <c r="I199" s="152"/>
      <c r="J199" s="157"/>
      <c r="K199" s="154"/>
      <c r="L199" s="227"/>
      <c r="M199" s="157"/>
      <c r="N199" s="227">
        <f t="shared" si="40"/>
        <v>124651.5199620107</v>
      </c>
      <c r="O199" s="152">
        <f t="shared" si="41"/>
        <v>635136.6539620104</v>
      </c>
    </row>
    <row r="200" spans="1:15" hidden="1" x14ac:dyDescent="0.15">
      <c r="A200" s="154"/>
      <c r="B200" s="151"/>
      <c r="C200" s="151"/>
      <c r="D200" s="323"/>
      <c r="E200" s="154"/>
      <c r="F200" s="291"/>
      <c r="G200" s="152"/>
      <c r="H200" s="323"/>
      <c r="I200" s="152"/>
      <c r="J200" s="157"/>
      <c r="K200" s="154"/>
      <c r="L200" s="227"/>
      <c r="M200" s="157"/>
      <c r="N200" s="227">
        <f t="shared" si="40"/>
        <v>124651.5199620107</v>
      </c>
      <c r="O200" s="152">
        <f t="shared" si="41"/>
        <v>635136.6539620104</v>
      </c>
    </row>
    <row r="201" spans="1:15" hidden="1" x14ac:dyDescent="0.15">
      <c r="A201" s="154"/>
      <c r="B201" s="151"/>
      <c r="C201" s="151"/>
      <c r="D201" s="323"/>
      <c r="E201" s="154"/>
      <c r="F201" s="291"/>
      <c r="G201" s="152"/>
      <c r="H201" s="323"/>
      <c r="I201" s="152"/>
      <c r="J201" s="157"/>
      <c r="K201" s="154"/>
      <c r="L201" s="227"/>
      <c r="M201" s="157"/>
      <c r="N201" s="227">
        <f t="shared" si="40"/>
        <v>124651.5199620107</v>
      </c>
      <c r="O201" s="152">
        <f t="shared" si="41"/>
        <v>635136.6539620104</v>
      </c>
    </row>
    <row r="202" spans="1:15" hidden="1" x14ac:dyDescent="0.15">
      <c r="A202" s="154"/>
      <c r="B202" s="151"/>
      <c r="C202" s="151"/>
      <c r="D202" s="323"/>
      <c r="E202" s="154"/>
      <c r="F202" s="291"/>
      <c r="G202" s="152"/>
      <c r="H202" s="323"/>
      <c r="I202" s="152"/>
      <c r="J202" s="157"/>
      <c r="K202" s="154"/>
      <c r="L202" s="227"/>
      <c r="M202" s="157"/>
      <c r="N202" s="227">
        <f t="shared" si="40"/>
        <v>124651.5199620107</v>
      </c>
      <c r="O202" s="152">
        <f t="shared" si="41"/>
        <v>635136.6539620104</v>
      </c>
    </row>
    <row r="203" spans="1:15" hidden="1" x14ac:dyDescent="0.15">
      <c r="A203" s="154"/>
      <c r="B203" s="151"/>
      <c r="C203" s="151"/>
      <c r="D203" s="323"/>
      <c r="E203" s="154"/>
      <c r="F203" s="291"/>
      <c r="G203" s="152"/>
      <c r="H203" s="323"/>
      <c r="I203" s="152"/>
      <c r="J203" s="157"/>
      <c r="K203" s="154"/>
      <c r="L203" s="227"/>
      <c r="M203" s="157"/>
      <c r="N203" s="227">
        <f t="shared" si="40"/>
        <v>124651.5199620107</v>
      </c>
      <c r="O203" s="152">
        <f t="shared" si="41"/>
        <v>635136.6539620104</v>
      </c>
    </row>
    <row r="204" spans="1:15" hidden="1" x14ac:dyDescent="0.15">
      <c r="A204" s="154"/>
      <c r="B204" s="151"/>
      <c r="C204" s="151"/>
      <c r="D204" s="323"/>
      <c r="E204" s="154"/>
      <c r="F204" s="291"/>
      <c r="G204" s="152"/>
      <c r="H204" s="323"/>
      <c r="I204" s="152"/>
      <c r="J204" s="157"/>
      <c r="K204" s="154"/>
      <c r="L204" s="227"/>
      <c r="M204" s="157"/>
      <c r="N204" s="227">
        <f t="shared" si="40"/>
        <v>124651.5199620107</v>
      </c>
      <c r="O204" s="152">
        <f t="shared" si="41"/>
        <v>635136.6539620104</v>
      </c>
    </row>
    <row r="205" spans="1:15" hidden="1" x14ac:dyDescent="0.15">
      <c r="A205" s="154"/>
      <c r="B205" s="151"/>
      <c r="C205" s="151"/>
      <c r="D205" s="323"/>
      <c r="E205" s="154"/>
      <c r="F205" s="291"/>
      <c r="G205" s="152"/>
      <c r="H205" s="323"/>
      <c r="I205" s="152"/>
      <c r="J205" s="157"/>
      <c r="K205" s="154"/>
      <c r="L205" s="227"/>
      <c r="M205" s="157"/>
      <c r="N205" s="227">
        <f t="shared" si="40"/>
        <v>124651.5199620107</v>
      </c>
      <c r="O205" s="152">
        <f t="shared" si="41"/>
        <v>635136.6539620104</v>
      </c>
    </row>
    <row r="206" spans="1:15" hidden="1" x14ac:dyDescent="0.15">
      <c r="A206" s="154"/>
      <c r="B206" s="151"/>
      <c r="C206" s="151"/>
      <c r="D206" s="323"/>
      <c r="E206" s="154"/>
      <c r="F206" s="291"/>
      <c r="G206" s="152"/>
      <c r="H206" s="323"/>
      <c r="I206" s="152"/>
      <c r="J206" s="157"/>
      <c r="K206" s="154"/>
      <c r="L206" s="227"/>
      <c r="M206" s="157"/>
      <c r="N206" s="227">
        <f t="shared" si="40"/>
        <v>124651.5199620107</v>
      </c>
      <c r="O206" s="152">
        <f t="shared" si="41"/>
        <v>635136.6539620104</v>
      </c>
    </row>
    <row r="207" spans="1:15" hidden="1" x14ac:dyDescent="0.15">
      <c r="A207" s="154"/>
      <c r="B207" s="151"/>
      <c r="C207" s="151"/>
      <c r="D207" s="323"/>
      <c r="E207" s="154"/>
      <c r="F207" s="291"/>
      <c r="G207" s="152"/>
      <c r="H207" s="323"/>
      <c r="I207" s="152"/>
      <c r="J207" s="157"/>
      <c r="K207" s="154"/>
      <c r="L207" s="227"/>
      <c r="M207" s="157"/>
      <c r="N207" s="227">
        <f t="shared" si="40"/>
        <v>124651.5199620107</v>
      </c>
      <c r="O207" s="152">
        <f t="shared" si="41"/>
        <v>635136.6539620104</v>
      </c>
    </row>
    <row r="208" spans="1:15" hidden="1" x14ac:dyDescent="0.15">
      <c r="A208" s="154"/>
      <c r="B208" s="151"/>
      <c r="C208" s="151"/>
      <c r="D208" s="323"/>
      <c r="E208" s="154"/>
      <c r="F208" s="291"/>
      <c r="G208" s="152"/>
      <c r="H208" s="323"/>
      <c r="I208" s="152"/>
      <c r="J208" s="157"/>
      <c r="K208" s="154"/>
      <c r="L208" s="227"/>
      <c r="M208" s="157"/>
      <c r="N208" s="227">
        <f t="shared" si="40"/>
        <v>124651.5199620107</v>
      </c>
      <c r="O208" s="152">
        <f t="shared" si="41"/>
        <v>635136.6539620104</v>
      </c>
    </row>
    <row r="209" spans="1:15" hidden="1" x14ac:dyDescent="0.15">
      <c r="A209" s="154"/>
      <c r="B209" s="151"/>
      <c r="C209" s="151"/>
      <c r="D209" s="323"/>
      <c r="E209" s="154"/>
      <c r="F209" s="291"/>
      <c r="G209" s="152"/>
      <c r="H209" s="323"/>
      <c r="I209" s="152"/>
      <c r="J209" s="157"/>
      <c r="K209" s="154"/>
      <c r="L209" s="227"/>
      <c r="M209" s="157"/>
      <c r="N209" s="227">
        <f t="shared" si="40"/>
        <v>124651.5199620107</v>
      </c>
      <c r="O209" s="152">
        <f t="shared" si="41"/>
        <v>635136.6539620104</v>
      </c>
    </row>
    <row r="210" spans="1:15" hidden="1" x14ac:dyDescent="0.15">
      <c r="A210" s="154"/>
      <c r="B210" s="151"/>
      <c r="C210" s="151"/>
      <c r="D210" s="323"/>
      <c r="E210" s="154"/>
      <c r="F210" s="291"/>
      <c r="G210" s="152"/>
      <c r="H210" s="323"/>
      <c r="I210" s="152"/>
      <c r="J210" s="157"/>
      <c r="K210" s="154"/>
      <c r="L210" s="227"/>
      <c r="M210" s="157"/>
      <c r="N210" s="227">
        <f t="shared" si="40"/>
        <v>124651.5199620107</v>
      </c>
      <c r="O210" s="152">
        <f t="shared" si="41"/>
        <v>635136.6539620104</v>
      </c>
    </row>
    <row r="211" spans="1:15" hidden="1" x14ac:dyDescent="0.15">
      <c r="A211" s="154"/>
      <c r="B211" s="151"/>
      <c r="C211" s="151"/>
      <c r="D211" s="323"/>
      <c r="E211" s="154"/>
      <c r="F211" s="291"/>
      <c r="G211" s="152"/>
      <c r="H211" s="323"/>
      <c r="I211" s="152"/>
      <c r="J211" s="157"/>
      <c r="K211" s="154"/>
      <c r="L211" s="227"/>
      <c r="M211" s="157"/>
      <c r="N211" s="227">
        <f t="shared" si="40"/>
        <v>124651.5199620107</v>
      </c>
      <c r="O211" s="152">
        <f t="shared" si="41"/>
        <v>635136.6539620104</v>
      </c>
    </row>
    <row r="212" spans="1:15" hidden="1" x14ac:dyDescent="0.15">
      <c r="A212" s="154"/>
      <c r="B212" s="151"/>
      <c r="C212" s="151"/>
      <c r="D212" s="323"/>
      <c r="E212" s="154"/>
      <c r="F212" s="157"/>
      <c r="G212" s="152"/>
      <c r="H212" s="323"/>
      <c r="I212" s="152"/>
      <c r="J212" s="157"/>
      <c r="K212" s="154"/>
      <c r="L212" s="227"/>
      <c r="M212" s="157"/>
      <c r="N212" s="227">
        <f t="shared" si="40"/>
        <v>124651.5199620107</v>
      </c>
      <c r="O212" s="152">
        <f t="shared" si="41"/>
        <v>635136.6539620104</v>
      </c>
    </row>
    <row r="213" spans="1:15" hidden="1" x14ac:dyDescent="0.15">
      <c r="A213" s="154"/>
      <c r="B213" s="151"/>
      <c r="C213" s="151"/>
      <c r="D213" s="323"/>
      <c r="E213" s="154"/>
      <c r="F213" s="157"/>
      <c r="G213" s="152"/>
      <c r="H213" s="323"/>
      <c r="I213" s="152"/>
      <c r="J213" s="154"/>
      <c r="K213" s="154"/>
      <c r="L213" s="227"/>
      <c r="M213" s="157"/>
      <c r="N213" s="227">
        <f t="shared" si="40"/>
        <v>124651.5199620107</v>
      </c>
      <c r="O213" s="152">
        <f t="shared" si="41"/>
        <v>635136.6539620104</v>
      </c>
    </row>
    <row r="214" spans="1:15" hidden="1" x14ac:dyDescent="0.15">
      <c r="A214" s="154"/>
      <c r="B214" s="151"/>
      <c r="C214" s="151"/>
      <c r="D214" s="323"/>
      <c r="E214" s="155"/>
      <c r="F214" s="157"/>
      <c r="G214" s="152"/>
      <c r="H214" s="323"/>
      <c r="I214" s="152"/>
      <c r="J214" s="154"/>
      <c r="K214" s="154"/>
      <c r="L214" s="227"/>
      <c r="M214" s="157"/>
      <c r="N214" s="227">
        <f t="shared" si="40"/>
        <v>124651.5199620107</v>
      </c>
      <c r="O214" s="152">
        <f t="shared" si="41"/>
        <v>635136.6539620104</v>
      </c>
    </row>
    <row r="215" spans="1:15" hidden="1" x14ac:dyDescent="0.15">
      <c r="A215" s="154"/>
      <c r="B215" s="151"/>
      <c r="C215" s="151"/>
      <c r="D215" s="323"/>
      <c r="E215" s="154"/>
      <c r="F215" s="160"/>
      <c r="G215" s="152"/>
      <c r="H215" s="323"/>
      <c r="I215" s="152"/>
      <c r="J215" s="157"/>
      <c r="K215" s="154"/>
      <c r="L215" s="227"/>
      <c r="M215" s="157"/>
      <c r="N215" s="227">
        <f t="shared" si="40"/>
        <v>124651.5199620107</v>
      </c>
      <c r="O215" s="152">
        <f t="shared" si="41"/>
        <v>635136.6539620104</v>
      </c>
    </row>
    <row r="216" spans="1:15" hidden="1" x14ac:dyDescent="0.15">
      <c r="A216" s="154"/>
      <c r="B216" s="151"/>
      <c r="C216" s="151"/>
      <c r="D216" s="323"/>
      <c r="E216" s="154"/>
      <c r="F216" s="160"/>
      <c r="G216" s="152"/>
      <c r="H216" s="323"/>
      <c r="I216" s="152"/>
      <c r="J216" s="150"/>
      <c r="K216" s="154"/>
      <c r="L216" s="227"/>
      <c r="M216" s="157"/>
      <c r="N216" s="227">
        <f t="shared" si="30"/>
        <v>124651.5199620107</v>
      </c>
      <c r="O216" s="152">
        <f t="shared" si="31"/>
        <v>635136.6539620104</v>
      </c>
    </row>
    <row r="217" spans="1:15" x14ac:dyDescent="0.15">
      <c r="A217" s="173"/>
      <c r="B217" s="173"/>
      <c r="C217" s="174"/>
      <c r="D217" s="323"/>
      <c r="E217" s="173"/>
      <c r="F217" s="173"/>
      <c r="G217" s="174"/>
      <c r="H217" s="323"/>
      <c r="I217" s="174"/>
      <c r="J217" s="173"/>
      <c r="K217" s="154"/>
      <c r="L217" s="228"/>
      <c r="M217" s="173"/>
      <c r="N217" s="227">
        <f t="shared" si="30"/>
        <v>124651.5199620107</v>
      </c>
      <c r="O217" s="152">
        <f t="shared" si="31"/>
        <v>635136.6539620104</v>
      </c>
    </row>
    <row r="218" spans="1:15" x14ac:dyDescent="0.15">
      <c r="A218" s="177"/>
      <c r="B218" s="177"/>
      <c r="C218" s="178">
        <f>SUM(C7:C216)</f>
        <v>663571.21496201062</v>
      </c>
      <c r="D218" s="177"/>
      <c r="E218" s="177"/>
      <c r="F218" s="177"/>
      <c r="G218" s="178">
        <f>SUM(G7:G217)</f>
        <v>5899146.8789999988</v>
      </c>
      <c r="H218" s="179"/>
      <c r="I218" s="178">
        <f>SUM(I7:I217)</f>
        <v>183513.78000000003</v>
      </c>
      <c r="J218" s="177"/>
      <c r="K218" s="177"/>
      <c r="L218" s="178">
        <f>SUM(L7:L217)</f>
        <v>5744067.6600000001</v>
      </c>
      <c r="M218" s="177"/>
      <c r="N218" s="180"/>
      <c r="O218" s="181">
        <f>C218+G218-I218-L218</f>
        <v>635136.65396200866</v>
      </c>
    </row>
    <row r="219" spans="1:15" x14ac:dyDescent="0.15">
      <c r="A219" s="182"/>
      <c r="B219" s="465"/>
      <c r="C219" s="465"/>
      <c r="D219" s="465"/>
      <c r="E219" s="183"/>
      <c r="F219" s="284"/>
      <c r="G219" s="185"/>
      <c r="H219" s="186"/>
      <c r="I219" s="187"/>
      <c r="J219" s="188"/>
      <c r="K219" s="189" t="s">
        <v>139</v>
      </c>
      <c r="L219" s="190">
        <f>+L218+I218</f>
        <v>5927581.4400000004</v>
      </c>
      <c r="M219" s="197"/>
      <c r="N219" s="230">
        <f>+N217</f>
        <v>124651.5199620107</v>
      </c>
      <c r="O219" s="195" t="s">
        <v>1823</v>
      </c>
    </row>
    <row r="220" spans="1:15" x14ac:dyDescent="0.15">
      <c r="A220" s="193"/>
      <c r="B220" s="470"/>
      <c r="C220" s="470"/>
      <c r="D220" s="470"/>
      <c r="E220" s="183"/>
      <c r="F220" s="343"/>
      <c r="G220" s="219"/>
      <c r="H220" s="186"/>
      <c r="I220" s="187"/>
      <c r="J220" s="210"/>
      <c r="K220" s="210"/>
      <c r="N220" s="230">
        <v>510485.13399999996</v>
      </c>
      <c r="O220" s="195" t="s">
        <v>1824</v>
      </c>
    </row>
    <row r="221" spans="1:15" x14ac:dyDescent="0.15">
      <c r="A221" s="193" t="s">
        <v>1781</v>
      </c>
      <c r="B221" s="341" t="s">
        <v>1806</v>
      </c>
      <c r="E221" s="183" t="s">
        <v>55</v>
      </c>
      <c r="F221" s="343">
        <v>2040866.18</v>
      </c>
      <c r="G221" s="219" t="s">
        <v>56</v>
      </c>
      <c r="H221" s="186">
        <v>41675</v>
      </c>
      <c r="I221" s="187" t="s">
        <v>71</v>
      </c>
      <c r="J221" s="210">
        <v>69091.557962010644</v>
      </c>
      <c r="K221" s="297"/>
      <c r="N221" s="230"/>
      <c r="O221" s="334"/>
    </row>
    <row r="222" spans="1:15" x14ac:dyDescent="0.15">
      <c r="A222" s="193" t="s">
        <v>1782</v>
      </c>
      <c r="B222" s="341" t="s">
        <v>1832</v>
      </c>
      <c r="E222" s="183" t="s">
        <v>55</v>
      </c>
      <c r="F222" s="343">
        <v>1156955.24</v>
      </c>
      <c r="G222" s="219" t="s">
        <v>56</v>
      </c>
      <c r="H222" s="186">
        <v>41677</v>
      </c>
      <c r="I222" s="187" t="s">
        <v>71</v>
      </c>
      <c r="J222" s="210">
        <v>752220.65</v>
      </c>
      <c r="K222" s="333"/>
      <c r="N222" s="230"/>
      <c r="O222" s="195"/>
    </row>
    <row r="223" spans="1:15" x14ac:dyDescent="0.15">
      <c r="A223" s="193" t="s">
        <v>1809</v>
      </c>
      <c r="B223" s="341" t="s">
        <v>1833</v>
      </c>
      <c r="E223" s="183" t="s">
        <v>55</v>
      </c>
      <c r="F223" s="343">
        <v>539694.69999999995</v>
      </c>
      <c r="G223" s="219" t="s">
        <v>56</v>
      </c>
      <c r="H223" s="186">
        <v>41680</v>
      </c>
      <c r="I223" s="187" t="s">
        <v>71</v>
      </c>
      <c r="J223" s="210">
        <v>228487.071</v>
      </c>
      <c r="N223" s="230"/>
      <c r="O223" s="195"/>
    </row>
    <row r="224" spans="1:15" x14ac:dyDescent="0.15">
      <c r="A224" s="193" t="s">
        <v>1810</v>
      </c>
      <c r="B224" s="341" t="s">
        <v>1834</v>
      </c>
      <c r="E224" s="183" t="s">
        <v>55</v>
      </c>
      <c r="F224" s="343">
        <v>3045766.31</v>
      </c>
      <c r="G224" s="219" t="s">
        <v>56</v>
      </c>
      <c r="H224" s="186">
        <v>41681</v>
      </c>
      <c r="I224" s="187" t="s">
        <v>71</v>
      </c>
      <c r="J224" s="210">
        <v>381535.4690000001</v>
      </c>
      <c r="K224" s="333"/>
      <c r="N224" s="230"/>
      <c r="O224" s="195"/>
    </row>
    <row r="225" spans="1:15" x14ac:dyDescent="0.15">
      <c r="A225" s="193" t="s">
        <v>1811</v>
      </c>
      <c r="B225" s="341" t="s">
        <v>1835</v>
      </c>
      <c r="E225" s="183" t="s">
        <v>55</v>
      </c>
      <c r="F225" s="343">
        <v>196388.91</v>
      </c>
      <c r="G225" s="219" t="s">
        <v>56</v>
      </c>
      <c r="H225" s="186">
        <v>41683</v>
      </c>
      <c r="I225" s="187" t="s">
        <v>71</v>
      </c>
      <c r="J225" s="210">
        <v>165026.77300000002</v>
      </c>
      <c r="N225" s="230"/>
      <c r="O225" s="195"/>
    </row>
    <row r="226" spans="1:15" x14ac:dyDescent="0.15">
      <c r="A226" s="193" t="s">
        <v>1817</v>
      </c>
      <c r="B226" s="341" t="s">
        <v>1836</v>
      </c>
      <c r="E226" s="183" t="s">
        <v>55</v>
      </c>
      <c r="F226" s="343">
        <v>2813326.2</v>
      </c>
      <c r="G226" s="219" t="s">
        <v>56</v>
      </c>
      <c r="H226" s="186">
        <v>41689</v>
      </c>
      <c r="I226" s="187" t="s">
        <v>71</v>
      </c>
      <c r="J226" s="210">
        <v>458318.45600000024</v>
      </c>
      <c r="N226" s="206" t="s">
        <v>33</v>
      </c>
      <c r="O226" s="207">
        <f>SUM(N219:N225)</f>
        <v>635136.65396201063</v>
      </c>
    </row>
    <row r="227" spans="1:15" x14ac:dyDescent="0.15">
      <c r="A227" s="193" t="s">
        <v>1816</v>
      </c>
      <c r="B227" s="341" t="s">
        <v>1837</v>
      </c>
      <c r="E227" s="183" t="s">
        <v>55</v>
      </c>
      <c r="F227" s="343">
        <v>600026.78</v>
      </c>
      <c r="G227" s="219" t="s">
        <v>56</v>
      </c>
      <c r="H227" s="186">
        <v>41690</v>
      </c>
      <c r="I227" s="187" t="s">
        <v>71</v>
      </c>
      <c r="J227" s="210">
        <v>254519.49</v>
      </c>
      <c r="K227" s="297"/>
      <c r="O227" s="132">
        <f>+O218-O226</f>
        <v>-1.9790604710578918E-9</v>
      </c>
    </row>
    <row r="228" spans="1:15" s="132" customFormat="1" x14ac:dyDescent="0.15">
      <c r="A228" s="193" t="s">
        <v>1818</v>
      </c>
      <c r="B228" s="341" t="s">
        <v>1838</v>
      </c>
      <c r="D228" s="133"/>
      <c r="E228" s="183" t="s">
        <v>55</v>
      </c>
      <c r="F228" s="343">
        <v>2649347.61</v>
      </c>
      <c r="G228" s="219" t="s">
        <v>56</v>
      </c>
      <c r="H228" s="186">
        <v>41694</v>
      </c>
      <c r="I228" s="187" t="s">
        <v>71</v>
      </c>
      <c r="J228" s="210">
        <v>341273.9639999998</v>
      </c>
      <c r="K228" s="333"/>
      <c r="M228" s="134"/>
    </row>
    <row r="229" spans="1:15" s="132" customFormat="1" x14ac:dyDescent="0.15">
      <c r="A229" s="193" t="s">
        <v>1819</v>
      </c>
      <c r="B229" s="341" t="s">
        <v>1839</v>
      </c>
      <c r="D229" s="133"/>
      <c r="E229" s="183" t="s">
        <v>55</v>
      </c>
      <c r="F229" s="343">
        <v>4116712.05</v>
      </c>
      <c r="G229" s="219" t="s">
        <v>56</v>
      </c>
      <c r="H229" s="186">
        <v>41694</v>
      </c>
      <c r="I229" s="187" t="s">
        <v>71</v>
      </c>
      <c r="J229" s="210">
        <v>182223.08499999999</v>
      </c>
      <c r="K229" s="133"/>
      <c r="M229" s="134"/>
    </row>
    <row r="230" spans="1:15" s="132" customFormat="1" x14ac:dyDescent="0.15">
      <c r="A230" s="193" t="s">
        <v>1820</v>
      </c>
      <c r="B230" s="341" t="s">
        <v>1840</v>
      </c>
      <c r="D230" s="133"/>
      <c r="E230" s="183" t="s">
        <v>55</v>
      </c>
      <c r="F230" s="343">
        <v>2032869.97</v>
      </c>
      <c r="G230" s="219" t="s">
        <v>56</v>
      </c>
      <c r="H230" s="186">
        <v>41695</v>
      </c>
      <c r="I230" s="187" t="s">
        <v>71</v>
      </c>
      <c r="J230" s="210">
        <v>260289.43499999994</v>
      </c>
      <c r="K230" s="133"/>
      <c r="M230" s="134"/>
    </row>
    <row r="231" spans="1:15" s="132" customFormat="1" x14ac:dyDescent="0.15">
      <c r="A231" s="193" t="s">
        <v>1821</v>
      </c>
      <c r="B231" s="341" t="s">
        <v>1841</v>
      </c>
      <c r="D231" s="133"/>
      <c r="E231" s="183" t="s">
        <v>55</v>
      </c>
      <c r="F231" s="343">
        <v>2065318.44</v>
      </c>
      <c r="G231" s="219" t="s">
        <v>56</v>
      </c>
      <c r="H231" s="186">
        <v>41686</v>
      </c>
      <c r="I231" s="187" t="s">
        <v>71</v>
      </c>
      <c r="J231" s="210">
        <v>384996.90099999995</v>
      </c>
      <c r="K231" s="333"/>
      <c r="M231" s="134"/>
    </row>
    <row r="232" spans="1:15" s="132" customFormat="1" x14ac:dyDescent="0.15">
      <c r="A232" s="193" t="s">
        <v>1822</v>
      </c>
      <c r="B232" s="341" t="s">
        <v>1842</v>
      </c>
      <c r="D232" s="133"/>
      <c r="E232" s="183" t="s">
        <v>55</v>
      </c>
      <c r="F232" s="343">
        <v>2973229.5</v>
      </c>
      <c r="G232" s="219" t="s">
        <v>56</v>
      </c>
      <c r="H232" s="186">
        <v>41701</v>
      </c>
      <c r="I232" s="187" t="s">
        <v>71</v>
      </c>
      <c r="J232" s="210">
        <v>300250.272</v>
      </c>
      <c r="K232" s="133"/>
      <c r="M232" s="134"/>
    </row>
    <row r="233" spans="1:15" s="132" customFormat="1" x14ac:dyDescent="0.15">
      <c r="A233" s="193" t="s">
        <v>1823</v>
      </c>
      <c r="B233" s="341" t="s">
        <v>1843</v>
      </c>
      <c r="D233" s="133"/>
      <c r="E233" s="183" t="s">
        <v>55</v>
      </c>
      <c r="F233" s="343">
        <v>4993347.99</v>
      </c>
      <c r="G233" s="219" t="s">
        <v>56</v>
      </c>
      <c r="H233" s="186">
        <v>41701</v>
      </c>
      <c r="I233" s="187" t="s">
        <v>71</v>
      </c>
      <c r="J233" s="210">
        <v>409795.59403798933</v>
      </c>
      <c r="K233" s="133"/>
      <c r="M233" s="134"/>
    </row>
    <row r="234" spans="1:15" s="132" customFormat="1" ht="12" thickBot="1" x14ac:dyDescent="0.2">
      <c r="A234" s="133"/>
      <c r="B234" s="341"/>
      <c r="C234" s="341"/>
      <c r="D234" s="341"/>
      <c r="E234" s="183"/>
      <c r="F234" s="342"/>
      <c r="G234" s="219"/>
      <c r="H234" s="186"/>
      <c r="I234" s="217" t="s">
        <v>856</v>
      </c>
      <c r="J234" s="211">
        <f>SUM(J221:J233)</f>
        <v>4188028.7179999994</v>
      </c>
      <c r="K234" s="133"/>
      <c r="M234" s="134"/>
    </row>
    <row r="235" spans="1:15" s="132" customFormat="1" ht="12" thickTop="1" x14ac:dyDescent="0.15">
      <c r="A235" s="193" t="s">
        <v>1776</v>
      </c>
      <c r="B235" s="341" t="s">
        <v>1786</v>
      </c>
      <c r="D235" s="133"/>
      <c r="E235" s="183" t="s">
        <v>55</v>
      </c>
      <c r="F235" s="343">
        <v>13723761.9</v>
      </c>
      <c r="G235" s="219" t="s">
        <v>56</v>
      </c>
      <c r="H235" s="186">
        <v>41436</v>
      </c>
      <c r="I235" s="187" t="s">
        <v>71</v>
      </c>
      <c r="J235" s="210">
        <v>254551.37499999997</v>
      </c>
      <c r="K235" s="133"/>
      <c r="M235" s="134"/>
    </row>
    <row r="236" spans="1:15" s="132" customFormat="1" x14ac:dyDescent="0.15">
      <c r="A236" s="193" t="s">
        <v>1812</v>
      </c>
      <c r="B236" s="341" t="s">
        <v>1829</v>
      </c>
      <c r="D236" s="133"/>
      <c r="E236" s="183" t="s">
        <v>55</v>
      </c>
      <c r="F236" s="343">
        <v>3547518.25</v>
      </c>
      <c r="G236" s="219" t="s">
        <v>56</v>
      </c>
      <c r="H236" s="186">
        <v>41687</v>
      </c>
      <c r="I236" s="187" t="s">
        <v>71</v>
      </c>
      <c r="J236" s="210">
        <v>220253.39100000006</v>
      </c>
      <c r="K236" s="133"/>
      <c r="M236" s="134"/>
    </row>
    <row r="237" spans="1:15" s="132" customFormat="1" x14ac:dyDescent="0.15">
      <c r="A237" s="193" t="s">
        <v>1813</v>
      </c>
      <c r="B237" s="341" t="s">
        <v>1830</v>
      </c>
      <c r="D237" s="133"/>
      <c r="E237" s="183" t="s">
        <v>55</v>
      </c>
      <c r="F237" s="343">
        <v>148722418.78</v>
      </c>
      <c r="G237" s="219" t="s">
        <v>56</v>
      </c>
      <c r="H237" s="186">
        <v>41687</v>
      </c>
      <c r="I237" s="187" t="s">
        <v>71</v>
      </c>
      <c r="J237" s="210">
        <v>535254.04</v>
      </c>
      <c r="K237" s="133"/>
      <c r="M237" s="134"/>
    </row>
    <row r="238" spans="1:15" s="132" customFormat="1" x14ac:dyDescent="0.15">
      <c r="A238" s="193" t="s">
        <v>1814</v>
      </c>
      <c r="B238" s="341" t="s">
        <v>1831</v>
      </c>
      <c r="D238" s="133"/>
      <c r="E238" s="183" t="s">
        <v>55</v>
      </c>
      <c r="F238" s="343">
        <v>40566414.420000002</v>
      </c>
      <c r="G238" s="219" t="s">
        <v>56</v>
      </c>
      <c r="H238" s="186">
        <v>41687</v>
      </c>
      <c r="I238" s="187" t="s">
        <v>71</v>
      </c>
      <c r="J238" s="210">
        <v>209764.46699999998</v>
      </c>
      <c r="K238" s="133"/>
      <c r="M238" s="134"/>
    </row>
    <row r="239" spans="1:15" s="132" customFormat="1" ht="12" thickBot="1" x14ac:dyDescent="0.2">
      <c r="A239" s="133"/>
      <c r="B239" s="341"/>
      <c r="C239" s="341"/>
      <c r="D239" s="341"/>
      <c r="E239" s="183"/>
      <c r="F239" s="344"/>
      <c r="G239" s="219"/>
      <c r="H239" s="186"/>
      <c r="I239" s="217" t="s">
        <v>856</v>
      </c>
      <c r="J239" s="211">
        <f>SUM(J235:J238)</f>
        <v>1219823.273</v>
      </c>
      <c r="K239" s="133"/>
      <c r="M239" s="134"/>
    </row>
    <row r="240" spans="1:15" s="132" customFormat="1" ht="12" thickTop="1" x14ac:dyDescent="0.15">
      <c r="A240" s="133" t="s">
        <v>1815</v>
      </c>
      <c r="B240" s="131" t="s">
        <v>1828</v>
      </c>
      <c r="D240" s="133"/>
      <c r="E240" s="183" t="s">
        <v>55</v>
      </c>
      <c r="F240" s="344">
        <v>40346901.579999998</v>
      </c>
      <c r="G240" s="219" t="s">
        <v>56</v>
      </c>
      <c r="H240" s="186">
        <v>41687</v>
      </c>
      <c r="I240" s="187" t="s">
        <v>71</v>
      </c>
      <c r="J240" s="210">
        <v>336215.66899999994</v>
      </c>
      <c r="K240" s="133"/>
      <c r="M240" s="134"/>
    </row>
    <row r="241" spans="1:15" s="132" customFormat="1" ht="12" thickBot="1" x14ac:dyDescent="0.2">
      <c r="A241" s="193"/>
      <c r="B241" s="210"/>
      <c r="C241" s="221"/>
      <c r="D241" s="237"/>
      <c r="E241" s="235"/>
      <c r="F241" s="344"/>
      <c r="H241" s="133"/>
      <c r="I241" s="218" t="s">
        <v>106</v>
      </c>
      <c r="J241" s="212">
        <f>SUM(J240)</f>
        <v>336215.66899999994</v>
      </c>
      <c r="K241" s="133"/>
      <c r="M241" s="134"/>
    </row>
    <row r="242" spans="1:15" s="132" customFormat="1" ht="12" thickTop="1" x14ac:dyDescent="0.15">
      <c r="A242" s="193"/>
      <c r="B242" s="210"/>
      <c r="C242" s="221"/>
      <c r="D242" s="237"/>
      <c r="E242" s="235"/>
      <c r="F242" s="344"/>
      <c r="H242" s="133"/>
      <c r="J242" s="205"/>
      <c r="K242" s="133"/>
      <c r="M242" s="134"/>
    </row>
    <row r="243" spans="1:15" s="132" customFormat="1" x14ac:dyDescent="0.15">
      <c r="A243" s="193"/>
      <c r="B243" s="210"/>
      <c r="C243" s="221"/>
      <c r="D243" s="237"/>
      <c r="E243" s="235"/>
      <c r="F243" s="344"/>
      <c r="H243" s="133"/>
      <c r="J243" s="205"/>
      <c r="K243" s="133"/>
      <c r="M243" s="134"/>
    </row>
    <row r="244" spans="1:15" s="132" customFormat="1" x14ac:dyDescent="0.15">
      <c r="A244" s="193"/>
      <c r="B244" s="210"/>
      <c r="C244" s="221"/>
      <c r="D244" s="237"/>
      <c r="E244" s="235"/>
      <c r="F244" s="344"/>
      <c r="H244" s="133"/>
      <c r="J244" s="205"/>
      <c r="K244" s="133"/>
      <c r="M244" s="134"/>
    </row>
    <row r="245" spans="1:15" s="132" customFormat="1" x14ac:dyDescent="0.15">
      <c r="A245" s="193"/>
      <c r="B245" s="210"/>
      <c r="C245" s="221"/>
      <c r="D245" s="237"/>
      <c r="E245" s="235"/>
      <c r="F245" s="344"/>
      <c r="H245" s="133"/>
      <c r="J245" s="205"/>
      <c r="K245" s="133"/>
      <c r="M245" s="134"/>
    </row>
    <row r="246" spans="1:15" s="132" customFormat="1" x14ac:dyDescent="0.15">
      <c r="A246" s="193"/>
      <c r="B246" s="210"/>
      <c r="C246" s="221"/>
      <c r="D246" s="237"/>
      <c r="E246" s="235"/>
      <c r="F246" s="235"/>
      <c r="H246" s="133"/>
      <c r="J246" s="205"/>
      <c r="K246" s="133"/>
      <c r="M246" s="134"/>
    </row>
    <row r="247" spans="1:15" s="132" customFormat="1" x14ac:dyDescent="0.15">
      <c r="A247" s="133"/>
      <c r="B247" s="133" t="s">
        <v>9</v>
      </c>
      <c r="C247" s="220" t="s">
        <v>729</v>
      </c>
      <c r="D247" s="220" t="s">
        <v>850</v>
      </c>
      <c r="E247" s="133" t="s">
        <v>570</v>
      </c>
      <c r="F247" s="133" t="s">
        <v>571</v>
      </c>
      <c r="G247" s="133" t="s">
        <v>16</v>
      </c>
      <c r="H247" s="134"/>
      <c r="I247" s="134"/>
      <c r="J247" s="205"/>
      <c r="K247" s="133"/>
      <c r="M247" s="134"/>
    </row>
    <row r="248" spans="1:15" s="132" customFormat="1" x14ac:dyDescent="0.15">
      <c r="A248" s="193" t="s">
        <v>1781</v>
      </c>
      <c r="B248" s="210">
        <v>69092</v>
      </c>
      <c r="C248" s="221">
        <v>25.3704</v>
      </c>
      <c r="D248" s="237">
        <f t="shared" ref="D248:D260" si="44">+B248*C248</f>
        <v>1752891.6768</v>
      </c>
      <c r="E248" s="235">
        <f t="shared" ref="E248:E260" si="45">+D248*0.01</f>
        <v>17528.916767999999</v>
      </c>
      <c r="F248" s="235">
        <f t="shared" ref="F248:F260" si="46">+E248*0.1</f>
        <v>1752.8916767999999</v>
      </c>
      <c r="G248" s="236">
        <f t="shared" ref="G248:G260" si="47">SUM(E248:F248)</f>
        <v>19281.808444800001</v>
      </c>
      <c r="H248" s="134"/>
      <c r="I248" s="134"/>
      <c r="J248" s="134"/>
      <c r="K248" s="133"/>
      <c r="M248" s="134"/>
    </row>
    <row r="249" spans="1:15" s="133" customFormat="1" x14ac:dyDescent="0.15">
      <c r="A249" s="193" t="s">
        <v>1782</v>
      </c>
      <c r="B249" s="210">
        <v>752221</v>
      </c>
      <c r="C249" s="221">
        <v>25.397300000000001</v>
      </c>
      <c r="D249" s="237">
        <f t="shared" si="44"/>
        <v>19104382.403300002</v>
      </c>
      <c r="E249" s="235">
        <f t="shared" si="45"/>
        <v>191043.82403300001</v>
      </c>
      <c r="F249" s="235">
        <f t="shared" si="46"/>
        <v>19104.382403300002</v>
      </c>
      <c r="G249" s="236">
        <f t="shared" si="47"/>
        <v>210148.20643630001</v>
      </c>
      <c r="I249" s="132"/>
      <c r="J249" s="134"/>
      <c r="L249" s="132"/>
      <c r="M249" s="134"/>
      <c r="N249" s="132"/>
      <c r="O249" s="132"/>
    </row>
    <row r="250" spans="1:15" s="133" customFormat="1" x14ac:dyDescent="0.15">
      <c r="A250" s="193" t="s">
        <v>1809</v>
      </c>
      <c r="B250" s="210">
        <v>228487</v>
      </c>
      <c r="C250" s="221">
        <v>25.468</v>
      </c>
      <c r="D250" s="237">
        <f t="shared" si="44"/>
        <v>5819106.9160000002</v>
      </c>
      <c r="E250" s="235">
        <f t="shared" si="45"/>
        <v>58191.069160000006</v>
      </c>
      <c r="F250" s="235">
        <f t="shared" si="46"/>
        <v>5819.1069160000006</v>
      </c>
      <c r="G250" s="236">
        <f t="shared" si="47"/>
        <v>64010.176076000003</v>
      </c>
      <c r="I250" s="132"/>
      <c r="J250" s="134"/>
      <c r="L250" s="132"/>
      <c r="M250" s="134"/>
      <c r="N250" s="132"/>
      <c r="O250" s="132"/>
    </row>
    <row r="251" spans="1:15" s="133" customFormat="1" x14ac:dyDescent="0.15">
      <c r="A251" s="193" t="s">
        <v>1810</v>
      </c>
      <c r="B251" s="210">
        <v>381535</v>
      </c>
      <c r="C251" s="221">
        <v>25.453900000000001</v>
      </c>
      <c r="D251" s="237">
        <f t="shared" si="44"/>
        <v>9711553.7365000006</v>
      </c>
      <c r="E251" s="235">
        <f t="shared" si="45"/>
        <v>97115.537365000011</v>
      </c>
      <c r="F251" s="235">
        <f t="shared" si="46"/>
        <v>9711.5537365000018</v>
      </c>
      <c r="G251" s="236">
        <f t="shared" si="47"/>
        <v>106827.09110150002</v>
      </c>
      <c r="H251" s="134"/>
      <c r="I251" s="134"/>
      <c r="J251" s="134"/>
      <c r="L251" s="132"/>
      <c r="M251" s="134"/>
      <c r="N251" s="132"/>
      <c r="O251" s="132"/>
    </row>
    <row r="252" spans="1:15" s="133" customFormat="1" x14ac:dyDescent="0.15">
      <c r="A252" s="193" t="s">
        <v>1811</v>
      </c>
      <c r="B252" s="210">
        <v>165027</v>
      </c>
      <c r="C252" s="221">
        <v>25.294</v>
      </c>
      <c r="D252" s="237">
        <f t="shared" si="44"/>
        <v>4174192.9380000001</v>
      </c>
      <c r="E252" s="235">
        <f t="shared" si="45"/>
        <v>41741.929380000001</v>
      </c>
      <c r="F252" s="235">
        <f t="shared" si="46"/>
        <v>4174.1929380000001</v>
      </c>
      <c r="G252" s="236">
        <f t="shared" si="47"/>
        <v>45916.122318000002</v>
      </c>
      <c r="I252" s="132"/>
      <c r="J252" s="134"/>
      <c r="L252" s="132"/>
      <c r="M252" s="134"/>
      <c r="N252" s="132"/>
      <c r="O252" s="132"/>
    </row>
    <row r="253" spans="1:15" s="133" customFormat="1" x14ac:dyDescent="0.15">
      <c r="A253" s="193" t="s">
        <v>1817</v>
      </c>
      <c r="B253" s="210">
        <v>458318</v>
      </c>
      <c r="C253" s="221">
        <v>25.5168</v>
      </c>
      <c r="D253" s="237">
        <f t="shared" si="44"/>
        <v>11694808.7424</v>
      </c>
      <c r="E253" s="235">
        <f t="shared" si="45"/>
        <v>116948.087424</v>
      </c>
      <c r="F253" s="235">
        <f t="shared" si="46"/>
        <v>11694.8087424</v>
      </c>
      <c r="G253" s="236">
        <f t="shared" si="47"/>
        <v>128642.89616639999</v>
      </c>
      <c r="I253" s="132"/>
      <c r="J253" s="134"/>
      <c r="L253" s="132"/>
      <c r="M253" s="134"/>
      <c r="N253" s="132"/>
      <c r="O253" s="132"/>
    </row>
    <row r="254" spans="1:15" s="133" customFormat="1" x14ac:dyDescent="0.15">
      <c r="A254" s="193" t="s">
        <v>1816</v>
      </c>
      <c r="B254" s="210">
        <v>254519</v>
      </c>
      <c r="C254" s="221">
        <v>25.5168</v>
      </c>
      <c r="D254" s="237">
        <f t="shared" si="44"/>
        <v>6494510.4192000004</v>
      </c>
      <c r="E254" s="235">
        <f t="shared" si="45"/>
        <v>64945.104192000006</v>
      </c>
      <c r="F254" s="235">
        <f t="shared" si="46"/>
        <v>6494.5104192000008</v>
      </c>
      <c r="G254" s="236">
        <f t="shared" si="47"/>
        <v>71439.614611200013</v>
      </c>
      <c r="H254" s="134"/>
      <c r="I254" s="134"/>
      <c r="J254" s="134"/>
      <c r="L254" s="132"/>
      <c r="M254" s="134"/>
      <c r="N254" s="132"/>
      <c r="O254" s="132"/>
    </row>
    <row r="255" spans="1:15" x14ac:dyDescent="0.15">
      <c r="A255" s="193" t="s">
        <v>1818</v>
      </c>
      <c r="B255" s="210">
        <v>341274</v>
      </c>
      <c r="C255" s="221">
        <v>25.2804</v>
      </c>
      <c r="D255" s="237">
        <f t="shared" si="44"/>
        <v>8627543.2295999993</v>
      </c>
      <c r="E255" s="235">
        <f t="shared" si="45"/>
        <v>86275.432295999999</v>
      </c>
      <c r="F255" s="235">
        <f t="shared" si="46"/>
        <v>8627.5432295999999</v>
      </c>
      <c r="G255" s="236">
        <f t="shared" si="47"/>
        <v>94902.975525599992</v>
      </c>
    </row>
    <row r="256" spans="1:15" s="132" customFormat="1" x14ac:dyDescent="0.15">
      <c r="A256" s="193" t="s">
        <v>1819</v>
      </c>
      <c r="B256" s="210">
        <v>182223</v>
      </c>
      <c r="C256" s="221">
        <v>25.29</v>
      </c>
      <c r="D256" s="237">
        <f t="shared" si="44"/>
        <v>4608419.67</v>
      </c>
      <c r="E256" s="235">
        <f t="shared" si="45"/>
        <v>46084.1967</v>
      </c>
      <c r="F256" s="235">
        <f t="shared" si="46"/>
        <v>4608.4196700000002</v>
      </c>
      <c r="G256" s="236">
        <f t="shared" si="47"/>
        <v>50692.616370000003</v>
      </c>
      <c r="H256" s="133"/>
      <c r="J256" s="134"/>
      <c r="K256" s="133"/>
      <c r="M256" s="134"/>
    </row>
    <row r="257" spans="1:13" s="132" customFormat="1" x14ac:dyDescent="0.15">
      <c r="A257" s="193" t="s">
        <v>1820</v>
      </c>
      <c r="B257" s="210">
        <v>260289</v>
      </c>
      <c r="C257" s="221">
        <v>25.29</v>
      </c>
      <c r="D257" s="237">
        <f t="shared" si="44"/>
        <v>6582708.8099999996</v>
      </c>
      <c r="E257" s="235">
        <f t="shared" si="45"/>
        <v>65827.088099999994</v>
      </c>
      <c r="F257" s="235">
        <f t="shared" si="46"/>
        <v>6582.7088100000001</v>
      </c>
      <c r="G257" s="236">
        <f t="shared" si="47"/>
        <v>72409.79690999999</v>
      </c>
      <c r="H257" s="134"/>
      <c r="I257" s="134"/>
      <c r="J257" s="134"/>
      <c r="K257" s="133"/>
      <c r="M257" s="134"/>
    </row>
    <row r="258" spans="1:13" s="132" customFormat="1" x14ac:dyDescent="0.15">
      <c r="A258" s="193" t="s">
        <v>1821</v>
      </c>
      <c r="B258" s="210">
        <v>384997</v>
      </c>
      <c r="C258" s="221">
        <v>25.180800000000001</v>
      </c>
      <c r="D258" s="237">
        <f t="shared" si="44"/>
        <v>9694532.4576000012</v>
      </c>
      <c r="E258" s="235">
        <f t="shared" si="45"/>
        <v>96945.324576000014</v>
      </c>
      <c r="F258" s="235">
        <f t="shared" si="46"/>
        <v>9694.5324576000021</v>
      </c>
      <c r="G258" s="236">
        <f t="shared" si="47"/>
        <v>106639.85703360001</v>
      </c>
      <c r="H258" s="133"/>
      <c r="J258" s="134"/>
      <c r="K258" s="133"/>
      <c r="M258" s="134"/>
    </row>
    <row r="259" spans="1:13" s="132" customFormat="1" x14ac:dyDescent="0.15">
      <c r="A259" s="193" t="s">
        <v>1822</v>
      </c>
      <c r="B259" s="210">
        <v>300250</v>
      </c>
      <c r="C259" s="221">
        <v>25.6296</v>
      </c>
      <c r="D259" s="237">
        <f t="shared" si="44"/>
        <v>7695287.4000000004</v>
      </c>
      <c r="E259" s="235">
        <f t="shared" si="45"/>
        <v>76952.874000000011</v>
      </c>
      <c r="F259" s="235">
        <f t="shared" si="46"/>
        <v>7695.2874000000011</v>
      </c>
      <c r="G259" s="236">
        <f t="shared" si="47"/>
        <v>84648.161400000012</v>
      </c>
      <c r="H259" s="133"/>
      <c r="J259" s="134"/>
      <c r="K259" s="133"/>
      <c r="M259" s="134"/>
    </row>
    <row r="260" spans="1:13" s="132" customFormat="1" x14ac:dyDescent="0.15">
      <c r="A260" s="193" t="s">
        <v>1823</v>
      </c>
      <c r="B260" s="210">
        <v>409796</v>
      </c>
      <c r="C260" s="221">
        <v>25.683700000000002</v>
      </c>
      <c r="D260" s="237">
        <f t="shared" si="44"/>
        <v>10525077.5252</v>
      </c>
      <c r="E260" s="235">
        <f t="shared" si="45"/>
        <v>105250.77525200001</v>
      </c>
      <c r="F260" s="235">
        <f t="shared" si="46"/>
        <v>10525.077525200002</v>
      </c>
      <c r="G260" s="236">
        <f t="shared" si="47"/>
        <v>115775.85277720001</v>
      </c>
      <c r="H260" s="134"/>
      <c r="I260" s="134"/>
      <c r="J260" s="134"/>
      <c r="K260" s="133"/>
      <c r="M260" s="134"/>
    </row>
    <row r="261" spans="1:13" s="132" customFormat="1" ht="12" thickBot="1" x14ac:dyDescent="0.2">
      <c r="A261" s="133"/>
      <c r="B261" s="211">
        <f>SUM(B248:B260)</f>
        <v>4188028</v>
      </c>
      <c r="C261" s="221"/>
      <c r="D261" s="237"/>
      <c r="E261" s="242">
        <f>SUM(E248:E260)</f>
        <v>1064850.159246</v>
      </c>
      <c r="F261" s="242">
        <f t="shared" ref="F261" si="48">SUM(F248:F260)</f>
        <v>106485.0159246</v>
      </c>
      <c r="G261" s="242">
        <f t="shared" ref="G261" si="49">SUM(G248:G260)</f>
        <v>1171335.1751706002</v>
      </c>
      <c r="H261" s="133"/>
      <c r="J261" s="134"/>
      <c r="K261" s="133"/>
      <c r="M261" s="134"/>
    </row>
    <row r="262" spans="1:13" s="132" customFormat="1" ht="12" thickTop="1" x14ac:dyDescent="0.15">
      <c r="A262" s="193" t="s">
        <v>1776</v>
      </c>
      <c r="B262" s="210">
        <v>254551</v>
      </c>
      <c r="C262" s="221">
        <v>21.945399999999999</v>
      </c>
      <c r="D262" s="237">
        <f t="shared" ref="D262:D265" si="50">+B262*C262</f>
        <v>5586223.5153999999</v>
      </c>
      <c r="E262" s="235">
        <f t="shared" ref="E262:E265" si="51">+D262*0.01</f>
        <v>55862.235154000002</v>
      </c>
      <c r="F262" s="235">
        <f t="shared" ref="F262:F265" si="52">+E262*0.1</f>
        <v>5586.2235154000009</v>
      </c>
      <c r="G262" s="236">
        <f t="shared" ref="G262:G265" si="53">SUM(E262:F262)</f>
        <v>61448.458669400003</v>
      </c>
      <c r="H262" s="134"/>
      <c r="J262" s="134"/>
      <c r="K262" s="133"/>
      <c r="M262" s="134"/>
    </row>
    <row r="263" spans="1:13" s="132" customFormat="1" x14ac:dyDescent="0.15">
      <c r="A263" s="193" t="s">
        <v>1812</v>
      </c>
      <c r="B263" s="210">
        <v>220253</v>
      </c>
      <c r="C263" s="221">
        <v>25.334900000000001</v>
      </c>
      <c r="D263" s="237">
        <f t="shared" si="50"/>
        <v>5580087.7297</v>
      </c>
      <c r="E263" s="235">
        <f t="shared" si="51"/>
        <v>55800.877296999999</v>
      </c>
      <c r="F263" s="235">
        <f t="shared" si="52"/>
        <v>5580.0877297000006</v>
      </c>
      <c r="G263" s="236">
        <f t="shared" si="53"/>
        <v>61380.965026699996</v>
      </c>
      <c r="H263" s="133"/>
      <c r="J263" s="134"/>
      <c r="K263" s="133"/>
      <c r="M263" s="134"/>
    </row>
    <row r="264" spans="1:13" s="132" customFormat="1" x14ac:dyDescent="0.15">
      <c r="A264" s="193" t="s">
        <v>1813</v>
      </c>
      <c r="B264" s="210">
        <v>535254</v>
      </c>
      <c r="C264" s="221">
        <v>25.265799999999999</v>
      </c>
      <c r="D264" s="237">
        <f t="shared" si="50"/>
        <v>13523620.5132</v>
      </c>
      <c r="E264" s="235">
        <f t="shared" si="51"/>
        <v>135236.205132</v>
      </c>
      <c r="F264" s="235">
        <f t="shared" si="52"/>
        <v>13523.620513200001</v>
      </c>
      <c r="G264" s="236">
        <f t="shared" si="53"/>
        <v>148759.82564520001</v>
      </c>
      <c r="H264" s="133"/>
      <c r="J264" s="134"/>
      <c r="K264" s="133"/>
      <c r="M264" s="134"/>
    </row>
    <row r="265" spans="1:13" s="132" customFormat="1" x14ac:dyDescent="0.15">
      <c r="A265" s="193" t="s">
        <v>1814</v>
      </c>
      <c r="B265" s="210">
        <v>209764</v>
      </c>
      <c r="C265" s="221">
        <v>25.350100000000001</v>
      </c>
      <c r="D265" s="237">
        <f t="shared" si="50"/>
        <v>5317538.3764000004</v>
      </c>
      <c r="E265" s="235">
        <f t="shared" si="51"/>
        <v>53175.383764000006</v>
      </c>
      <c r="F265" s="235">
        <f t="shared" si="52"/>
        <v>5317.5383764000007</v>
      </c>
      <c r="G265" s="236">
        <f t="shared" si="53"/>
        <v>58492.922140400005</v>
      </c>
      <c r="H265" s="133"/>
      <c r="J265" s="134"/>
      <c r="K265" s="133"/>
      <c r="M265" s="134"/>
    </row>
    <row r="266" spans="1:13" s="132" customFormat="1" ht="12" thickBot="1" x14ac:dyDescent="0.2">
      <c r="A266" s="133"/>
      <c r="B266" s="211">
        <f>SUM(B262:B265)</f>
        <v>1219822</v>
      </c>
      <c r="C266" s="221"/>
      <c r="D266" s="237"/>
      <c r="E266" s="242">
        <f>SUM(E262:E265)</f>
        <v>300074.70134700002</v>
      </c>
      <c r="F266" s="242">
        <f t="shared" ref="F266" si="54">SUM(F262:F265)</f>
        <v>30007.470134700001</v>
      </c>
      <c r="G266" s="242">
        <f t="shared" ref="G266" si="55">SUM(G262:G265)</f>
        <v>330082.17148169997</v>
      </c>
      <c r="H266" s="133"/>
      <c r="J266" s="134"/>
      <c r="K266" s="133"/>
      <c r="M266" s="134"/>
    </row>
    <row r="267" spans="1:13" s="132" customFormat="1" ht="12" thickTop="1" x14ac:dyDescent="0.15">
      <c r="A267" s="133" t="s">
        <v>1815</v>
      </c>
      <c r="B267" s="210">
        <v>336216</v>
      </c>
      <c r="C267" s="221">
        <v>25.601600000000001</v>
      </c>
      <c r="D267" s="237">
        <f t="shared" ref="D267" si="56">+B267*C267</f>
        <v>8607667.5456000008</v>
      </c>
      <c r="E267" s="235">
        <f t="shared" ref="E267" si="57">+D267*0.01</f>
        <v>86076.675456000012</v>
      </c>
      <c r="F267" s="235">
        <f t="shared" ref="F267" si="58">+E267*0.1</f>
        <v>8607.6675456000012</v>
      </c>
      <c r="G267" s="236">
        <f>SUM(E267:F267)</f>
        <v>94684.343001600006</v>
      </c>
      <c r="H267" s="133"/>
      <c r="J267" s="134"/>
      <c r="K267" s="133"/>
      <c r="M267" s="134"/>
    </row>
    <row r="268" spans="1:13" s="132" customFormat="1" ht="12" thickBot="1" x14ac:dyDescent="0.2">
      <c r="A268" s="133"/>
      <c r="B268" s="211">
        <f>SUM(B267)</f>
        <v>336216</v>
      </c>
      <c r="C268" s="221"/>
      <c r="D268" s="237"/>
      <c r="E268" s="242">
        <f>SUM(E267)</f>
        <v>86076.675456000012</v>
      </c>
      <c r="F268" s="242">
        <f t="shared" ref="F268" si="59">SUM(F267)</f>
        <v>8607.6675456000012</v>
      </c>
      <c r="G268" s="242">
        <f t="shared" ref="G268" si="60">SUM(G267)</f>
        <v>94684.343001600006</v>
      </c>
      <c r="H268" s="133"/>
      <c r="J268" s="134"/>
      <c r="K268" s="133"/>
      <c r="M268" s="134"/>
    </row>
    <row r="269" spans="1:13" s="132" customFormat="1" ht="12" thickTop="1" x14ac:dyDescent="0.15">
      <c r="A269" s="134"/>
      <c r="B269" s="231"/>
      <c r="D269" s="133"/>
      <c r="E269" s="133"/>
      <c r="F269" s="134"/>
      <c r="H269" s="133"/>
      <c r="J269" s="134"/>
      <c r="K269" s="133"/>
      <c r="M269" s="134"/>
    </row>
    <row r="270" spans="1:13" s="132" customFormat="1" x14ac:dyDescent="0.15">
      <c r="A270" s="134"/>
      <c r="B270" s="131"/>
      <c r="D270" s="133"/>
      <c r="E270" s="133"/>
      <c r="F270" s="134"/>
      <c r="H270" s="133"/>
      <c r="J270" s="134"/>
      <c r="K270" s="133"/>
      <c r="M270" s="134"/>
    </row>
    <row r="271" spans="1:13" s="132" customFormat="1" x14ac:dyDescent="0.15">
      <c r="A271" s="134"/>
      <c r="B271" s="131"/>
      <c r="D271" s="133"/>
      <c r="E271" s="133"/>
      <c r="F271" s="134"/>
      <c r="H271" s="133"/>
      <c r="J271" s="134"/>
      <c r="K271" s="133"/>
      <c r="M271" s="134"/>
    </row>
    <row r="272" spans="1:13" s="132" customFormat="1" x14ac:dyDescent="0.15">
      <c r="A272" s="134"/>
      <c r="B272" s="131"/>
      <c r="D272" s="133"/>
      <c r="E272" s="133"/>
      <c r="F272" s="134"/>
      <c r="H272" s="133"/>
      <c r="J272" s="134"/>
      <c r="K272" s="133"/>
      <c r="M272" s="134"/>
    </row>
    <row r="273" spans="1:15" s="133" customFormat="1" x14ac:dyDescent="0.15">
      <c r="A273" s="134"/>
      <c r="B273" s="131"/>
      <c r="C273" s="132"/>
      <c r="F273" s="134"/>
      <c r="G273" s="132"/>
      <c r="I273" s="132"/>
      <c r="J273" s="134"/>
      <c r="L273" s="132"/>
      <c r="M273" s="134"/>
      <c r="N273" s="132"/>
      <c r="O273" s="132"/>
    </row>
    <row r="274" spans="1:15" s="133" customFormat="1" x14ac:dyDescent="0.15">
      <c r="A274" s="134"/>
      <c r="B274" s="131"/>
      <c r="C274" s="132"/>
      <c r="F274" s="134"/>
      <c r="G274" s="132"/>
      <c r="I274" s="132"/>
      <c r="J274" s="134"/>
      <c r="L274" s="132"/>
      <c r="M274" s="134"/>
      <c r="N274" s="132"/>
      <c r="O274" s="132"/>
    </row>
  </sheetData>
  <mergeCells count="8">
    <mergeCell ref="B219:D219"/>
    <mergeCell ref="B220:D220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26"/>
  <sheetViews>
    <sheetView zoomScale="115" zoomScaleNormal="115" workbookViewId="0">
      <pane ySplit="6" topLeftCell="A200" activePane="bottomLeft" state="frozen"/>
      <selection pane="bottomLeft" activeCell="A222" sqref="A222:XFD225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3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2.7109375" style="132" bestFit="1" customWidth="1"/>
    <col min="16" max="16384" width="18.5703125" style="134"/>
  </cols>
  <sheetData>
    <row r="1" spans="1:15" x14ac:dyDescent="0.15">
      <c r="A1" s="130" t="s">
        <v>1763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1742</v>
      </c>
      <c r="B7" s="146"/>
      <c r="C7" s="147">
        <v>238852.02496200989</v>
      </c>
      <c r="D7" s="323"/>
      <c r="E7" s="149"/>
      <c r="F7" s="149"/>
      <c r="G7" s="147"/>
      <c r="H7" s="323"/>
      <c r="I7" s="147"/>
      <c r="J7" s="149"/>
      <c r="K7" s="149"/>
      <c r="L7" s="226"/>
      <c r="M7" s="149"/>
      <c r="N7" s="226">
        <f>+C7</f>
        <v>238852.02496200989</v>
      </c>
      <c r="O7" s="147">
        <f>+C171</f>
        <v>582546.87196200993</v>
      </c>
    </row>
    <row r="8" spans="1:15" x14ac:dyDescent="0.15">
      <c r="A8" s="154" t="s">
        <v>1743</v>
      </c>
      <c r="B8" s="151"/>
      <c r="C8" s="152">
        <v>129287.70699999999</v>
      </c>
      <c r="D8" s="323"/>
      <c r="E8" s="154"/>
      <c r="F8" s="154"/>
      <c r="G8" s="152"/>
      <c r="H8" s="323"/>
      <c r="I8" s="152"/>
      <c r="J8" s="154"/>
      <c r="K8" s="156"/>
      <c r="L8" s="227"/>
      <c r="M8" s="154"/>
      <c r="N8" s="227">
        <f>+N7-I8-L8</f>
        <v>238852.02496200989</v>
      </c>
      <c r="O8" s="152">
        <f t="shared" ref="O8:O10" si="0">O7+G8-I8-L8</f>
        <v>582546.87196200993</v>
      </c>
    </row>
    <row r="9" spans="1:15" x14ac:dyDescent="0.15">
      <c r="A9" s="157" t="s">
        <v>1744</v>
      </c>
      <c r="B9" s="151"/>
      <c r="C9" s="152">
        <v>214407.14</v>
      </c>
      <c r="D9" s="323"/>
      <c r="E9" s="154"/>
      <c r="F9" s="154"/>
      <c r="G9" s="152"/>
      <c r="H9" s="323"/>
      <c r="I9" s="152"/>
      <c r="J9" s="154"/>
      <c r="K9" s="156"/>
      <c r="L9" s="227"/>
      <c r="M9" s="154"/>
      <c r="N9" s="227">
        <f t="shared" ref="N9:N10" si="1">+N8-I9-L9</f>
        <v>238852.02496200989</v>
      </c>
      <c r="O9" s="152">
        <f t="shared" si="0"/>
        <v>582546.87196200993</v>
      </c>
    </row>
    <row r="10" spans="1:15" x14ac:dyDescent="0.15">
      <c r="A10" s="154"/>
      <c r="B10" s="151"/>
      <c r="C10" s="152"/>
      <c r="D10" s="323">
        <v>41640</v>
      </c>
      <c r="E10" s="154" t="s">
        <v>72</v>
      </c>
      <c r="F10" s="154" t="s">
        <v>1744</v>
      </c>
      <c r="G10" s="152">
        <v>88176.83600000001</v>
      </c>
      <c r="H10" s="323">
        <v>41640</v>
      </c>
      <c r="I10" s="152">
        <v>7084.1900000000005</v>
      </c>
      <c r="J10" s="154" t="s">
        <v>1742</v>
      </c>
      <c r="K10" s="154" t="s">
        <v>1785</v>
      </c>
      <c r="L10" s="227">
        <v>93235.78</v>
      </c>
      <c r="M10" s="154" t="s">
        <v>1742</v>
      </c>
      <c r="N10" s="227">
        <f t="shared" si="1"/>
        <v>138532.05496200989</v>
      </c>
      <c r="O10" s="152">
        <f t="shared" si="0"/>
        <v>570403.73796200997</v>
      </c>
    </row>
    <row r="11" spans="1:15" x14ac:dyDescent="0.15">
      <c r="A11" s="154"/>
      <c r="B11" s="151"/>
      <c r="C11" s="152"/>
      <c r="D11" s="323">
        <v>41640</v>
      </c>
      <c r="E11" s="154" t="s">
        <v>72</v>
      </c>
      <c r="F11" s="157" t="s">
        <v>1764</v>
      </c>
      <c r="G11" s="152">
        <v>81195.714999999997</v>
      </c>
      <c r="H11" s="323">
        <v>41640</v>
      </c>
      <c r="I11" s="152"/>
      <c r="J11" s="154"/>
      <c r="K11" s="154" t="s">
        <v>1785</v>
      </c>
      <c r="L11" s="227">
        <v>74937</v>
      </c>
      <c r="M11" s="154" t="s">
        <v>1742</v>
      </c>
      <c r="N11" s="227">
        <f t="shared" ref="N11:N83" si="2">+N10-I11-L11</f>
        <v>63595.05496200989</v>
      </c>
      <c r="O11" s="152">
        <f t="shared" ref="O11:O83" si="3">O10+G11-I11-L11</f>
        <v>576662.45296200993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41640</v>
      </c>
      <c r="I12" s="152"/>
      <c r="J12" s="154"/>
      <c r="K12" s="154" t="s">
        <v>1785</v>
      </c>
      <c r="L12" s="227">
        <v>63595.05496200989</v>
      </c>
      <c r="M12" s="154" t="s">
        <v>1742</v>
      </c>
      <c r="N12" s="227">
        <f t="shared" ref="N12:N16" si="4">+N11-I12-L12</f>
        <v>0</v>
      </c>
      <c r="O12" s="152">
        <f t="shared" ref="O12:O16" si="5">O11+G12-I12-L12</f>
        <v>513067.39800000004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>
        <v>41640</v>
      </c>
      <c r="I13" s="152"/>
      <c r="J13" s="154"/>
      <c r="K13" s="154" t="s">
        <v>1784</v>
      </c>
      <c r="L13" s="227">
        <v>6323.7650379901197</v>
      </c>
      <c r="M13" s="154" t="s">
        <v>1743</v>
      </c>
      <c r="N13" s="227">
        <f>C8+N12-I13-L13</f>
        <v>122963.94196200988</v>
      </c>
      <c r="O13" s="152">
        <f t="shared" si="5"/>
        <v>506743.63296200993</v>
      </c>
    </row>
    <row r="14" spans="1:15" x14ac:dyDescent="0.15">
      <c r="A14" s="154"/>
      <c r="B14" s="151"/>
      <c r="C14" s="152"/>
      <c r="D14" s="323"/>
      <c r="E14" s="155"/>
      <c r="F14" s="157"/>
      <c r="G14" s="152"/>
      <c r="H14" s="323">
        <v>41640</v>
      </c>
      <c r="I14" s="152"/>
      <c r="J14" s="154"/>
      <c r="K14" s="154" t="s">
        <v>1784</v>
      </c>
      <c r="L14" s="227">
        <v>30518.01</v>
      </c>
      <c r="M14" s="154" t="s">
        <v>1743</v>
      </c>
      <c r="N14" s="227">
        <f t="shared" si="4"/>
        <v>92445.931962009883</v>
      </c>
      <c r="O14" s="152">
        <f t="shared" si="5"/>
        <v>476225.62296200992</v>
      </c>
    </row>
    <row r="15" spans="1:15" x14ac:dyDescent="0.15">
      <c r="A15" s="154"/>
      <c r="B15" s="151"/>
      <c r="C15" s="152"/>
      <c r="D15" s="323"/>
      <c r="E15" s="154"/>
      <c r="F15" s="154"/>
      <c r="G15" s="152"/>
      <c r="H15" s="323">
        <v>41640</v>
      </c>
      <c r="I15" s="152"/>
      <c r="J15" s="154"/>
      <c r="K15" s="154" t="s">
        <v>1784</v>
      </c>
      <c r="L15" s="227">
        <v>79071.06</v>
      </c>
      <c r="M15" s="154" t="s">
        <v>1743</v>
      </c>
      <c r="N15" s="227">
        <f t="shared" si="4"/>
        <v>13374.871962009885</v>
      </c>
      <c r="O15" s="152">
        <f t="shared" si="5"/>
        <v>397154.56296200992</v>
      </c>
    </row>
    <row r="16" spans="1:15" x14ac:dyDescent="0.15">
      <c r="A16" s="154"/>
      <c r="B16" s="151"/>
      <c r="C16" s="152"/>
      <c r="D16" s="323">
        <v>41641</v>
      </c>
      <c r="E16" s="154" t="s">
        <v>72</v>
      </c>
      <c r="F16" s="157" t="s">
        <v>1764</v>
      </c>
      <c r="G16" s="152">
        <v>349684.95399999997</v>
      </c>
      <c r="H16" s="323">
        <v>41641</v>
      </c>
      <c r="I16" s="152">
        <v>13374.871962009885</v>
      </c>
      <c r="J16" s="154" t="s">
        <v>1743</v>
      </c>
      <c r="K16" s="154"/>
      <c r="L16" s="227"/>
      <c r="M16" s="154"/>
      <c r="N16" s="227">
        <f t="shared" si="4"/>
        <v>0</v>
      </c>
      <c r="O16" s="152">
        <f t="shared" si="5"/>
        <v>733464.64500000002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>
        <v>41641</v>
      </c>
      <c r="I17" s="152">
        <v>1251.57803799011</v>
      </c>
      <c r="J17" s="154" t="s">
        <v>1744</v>
      </c>
      <c r="K17" s="154" t="s">
        <v>1783</v>
      </c>
      <c r="L17" s="227">
        <v>11581.76</v>
      </c>
      <c r="M17" s="154" t="s">
        <v>1744</v>
      </c>
      <c r="N17" s="227">
        <f>C9+G10+N16-I17-L17</f>
        <v>289750.63796200993</v>
      </c>
      <c r="O17" s="152">
        <f t="shared" ref="O17:O20" si="6">O16+G17-I17-L17</f>
        <v>720631.30696200987</v>
      </c>
    </row>
    <row r="18" spans="1:15" x14ac:dyDescent="0.15">
      <c r="A18" s="154"/>
      <c r="B18" s="151"/>
      <c r="C18" s="152"/>
      <c r="D18" s="323"/>
      <c r="E18" s="155"/>
      <c r="F18" s="157"/>
      <c r="G18" s="152"/>
      <c r="H18" s="323">
        <v>41641</v>
      </c>
      <c r="I18" s="152"/>
      <c r="J18" s="154"/>
      <c r="K18" s="154" t="s">
        <v>1783</v>
      </c>
      <c r="L18" s="227">
        <v>90465.02</v>
      </c>
      <c r="M18" s="154" t="s">
        <v>1744</v>
      </c>
      <c r="N18" s="227">
        <f t="shared" ref="N18:N20" si="7">+N17-I18-L18</f>
        <v>199285.61796200991</v>
      </c>
      <c r="O18" s="152">
        <f t="shared" si="6"/>
        <v>630166.28696200985</v>
      </c>
    </row>
    <row r="19" spans="1:15" x14ac:dyDescent="0.15">
      <c r="A19" s="154"/>
      <c r="B19" s="151"/>
      <c r="C19" s="152"/>
      <c r="D19" s="323"/>
      <c r="E19" s="155"/>
      <c r="F19" s="157"/>
      <c r="G19" s="152"/>
      <c r="H19" s="323">
        <v>41641</v>
      </c>
      <c r="I19" s="152"/>
      <c r="J19" s="154"/>
      <c r="K19" s="154" t="s">
        <v>1783</v>
      </c>
      <c r="L19" s="227">
        <v>71333.39</v>
      </c>
      <c r="M19" s="154" t="s">
        <v>1744</v>
      </c>
      <c r="N19" s="227">
        <f t="shared" si="7"/>
        <v>127952.22796200991</v>
      </c>
      <c r="O19" s="152">
        <f t="shared" si="6"/>
        <v>558832.89696200984</v>
      </c>
    </row>
    <row r="20" spans="1:15" x14ac:dyDescent="0.15">
      <c r="A20" s="154"/>
      <c r="B20" s="151"/>
      <c r="C20" s="152"/>
      <c r="D20" s="323"/>
      <c r="E20" s="155"/>
      <c r="F20" s="157"/>
      <c r="G20" s="152"/>
      <c r="H20" s="323">
        <v>41641</v>
      </c>
      <c r="I20" s="152"/>
      <c r="J20" s="154"/>
      <c r="K20" s="154" t="s">
        <v>1783</v>
      </c>
      <c r="L20" s="227">
        <v>36772.370000000003</v>
      </c>
      <c r="M20" s="154" t="s">
        <v>1744</v>
      </c>
      <c r="N20" s="227">
        <f t="shared" si="7"/>
        <v>91179.857962009904</v>
      </c>
      <c r="O20" s="152">
        <f t="shared" si="6"/>
        <v>522060.52696200984</v>
      </c>
    </row>
    <row r="21" spans="1:15" x14ac:dyDescent="0.15">
      <c r="A21" s="154"/>
      <c r="B21" s="151"/>
      <c r="C21" s="152"/>
      <c r="D21" s="323"/>
      <c r="E21" s="155"/>
      <c r="F21" s="157"/>
      <c r="G21" s="152"/>
      <c r="H21" s="323">
        <v>41641</v>
      </c>
      <c r="I21" s="152"/>
      <c r="J21" s="154"/>
      <c r="K21" s="154" t="s">
        <v>1783</v>
      </c>
      <c r="L21" s="227">
        <v>14891.12</v>
      </c>
      <c r="M21" s="154" t="s">
        <v>1744</v>
      </c>
      <c r="N21" s="227">
        <f t="shared" si="2"/>
        <v>76288.737962009909</v>
      </c>
      <c r="O21" s="152">
        <f t="shared" si="3"/>
        <v>507169.40696200985</v>
      </c>
    </row>
    <row r="22" spans="1:15" x14ac:dyDescent="0.15">
      <c r="A22" s="154"/>
      <c r="B22" s="151"/>
      <c r="C22" s="152"/>
      <c r="D22" s="323">
        <v>41642</v>
      </c>
      <c r="E22" s="154" t="s">
        <v>72</v>
      </c>
      <c r="F22" s="157" t="s">
        <v>1764</v>
      </c>
      <c r="G22" s="152">
        <v>104926.64200000028</v>
      </c>
      <c r="H22" s="323">
        <v>41642</v>
      </c>
      <c r="I22" s="152">
        <v>6961.5300000000007</v>
      </c>
      <c r="J22" s="154" t="s">
        <v>1744</v>
      </c>
      <c r="K22" s="154" t="s">
        <v>1783</v>
      </c>
      <c r="L22" s="227">
        <v>34025.120000000003</v>
      </c>
      <c r="M22" s="154" t="s">
        <v>1744</v>
      </c>
      <c r="N22" s="227">
        <f t="shared" si="2"/>
        <v>35302.087962009908</v>
      </c>
      <c r="O22" s="152">
        <f t="shared" si="3"/>
        <v>571109.39896201005</v>
      </c>
    </row>
    <row r="23" spans="1:15" x14ac:dyDescent="0.15">
      <c r="A23" s="154"/>
      <c r="B23" s="151"/>
      <c r="C23" s="152"/>
      <c r="D23" s="323">
        <v>41642</v>
      </c>
      <c r="E23" s="154" t="s">
        <v>72</v>
      </c>
      <c r="F23" s="157" t="s">
        <v>1765</v>
      </c>
      <c r="G23" s="152">
        <v>155517.144</v>
      </c>
      <c r="H23" s="323">
        <v>41642</v>
      </c>
      <c r="I23" s="152"/>
      <c r="J23" s="157"/>
      <c r="K23" s="154" t="s">
        <v>1783</v>
      </c>
      <c r="L23" s="227">
        <v>35302.087962009908</v>
      </c>
      <c r="M23" s="154" t="s">
        <v>1744</v>
      </c>
      <c r="N23" s="227">
        <f t="shared" si="2"/>
        <v>0</v>
      </c>
      <c r="O23" s="152">
        <f t="shared" si="3"/>
        <v>691324.45500000007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>
        <v>41642</v>
      </c>
      <c r="I24" s="152"/>
      <c r="J24" s="157"/>
      <c r="K24" s="154" t="s">
        <v>1783</v>
      </c>
      <c r="L24" s="227">
        <v>1357.30203799009</v>
      </c>
      <c r="M24" s="157" t="s">
        <v>1764</v>
      </c>
      <c r="N24" s="227">
        <f>G11+G16+G22+N23-I24-L24</f>
        <v>534450.00896201015</v>
      </c>
      <c r="O24" s="152">
        <f t="shared" ref="O24:O27" si="8">O23+G24-I24-L24</f>
        <v>689967.15296201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>
        <v>41642</v>
      </c>
      <c r="I25" s="152"/>
      <c r="J25" s="157"/>
      <c r="K25" s="154" t="s">
        <v>1783</v>
      </c>
      <c r="L25" s="227">
        <v>25638</v>
      </c>
      <c r="M25" s="157" t="s">
        <v>1764</v>
      </c>
      <c r="N25" s="227">
        <f t="shared" ref="N25:N27" si="9">+N24-I25-L25</f>
        <v>508812.00896201015</v>
      </c>
      <c r="O25" s="152">
        <f t="shared" si="8"/>
        <v>664329.15296201</v>
      </c>
    </row>
    <row r="26" spans="1:15" x14ac:dyDescent="0.15">
      <c r="A26" s="154"/>
      <c r="B26" s="151"/>
      <c r="C26" s="152"/>
      <c r="D26" s="323">
        <v>41643</v>
      </c>
      <c r="E26" s="154" t="s">
        <v>72</v>
      </c>
      <c r="F26" s="157" t="s">
        <v>1766</v>
      </c>
      <c r="G26" s="152">
        <v>169219.40700000001</v>
      </c>
      <c r="H26" s="323">
        <v>41643</v>
      </c>
      <c r="I26" s="152">
        <v>6938.52</v>
      </c>
      <c r="J26" s="157" t="s">
        <v>1764</v>
      </c>
      <c r="K26" s="154" t="s">
        <v>1783</v>
      </c>
      <c r="L26" s="227">
        <v>60811.49</v>
      </c>
      <c r="M26" s="157" t="s">
        <v>1764</v>
      </c>
      <c r="N26" s="227">
        <f t="shared" si="9"/>
        <v>441061.99896201014</v>
      </c>
      <c r="O26" s="152">
        <f t="shared" si="8"/>
        <v>765798.54996201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>
        <v>41643</v>
      </c>
      <c r="I27" s="152"/>
      <c r="J27" s="154"/>
      <c r="K27" s="154" t="s">
        <v>1783</v>
      </c>
      <c r="L27" s="227">
        <v>71996.61</v>
      </c>
      <c r="M27" s="157" t="s">
        <v>1764</v>
      </c>
      <c r="N27" s="227">
        <f t="shared" si="9"/>
        <v>369065.38896201015</v>
      </c>
      <c r="O27" s="152">
        <f t="shared" si="8"/>
        <v>693801.93996201002</v>
      </c>
    </row>
    <row r="28" spans="1:15" x14ac:dyDescent="0.15">
      <c r="A28" s="154"/>
      <c r="B28" s="151"/>
      <c r="C28" s="152"/>
      <c r="D28" s="323"/>
      <c r="E28" s="155"/>
      <c r="F28" s="157"/>
      <c r="G28" s="152"/>
      <c r="H28" s="323">
        <v>41643</v>
      </c>
      <c r="I28" s="152"/>
      <c r="J28" s="154"/>
      <c r="K28" s="154" t="s">
        <v>1783</v>
      </c>
      <c r="L28" s="227">
        <v>1088.55</v>
      </c>
      <c r="M28" s="157" t="s">
        <v>1764</v>
      </c>
      <c r="N28" s="227">
        <f t="shared" si="2"/>
        <v>367976.83896201017</v>
      </c>
      <c r="O28" s="152">
        <f t="shared" si="3"/>
        <v>692713.38996200997</v>
      </c>
    </row>
    <row r="29" spans="1:15" x14ac:dyDescent="0.15">
      <c r="A29" s="154"/>
      <c r="B29" s="151"/>
      <c r="C29" s="152"/>
      <c r="D29" s="323"/>
      <c r="E29" s="155"/>
      <c r="F29" s="157"/>
      <c r="G29" s="152"/>
      <c r="H29" s="323">
        <v>41643</v>
      </c>
      <c r="I29" s="152"/>
      <c r="J29" s="154"/>
      <c r="K29" s="154" t="s">
        <v>1783</v>
      </c>
      <c r="L29" s="227">
        <v>34387.43</v>
      </c>
      <c r="M29" s="157" t="s">
        <v>1764</v>
      </c>
      <c r="N29" s="227">
        <f t="shared" si="2"/>
        <v>333589.40896201017</v>
      </c>
      <c r="O29" s="152">
        <f t="shared" si="3"/>
        <v>658325.95996200992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>
        <v>41643</v>
      </c>
      <c r="I30" s="152"/>
      <c r="J30" s="154"/>
      <c r="K30" s="154" t="s">
        <v>1783</v>
      </c>
      <c r="L30" s="227">
        <v>34385.69</v>
      </c>
      <c r="M30" s="157" t="s">
        <v>1764</v>
      </c>
      <c r="N30" s="227">
        <f t="shared" si="2"/>
        <v>299203.71896201017</v>
      </c>
      <c r="O30" s="152">
        <f t="shared" si="3"/>
        <v>623940.26996200997</v>
      </c>
    </row>
    <row r="31" spans="1:15" x14ac:dyDescent="0.15">
      <c r="A31" s="154"/>
      <c r="B31" s="151"/>
      <c r="C31" s="152"/>
      <c r="D31" s="323">
        <v>41644</v>
      </c>
      <c r="E31" s="154" t="s">
        <v>72</v>
      </c>
      <c r="F31" s="157" t="s">
        <v>1766</v>
      </c>
      <c r="G31" s="152">
        <v>132148.99599999998</v>
      </c>
      <c r="H31" s="323">
        <v>41644</v>
      </c>
      <c r="I31" s="152">
        <v>5159</v>
      </c>
      <c r="J31" s="157" t="s">
        <v>1764</v>
      </c>
      <c r="K31" s="154" t="s">
        <v>1783</v>
      </c>
      <c r="L31" s="227">
        <v>20933.099999999999</v>
      </c>
      <c r="M31" s="157" t="s">
        <v>1764</v>
      </c>
      <c r="N31" s="227">
        <f t="shared" si="2"/>
        <v>273111.61896201019</v>
      </c>
      <c r="O31" s="152">
        <f t="shared" si="3"/>
        <v>729997.16596201004</v>
      </c>
    </row>
    <row r="32" spans="1:15" x14ac:dyDescent="0.15">
      <c r="A32" s="154"/>
      <c r="B32" s="151"/>
      <c r="C32" s="152"/>
      <c r="D32" s="323">
        <v>41644</v>
      </c>
      <c r="E32" s="154" t="s">
        <v>72</v>
      </c>
      <c r="F32" s="157" t="s">
        <v>1767</v>
      </c>
      <c r="G32" s="152">
        <v>44033.870999999999</v>
      </c>
      <c r="H32" s="323">
        <v>41644</v>
      </c>
      <c r="I32" s="152"/>
      <c r="J32" s="154"/>
      <c r="K32" s="154" t="s">
        <v>1783</v>
      </c>
      <c r="L32" s="227">
        <v>75202.600000000006</v>
      </c>
      <c r="M32" s="157" t="s">
        <v>1764</v>
      </c>
      <c r="N32" s="227">
        <f t="shared" si="2"/>
        <v>197909.01896201019</v>
      </c>
      <c r="O32" s="152">
        <f t="shared" si="3"/>
        <v>698828.43696201011</v>
      </c>
    </row>
    <row r="33" spans="1:15" x14ac:dyDescent="0.15">
      <c r="A33" s="154"/>
      <c r="B33" s="151"/>
      <c r="C33" s="152"/>
      <c r="D33" s="323"/>
      <c r="E33" s="155"/>
      <c r="F33" s="157"/>
      <c r="G33" s="152"/>
      <c r="H33" s="323">
        <v>41644</v>
      </c>
      <c r="I33" s="152"/>
      <c r="J33" s="154"/>
      <c r="K33" s="154" t="s">
        <v>1783</v>
      </c>
      <c r="L33" s="227">
        <v>78518</v>
      </c>
      <c r="M33" s="157" t="s">
        <v>1764</v>
      </c>
      <c r="N33" s="227">
        <f t="shared" si="2"/>
        <v>119391.01896201019</v>
      </c>
      <c r="O33" s="152">
        <f t="shared" si="3"/>
        <v>620310.43696201011</v>
      </c>
    </row>
    <row r="34" spans="1:15" x14ac:dyDescent="0.15">
      <c r="A34" s="154"/>
      <c r="B34" s="151"/>
      <c r="C34" s="152"/>
      <c r="D34" s="323">
        <v>41645</v>
      </c>
      <c r="E34" s="154" t="s">
        <v>72</v>
      </c>
      <c r="F34" s="157" t="s">
        <v>1767</v>
      </c>
      <c r="G34" s="152">
        <v>44077.87</v>
      </c>
      <c r="H34" s="323">
        <v>41645</v>
      </c>
      <c r="I34" s="152">
        <v>4711</v>
      </c>
      <c r="J34" s="157" t="s">
        <v>1764</v>
      </c>
      <c r="K34" s="154"/>
      <c r="L34" s="227"/>
      <c r="M34" s="157"/>
      <c r="N34" s="227">
        <f t="shared" si="2"/>
        <v>114680.01896201019</v>
      </c>
      <c r="O34" s="152">
        <f t="shared" si="3"/>
        <v>659677.3069620101</v>
      </c>
    </row>
    <row r="35" spans="1:15" x14ac:dyDescent="0.15">
      <c r="A35" s="154"/>
      <c r="B35" s="151"/>
      <c r="C35" s="152"/>
      <c r="D35" s="323">
        <v>41646</v>
      </c>
      <c r="E35" s="154" t="s">
        <v>72</v>
      </c>
      <c r="F35" s="157" t="s">
        <v>1767</v>
      </c>
      <c r="G35" s="152">
        <v>88092.385000000009</v>
      </c>
      <c r="H35" s="323">
        <v>41646</v>
      </c>
      <c r="I35" s="152">
        <v>5714.52</v>
      </c>
      <c r="J35" s="157" t="s">
        <v>1764</v>
      </c>
      <c r="K35" s="154" t="s">
        <v>1783</v>
      </c>
      <c r="L35" s="227">
        <v>14751.48</v>
      </c>
      <c r="M35" s="157" t="s">
        <v>1764</v>
      </c>
      <c r="N35" s="227">
        <f t="shared" si="2"/>
        <v>94214.018962010188</v>
      </c>
      <c r="O35" s="152">
        <f t="shared" si="3"/>
        <v>727303.69196201011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>
        <v>41646</v>
      </c>
      <c r="I36" s="152"/>
      <c r="J36" s="154"/>
      <c r="K36" s="154" t="s">
        <v>1783</v>
      </c>
      <c r="L36" s="227">
        <v>31780.66</v>
      </c>
      <c r="M36" s="157" t="s">
        <v>1764</v>
      </c>
      <c r="N36" s="227">
        <f t="shared" si="2"/>
        <v>62433.358962010185</v>
      </c>
      <c r="O36" s="152">
        <f t="shared" si="3"/>
        <v>695523.03196201008</v>
      </c>
    </row>
    <row r="37" spans="1:15" x14ac:dyDescent="0.15">
      <c r="A37" s="154"/>
      <c r="B37" s="151"/>
      <c r="C37" s="152"/>
      <c r="D37" s="323"/>
      <c r="E37" s="155"/>
      <c r="F37" s="157"/>
      <c r="G37" s="152"/>
      <c r="H37" s="323">
        <v>41646</v>
      </c>
      <c r="I37" s="152"/>
      <c r="J37" s="154"/>
      <c r="K37" s="154" t="s">
        <v>1783</v>
      </c>
      <c r="L37" s="227">
        <v>35638.31</v>
      </c>
      <c r="M37" s="157" t="s">
        <v>1764</v>
      </c>
      <c r="N37" s="227">
        <f t="shared" si="2"/>
        <v>26795.048962010187</v>
      </c>
      <c r="O37" s="152">
        <f t="shared" si="3"/>
        <v>659884.72196201002</v>
      </c>
    </row>
    <row r="38" spans="1:15" x14ac:dyDescent="0.15">
      <c r="A38" s="154"/>
      <c r="B38" s="151"/>
      <c r="C38" s="152"/>
      <c r="D38" s="323">
        <v>41647</v>
      </c>
      <c r="E38" s="154" t="s">
        <v>72</v>
      </c>
      <c r="F38" s="157" t="s">
        <v>1767</v>
      </c>
      <c r="G38" s="152">
        <v>44065.486000000034</v>
      </c>
      <c r="H38" s="323">
        <v>41647</v>
      </c>
      <c r="I38" s="152">
        <v>5505.85</v>
      </c>
      <c r="J38" s="157" t="s">
        <v>1764</v>
      </c>
      <c r="K38" s="154" t="s">
        <v>1783</v>
      </c>
      <c r="L38" s="227">
        <v>21289.198962010189</v>
      </c>
      <c r="M38" s="157" t="s">
        <v>1764</v>
      </c>
      <c r="N38" s="227">
        <f t="shared" si="2"/>
        <v>0</v>
      </c>
      <c r="O38" s="152">
        <f t="shared" si="3"/>
        <v>677155.15899999987</v>
      </c>
    </row>
    <row r="39" spans="1:15" x14ac:dyDescent="0.15">
      <c r="A39" s="154"/>
      <c r="B39" s="151"/>
      <c r="C39" s="152"/>
      <c r="D39" s="323">
        <v>41647</v>
      </c>
      <c r="E39" s="154" t="s">
        <v>72</v>
      </c>
      <c r="F39" s="157" t="s">
        <v>1768</v>
      </c>
      <c r="G39" s="152">
        <v>132088.041</v>
      </c>
      <c r="H39" s="323">
        <v>41647</v>
      </c>
      <c r="I39" s="152"/>
      <c r="J39" s="154"/>
      <c r="K39" s="154" t="s">
        <v>1784</v>
      </c>
      <c r="L39" s="227">
        <v>70138.651037989795</v>
      </c>
      <c r="M39" s="157" t="s">
        <v>1765</v>
      </c>
      <c r="N39" s="227">
        <f>G23+N38-I39-L39</f>
        <v>85378.492962010205</v>
      </c>
      <c r="O39" s="152">
        <f t="shared" ref="O39:O42" si="10">O38+G39-I39-L39</f>
        <v>739104.54896201007</v>
      </c>
    </row>
    <row r="40" spans="1:15" x14ac:dyDescent="0.15">
      <c r="A40" s="154"/>
      <c r="B40" s="151"/>
      <c r="C40" s="152"/>
      <c r="D40" s="323"/>
      <c r="E40" s="155"/>
      <c r="F40" s="157"/>
      <c r="G40" s="152"/>
      <c r="H40" s="323">
        <v>41647</v>
      </c>
      <c r="I40" s="152"/>
      <c r="J40" s="154"/>
      <c r="K40" s="154" t="s">
        <v>1784</v>
      </c>
      <c r="L40" s="227">
        <v>57119.18</v>
      </c>
      <c r="M40" s="157" t="s">
        <v>1765</v>
      </c>
      <c r="N40" s="227">
        <f t="shared" ref="N40:N42" si="11">+N39-I40-L40</f>
        <v>28259.312962010205</v>
      </c>
      <c r="O40" s="152">
        <f t="shared" si="10"/>
        <v>681985.36896201002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>
        <v>41647</v>
      </c>
      <c r="I41" s="152"/>
      <c r="J41" s="154"/>
      <c r="K41" s="154" t="s">
        <v>1784</v>
      </c>
      <c r="L41" s="227">
        <v>1818.97</v>
      </c>
      <c r="M41" s="157" t="s">
        <v>1765</v>
      </c>
      <c r="N41" s="227">
        <f t="shared" si="11"/>
        <v>26440.342962010203</v>
      </c>
      <c r="O41" s="152">
        <f t="shared" si="10"/>
        <v>680166.39896201005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>
        <v>41647</v>
      </c>
      <c r="I42" s="152"/>
      <c r="J42" s="154"/>
      <c r="K42" s="154" t="s">
        <v>1784</v>
      </c>
      <c r="L42" s="227">
        <v>26440.342962010203</v>
      </c>
      <c r="M42" s="157" t="s">
        <v>1765</v>
      </c>
      <c r="N42" s="227">
        <f t="shared" si="11"/>
        <v>0</v>
      </c>
      <c r="O42" s="152">
        <f t="shared" si="10"/>
        <v>653726.05599999987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>
        <v>41647</v>
      </c>
      <c r="I43" s="152"/>
      <c r="J43" s="154"/>
      <c r="K43" s="154" t="s">
        <v>1784</v>
      </c>
      <c r="L43" s="227">
        <v>58666.5670379898</v>
      </c>
      <c r="M43" s="157" t="s">
        <v>1766</v>
      </c>
      <c r="N43" s="227">
        <f>G26+G31+N42-I43-L43</f>
        <v>242701.8359620102</v>
      </c>
      <c r="O43" s="152">
        <f t="shared" ref="O43:O46" si="12">O42+G43-I43-L43</f>
        <v>595059.48896201001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>
        <v>41647</v>
      </c>
      <c r="I44" s="152"/>
      <c r="J44" s="154"/>
      <c r="K44" s="154" t="s">
        <v>1784</v>
      </c>
      <c r="L44" s="227">
        <v>76374.67</v>
      </c>
      <c r="M44" s="157" t="s">
        <v>1766</v>
      </c>
      <c r="N44" s="227">
        <f t="shared" ref="N44:N46" si="13">+N43-I44-L44</f>
        <v>166327.16596201021</v>
      </c>
      <c r="O44" s="152">
        <f t="shared" si="12"/>
        <v>518684.81896201003</v>
      </c>
    </row>
    <row r="45" spans="1:15" x14ac:dyDescent="0.15">
      <c r="A45" s="154"/>
      <c r="B45" s="151"/>
      <c r="C45" s="152"/>
      <c r="D45" s="323">
        <v>41648</v>
      </c>
      <c r="E45" s="154" t="s">
        <v>72</v>
      </c>
      <c r="F45" s="157" t="s">
        <v>1768</v>
      </c>
      <c r="G45" s="152">
        <v>205130.42099999994</v>
      </c>
      <c r="H45" s="323">
        <v>41648</v>
      </c>
      <c r="I45" s="152">
        <v>4854</v>
      </c>
      <c r="J45" s="157" t="s">
        <v>1766</v>
      </c>
      <c r="K45" s="154" t="s">
        <v>1784</v>
      </c>
      <c r="L45" s="227">
        <v>13953</v>
      </c>
      <c r="M45" s="157" t="s">
        <v>1766</v>
      </c>
      <c r="N45" s="227">
        <f t="shared" si="13"/>
        <v>147520.16596201021</v>
      </c>
      <c r="O45" s="152">
        <f t="shared" si="12"/>
        <v>705008.23996200995</v>
      </c>
    </row>
    <row r="46" spans="1:15" x14ac:dyDescent="0.15">
      <c r="A46" s="154"/>
      <c r="B46" s="151"/>
      <c r="C46" s="152"/>
      <c r="D46" s="323">
        <v>41648</v>
      </c>
      <c r="E46" s="154" t="s">
        <v>72</v>
      </c>
      <c r="F46" s="157" t="s">
        <v>1769</v>
      </c>
      <c r="G46" s="152">
        <v>14898.897000000101</v>
      </c>
      <c r="H46" s="323">
        <v>41648</v>
      </c>
      <c r="I46" s="152"/>
      <c r="J46" s="154"/>
      <c r="K46" s="154" t="s">
        <v>1784</v>
      </c>
      <c r="L46" s="227">
        <v>10077</v>
      </c>
      <c r="M46" s="157" t="s">
        <v>1766</v>
      </c>
      <c r="N46" s="227">
        <f t="shared" si="13"/>
        <v>137443.16596201021</v>
      </c>
      <c r="O46" s="152">
        <f t="shared" si="12"/>
        <v>709830.13696201006</v>
      </c>
    </row>
    <row r="47" spans="1:15" x14ac:dyDescent="0.15">
      <c r="A47" s="154"/>
      <c r="B47" s="151"/>
      <c r="C47" s="152"/>
      <c r="D47" s="323"/>
      <c r="E47" s="155"/>
      <c r="F47" s="157"/>
      <c r="G47" s="152"/>
      <c r="H47" s="323">
        <v>41648</v>
      </c>
      <c r="I47" s="152"/>
      <c r="J47" s="154"/>
      <c r="K47" s="154" t="s">
        <v>1784</v>
      </c>
      <c r="L47" s="227">
        <v>79080</v>
      </c>
      <c r="M47" s="157" t="s">
        <v>1766</v>
      </c>
      <c r="N47" s="227">
        <f t="shared" si="2"/>
        <v>58363.165962010215</v>
      </c>
      <c r="O47" s="152">
        <f t="shared" si="3"/>
        <v>630750.13696201006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>
        <v>41648</v>
      </c>
      <c r="I48" s="152"/>
      <c r="J48" s="157"/>
      <c r="K48" s="154" t="s">
        <v>1784</v>
      </c>
      <c r="L48" s="227">
        <v>58363.165962010215</v>
      </c>
      <c r="M48" s="157" t="s">
        <v>1766</v>
      </c>
      <c r="N48" s="227">
        <f t="shared" ref="N48:N51" si="14">+N47-I48-L48</f>
        <v>0</v>
      </c>
      <c r="O48" s="152">
        <f t="shared" ref="O48:O51" si="15">O47+G48-I48-L48</f>
        <v>572386.9709999999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>
        <v>41648</v>
      </c>
      <c r="I49" s="152"/>
      <c r="J49" s="157"/>
      <c r="K49" s="154" t="s">
        <v>1784</v>
      </c>
      <c r="L49" s="227">
        <v>33836.8340379898</v>
      </c>
      <c r="M49" s="157" t="s">
        <v>1767</v>
      </c>
      <c r="N49" s="227">
        <f>G32+G34+G35+G38+N48-I49-L49</f>
        <v>186432.77796201024</v>
      </c>
      <c r="O49" s="152">
        <f t="shared" si="15"/>
        <v>538550.13696201006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>
        <v>41648</v>
      </c>
      <c r="I50" s="152"/>
      <c r="J50" s="157"/>
      <c r="K50" s="154" t="s">
        <v>1784</v>
      </c>
      <c r="L50" s="227">
        <v>34927</v>
      </c>
      <c r="M50" s="157" t="s">
        <v>1767</v>
      </c>
      <c r="N50" s="227">
        <f t="shared" si="14"/>
        <v>151505.77796201024</v>
      </c>
      <c r="O50" s="152">
        <f t="shared" si="15"/>
        <v>503623.13696201006</v>
      </c>
    </row>
    <row r="51" spans="1:15" x14ac:dyDescent="0.15">
      <c r="A51" s="154"/>
      <c r="B51" s="151"/>
      <c r="C51" s="152"/>
      <c r="D51" s="323">
        <v>41649</v>
      </c>
      <c r="E51" s="154" t="s">
        <v>72</v>
      </c>
      <c r="F51" s="157" t="s">
        <v>1769</v>
      </c>
      <c r="G51" s="152">
        <v>260197.12400000001</v>
      </c>
      <c r="H51" s="323">
        <v>41649</v>
      </c>
      <c r="I51" s="152">
        <v>5227.83</v>
      </c>
      <c r="J51" s="157" t="s">
        <v>1767</v>
      </c>
      <c r="K51" s="154" t="s">
        <v>1784</v>
      </c>
      <c r="L51" s="227">
        <v>14912.62</v>
      </c>
      <c r="M51" s="157" t="s">
        <v>1767</v>
      </c>
      <c r="N51" s="227">
        <f t="shared" si="14"/>
        <v>131365.32796201025</v>
      </c>
      <c r="O51" s="152">
        <f t="shared" si="15"/>
        <v>743679.81096201017</v>
      </c>
    </row>
    <row r="52" spans="1:15" x14ac:dyDescent="0.15">
      <c r="A52" s="154"/>
      <c r="B52" s="151"/>
      <c r="C52" s="152"/>
      <c r="D52" s="323"/>
      <c r="E52" s="155"/>
      <c r="F52" s="157"/>
      <c r="G52" s="152"/>
      <c r="H52" s="323">
        <v>41649</v>
      </c>
      <c r="I52" s="152"/>
      <c r="J52" s="154"/>
      <c r="K52" s="154" t="s">
        <v>1784</v>
      </c>
      <c r="L52" s="227">
        <v>34288.21</v>
      </c>
      <c r="M52" s="157" t="s">
        <v>1767</v>
      </c>
      <c r="N52" s="227">
        <f t="shared" si="2"/>
        <v>97077.117962010263</v>
      </c>
      <c r="O52" s="152">
        <f t="shared" si="3"/>
        <v>709391.60096201021</v>
      </c>
    </row>
    <row r="53" spans="1:15" x14ac:dyDescent="0.15">
      <c r="A53" s="154"/>
      <c r="B53" s="151"/>
      <c r="C53" s="152"/>
      <c r="D53" s="323"/>
      <c r="E53" s="155"/>
      <c r="F53" s="157"/>
      <c r="G53" s="152"/>
      <c r="H53" s="323">
        <v>41649</v>
      </c>
      <c r="I53" s="152"/>
      <c r="J53" s="154"/>
      <c r="K53" s="154" t="s">
        <v>1784</v>
      </c>
      <c r="L53" s="227">
        <v>85975.8</v>
      </c>
      <c r="M53" s="157" t="s">
        <v>1767</v>
      </c>
      <c r="N53" s="227">
        <f t="shared" si="2"/>
        <v>11101.31796201026</v>
      </c>
      <c r="O53" s="152">
        <f t="shared" si="3"/>
        <v>623415.80096201017</v>
      </c>
    </row>
    <row r="54" spans="1:15" x14ac:dyDescent="0.15">
      <c r="A54" s="154"/>
      <c r="B54" s="151"/>
      <c r="C54" s="152"/>
      <c r="D54" s="323">
        <v>41650</v>
      </c>
      <c r="E54" s="154" t="s">
        <v>72</v>
      </c>
      <c r="F54" s="157" t="s">
        <v>1769</v>
      </c>
      <c r="G54" s="152">
        <v>220072.33199999999</v>
      </c>
      <c r="H54" s="323">
        <v>41650</v>
      </c>
      <c r="I54" s="152">
        <v>3923.6</v>
      </c>
      <c r="J54" s="157" t="s">
        <v>1767</v>
      </c>
      <c r="K54" s="154" t="s">
        <v>1784</v>
      </c>
      <c r="L54" s="227">
        <v>7177.7179620102597</v>
      </c>
      <c r="M54" s="157" t="s">
        <v>1767</v>
      </c>
      <c r="N54" s="227">
        <f t="shared" si="2"/>
        <v>0</v>
      </c>
      <c r="O54" s="152">
        <f t="shared" si="3"/>
        <v>832386.81499999983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>
        <v>41650</v>
      </c>
      <c r="I55" s="152"/>
      <c r="J55" s="154"/>
      <c r="K55" s="154" t="s">
        <v>1784</v>
      </c>
      <c r="L55" s="227">
        <v>64741.332037989698</v>
      </c>
      <c r="M55" s="157" t="s">
        <v>1768</v>
      </c>
      <c r="N55" s="227">
        <f>G39+G45+N54-I55-L55</f>
        <v>272477.12996201025</v>
      </c>
      <c r="O55" s="152">
        <f t="shared" ref="O55:O58" si="16">O54+G55-I55-L55</f>
        <v>767645.48296201008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>
        <v>41650</v>
      </c>
      <c r="I56" s="152"/>
      <c r="J56" s="157"/>
      <c r="K56" s="154" t="s">
        <v>1784</v>
      </c>
      <c r="L56" s="227">
        <v>33536.6</v>
      </c>
      <c r="M56" s="157" t="s">
        <v>1768</v>
      </c>
      <c r="N56" s="227">
        <f t="shared" ref="N56:N58" si="17">+N55-I56-L56</f>
        <v>238940.52996201025</v>
      </c>
      <c r="O56" s="152">
        <f t="shared" si="16"/>
        <v>734108.8829620101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>
        <v>41650</v>
      </c>
      <c r="I57" s="152"/>
      <c r="J57" s="154"/>
      <c r="K57" s="154" t="s">
        <v>1784</v>
      </c>
      <c r="L57" s="227">
        <v>79340.2</v>
      </c>
      <c r="M57" s="157" t="s">
        <v>1768</v>
      </c>
      <c r="N57" s="227">
        <f t="shared" si="17"/>
        <v>159600.32996201026</v>
      </c>
      <c r="O57" s="152">
        <f t="shared" si="16"/>
        <v>654768.68296201015</v>
      </c>
    </row>
    <row r="58" spans="1:15" x14ac:dyDescent="0.15">
      <c r="A58" s="154"/>
      <c r="B58" s="151"/>
      <c r="C58" s="152"/>
      <c r="D58" s="323">
        <v>41651</v>
      </c>
      <c r="E58" s="154" t="s">
        <v>72</v>
      </c>
      <c r="F58" s="157" t="s">
        <v>1769</v>
      </c>
      <c r="G58" s="152">
        <v>3175.7369999997318</v>
      </c>
      <c r="H58" s="323">
        <v>41651</v>
      </c>
      <c r="I58" s="152">
        <v>5114</v>
      </c>
      <c r="J58" s="157" t="s">
        <v>1768</v>
      </c>
      <c r="K58" s="154" t="s">
        <v>1784</v>
      </c>
      <c r="L58" s="227">
        <v>14014</v>
      </c>
      <c r="M58" s="157" t="s">
        <v>1768</v>
      </c>
      <c r="N58" s="227">
        <f t="shared" si="17"/>
        <v>140472.32996201026</v>
      </c>
      <c r="O58" s="152">
        <f t="shared" si="16"/>
        <v>638816.41996200988</v>
      </c>
    </row>
    <row r="59" spans="1:15" x14ac:dyDescent="0.15">
      <c r="A59" s="154"/>
      <c r="B59" s="151"/>
      <c r="C59" s="152"/>
      <c r="D59" s="323">
        <v>41651</v>
      </c>
      <c r="E59" s="154" t="s">
        <v>72</v>
      </c>
      <c r="F59" s="157" t="s">
        <v>1770</v>
      </c>
      <c r="G59" s="152">
        <v>172911.573</v>
      </c>
      <c r="H59" s="323">
        <v>41651</v>
      </c>
      <c r="I59" s="152"/>
      <c r="J59" s="154"/>
      <c r="K59" s="154" t="s">
        <v>1784</v>
      </c>
      <c r="L59" s="227">
        <v>73790</v>
      </c>
      <c r="M59" s="157" t="s">
        <v>1768</v>
      </c>
      <c r="N59" s="227">
        <f t="shared" si="2"/>
        <v>66682.329962010263</v>
      </c>
      <c r="O59" s="152">
        <f t="shared" si="3"/>
        <v>737937.99296200986</v>
      </c>
    </row>
    <row r="60" spans="1:15" x14ac:dyDescent="0.15">
      <c r="A60" s="154"/>
      <c r="B60" s="151"/>
      <c r="C60" s="152"/>
      <c r="D60" s="323"/>
      <c r="E60" s="155"/>
      <c r="F60" s="157"/>
      <c r="G60" s="152"/>
      <c r="H60" s="323">
        <v>41651</v>
      </c>
      <c r="I60" s="152"/>
      <c r="J60" s="154"/>
      <c r="K60" s="154" t="s">
        <v>1784</v>
      </c>
      <c r="L60" s="227">
        <v>66682.329962010263</v>
      </c>
      <c r="M60" s="157" t="s">
        <v>1768</v>
      </c>
      <c r="N60" s="227">
        <f t="shared" si="2"/>
        <v>0</v>
      </c>
      <c r="O60" s="152">
        <f t="shared" si="3"/>
        <v>671255.66299999959</v>
      </c>
    </row>
    <row r="61" spans="1:15" x14ac:dyDescent="0.15">
      <c r="A61" s="154"/>
      <c r="B61" s="151"/>
      <c r="C61" s="152"/>
      <c r="D61" s="323"/>
      <c r="E61" s="155"/>
      <c r="F61" s="157"/>
      <c r="G61" s="152"/>
      <c r="H61" s="323">
        <v>41651</v>
      </c>
      <c r="I61" s="152"/>
      <c r="J61" s="154"/>
      <c r="K61" s="154" t="s">
        <v>1784</v>
      </c>
      <c r="L61" s="227">
        <v>11897.670037989699</v>
      </c>
      <c r="M61" s="157" t="s">
        <v>1769</v>
      </c>
      <c r="N61" s="227">
        <f>G46+G51+G54+G58+N60-I61-L61</f>
        <v>486446.41996201017</v>
      </c>
      <c r="O61" s="152">
        <f t="shared" ref="O61:O63" si="18">O60+G61-I61-L61</f>
        <v>659357.99296200986</v>
      </c>
    </row>
    <row r="62" spans="1:15" x14ac:dyDescent="0.15">
      <c r="A62" s="154"/>
      <c r="B62" s="151"/>
      <c r="C62" s="152"/>
      <c r="D62" s="323"/>
      <c r="E62" s="155"/>
      <c r="F62" s="157"/>
      <c r="G62" s="152"/>
      <c r="H62" s="323">
        <v>41651</v>
      </c>
      <c r="I62" s="152"/>
      <c r="J62" s="154"/>
      <c r="K62" s="154" t="s">
        <v>1784</v>
      </c>
      <c r="L62" s="227">
        <v>35118</v>
      </c>
      <c r="M62" s="157" t="s">
        <v>1769</v>
      </c>
      <c r="N62" s="227">
        <f t="shared" ref="N62:N63" si="19">+N61-I62-L62</f>
        <v>451328.41996201017</v>
      </c>
      <c r="O62" s="152">
        <f t="shared" si="18"/>
        <v>624239.99296200986</v>
      </c>
    </row>
    <row r="63" spans="1:15" x14ac:dyDescent="0.15">
      <c r="A63" s="154"/>
      <c r="B63" s="151"/>
      <c r="C63" s="152"/>
      <c r="D63" s="323"/>
      <c r="E63" s="155"/>
      <c r="F63" s="157"/>
      <c r="G63" s="152"/>
      <c r="H63" s="323">
        <v>41651</v>
      </c>
      <c r="I63" s="152"/>
      <c r="J63" s="154"/>
      <c r="K63" s="154" t="s">
        <v>1784</v>
      </c>
      <c r="L63" s="227">
        <v>79040</v>
      </c>
      <c r="M63" s="157" t="s">
        <v>1769</v>
      </c>
      <c r="N63" s="227">
        <f t="shared" si="19"/>
        <v>372288.41996201017</v>
      </c>
      <c r="O63" s="152">
        <f t="shared" si="18"/>
        <v>545199.99296200986</v>
      </c>
    </row>
    <row r="64" spans="1:15" x14ac:dyDescent="0.15">
      <c r="A64" s="154"/>
      <c r="B64" s="151"/>
      <c r="C64" s="152"/>
      <c r="D64" s="323">
        <v>41652</v>
      </c>
      <c r="E64" s="154" t="s">
        <v>72</v>
      </c>
      <c r="F64" s="157" t="s">
        <v>1771</v>
      </c>
      <c r="G64" s="152">
        <v>132040.18399999998</v>
      </c>
      <c r="H64" s="323">
        <v>41652</v>
      </c>
      <c r="I64" s="152">
        <v>4288.82</v>
      </c>
      <c r="J64" s="157" t="s">
        <v>1769</v>
      </c>
      <c r="K64" s="154" t="s">
        <v>1784</v>
      </c>
      <c r="L64" s="227">
        <v>33532.99</v>
      </c>
      <c r="M64" s="157" t="s">
        <v>1769</v>
      </c>
      <c r="N64" s="227">
        <f t="shared" si="2"/>
        <v>334466.60996201017</v>
      </c>
      <c r="O64" s="152">
        <f t="shared" si="3"/>
        <v>639418.36696200992</v>
      </c>
    </row>
    <row r="65" spans="1:15" x14ac:dyDescent="0.15">
      <c r="A65" s="154"/>
      <c r="B65" s="151"/>
      <c r="C65" s="152"/>
      <c r="D65" s="323">
        <v>41653</v>
      </c>
      <c r="E65" s="154" t="s">
        <v>72</v>
      </c>
      <c r="F65" s="157" t="s">
        <v>1771</v>
      </c>
      <c r="G65" s="152">
        <v>44071.697</v>
      </c>
      <c r="H65" s="323">
        <v>41653</v>
      </c>
      <c r="I65" s="152">
        <v>6564.67</v>
      </c>
      <c r="J65" s="157" t="s">
        <v>1769</v>
      </c>
      <c r="K65" s="154" t="s">
        <v>1784</v>
      </c>
      <c r="L65" s="227">
        <v>15059.53</v>
      </c>
      <c r="M65" s="157" t="s">
        <v>1769</v>
      </c>
      <c r="N65" s="227">
        <f t="shared" si="2"/>
        <v>312842.40996201016</v>
      </c>
      <c r="O65" s="152">
        <f t="shared" si="3"/>
        <v>661865.8639620099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>
        <v>41653</v>
      </c>
      <c r="I66" s="152"/>
      <c r="J66" s="154"/>
      <c r="K66" s="154" t="s">
        <v>1784</v>
      </c>
      <c r="L66" s="227">
        <v>13594.38</v>
      </c>
      <c r="M66" s="157" t="s">
        <v>1769</v>
      </c>
      <c r="N66" s="227">
        <f t="shared" si="2"/>
        <v>299248.02996201016</v>
      </c>
      <c r="O66" s="152">
        <f t="shared" si="3"/>
        <v>648271.48396200989</v>
      </c>
    </row>
    <row r="67" spans="1:15" x14ac:dyDescent="0.15">
      <c r="A67" s="154"/>
      <c r="B67" s="151"/>
      <c r="C67" s="152"/>
      <c r="D67" s="323">
        <v>41654</v>
      </c>
      <c r="E67" s="154" t="s">
        <v>72</v>
      </c>
      <c r="F67" s="157" t="s">
        <v>1771</v>
      </c>
      <c r="G67" s="152">
        <v>132105.6730000003</v>
      </c>
      <c r="H67" s="323">
        <v>41654</v>
      </c>
      <c r="I67" s="152">
        <v>18185.23</v>
      </c>
      <c r="J67" s="157" t="s">
        <v>1769</v>
      </c>
      <c r="K67" s="154" t="s">
        <v>1784</v>
      </c>
      <c r="L67" s="227">
        <v>14962.72</v>
      </c>
      <c r="M67" s="157" t="s">
        <v>1769</v>
      </c>
      <c r="N67" s="227">
        <f t="shared" si="2"/>
        <v>266100.0799620102</v>
      </c>
      <c r="O67" s="152">
        <f t="shared" si="3"/>
        <v>747229.20696201024</v>
      </c>
    </row>
    <row r="68" spans="1:15" x14ac:dyDescent="0.15">
      <c r="A68" s="154"/>
      <c r="B68" s="151"/>
      <c r="C68" s="152"/>
      <c r="D68" s="323">
        <v>41654</v>
      </c>
      <c r="E68" s="154" t="s">
        <v>72</v>
      </c>
      <c r="F68" s="157" t="s">
        <v>1772</v>
      </c>
      <c r="G68" s="152">
        <v>132048.12100000001</v>
      </c>
      <c r="H68" s="323">
        <v>41654</v>
      </c>
      <c r="I68" s="152"/>
      <c r="J68" s="157"/>
      <c r="K68" s="154" t="s">
        <v>1784</v>
      </c>
      <c r="L68" s="227">
        <v>95726.19</v>
      </c>
      <c r="M68" s="157" t="s">
        <v>1769</v>
      </c>
      <c r="N68" s="227">
        <f t="shared" si="2"/>
        <v>170373.8899620102</v>
      </c>
      <c r="O68" s="152">
        <f t="shared" si="3"/>
        <v>783551.13796201022</v>
      </c>
    </row>
    <row r="69" spans="1:15" x14ac:dyDescent="0.15">
      <c r="A69" s="154"/>
      <c r="B69" s="151"/>
      <c r="C69" s="152"/>
      <c r="D69" s="323"/>
      <c r="E69" s="155"/>
      <c r="F69" s="157"/>
      <c r="G69" s="152"/>
      <c r="H69" s="323">
        <v>41654</v>
      </c>
      <c r="I69" s="152"/>
      <c r="J69" s="154"/>
      <c r="K69" s="154" t="s">
        <v>1784</v>
      </c>
      <c r="L69" s="227">
        <v>73997.539999999994</v>
      </c>
      <c r="M69" s="157" t="s">
        <v>1769</v>
      </c>
      <c r="N69" s="227">
        <f t="shared" si="2"/>
        <v>96376.349962010208</v>
      </c>
      <c r="O69" s="152">
        <f t="shared" si="3"/>
        <v>709553.59796201019</v>
      </c>
    </row>
    <row r="70" spans="1:15" x14ac:dyDescent="0.15">
      <c r="A70" s="154"/>
      <c r="B70" s="151"/>
      <c r="C70" s="152"/>
      <c r="D70" s="323"/>
      <c r="E70" s="155"/>
      <c r="F70" s="157"/>
      <c r="G70" s="152"/>
      <c r="H70" s="323">
        <v>41654</v>
      </c>
      <c r="I70" s="152"/>
      <c r="J70" s="154"/>
      <c r="K70" s="154" t="s">
        <v>1784</v>
      </c>
      <c r="L70" s="227">
        <v>67639.16</v>
      </c>
      <c r="M70" s="157" t="s">
        <v>1769</v>
      </c>
      <c r="N70" s="227">
        <f t="shared" si="2"/>
        <v>28737.189962010205</v>
      </c>
      <c r="O70" s="152">
        <f t="shared" si="3"/>
        <v>641914.43796201015</v>
      </c>
    </row>
    <row r="71" spans="1:15" x14ac:dyDescent="0.15">
      <c r="A71" s="154"/>
      <c r="B71" s="151"/>
      <c r="C71" s="152"/>
      <c r="D71" s="323"/>
      <c r="E71" s="155"/>
      <c r="F71" s="157"/>
      <c r="G71" s="152"/>
      <c r="H71" s="323">
        <v>41654</v>
      </c>
      <c r="I71" s="152"/>
      <c r="J71" s="154"/>
      <c r="K71" s="154" t="s">
        <v>1784</v>
      </c>
      <c r="L71" s="227">
        <v>28737.189962010205</v>
      </c>
      <c r="M71" s="157" t="s">
        <v>1769</v>
      </c>
      <c r="N71" s="227">
        <f t="shared" ref="N71:N74" si="20">+N70-I71-L71</f>
        <v>0</v>
      </c>
      <c r="O71" s="152">
        <f t="shared" ref="O71:O74" si="21">O70+G71-I71-L71</f>
        <v>613177.24799999991</v>
      </c>
    </row>
    <row r="72" spans="1:15" x14ac:dyDescent="0.15">
      <c r="A72" s="154"/>
      <c r="B72" s="151"/>
      <c r="C72" s="152"/>
      <c r="D72" s="323"/>
      <c r="E72" s="155"/>
      <c r="F72" s="157"/>
      <c r="G72" s="152"/>
      <c r="H72" s="323">
        <v>41654</v>
      </c>
      <c r="I72" s="152"/>
      <c r="J72" s="154"/>
      <c r="K72" s="154" t="s">
        <v>1784</v>
      </c>
      <c r="L72" s="227">
        <v>51358.390037989797</v>
      </c>
      <c r="M72" s="157" t="s">
        <v>1770</v>
      </c>
      <c r="N72" s="227">
        <f>G59+N71-I72-L72</f>
        <v>121553.18296201021</v>
      </c>
      <c r="O72" s="152">
        <f t="shared" si="21"/>
        <v>561818.85796201008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>
        <v>41654</v>
      </c>
      <c r="I73" s="152"/>
      <c r="J73" s="157"/>
      <c r="K73" s="154" t="s">
        <v>1784</v>
      </c>
      <c r="L73" s="227">
        <v>38165.47</v>
      </c>
      <c r="M73" s="157" t="s">
        <v>1770</v>
      </c>
      <c r="N73" s="227">
        <f t="shared" si="20"/>
        <v>83387.712962010206</v>
      </c>
      <c r="O73" s="152">
        <f t="shared" si="21"/>
        <v>523653.38796201011</v>
      </c>
    </row>
    <row r="74" spans="1:15" x14ac:dyDescent="0.15">
      <c r="A74" s="154"/>
      <c r="B74" s="151"/>
      <c r="C74" s="152"/>
      <c r="D74" s="323">
        <v>41655</v>
      </c>
      <c r="E74" s="154" t="s">
        <v>72</v>
      </c>
      <c r="F74" s="157" t="s">
        <v>1772</v>
      </c>
      <c r="G74" s="152">
        <v>44030.423999999999</v>
      </c>
      <c r="H74" s="323">
        <v>41655</v>
      </c>
      <c r="I74" s="152">
        <v>6049</v>
      </c>
      <c r="J74" s="157" t="s">
        <v>1770</v>
      </c>
      <c r="K74" s="154" t="s">
        <v>1784</v>
      </c>
      <c r="L74" s="227">
        <v>77338.712962010206</v>
      </c>
      <c r="M74" s="157" t="s">
        <v>1770</v>
      </c>
      <c r="N74" s="227">
        <f t="shared" si="20"/>
        <v>0</v>
      </c>
      <c r="O74" s="152">
        <f t="shared" si="21"/>
        <v>484296.09899999993</v>
      </c>
    </row>
    <row r="75" spans="1:15" x14ac:dyDescent="0.15">
      <c r="A75" s="154"/>
      <c r="B75" s="151"/>
      <c r="C75" s="152"/>
      <c r="D75" s="323">
        <v>41655</v>
      </c>
      <c r="E75" s="154" t="s">
        <v>72</v>
      </c>
      <c r="F75" s="157" t="s">
        <v>1773</v>
      </c>
      <c r="G75" s="152">
        <v>220246.93400000001</v>
      </c>
      <c r="H75" s="323">
        <v>41655</v>
      </c>
      <c r="I75" s="152"/>
      <c r="J75" s="154"/>
      <c r="K75" s="154" t="s">
        <v>1784</v>
      </c>
      <c r="L75" s="227">
        <v>9601.2870379897904</v>
      </c>
      <c r="M75" s="157" t="s">
        <v>1771</v>
      </c>
      <c r="N75" s="227">
        <f>G64+G65+G67+N74-I75-L75</f>
        <v>298616.26696201053</v>
      </c>
      <c r="O75" s="152">
        <f t="shared" ref="O75:O78" si="22">O74+G75-I75-L75</f>
        <v>694941.74596201011</v>
      </c>
    </row>
    <row r="76" spans="1:15" x14ac:dyDescent="0.15">
      <c r="A76" s="154"/>
      <c r="B76" s="151"/>
      <c r="C76" s="152"/>
      <c r="D76" s="323"/>
      <c r="E76" s="155"/>
      <c r="F76" s="157"/>
      <c r="G76" s="152"/>
      <c r="H76" s="323">
        <v>41655</v>
      </c>
      <c r="I76" s="152"/>
      <c r="J76" s="154"/>
      <c r="K76" s="154" t="s">
        <v>1784</v>
      </c>
      <c r="L76" s="227">
        <v>24072</v>
      </c>
      <c r="M76" s="157" t="s">
        <v>1771</v>
      </c>
      <c r="N76" s="227">
        <f t="shared" ref="N76:N78" si="23">+N75-I76-L76</f>
        <v>274544.26696201053</v>
      </c>
      <c r="O76" s="152">
        <f t="shared" si="22"/>
        <v>670869.74596201011</v>
      </c>
    </row>
    <row r="77" spans="1:15" x14ac:dyDescent="0.15">
      <c r="A77" s="154"/>
      <c r="B77" s="151"/>
      <c r="C77" s="152"/>
      <c r="D77" s="323"/>
      <c r="E77" s="155"/>
      <c r="F77" s="157"/>
      <c r="G77" s="152"/>
      <c r="H77" s="323">
        <v>41655</v>
      </c>
      <c r="I77" s="152"/>
      <c r="J77" s="157"/>
      <c r="K77" s="154" t="s">
        <v>1784</v>
      </c>
      <c r="L77" s="227">
        <v>74780</v>
      </c>
      <c r="M77" s="157" t="s">
        <v>1771</v>
      </c>
      <c r="N77" s="227">
        <f t="shared" si="23"/>
        <v>199764.26696201053</v>
      </c>
      <c r="O77" s="152">
        <f t="shared" si="22"/>
        <v>596089.74596201011</v>
      </c>
    </row>
    <row r="78" spans="1:15" x14ac:dyDescent="0.15">
      <c r="A78" s="154"/>
      <c r="B78" s="151"/>
      <c r="C78" s="152"/>
      <c r="D78" s="323">
        <v>41656</v>
      </c>
      <c r="E78" s="154" t="s">
        <v>72</v>
      </c>
      <c r="F78" s="157" t="s">
        <v>1773</v>
      </c>
      <c r="G78" s="152">
        <v>88114.592999999993</v>
      </c>
      <c r="H78" s="323">
        <v>41656</v>
      </c>
      <c r="I78" s="152">
        <v>5353.2900000000009</v>
      </c>
      <c r="J78" s="157" t="s">
        <v>1771</v>
      </c>
      <c r="K78" s="154" t="s">
        <v>1784</v>
      </c>
      <c r="L78" s="227">
        <v>14241.78</v>
      </c>
      <c r="M78" s="157" t="s">
        <v>1771</v>
      </c>
      <c r="N78" s="227">
        <f t="shared" si="23"/>
        <v>180169.19696201052</v>
      </c>
      <c r="O78" s="152">
        <f t="shared" si="22"/>
        <v>664609.26896201004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>
        <v>41656</v>
      </c>
      <c r="I79" s="152"/>
      <c r="J79" s="157"/>
      <c r="K79" s="154" t="s">
        <v>1784</v>
      </c>
      <c r="L79" s="227">
        <v>3443.25</v>
      </c>
      <c r="M79" s="157" t="s">
        <v>1771</v>
      </c>
      <c r="N79" s="227">
        <f t="shared" si="2"/>
        <v>176725.94696201052</v>
      </c>
      <c r="O79" s="152">
        <f t="shared" si="3"/>
        <v>661166.01896201004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>
        <v>41656</v>
      </c>
      <c r="I80" s="152"/>
      <c r="J80" s="157"/>
      <c r="K80" s="154" t="s">
        <v>1784</v>
      </c>
      <c r="L80" s="227">
        <v>30404.58</v>
      </c>
      <c r="M80" s="157" t="s">
        <v>1771</v>
      </c>
      <c r="N80" s="227">
        <f t="shared" si="2"/>
        <v>146321.36696201051</v>
      </c>
      <c r="O80" s="152">
        <f t="shared" si="3"/>
        <v>630761.43896201008</v>
      </c>
    </row>
    <row r="81" spans="1:15" x14ac:dyDescent="0.15">
      <c r="A81" s="154"/>
      <c r="B81" s="151"/>
      <c r="C81" s="152"/>
      <c r="D81" s="323">
        <v>41657</v>
      </c>
      <c r="E81" s="154" t="s">
        <v>72</v>
      </c>
      <c r="F81" s="157" t="s">
        <v>1773</v>
      </c>
      <c r="G81" s="152">
        <v>88051.456000000006</v>
      </c>
      <c r="H81" s="323">
        <v>41657</v>
      </c>
      <c r="I81" s="152">
        <v>4923.49</v>
      </c>
      <c r="J81" s="157" t="s">
        <v>1771</v>
      </c>
      <c r="K81" s="154" t="s">
        <v>1784</v>
      </c>
      <c r="L81" s="152">
        <v>74395.350000000006</v>
      </c>
      <c r="M81" s="157" t="s">
        <v>1771</v>
      </c>
      <c r="N81" s="227">
        <f t="shared" si="2"/>
        <v>67002.52696201051</v>
      </c>
      <c r="O81" s="152">
        <f t="shared" si="3"/>
        <v>639494.05496201012</v>
      </c>
    </row>
    <row r="82" spans="1:15" x14ac:dyDescent="0.15">
      <c r="A82" s="154"/>
      <c r="B82" s="151"/>
      <c r="C82" s="152"/>
      <c r="D82" s="323">
        <v>41657</v>
      </c>
      <c r="E82" s="154" t="s">
        <v>72</v>
      </c>
      <c r="F82" s="154" t="s">
        <v>1774</v>
      </c>
      <c r="G82" s="152">
        <v>88110.563999999998</v>
      </c>
      <c r="H82" s="323">
        <v>41657</v>
      </c>
      <c r="I82" s="152"/>
      <c r="J82" s="157"/>
      <c r="K82" s="154" t="s">
        <v>1784</v>
      </c>
      <c r="L82" s="227">
        <v>10713.85</v>
      </c>
      <c r="M82" s="157" t="s">
        <v>1771</v>
      </c>
      <c r="N82" s="227">
        <f t="shared" si="2"/>
        <v>56288.676962010511</v>
      </c>
      <c r="O82" s="152">
        <f t="shared" si="3"/>
        <v>716890.76896201016</v>
      </c>
    </row>
    <row r="83" spans="1:15" x14ac:dyDescent="0.15">
      <c r="A83" s="154"/>
      <c r="B83" s="151"/>
      <c r="C83" s="152"/>
      <c r="D83" s="323"/>
      <c r="E83" s="155"/>
      <c r="F83" s="154"/>
      <c r="G83" s="152"/>
      <c r="H83" s="323">
        <v>41657</v>
      </c>
      <c r="I83" s="152"/>
      <c r="J83" s="157"/>
      <c r="K83" s="154" t="s">
        <v>1784</v>
      </c>
      <c r="L83" s="227">
        <v>56288.676962010511</v>
      </c>
      <c r="M83" s="157" t="s">
        <v>1771</v>
      </c>
      <c r="N83" s="227">
        <f t="shared" si="2"/>
        <v>0</v>
      </c>
      <c r="O83" s="152">
        <f t="shared" si="3"/>
        <v>660602.0919999996</v>
      </c>
    </row>
    <row r="84" spans="1:15" x14ac:dyDescent="0.15">
      <c r="A84" s="154"/>
      <c r="B84" s="151"/>
      <c r="C84" s="152"/>
      <c r="D84" s="323"/>
      <c r="E84" s="155"/>
      <c r="F84" s="154"/>
      <c r="G84" s="152"/>
      <c r="H84" s="323">
        <v>41657</v>
      </c>
      <c r="I84" s="152"/>
      <c r="J84" s="157"/>
      <c r="K84" s="154" t="s">
        <v>1784</v>
      </c>
      <c r="L84" s="227">
        <v>18787.3630379895</v>
      </c>
      <c r="M84" s="157" t="s">
        <v>1772</v>
      </c>
      <c r="N84" s="227">
        <f>G68+G74+N83-I84-L84</f>
        <v>157291.18196201051</v>
      </c>
      <c r="O84" s="152">
        <f t="shared" ref="O84:O87" si="24">O83+G84-I84-L84</f>
        <v>641814.72896201012</v>
      </c>
    </row>
    <row r="85" spans="1:15" x14ac:dyDescent="0.15">
      <c r="A85" s="154"/>
      <c r="B85" s="151"/>
      <c r="C85" s="152"/>
      <c r="D85" s="323">
        <v>41658</v>
      </c>
      <c r="E85" s="154" t="s">
        <v>72</v>
      </c>
      <c r="F85" s="157" t="s">
        <v>1774</v>
      </c>
      <c r="G85" s="152">
        <v>88153.218000000008</v>
      </c>
      <c r="H85" s="323">
        <v>41658</v>
      </c>
      <c r="I85" s="152">
        <v>4250.72</v>
      </c>
      <c r="J85" s="157" t="s">
        <v>1772</v>
      </c>
      <c r="K85" s="154" t="s">
        <v>1784</v>
      </c>
      <c r="L85" s="227">
        <v>15026.82</v>
      </c>
      <c r="M85" s="157" t="s">
        <v>1772</v>
      </c>
      <c r="N85" s="227">
        <f t="shared" ref="N85:N87" si="25">+N84-I85-L85</f>
        <v>138013.6419620105</v>
      </c>
      <c r="O85" s="152">
        <f t="shared" si="24"/>
        <v>710690.40696201019</v>
      </c>
    </row>
    <row r="86" spans="1:15" x14ac:dyDescent="0.15">
      <c r="A86" s="154"/>
      <c r="B86" s="151"/>
      <c r="C86" s="152"/>
      <c r="D86" s="323">
        <v>41658</v>
      </c>
      <c r="E86" s="154" t="s">
        <v>72</v>
      </c>
      <c r="F86" s="157" t="s">
        <v>1775</v>
      </c>
      <c r="G86" s="152">
        <v>132276.90599999999</v>
      </c>
      <c r="H86" s="323">
        <v>41658</v>
      </c>
      <c r="I86" s="152"/>
      <c r="J86" s="157"/>
      <c r="K86" s="154" t="s">
        <v>1784</v>
      </c>
      <c r="L86" s="227">
        <v>71128.009999999995</v>
      </c>
      <c r="M86" s="157" t="s">
        <v>1772</v>
      </c>
      <c r="N86" s="227">
        <f t="shared" si="25"/>
        <v>66885.631962010506</v>
      </c>
      <c r="O86" s="152">
        <f t="shared" si="24"/>
        <v>771839.30296201014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>
        <v>41658</v>
      </c>
      <c r="I87" s="152"/>
      <c r="J87" s="157"/>
      <c r="K87" s="154" t="s">
        <v>1784</v>
      </c>
      <c r="L87" s="227">
        <v>66885.631962010506</v>
      </c>
      <c r="M87" s="157" t="s">
        <v>1772</v>
      </c>
      <c r="N87" s="227">
        <f t="shared" si="25"/>
        <v>0</v>
      </c>
      <c r="O87" s="152">
        <f t="shared" si="24"/>
        <v>704953.67099999962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>
        <v>41658</v>
      </c>
      <c r="I88" s="152"/>
      <c r="J88" s="157"/>
      <c r="K88" s="154" t="s">
        <v>1784</v>
      </c>
      <c r="L88" s="227">
        <v>11232.998037989501</v>
      </c>
      <c r="M88" s="157" t="s">
        <v>1773</v>
      </c>
      <c r="N88" s="227">
        <f>G75+G78+G81+N87-I88-L88</f>
        <v>385179.98496201052</v>
      </c>
      <c r="O88" s="152">
        <f t="shared" ref="O88:O90" si="26">O87+G88-I88-L88</f>
        <v>693720.67296201014</v>
      </c>
    </row>
    <row r="89" spans="1:15" x14ac:dyDescent="0.15">
      <c r="A89" s="154"/>
      <c r="B89" s="151"/>
      <c r="C89" s="152"/>
      <c r="D89" s="323"/>
      <c r="E89" s="155"/>
      <c r="F89" s="157"/>
      <c r="G89" s="152"/>
      <c r="H89" s="323">
        <v>41658</v>
      </c>
      <c r="I89" s="152"/>
      <c r="J89" s="154"/>
      <c r="K89" s="154" t="s">
        <v>1784</v>
      </c>
      <c r="L89" s="227">
        <v>80021.509999999995</v>
      </c>
      <c r="M89" s="157" t="s">
        <v>1773</v>
      </c>
      <c r="N89" s="227">
        <f t="shared" ref="N89:N90" si="27">+N88-I89-L89</f>
        <v>305158.47496201051</v>
      </c>
      <c r="O89" s="152">
        <f t="shared" si="26"/>
        <v>613699.16296201013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>
        <v>41658</v>
      </c>
      <c r="I90" s="152"/>
      <c r="J90" s="157"/>
      <c r="K90" s="154" t="s">
        <v>1784</v>
      </c>
      <c r="L90" s="227">
        <v>9828.99</v>
      </c>
      <c r="M90" s="157" t="s">
        <v>1773</v>
      </c>
      <c r="N90" s="227">
        <f t="shared" si="27"/>
        <v>295329.48496201052</v>
      </c>
      <c r="O90" s="152">
        <f t="shared" si="26"/>
        <v>603870.17296201014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>
        <v>41658</v>
      </c>
      <c r="I91" s="152"/>
      <c r="J91" s="157"/>
      <c r="K91" s="154" t="s">
        <v>1784</v>
      </c>
      <c r="L91" s="227">
        <v>34293.9</v>
      </c>
      <c r="M91" s="157" t="s">
        <v>1773</v>
      </c>
      <c r="N91" s="227">
        <f t="shared" ref="N91:N140" si="28">+N90-I91-L91</f>
        <v>261035.58496201053</v>
      </c>
      <c r="O91" s="152">
        <f t="shared" ref="O91:O140" si="29">O90+G91-I91-L91</f>
        <v>569576.27296201012</v>
      </c>
    </row>
    <row r="92" spans="1:15" x14ac:dyDescent="0.15">
      <c r="A92" s="154"/>
      <c r="B92" s="151"/>
      <c r="C92" s="152"/>
      <c r="D92" s="323">
        <v>41659</v>
      </c>
      <c r="E92" s="154" t="s">
        <v>72</v>
      </c>
      <c r="F92" s="157" t="s">
        <v>1776</v>
      </c>
      <c r="G92" s="152">
        <v>88212.543000000005</v>
      </c>
      <c r="H92" s="323">
        <v>41659</v>
      </c>
      <c r="I92" s="152">
        <v>5645.43</v>
      </c>
      <c r="J92" s="157" t="s">
        <v>1773</v>
      </c>
      <c r="K92" s="154" t="s">
        <v>1784</v>
      </c>
      <c r="L92" s="227">
        <v>13716.61</v>
      </c>
      <c r="M92" s="157" t="s">
        <v>1773</v>
      </c>
      <c r="N92" s="227">
        <f t="shared" si="28"/>
        <v>241673.54496201052</v>
      </c>
      <c r="O92" s="152">
        <f t="shared" si="29"/>
        <v>638426.77596201003</v>
      </c>
    </row>
    <row r="93" spans="1:15" x14ac:dyDescent="0.15">
      <c r="A93" s="154"/>
      <c r="B93" s="151"/>
      <c r="C93" s="152"/>
      <c r="D93" s="323"/>
      <c r="E93" s="155"/>
      <c r="F93" s="157"/>
      <c r="G93" s="152"/>
      <c r="H93" s="323">
        <v>41659</v>
      </c>
      <c r="I93" s="152"/>
      <c r="J93" s="157"/>
      <c r="K93" s="154" t="s">
        <v>1784</v>
      </c>
      <c r="L93" s="227">
        <v>37772.97</v>
      </c>
      <c r="M93" s="157" t="s">
        <v>1773</v>
      </c>
      <c r="N93" s="227">
        <f t="shared" si="28"/>
        <v>203900.57496201052</v>
      </c>
      <c r="O93" s="152">
        <f t="shared" si="29"/>
        <v>600653.80596201005</v>
      </c>
    </row>
    <row r="94" spans="1:15" x14ac:dyDescent="0.15">
      <c r="A94" s="154"/>
      <c r="B94" s="151"/>
      <c r="C94" s="152"/>
      <c r="D94" s="323"/>
      <c r="E94" s="155"/>
      <c r="F94" s="157"/>
      <c r="G94" s="152"/>
      <c r="H94" s="323">
        <v>41659</v>
      </c>
      <c r="I94" s="152"/>
      <c r="J94" s="157"/>
      <c r="K94" s="154" t="s">
        <v>1784</v>
      </c>
      <c r="L94" s="227">
        <v>32369.69</v>
      </c>
      <c r="M94" s="157" t="s">
        <v>1773</v>
      </c>
      <c r="N94" s="227">
        <f t="shared" si="28"/>
        <v>171530.88496201052</v>
      </c>
      <c r="O94" s="152">
        <f t="shared" si="29"/>
        <v>568284.11596201011</v>
      </c>
    </row>
    <row r="95" spans="1:15" x14ac:dyDescent="0.15">
      <c r="A95" s="154"/>
      <c r="B95" s="151"/>
      <c r="C95" s="152"/>
      <c r="D95" s="323">
        <v>41660</v>
      </c>
      <c r="E95" s="154" t="s">
        <v>72</v>
      </c>
      <c r="F95" s="157" t="s">
        <v>1776</v>
      </c>
      <c r="G95" s="152">
        <v>44049.424999999988</v>
      </c>
      <c r="H95" s="323">
        <v>41660</v>
      </c>
      <c r="I95" s="152">
        <v>3266</v>
      </c>
      <c r="J95" s="157" t="s">
        <v>1773</v>
      </c>
      <c r="K95" s="154" t="s">
        <v>1784</v>
      </c>
      <c r="L95" s="227">
        <v>9820</v>
      </c>
      <c r="M95" s="157" t="s">
        <v>1773</v>
      </c>
      <c r="N95" s="227">
        <f t="shared" si="28"/>
        <v>158444.88496201052</v>
      </c>
      <c r="O95" s="152">
        <f t="shared" si="29"/>
        <v>599247.54096201016</v>
      </c>
    </row>
    <row r="96" spans="1:15" x14ac:dyDescent="0.15">
      <c r="A96" s="154"/>
      <c r="B96" s="151"/>
      <c r="C96" s="152"/>
      <c r="D96" s="323">
        <v>41660</v>
      </c>
      <c r="E96" s="154" t="s">
        <v>72</v>
      </c>
      <c r="F96" s="157" t="s">
        <v>1777</v>
      </c>
      <c r="G96" s="152">
        <v>88165.512000000002</v>
      </c>
      <c r="H96" s="323">
        <v>41660</v>
      </c>
      <c r="I96" s="152"/>
      <c r="J96" s="157"/>
      <c r="K96" s="154" t="s">
        <v>1784</v>
      </c>
      <c r="L96" s="227">
        <v>34210</v>
      </c>
      <c r="M96" s="157" t="s">
        <v>1773</v>
      </c>
      <c r="N96" s="227">
        <f t="shared" si="28"/>
        <v>124234.88496201052</v>
      </c>
      <c r="O96" s="152">
        <f t="shared" si="29"/>
        <v>653203.05296201014</v>
      </c>
    </row>
    <row r="97" spans="1:15" x14ac:dyDescent="0.15">
      <c r="A97" s="154"/>
      <c r="B97" s="151"/>
      <c r="C97" s="152"/>
      <c r="D97" s="323">
        <v>41661</v>
      </c>
      <c r="E97" s="154" t="s">
        <v>72</v>
      </c>
      <c r="F97" s="157" t="s">
        <v>1777</v>
      </c>
      <c r="G97" s="152">
        <v>220438.20500000002</v>
      </c>
      <c r="H97" s="323">
        <v>41661</v>
      </c>
      <c r="I97" s="152"/>
      <c r="J97" s="157"/>
      <c r="K97" s="154" t="s">
        <v>1784</v>
      </c>
      <c r="L97" s="227">
        <v>14883.14</v>
      </c>
      <c r="M97" s="157" t="s">
        <v>1773</v>
      </c>
      <c r="N97" s="227">
        <f t="shared" si="28"/>
        <v>109351.74496201052</v>
      </c>
      <c r="O97" s="152">
        <f t="shared" si="29"/>
        <v>858758.11796201009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>
        <v>41661</v>
      </c>
      <c r="I98" s="152"/>
      <c r="J98" s="157"/>
      <c r="K98" s="154" t="s">
        <v>1784</v>
      </c>
      <c r="L98" s="227">
        <v>88494.86</v>
      </c>
      <c r="M98" s="157" t="s">
        <v>1773</v>
      </c>
      <c r="N98" s="227">
        <f t="shared" ref="N98:N103" si="30">+N97-I98-L98</f>
        <v>20856.884962010517</v>
      </c>
      <c r="O98" s="152">
        <f t="shared" ref="O98:O103" si="31">O97+G98-I98-L98</f>
        <v>770263.2579620101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>
        <v>41661</v>
      </c>
      <c r="I99" s="152"/>
      <c r="J99" s="157"/>
      <c r="K99" s="154" t="s">
        <v>1784</v>
      </c>
      <c r="L99" s="227">
        <v>20856.884962010517</v>
      </c>
      <c r="M99" s="157" t="s">
        <v>1773</v>
      </c>
      <c r="N99" s="227">
        <f t="shared" si="30"/>
        <v>0</v>
      </c>
      <c r="O99" s="152">
        <f t="shared" si="31"/>
        <v>749406.37299999956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>
        <v>41661</v>
      </c>
      <c r="I100" s="152"/>
      <c r="J100" s="157"/>
      <c r="K100" s="154" t="s">
        <v>1784</v>
      </c>
      <c r="L100" s="227">
        <v>51328.375037989499</v>
      </c>
      <c r="M100" s="157" t="s">
        <v>1774</v>
      </c>
      <c r="N100" s="227">
        <f>G82+G85+N99-I100-L100</f>
        <v>124935.40696201051</v>
      </c>
      <c r="O100" s="152">
        <f t="shared" si="31"/>
        <v>698077.99796201009</v>
      </c>
    </row>
    <row r="101" spans="1:15" x14ac:dyDescent="0.15">
      <c r="A101" s="154"/>
      <c r="B101" s="151"/>
      <c r="C101" s="152"/>
      <c r="D101" s="323"/>
      <c r="E101" s="155"/>
      <c r="F101" s="157"/>
      <c r="G101" s="152"/>
      <c r="H101" s="323">
        <v>41661</v>
      </c>
      <c r="I101" s="152"/>
      <c r="J101" s="157"/>
      <c r="K101" s="154" t="s">
        <v>1784</v>
      </c>
      <c r="L101" s="227">
        <v>65088.03</v>
      </c>
      <c r="M101" s="157" t="s">
        <v>1774</v>
      </c>
      <c r="N101" s="227">
        <f t="shared" si="30"/>
        <v>59847.376962010516</v>
      </c>
      <c r="O101" s="152">
        <f t="shared" si="31"/>
        <v>632989.96796201007</v>
      </c>
    </row>
    <row r="102" spans="1:15" x14ac:dyDescent="0.15">
      <c r="A102" s="154"/>
      <c r="B102" s="151"/>
      <c r="C102" s="152"/>
      <c r="D102" s="323"/>
      <c r="E102" s="155"/>
      <c r="F102" s="157"/>
      <c r="G102" s="152"/>
      <c r="H102" s="323">
        <v>41661</v>
      </c>
      <c r="I102" s="152"/>
      <c r="J102" s="157"/>
      <c r="K102" s="154" t="s">
        <v>1784</v>
      </c>
      <c r="L102" s="227">
        <v>34082.75</v>
      </c>
      <c r="M102" s="157" t="s">
        <v>1774</v>
      </c>
      <c r="N102" s="227">
        <f t="shared" si="30"/>
        <v>25764.626962010516</v>
      </c>
      <c r="O102" s="152">
        <f t="shared" si="31"/>
        <v>598907.21796201007</v>
      </c>
    </row>
    <row r="103" spans="1:15" x14ac:dyDescent="0.15">
      <c r="A103" s="154"/>
      <c r="B103" s="151"/>
      <c r="C103" s="152"/>
      <c r="D103" s="323">
        <v>41662</v>
      </c>
      <c r="E103" s="154" t="s">
        <v>72</v>
      </c>
      <c r="F103" s="157" t="s">
        <v>1777</v>
      </c>
      <c r="G103" s="152">
        <v>44100.913</v>
      </c>
      <c r="H103" s="323">
        <v>41662</v>
      </c>
      <c r="I103" s="152">
        <v>5180.2000000000007</v>
      </c>
      <c r="J103" s="157" t="s">
        <v>1774</v>
      </c>
      <c r="K103" s="154" t="s">
        <v>1784</v>
      </c>
      <c r="L103" s="227">
        <v>20584.426962010515</v>
      </c>
      <c r="M103" s="157" t="s">
        <v>1774</v>
      </c>
      <c r="N103" s="227">
        <f t="shared" si="30"/>
        <v>0</v>
      </c>
      <c r="O103" s="152">
        <f t="shared" si="31"/>
        <v>617243.50399999949</v>
      </c>
    </row>
    <row r="104" spans="1:15" x14ac:dyDescent="0.15">
      <c r="A104" s="154"/>
      <c r="B104" s="151"/>
      <c r="C104" s="152"/>
      <c r="D104" s="323">
        <v>41662</v>
      </c>
      <c r="E104" s="154" t="s">
        <v>72</v>
      </c>
      <c r="F104" s="157" t="s">
        <v>1778</v>
      </c>
      <c r="G104" s="152">
        <v>132291.74900000001</v>
      </c>
      <c r="H104" s="323">
        <v>41662</v>
      </c>
      <c r="I104" s="152"/>
      <c r="J104" s="157"/>
      <c r="K104" s="154" t="s">
        <v>1783</v>
      </c>
      <c r="L104" s="227">
        <v>55391.653037989498</v>
      </c>
      <c r="M104" s="157" t="s">
        <v>1775</v>
      </c>
      <c r="N104" s="227">
        <f>G86+N103-I104-L104</f>
        <v>76885.252962010491</v>
      </c>
      <c r="O104" s="152">
        <f t="shared" ref="O104:O106" si="32">O103+G104-I104-L104</f>
        <v>694143.59996201005</v>
      </c>
    </row>
    <row r="105" spans="1:15" x14ac:dyDescent="0.15">
      <c r="A105" s="154"/>
      <c r="B105" s="151"/>
      <c r="C105" s="152"/>
      <c r="D105" s="323"/>
      <c r="E105" s="155"/>
      <c r="F105" s="157"/>
      <c r="G105" s="152"/>
      <c r="H105" s="323">
        <v>41662</v>
      </c>
      <c r="I105" s="152"/>
      <c r="J105" s="154"/>
      <c r="K105" s="154" t="s">
        <v>1783</v>
      </c>
      <c r="L105" s="227">
        <v>32152.080000000002</v>
      </c>
      <c r="M105" s="157" t="s">
        <v>1775</v>
      </c>
      <c r="N105" s="227">
        <f t="shared" ref="N105:N106" si="33">+N104-I105-L105</f>
        <v>44733.172962010489</v>
      </c>
      <c r="O105" s="152">
        <f t="shared" si="32"/>
        <v>661991.51996201009</v>
      </c>
    </row>
    <row r="106" spans="1:15" x14ac:dyDescent="0.15">
      <c r="A106" s="154"/>
      <c r="B106" s="151"/>
      <c r="C106" s="152"/>
      <c r="D106" s="323"/>
      <c r="E106" s="155"/>
      <c r="F106" s="157"/>
      <c r="G106" s="152"/>
      <c r="H106" s="323">
        <v>41662</v>
      </c>
      <c r="I106" s="152"/>
      <c r="J106" s="157"/>
      <c r="K106" s="154" t="s">
        <v>1783</v>
      </c>
      <c r="L106" s="227">
        <v>44733.172962010489</v>
      </c>
      <c r="M106" s="157" t="s">
        <v>1775</v>
      </c>
      <c r="N106" s="227">
        <f t="shared" si="33"/>
        <v>0</v>
      </c>
      <c r="O106" s="152">
        <f t="shared" si="32"/>
        <v>617258.3469999996</v>
      </c>
    </row>
    <row r="107" spans="1:15" x14ac:dyDescent="0.15">
      <c r="A107" s="154"/>
      <c r="B107" s="151"/>
      <c r="C107" s="152"/>
      <c r="D107" s="323"/>
      <c r="E107" s="155"/>
      <c r="F107" s="157"/>
      <c r="G107" s="152"/>
      <c r="H107" s="323">
        <v>41662</v>
      </c>
      <c r="I107" s="152"/>
      <c r="J107" s="157"/>
      <c r="K107" s="154" t="s">
        <v>1785</v>
      </c>
      <c r="L107" s="227">
        <v>44781.837037989499</v>
      </c>
      <c r="M107" s="157" t="s">
        <v>1776</v>
      </c>
      <c r="N107" s="227">
        <f>G92+G95+N106-I107-L107</f>
        <v>87480.130962010502</v>
      </c>
      <c r="O107" s="152">
        <f t="shared" ref="O107:O109" si="34">O106+G107-I107-L107</f>
        <v>572476.50996201008</v>
      </c>
    </row>
    <row r="108" spans="1:15" x14ac:dyDescent="0.15">
      <c r="A108" s="154"/>
      <c r="B108" s="151"/>
      <c r="C108" s="152"/>
      <c r="D108" s="323"/>
      <c r="E108" s="155"/>
      <c r="F108" s="157"/>
      <c r="G108" s="152"/>
      <c r="H108" s="323">
        <v>41662</v>
      </c>
      <c r="I108" s="152"/>
      <c r="J108" s="157"/>
      <c r="K108" s="154" t="s">
        <v>1785</v>
      </c>
      <c r="L108" s="227">
        <v>10192.51</v>
      </c>
      <c r="M108" s="157" t="s">
        <v>1776</v>
      </c>
      <c r="N108" s="227">
        <f t="shared" ref="N108:N109" si="35">+N107-I108-L108</f>
        <v>77287.620962010507</v>
      </c>
      <c r="O108" s="152">
        <f t="shared" si="34"/>
        <v>562283.99996201007</v>
      </c>
    </row>
    <row r="109" spans="1:15" x14ac:dyDescent="0.15">
      <c r="A109" s="154"/>
      <c r="B109" s="151"/>
      <c r="C109" s="152"/>
      <c r="D109" s="323">
        <v>41663</v>
      </c>
      <c r="E109" s="154" t="s">
        <v>72</v>
      </c>
      <c r="F109" s="157" t="s">
        <v>1778</v>
      </c>
      <c r="G109" s="152">
        <v>44099.176999999996</v>
      </c>
      <c r="H109" s="323">
        <v>41663</v>
      </c>
      <c r="I109" s="152">
        <v>4602.33</v>
      </c>
      <c r="J109" s="157" t="s">
        <v>1776</v>
      </c>
      <c r="K109" s="154" t="s">
        <v>1785</v>
      </c>
      <c r="L109" s="227">
        <v>14308.94</v>
      </c>
      <c r="M109" s="157" t="s">
        <v>1776</v>
      </c>
      <c r="N109" s="227">
        <f t="shared" si="35"/>
        <v>58376.350962010503</v>
      </c>
      <c r="O109" s="152">
        <f t="shared" si="34"/>
        <v>587471.90696201019</v>
      </c>
    </row>
    <row r="110" spans="1:15" x14ac:dyDescent="0.15">
      <c r="A110" s="154"/>
      <c r="B110" s="151"/>
      <c r="C110" s="152"/>
      <c r="D110" s="323">
        <v>41663</v>
      </c>
      <c r="E110" s="154" t="s">
        <v>72</v>
      </c>
      <c r="F110" s="157" t="s">
        <v>1791</v>
      </c>
      <c r="G110" s="152">
        <v>176428.753</v>
      </c>
      <c r="H110" s="323">
        <v>41663</v>
      </c>
      <c r="I110" s="152"/>
      <c r="J110" s="154"/>
      <c r="K110" s="154" t="s">
        <v>1785</v>
      </c>
      <c r="L110" s="227">
        <v>9700.92</v>
      </c>
      <c r="M110" s="157" t="s">
        <v>1776</v>
      </c>
      <c r="N110" s="227">
        <f t="shared" si="28"/>
        <v>48675.430962010505</v>
      </c>
      <c r="O110" s="152">
        <f t="shared" si="29"/>
        <v>754199.73996201018</v>
      </c>
    </row>
    <row r="111" spans="1:15" x14ac:dyDescent="0.15">
      <c r="A111" s="154"/>
      <c r="B111" s="151"/>
      <c r="C111" s="152"/>
      <c r="D111" s="323"/>
      <c r="E111" s="155"/>
      <c r="F111" s="157"/>
      <c r="G111" s="152"/>
      <c r="H111" s="323">
        <v>41663</v>
      </c>
      <c r="I111" s="152"/>
      <c r="J111" s="154"/>
      <c r="K111" s="154" t="s">
        <v>1785</v>
      </c>
      <c r="L111" s="227">
        <v>33617.040000000001</v>
      </c>
      <c r="M111" s="157" t="s">
        <v>1776</v>
      </c>
      <c r="N111" s="227">
        <f t="shared" si="28"/>
        <v>15058.390962010504</v>
      </c>
      <c r="O111" s="152">
        <f t="shared" si="29"/>
        <v>720582.69996201014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>
        <v>41663</v>
      </c>
      <c r="I112" s="152"/>
      <c r="J112" s="157"/>
      <c r="K112" s="154" t="s">
        <v>1785</v>
      </c>
      <c r="L112" s="227">
        <v>15058.390962010504</v>
      </c>
      <c r="M112" s="157" t="s">
        <v>1776</v>
      </c>
      <c r="N112" s="227">
        <f t="shared" si="28"/>
        <v>0</v>
      </c>
      <c r="O112" s="152">
        <f t="shared" si="29"/>
        <v>705524.30899999966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>
        <v>41663</v>
      </c>
      <c r="I113" s="152"/>
      <c r="J113" s="157"/>
      <c r="K113" s="154" t="s">
        <v>1784</v>
      </c>
      <c r="L113" s="227">
        <v>66983.1990379895</v>
      </c>
      <c r="M113" s="157" t="s">
        <v>1777</v>
      </c>
      <c r="N113" s="227">
        <f>G96+G97+G103+N112-I113-L113</f>
        <v>285721.43096201052</v>
      </c>
      <c r="O113" s="152">
        <f t="shared" ref="O113:O115" si="36">O112+G113-I113-L113</f>
        <v>638541.10996201017</v>
      </c>
    </row>
    <row r="114" spans="1:15" x14ac:dyDescent="0.15">
      <c r="A114" s="154"/>
      <c r="B114" s="151"/>
      <c r="C114" s="152"/>
      <c r="D114" s="323">
        <v>41664</v>
      </c>
      <c r="E114" s="154" t="s">
        <v>72</v>
      </c>
      <c r="F114" s="157" t="s">
        <v>1791</v>
      </c>
      <c r="G114" s="152">
        <v>134276.86700000011</v>
      </c>
      <c r="H114" s="323">
        <v>41664</v>
      </c>
      <c r="I114" s="152">
        <v>551.61</v>
      </c>
      <c r="J114" s="157" t="s">
        <v>1777</v>
      </c>
      <c r="K114" s="154" t="s">
        <v>1784</v>
      </c>
      <c r="L114" s="227">
        <v>15322.07</v>
      </c>
      <c r="M114" s="157" t="s">
        <v>1777</v>
      </c>
      <c r="N114" s="227">
        <f t="shared" ref="N114:N115" si="37">+N113-I114-L114</f>
        <v>269847.75096201053</v>
      </c>
      <c r="O114" s="152">
        <f t="shared" si="36"/>
        <v>756944.29696201032</v>
      </c>
    </row>
    <row r="115" spans="1:15" x14ac:dyDescent="0.15">
      <c r="A115" s="154"/>
      <c r="B115" s="151"/>
      <c r="C115" s="152"/>
      <c r="D115" s="323">
        <v>41664</v>
      </c>
      <c r="E115" s="154" t="s">
        <v>72</v>
      </c>
      <c r="F115" s="157" t="s">
        <v>1779</v>
      </c>
      <c r="G115" s="152">
        <v>86223.802999999898</v>
      </c>
      <c r="H115" s="323">
        <v>41664</v>
      </c>
      <c r="I115" s="152"/>
      <c r="J115" s="157"/>
      <c r="K115" s="154" t="s">
        <v>1784</v>
      </c>
      <c r="L115" s="227">
        <v>11964.33</v>
      </c>
      <c r="M115" s="157" t="s">
        <v>1777</v>
      </c>
      <c r="N115" s="227">
        <f t="shared" si="37"/>
        <v>257883.42096201054</v>
      </c>
      <c r="O115" s="152">
        <f t="shared" si="36"/>
        <v>831203.76996201032</v>
      </c>
    </row>
    <row r="116" spans="1:15" x14ac:dyDescent="0.15">
      <c r="A116" s="154"/>
      <c r="B116" s="151"/>
      <c r="C116" s="152"/>
      <c r="D116" s="323"/>
      <c r="E116" s="155"/>
      <c r="F116" s="157"/>
      <c r="G116" s="152"/>
      <c r="H116" s="323">
        <v>41664</v>
      </c>
      <c r="I116" s="152"/>
      <c r="J116" s="154"/>
      <c r="K116" s="154" t="s">
        <v>1784</v>
      </c>
      <c r="L116" s="227">
        <v>63220.44</v>
      </c>
      <c r="M116" s="157" t="s">
        <v>1777</v>
      </c>
      <c r="N116" s="227">
        <f t="shared" si="28"/>
        <v>194662.98096201054</v>
      </c>
      <c r="O116" s="152">
        <f t="shared" si="29"/>
        <v>767983.32996201026</v>
      </c>
    </row>
    <row r="117" spans="1:15" x14ac:dyDescent="0.15">
      <c r="A117" s="154"/>
      <c r="B117" s="151"/>
      <c r="C117" s="152"/>
      <c r="D117" s="323"/>
      <c r="E117" s="155"/>
      <c r="F117" s="157"/>
      <c r="G117" s="152"/>
      <c r="H117" s="323">
        <v>41664</v>
      </c>
      <c r="I117" s="152"/>
      <c r="J117" s="154"/>
      <c r="K117" s="154" t="s">
        <v>1784</v>
      </c>
      <c r="L117" s="227">
        <v>34759.730000000003</v>
      </c>
      <c r="M117" s="157" t="s">
        <v>1777</v>
      </c>
      <c r="N117" s="227">
        <f t="shared" si="28"/>
        <v>159903.25096201053</v>
      </c>
      <c r="O117" s="152">
        <f t="shared" si="29"/>
        <v>733223.59996201028</v>
      </c>
    </row>
    <row r="118" spans="1:15" x14ac:dyDescent="0.15">
      <c r="A118" s="154"/>
      <c r="B118" s="151"/>
      <c r="C118" s="152"/>
      <c r="D118" s="323"/>
      <c r="E118" s="155"/>
      <c r="F118" s="157"/>
      <c r="G118" s="152"/>
      <c r="H118" s="323">
        <v>41664</v>
      </c>
      <c r="I118" s="152"/>
      <c r="J118" s="154"/>
      <c r="K118" s="154" t="s">
        <v>1784</v>
      </c>
      <c r="L118" s="227">
        <v>72336.67</v>
      </c>
      <c r="M118" s="157" t="s">
        <v>1777</v>
      </c>
      <c r="N118" s="227">
        <f t="shared" si="28"/>
        <v>87566.580962010528</v>
      </c>
      <c r="O118" s="152">
        <f t="shared" si="29"/>
        <v>660886.92996201024</v>
      </c>
    </row>
    <row r="119" spans="1:15" x14ac:dyDescent="0.15">
      <c r="A119" s="154"/>
      <c r="B119" s="151"/>
      <c r="C119" s="152"/>
      <c r="D119" s="323"/>
      <c r="E119" s="155"/>
      <c r="F119" s="157"/>
      <c r="G119" s="152"/>
      <c r="H119" s="323">
        <v>41664</v>
      </c>
      <c r="I119" s="152"/>
      <c r="J119" s="154"/>
      <c r="K119" s="154" t="s">
        <v>1784</v>
      </c>
      <c r="L119" s="227">
        <v>23371.85</v>
      </c>
      <c r="M119" s="157" t="s">
        <v>1777</v>
      </c>
      <c r="N119" s="227">
        <f t="shared" si="28"/>
        <v>64194.73096201053</v>
      </c>
      <c r="O119" s="152">
        <f t="shared" si="29"/>
        <v>637515.07996201026</v>
      </c>
    </row>
    <row r="120" spans="1:15" x14ac:dyDescent="0.15">
      <c r="A120" s="154"/>
      <c r="B120" s="151"/>
      <c r="C120" s="152"/>
      <c r="D120" s="323">
        <v>41665</v>
      </c>
      <c r="E120" s="154" t="s">
        <v>72</v>
      </c>
      <c r="F120" s="157" t="s">
        <v>1779</v>
      </c>
      <c r="G120" s="152">
        <v>176348.84899999999</v>
      </c>
      <c r="H120" s="323">
        <v>41665</v>
      </c>
      <c r="I120" s="152">
        <v>5180.6900000000005</v>
      </c>
      <c r="J120" s="157" t="s">
        <v>1777</v>
      </c>
      <c r="K120" s="154" t="s">
        <v>1784</v>
      </c>
      <c r="L120" s="227">
        <v>47506.97</v>
      </c>
      <c r="M120" s="157" t="s">
        <v>1777</v>
      </c>
      <c r="N120" s="227">
        <f t="shared" si="28"/>
        <v>11507.070962010526</v>
      </c>
      <c r="O120" s="152">
        <f t="shared" si="29"/>
        <v>761176.26896201028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>
        <v>41665</v>
      </c>
      <c r="I121" s="152"/>
      <c r="J121" s="157"/>
      <c r="K121" s="154" t="s">
        <v>1784</v>
      </c>
      <c r="L121" s="227">
        <v>11507.070962010526</v>
      </c>
      <c r="M121" s="157" t="s">
        <v>1777</v>
      </c>
      <c r="N121" s="227">
        <f t="shared" si="28"/>
        <v>0</v>
      </c>
      <c r="O121" s="152">
        <f t="shared" si="29"/>
        <v>749669.19799999974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>
        <v>41665</v>
      </c>
      <c r="I122" s="152"/>
      <c r="J122" s="157"/>
      <c r="K122" s="154" t="s">
        <v>1784</v>
      </c>
      <c r="L122" s="227">
        <v>67981.709037989494</v>
      </c>
      <c r="M122" s="157" t="s">
        <v>1778</v>
      </c>
      <c r="N122" s="227">
        <f>G104+G109+N121-I122-L122</f>
        <v>108409.21696201051</v>
      </c>
      <c r="O122" s="152">
        <f t="shared" ref="O122:O124" si="38">O121+G122-I122-L122</f>
        <v>681687.48896201025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>
        <v>41665</v>
      </c>
      <c r="I123" s="152"/>
      <c r="J123" s="154"/>
      <c r="K123" s="154" t="s">
        <v>1784</v>
      </c>
      <c r="L123" s="227">
        <v>78927.87</v>
      </c>
      <c r="M123" s="157" t="s">
        <v>1778</v>
      </c>
      <c r="N123" s="227">
        <f t="shared" ref="N123:N124" si="39">+N122-I123-L123</f>
        <v>29481.346962010517</v>
      </c>
      <c r="O123" s="152">
        <f t="shared" si="38"/>
        <v>602759.61896201025</v>
      </c>
    </row>
    <row r="124" spans="1:15" x14ac:dyDescent="0.15">
      <c r="A124" s="154"/>
      <c r="B124" s="151"/>
      <c r="C124" s="152"/>
      <c r="D124" s="323"/>
      <c r="E124" s="155"/>
      <c r="F124" s="157"/>
      <c r="G124" s="152"/>
      <c r="H124" s="323">
        <v>41665</v>
      </c>
      <c r="I124" s="152"/>
      <c r="J124" s="154"/>
      <c r="K124" s="154" t="s">
        <v>1784</v>
      </c>
      <c r="L124" s="227">
        <v>29481.346962010517</v>
      </c>
      <c r="M124" s="157" t="s">
        <v>1778</v>
      </c>
      <c r="N124" s="227">
        <f t="shared" si="39"/>
        <v>0</v>
      </c>
      <c r="O124" s="152">
        <f t="shared" si="38"/>
        <v>573278.27199999976</v>
      </c>
    </row>
    <row r="125" spans="1:15" x14ac:dyDescent="0.15">
      <c r="A125" s="154"/>
      <c r="B125" s="151"/>
      <c r="C125" s="152"/>
      <c r="D125" s="323"/>
      <c r="E125" s="155"/>
      <c r="F125" s="157"/>
      <c r="G125" s="152"/>
      <c r="H125" s="323">
        <v>41665</v>
      </c>
      <c r="I125" s="152"/>
      <c r="J125" s="154"/>
      <c r="K125" s="154" t="s">
        <v>1784</v>
      </c>
      <c r="L125" s="227">
        <v>47667.763037989498</v>
      </c>
      <c r="M125" s="157" t="s">
        <v>1791</v>
      </c>
      <c r="N125" s="227">
        <f>G110+G114+N124-I125-L125</f>
        <v>263037.85696201061</v>
      </c>
      <c r="O125" s="152">
        <f t="shared" ref="O125:O126" si="40">O124+G125-I125-L125</f>
        <v>525610.50896201027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>
        <v>41665</v>
      </c>
      <c r="I126" s="152"/>
      <c r="J126" s="157"/>
      <c r="K126" s="154" t="s">
        <v>1784</v>
      </c>
      <c r="L126" s="227">
        <v>35848.17</v>
      </c>
      <c r="M126" s="157" t="s">
        <v>1791</v>
      </c>
      <c r="N126" s="227">
        <f t="shared" ref="N126" si="41">+N125-I126-L126</f>
        <v>227189.68696201063</v>
      </c>
      <c r="O126" s="152">
        <f t="shared" si="40"/>
        <v>489762.33896201028</v>
      </c>
    </row>
    <row r="127" spans="1:15" x14ac:dyDescent="0.15">
      <c r="A127" s="154"/>
      <c r="B127" s="151"/>
      <c r="C127" s="152"/>
      <c r="D127" s="323">
        <v>41666</v>
      </c>
      <c r="E127" s="154" t="s">
        <v>72</v>
      </c>
      <c r="F127" s="157" t="s">
        <v>1780</v>
      </c>
      <c r="G127" s="152">
        <v>132323.44099999999</v>
      </c>
      <c r="H127" s="323">
        <v>41666</v>
      </c>
      <c r="I127" s="152">
        <v>3930</v>
      </c>
      <c r="J127" s="157" t="s">
        <v>1791</v>
      </c>
      <c r="K127" s="154" t="s">
        <v>1784</v>
      </c>
      <c r="L127" s="227">
        <v>16070</v>
      </c>
      <c r="M127" s="157" t="s">
        <v>1791</v>
      </c>
      <c r="N127" s="227">
        <f t="shared" si="28"/>
        <v>207189.68696201063</v>
      </c>
      <c r="O127" s="152">
        <f t="shared" si="29"/>
        <v>602085.77996201022</v>
      </c>
    </row>
    <row r="128" spans="1:15" x14ac:dyDescent="0.15">
      <c r="A128" s="154"/>
      <c r="B128" s="151"/>
      <c r="C128" s="152"/>
      <c r="D128" s="323">
        <v>41667</v>
      </c>
      <c r="E128" s="154" t="s">
        <v>72</v>
      </c>
      <c r="F128" s="157" t="s">
        <v>1780</v>
      </c>
      <c r="G128" s="152">
        <v>132225.49900000001</v>
      </c>
      <c r="H128" s="323">
        <v>41667</v>
      </c>
      <c r="I128" s="152">
        <v>47101.1</v>
      </c>
      <c r="J128" s="157" t="s">
        <v>1791</v>
      </c>
      <c r="K128" s="154" t="s">
        <v>1784</v>
      </c>
      <c r="L128" s="227">
        <v>35350.870000000003</v>
      </c>
      <c r="M128" s="157" t="s">
        <v>1791</v>
      </c>
      <c r="N128" s="227">
        <f t="shared" si="28"/>
        <v>124737.71696201063</v>
      </c>
      <c r="O128" s="152">
        <f t="shared" si="29"/>
        <v>651859.30896201031</v>
      </c>
    </row>
    <row r="129" spans="1:15" x14ac:dyDescent="0.15">
      <c r="A129" s="154"/>
      <c r="B129" s="151"/>
      <c r="C129" s="152"/>
      <c r="D129" s="323"/>
      <c r="E129" s="155"/>
      <c r="F129" s="157"/>
      <c r="G129" s="152"/>
      <c r="H129" s="323">
        <v>41667</v>
      </c>
      <c r="I129" s="152"/>
      <c r="J129" s="154"/>
      <c r="K129" s="154" t="s">
        <v>1784</v>
      </c>
      <c r="L129" s="227">
        <v>764.32</v>
      </c>
      <c r="M129" s="157" t="s">
        <v>1791</v>
      </c>
      <c r="N129" s="227">
        <f t="shared" si="28"/>
        <v>123973.39696201062</v>
      </c>
      <c r="O129" s="152">
        <f t="shared" si="29"/>
        <v>651094.98896201036</v>
      </c>
    </row>
    <row r="130" spans="1:15" x14ac:dyDescent="0.15">
      <c r="A130" s="154"/>
      <c r="B130" s="151"/>
      <c r="C130" s="152"/>
      <c r="D130" s="323"/>
      <c r="E130" s="155"/>
      <c r="F130" s="157"/>
      <c r="G130" s="152"/>
      <c r="H130" s="323">
        <v>41667</v>
      </c>
      <c r="I130" s="152"/>
      <c r="J130" s="154"/>
      <c r="K130" s="154" t="s">
        <v>1784</v>
      </c>
      <c r="L130" s="227">
        <v>10653.34</v>
      </c>
      <c r="M130" s="157" t="s">
        <v>1791</v>
      </c>
      <c r="N130" s="227">
        <f t="shared" si="28"/>
        <v>113320.05696201063</v>
      </c>
      <c r="O130" s="152">
        <f t="shared" si="29"/>
        <v>640441.6489620104</v>
      </c>
    </row>
    <row r="131" spans="1:15" x14ac:dyDescent="0.15">
      <c r="A131" s="154"/>
      <c r="B131" s="151"/>
      <c r="C131" s="152"/>
      <c r="D131" s="323">
        <v>41668</v>
      </c>
      <c r="E131" s="154" t="s">
        <v>72</v>
      </c>
      <c r="F131" s="157" t="s">
        <v>1780</v>
      </c>
      <c r="G131" s="152">
        <v>50557.966000000131</v>
      </c>
      <c r="H131" s="323">
        <v>41668</v>
      </c>
      <c r="I131" s="152"/>
      <c r="J131" s="157"/>
      <c r="K131" s="154" t="s">
        <v>1784</v>
      </c>
      <c r="L131" s="227">
        <v>15350.87</v>
      </c>
      <c r="M131" s="157" t="s">
        <v>1791</v>
      </c>
      <c r="N131" s="227">
        <f t="shared" si="28"/>
        <v>97969.18696201063</v>
      </c>
      <c r="O131" s="152">
        <f t="shared" si="29"/>
        <v>675648.74496201053</v>
      </c>
    </row>
    <row r="132" spans="1:15" x14ac:dyDescent="0.15">
      <c r="A132" s="154"/>
      <c r="B132" s="151"/>
      <c r="C132" s="152"/>
      <c r="D132" s="323">
        <v>41668</v>
      </c>
      <c r="E132" s="154" t="s">
        <v>72</v>
      </c>
      <c r="F132" s="157" t="s">
        <v>1781</v>
      </c>
      <c r="G132" s="152">
        <v>213726.69099999999</v>
      </c>
      <c r="H132" s="323">
        <v>41668</v>
      </c>
      <c r="I132" s="152"/>
      <c r="J132" s="154"/>
      <c r="K132" s="154" t="s">
        <v>1784</v>
      </c>
      <c r="L132" s="227">
        <v>15124.5</v>
      </c>
      <c r="M132" s="157" t="s">
        <v>1791</v>
      </c>
      <c r="N132" s="227">
        <f t="shared" si="28"/>
        <v>82844.68696201063</v>
      </c>
      <c r="O132" s="152">
        <f t="shared" si="29"/>
        <v>874250.93596201052</v>
      </c>
    </row>
    <row r="133" spans="1:15" x14ac:dyDescent="0.15">
      <c r="A133" s="154"/>
      <c r="B133" s="151"/>
      <c r="C133" s="152"/>
      <c r="D133" s="323"/>
      <c r="E133" s="155"/>
      <c r="F133" s="157"/>
      <c r="G133" s="152"/>
      <c r="H133" s="323">
        <v>41668</v>
      </c>
      <c r="I133" s="152"/>
      <c r="J133" s="154"/>
      <c r="K133" s="154" t="s">
        <v>1784</v>
      </c>
      <c r="L133" s="227">
        <v>13349.63</v>
      </c>
      <c r="M133" s="157" t="s">
        <v>1791</v>
      </c>
      <c r="N133" s="227">
        <f t="shared" si="28"/>
        <v>69495.056962010625</v>
      </c>
      <c r="O133" s="152">
        <f t="shared" si="29"/>
        <v>860901.30596201052</v>
      </c>
    </row>
    <row r="134" spans="1:15" x14ac:dyDescent="0.15">
      <c r="A134" s="154"/>
      <c r="B134" s="151"/>
      <c r="C134" s="152"/>
      <c r="D134" s="323"/>
      <c r="E134" s="155"/>
      <c r="F134" s="157"/>
      <c r="G134" s="152"/>
      <c r="H134" s="323">
        <v>41668</v>
      </c>
      <c r="I134" s="152"/>
      <c r="J134" s="154"/>
      <c r="K134" s="154" t="s">
        <v>1784</v>
      </c>
      <c r="L134" s="227">
        <v>17216.89</v>
      </c>
      <c r="M134" s="157" t="s">
        <v>1791</v>
      </c>
      <c r="N134" s="227">
        <f t="shared" si="28"/>
        <v>52278.166962010626</v>
      </c>
      <c r="O134" s="152">
        <f t="shared" si="29"/>
        <v>843684.41596201051</v>
      </c>
    </row>
    <row r="135" spans="1:15" x14ac:dyDescent="0.15">
      <c r="A135" s="154"/>
      <c r="B135" s="151"/>
      <c r="C135" s="152"/>
      <c r="D135" s="323"/>
      <c r="E135" s="155"/>
      <c r="F135" s="157"/>
      <c r="G135" s="152"/>
      <c r="H135" s="323">
        <v>41668</v>
      </c>
      <c r="I135" s="152"/>
      <c r="J135" s="154"/>
      <c r="K135" s="154" t="s">
        <v>1784</v>
      </c>
      <c r="L135" s="227">
        <v>52278.166962010626</v>
      </c>
      <c r="M135" s="157" t="s">
        <v>1791</v>
      </c>
      <c r="N135" s="227">
        <f t="shared" si="28"/>
        <v>0</v>
      </c>
      <c r="O135" s="152">
        <f t="shared" si="29"/>
        <v>791406.24899999984</v>
      </c>
    </row>
    <row r="136" spans="1:15" x14ac:dyDescent="0.15">
      <c r="A136" s="154"/>
      <c r="B136" s="151"/>
      <c r="C136" s="152"/>
      <c r="D136" s="323"/>
      <c r="E136" s="155"/>
      <c r="F136" s="157"/>
      <c r="G136" s="152"/>
      <c r="H136" s="323">
        <v>41668</v>
      </c>
      <c r="I136" s="152"/>
      <c r="J136" s="154"/>
      <c r="K136" s="154" t="s">
        <v>1784</v>
      </c>
      <c r="L136" s="227">
        <v>33831.323037989401</v>
      </c>
      <c r="M136" s="157" t="s">
        <v>1779</v>
      </c>
      <c r="N136" s="227">
        <f>G115+G120+N135-I136-L136</f>
        <v>228741.32896201048</v>
      </c>
      <c r="O136" s="152">
        <f t="shared" ref="O136:O139" si="42">O135+G136-I136-L136</f>
        <v>757574.9259620104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>
        <v>41668</v>
      </c>
      <c r="I137" s="152"/>
      <c r="J137" s="157"/>
      <c r="K137" s="154" t="s">
        <v>1784</v>
      </c>
      <c r="L137" s="227">
        <v>73469.009999999995</v>
      </c>
      <c r="M137" s="157" t="s">
        <v>1779</v>
      </c>
      <c r="N137" s="227">
        <f t="shared" ref="N137:N139" si="43">+N136-I137-L137</f>
        <v>155272.3189620105</v>
      </c>
      <c r="O137" s="152">
        <f t="shared" si="42"/>
        <v>684105.91596201039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>
        <v>41668</v>
      </c>
      <c r="I138" s="152"/>
      <c r="J138" s="154"/>
      <c r="K138" s="154" t="s">
        <v>1784</v>
      </c>
      <c r="L138" s="227">
        <v>30519.439999999999</v>
      </c>
      <c r="M138" s="157" t="s">
        <v>1779</v>
      </c>
      <c r="N138" s="227">
        <f t="shared" si="43"/>
        <v>124752.87896201049</v>
      </c>
      <c r="O138" s="152">
        <f t="shared" si="42"/>
        <v>653586.47596201045</v>
      </c>
    </row>
    <row r="139" spans="1:15" x14ac:dyDescent="0.15">
      <c r="A139" s="154"/>
      <c r="B139" s="151"/>
      <c r="C139" s="152"/>
      <c r="D139" s="323"/>
      <c r="E139" s="155"/>
      <c r="F139" s="157"/>
      <c r="G139" s="152"/>
      <c r="H139" s="323">
        <v>41668</v>
      </c>
      <c r="I139" s="152"/>
      <c r="J139" s="154"/>
      <c r="K139" s="154" t="s">
        <v>1784</v>
      </c>
      <c r="L139" s="227">
        <v>72587.59</v>
      </c>
      <c r="M139" s="157" t="s">
        <v>1779</v>
      </c>
      <c r="N139" s="227">
        <f t="shared" si="43"/>
        <v>52165.288962010498</v>
      </c>
      <c r="O139" s="152">
        <f t="shared" si="42"/>
        <v>580998.88596201048</v>
      </c>
    </row>
    <row r="140" spans="1:15" x14ac:dyDescent="0.15">
      <c r="A140" s="154"/>
      <c r="B140" s="151"/>
      <c r="C140" s="152"/>
      <c r="D140" s="323"/>
      <c r="E140" s="155"/>
      <c r="F140" s="157"/>
      <c r="G140" s="152"/>
      <c r="H140" s="323">
        <v>41668</v>
      </c>
      <c r="I140" s="152"/>
      <c r="J140" s="154"/>
      <c r="K140" s="154" t="s">
        <v>1784</v>
      </c>
      <c r="L140" s="227">
        <v>52165.288962010614</v>
      </c>
      <c r="M140" s="157" t="s">
        <v>1779</v>
      </c>
      <c r="N140" s="227">
        <f t="shared" si="28"/>
        <v>-1.1641532182693481E-10</v>
      </c>
      <c r="O140" s="152">
        <f t="shared" si="29"/>
        <v>528833.59699999983</v>
      </c>
    </row>
    <row r="141" spans="1:15" x14ac:dyDescent="0.15">
      <c r="A141" s="154"/>
      <c r="B141" s="151"/>
      <c r="C141" s="152"/>
      <c r="D141" s="323"/>
      <c r="E141" s="155"/>
      <c r="F141" s="157"/>
      <c r="G141" s="152"/>
      <c r="H141" s="323">
        <v>41668</v>
      </c>
      <c r="I141" s="152"/>
      <c r="J141" s="154"/>
      <c r="K141" s="154" t="s">
        <v>1785</v>
      </c>
      <c r="L141" s="227">
        <v>25146.741037989399</v>
      </c>
      <c r="M141" s="157" t="s">
        <v>1780</v>
      </c>
      <c r="N141" s="227">
        <f>G127+G128+G131+N140-I141-L141</f>
        <v>289960.16496201063</v>
      </c>
      <c r="O141" s="152">
        <f t="shared" ref="O141:O144" si="44">O140+G141-I141-L141</f>
        <v>503686.85596201045</v>
      </c>
    </row>
    <row r="142" spans="1:15" x14ac:dyDescent="0.15">
      <c r="A142" s="154"/>
      <c r="B142" s="151"/>
      <c r="C142" s="152"/>
      <c r="D142" s="323"/>
      <c r="E142" s="155"/>
      <c r="F142" s="157"/>
      <c r="G142" s="152"/>
      <c r="H142" s="323">
        <v>41668</v>
      </c>
      <c r="I142" s="152"/>
      <c r="J142" s="154"/>
      <c r="K142" s="154" t="s">
        <v>1785</v>
      </c>
      <c r="L142" s="227">
        <v>10446.35</v>
      </c>
      <c r="M142" s="157" t="s">
        <v>1780</v>
      </c>
      <c r="N142" s="227">
        <f t="shared" ref="N142:N144" si="45">+N141-I142-L142</f>
        <v>279513.81496201066</v>
      </c>
      <c r="O142" s="152">
        <f t="shared" si="44"/>
        <v>493240.50596201047</v>
      </c>
    </row>
    <row r="143" spans="1:15" x14ac:dyDescent="0.15">
      <c r="A143" s="154"/>
      <c r="B143" s="151"/>
      <c r="C143" s="152"/>
      <c r="D143" s="323"/>
      <c r="E143" s="155"/>
      <c r="F143" s="157"/>
      <c r="G143" s="152"/>
      <c r="H143" s="323">
        <v>41668</v>
      </c>
      <c r="I143" s="152"/>
      <c r="J143" s="154"/>
      <c r="K143" s="154" t="s">
        <v>1785</v>
      </c>
      <c r="L143" s="227">
        <v>14341.72</v>
      </c>
      <c r="M143" s="157" t="s">
        <v>1780</v>
      </c>
      <c r="N143" s="227">
        <f t="shared" si="45"/>
        <v>265172.09496201068</v>
      </c>
      <c r="O143" s="152">
        <f t="shared" si="44"/>
        <v>478898.7859620105</v>
      </c>
    </row>
    <row r="144" spans="1:15" x14ac:dyDescent="0.15">
      <c r="A144" s="154"/>
      <c r="B144" s="151"/>
      <c r="C144" s="152"/>
      <c r="D144" s="323"/>
      <c r="E144" s="155"/>
      <c r="F144" s="157"/>
      <c r="G144" s="152"/>
      <c r="H144" s="323">
        <v>41668</v>
      </c>
      <c r="I144" s="152"/>
      <c r="J144" s="154"/>
      <c r="K144" s="154" t="s">
        <v>1785</v>
      </c>
      <c r="L144" s="227">
        <v>34771.15</v>
      </c>
      <c r="M144" s="157" t="s">
        <v>1780</v>
      </c>
      <c r="N144" s="227">
        <f t="shared" si="45"/>
        <v>230400.94496201069</v>
      </c>
      <c r="O144" s="152">
        <f t="shared" si="44"/>
        <v>444127.63596201048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>
        <v>41668</v>
      </c>
      <c r="I145" s="152"/>
      <c r="J145" s="157"/>
      <c r="K145" s="154" t="s">
        <v>1785</v>
      </c>
      <c r="L145" s="227">
        <v>31337.06</v>
      </c>
      <c r="M145" s="157" t="s">
        <v>1780</v>
      </c>
      <c r="N145" s="227">
        <f t="shared" ref="N145:N170" si="46">+N144-I145-L145</f>
        <v>199063.88496201069</v>
      </c>
      <c r="O145" s="152">
        <f t="shared" ref="O145:O170" si="47">O144+G145-I145-L145</f>
        <v>412790.57596201048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>
        <v>41668</v>
      </c>
      <c r="I146" s="152"/>
      <c r="J146" s="154"/>
      <c r="K146" s="154" t="s">
        <v>1785</v>
      </c>
      <c r="L146" s="227">
        <v>13782.38</v>
      </c>
      <c r="M146" s="157" t="s">
        <v>1780</v>
      </c>
      <c r="N146" s="227">
        <f t="shared" si="46"/>
        <v>185281.50496201069</v>
      </c>
      <c r="O146" s="152">
        <f t="shared" si="47"/>
        <v>399008.19596201048</v>
      </c>
    </row>
    <row r="147" spans="1:15" x14ac:dyDescent="0.15">
      <c r="A147" s="154"/>
      <c r="B147" s="151"/>
      <c r="C147" s="152"/>
      <c r="D147" s="323">
        <v>41669</v>
      </c>
      <c r="E147" s="154" t="s">
        <v>72</v>
      </c>
      <c r="F147" s="157" t="s">
        <v>1781</v>
      </c>
      <c r="G147" s="152">
        <v>88203.311999999918</v>
      </c>
      <c r="H147" s="323">
        <v>41669</v>
      </c>
      <c r="I147" s="152">
        <v>12130.900000000001</v>
      </c>
      <c r="J147" s="157" t="s">
        <v>1780</v>
      </c>
      <c r="K147" s="154" t="s">
        <v>1785</v>
      </c>
      <c r="L147" s="227">
        <v>15976.88</v>
      </c>
      <c r="M147" s="157" t="s">
        <v>1780</v>
      </c>
      <c r="N147" s="227">
        <f t="shared" si="46"/>
        <v>157173.72496201069</v>
      </c>
      <c r="O147" s="152">
        <f t="shared" si="47"/>
        <v>459103.72796201037</v>
      </c>
    </row>
    <row r="148" spans="1:15" x14ac:dyDescent="0.15">
      <c r="A148" s="154"/>
      <c r="B148" s="151"/>
      <c r="C148" s="152"/>
      <c r="D148" s="323">
        <v>41669</v>
      </c>
      <c r="E148" s="154" t="s">
        <v>72</v>
      </c>
      <c r="F148" s="157" t="s">
        <v>1782</v>
      </c>
      <c r="G148" s="152">
        <v>306617.21799999999</v>
      </c>
      <c r="H148" s="323">
        <v>41669</v>
      </c>
      <c r="I148" s="152"/>
      <c r="J148" s="154"/>
      <c r="K148" s="154" t="s">
        <v>1785</v>
      </c>
      <c r="L148" s="227">
        <v>13668.14</v>
      </c>
      <c r="M148" s="157" t="s">
        <v>1780</v>
      </c>
      <c r="N148" s="227">
        <f t="shared" si="46"/>
        <v>143505.58496201067</v>
      </c>
      <c r="O148" s="152">
        <f t="shared" si="47"/>
        <v>752052.8059620104</v>
      </c>
    </row>
    <row r="149" spans="1:15" x14ac:dyDescent="0.15">
      <c r="A149" s="154"/>
      <c r="B149" s="151"/>
      <c r="C149" s="152"/>
      <c r="D149" s="323"/>
      <c r="E149" s="155"/>
      <c r="F149" s="157"/>
      <c r="G149" s="152"/>
      <c r="H149" s="323">
        <v>41669</v>
      </c>
      <c r="I149" s="152"/>
      <c r="J149" s="157"/>
      <c r="K149" s="154" t="s">
        <v>1785</v>
      </c>
      <c r="L149" s="227">
        <v>10010.219999999999</v>
      </c>
      <c r="M149" s="157" t="s">
        <v>1780</v>
      </c>
      <c r="N149" s="227">
        <f t="shared" si="46"/>
        <v>133495.36496201067</v>
      </c>
      <c r="O149" s="152">
        <f t="shared" si="47"/>
        <v>742042.58596201043</v>
      </c>
    </row>
    <row r="150" spans="1:15" x14ac:dyDescent="0.15">
      <c r="A150" s="154"/>
      <c r="B150" s="151"/>
      <c r="C150" s="152"/>
      <c r="D150" s="323"/>
      <c r="E150" s="155"/>
      <c r="F150" s="157"/>
      <c r="G150" s="152"/>
      <c r="H150" s="323">
        <v>41669</v>
      </c>
      <c r="I150" s="152"/>
      <c r="J150" s="154"/>
      <c r="K150" s="154" t="s">
        <v>1785</v>
      </c>
      <c r="L150" s="227">
        <v>15930.81</v>
      </c>
      <c r="M150" s="157" t="s">
        <v>1780</v>
      </c>
      <c r="N150" s="227">
        <f t="shared" si="46"/>
        <v>117564.55496201068</v>
      </c>
      <c r="O150" s="152">
        <f t="shared" si="47"/>
        <v>726111.77596201038</v>
      </c>
    </row>
    <row r="151" spans="1:15" x14ac:dyDescent="0.15">
      <c r="A151" s="154"/>
      <c r="B151" s="151"/>
      <c r="C151" s="152"/>
      <c r="D151" s="323"/>
      <c r="E151" s="155"/>
      <c r="F151" s="157"/>
      <c r="G151" s="152"/>
      <c r="H151" s="323">
        <v>41669</v>
      </c>
      <c r="I151" s="152"/>
      <c r="J151" s="157"/>
      <c r="K151" s="154" t="s">
        <v>1785</v>
      </c>
      <c r="L151" s="227">
        <v>12520.28</v>
      </c>
      <c r="M151" s="157" t="s">
        <v>1780</v>
      </c>
      <c r="N151" s="227">
        <f t="shared" si="46"/>
        <v>105044.27496201068</v>
      </c>
      <c r="O151" s="152">
        <f t="shared" si="47"/>
        <v>713591.49596201035</v>
      </c>
    </row>
    <row r="152" spans="1:15" x14ac:dyDescent="0.15">
      <c r="A152" s="154"/>
      <c r="B152" s="151"/>
      <c r="C152" s="151"/>
      <c r="D152" s="323"/>
      <c r="E152" s="155"/>
      <c r="F152" s="157"/>
      <c r="G152" s="152"/>
      <c r="H152" s="323">
        <v>41669</v>
      </c>
      <c r="I152" s="152"/>
      <c r="J152" s="157"/>
      <c r="K152" s="154" t="s">
        <v>1785</v>
      </c>
      <c r="L152" s="227">
        <v>93231.03</v>
      </c>
      <c r="M152" s="157" t="s">
        <v>1780</v>
      </c>
      <c r="N152" s="227">
        <f t="shared" si="46"/>
        <v>11813.244962010678</v>
      </c>
      <c r="O152" s="152">
        <f t="shared" si="47"/>
        <v>620360.46596201032</v>
      </c>
    </row>
    <row r="153" spans="1:15" x14ac:dyDescent="0.15">
      <c r="A153" s="154"/>
      <c r="B153" s="151"/>
      <c r="C153" s="151"/>
      <c r="D153" s="323"/>
      <c r="E153" s="155"/>
      <c r="F153" s="157"/>
      <c r="G153" s="152"/>
      <c r="H153" s="323">
        <v>41669</v>
      </c>
      <c r="I153" s="152"/>
      <c r="J153" s="154"/>
      <c r="K153" s="154" t="s">
        <v>1785</v>
      </c>
      <c r="L153" s="227">
        <v>10394.84</v>
      </c>
      <c r="M153" s="157" t="s">
        <v>1780</v>
      </c>
      <c r="N153" s="227">
        <f t="shared" si="46"/>
        <v>1418.404962010678</v>
      </c>
      <c r="O153" s="152">
        <f t="shared" si="47"/>
        <v>609965.62596201035</v>
      </c>
    </row>
    <row r="154" spans="1:15" x14ac:dyDescent="0.15">
      <c r="A154" s="154"/>
      <c r="B154" s="151"/>
      <c r="C154" s="151"/>
      <c r="D154" s="323"/>
      <c r="E154" s="155"/>
      <c r="F154" s="157"/>
      <c r="G154" s="152"/>
      <c r="H154" s="323">
        <v>41669</v>
      </c>
      <c r="I154" s="152"/>
      <c r="J154" s="154"/>
      <c r="K154" s="154" t="s">
        <v>1785</v>
      </c>
      <c r="L154" s="227">
        <v>1418.4049620107944</v>
      </c>
      <c r="M154" s="157" t="s">
        <v>1780</v>
      </c>
      <c r="N154" s="227">
        <f t="shared" ref="N154:N157" si="48">+N153-I154-L154</f>
        <v>-1.1641532182693481E-10</v>
      </c>
      <c r="O154" s="152">
        <f t="shared" ref="O154:O157" si="49">O153+G154-I154-L154</f>
        <v>608547.22099999955</v>
      </c>
    </row>
    <row r="155" spans="1:15" x14ac:dyDescent="0.15">
      <c r="A155" s="154"/>
      <c r="B155" s="151"/>
      <c r="C155" s="151"/>
      <c r="D155" s="323"/>
      <c r="E155" s="155"/>
      <c r="F155" s="157"/>
      <c r="G155" s="152"/>
      <c r="H155" s="323">
        <v>41669</v>
      </c>
      <c r="I155" s="152"/>
      <c r="J155" s="154"/>
      <c r="K155" s="154" t="s">
        <v>1784</v>
      </c>
      <c r="L155" s="227">
        <v>69217.395037989205</v>
      </c>
      <c r="M155" s="157" t="s">
        <v>1781</v>
      </c>
      <c r="N155" s="227">
        <f>G132+G147+N154-I155-L155</f>
        <v>232712.6079620106</v>
      </c>
      <c r="O155" s="152">
        <f t="shared" si="49"/>
        <v>539329.82596201031</v>
      </c>
    </row>
    <row r="156" spans="1:15" x14ac:dyDescent="0.15">
      <c r="A156" s="154"/>
      <c r="B156" s="151"/>
      <c r="C156" s="151"/>
      <c r="D156" s="323"/>
      <c r="E156" s="155"/>
      <c r="F156" s="157"/>
      <c r="G156" s="152"/>
      <c r="H156" s="323">
        <v>41669</v>
      </c>
      <c r="I156" s="152"/>
      <c r="J156" s="154"/>
      <c r="K156" s="154" t="s">
        <v>1784</v>
      </c>
      <c r="L156" s="227">
        <v>34497.49</v>
      </c>
      <c r="M156" s="157" t="s">
        <v>1781</v>
      </c>
      <c r="N156" s="227">
        <f t="shared" si="48"/>
        <v>198215.11796201061</v>
      </c>
      <c r="O156" s="152">
        <f t="shared" si="49"/>
        <v>504832.33596201031</v>
      </c>
    </row>
    <row r="157" spans="1:15" x14ac:dyDescent="0.15">
      <c r="A157" s="154"/>
      <c r="B157" s="151"/>
      <c r="C157" s="151"/>
      <c r="D157" s="323"/>
      <c r="E157" s="155"/>
      <c r="F157" s="157"/>
      <c r="G157" s="152"/>
      <c r="H157" s="323">
        <v>41669</v>
      </c>
      <c r="I157" s="152"/>
      <c r="J157" s="154"/>
      <c r="K157" s="154" t="s">
        <v>1784</v>
      </c>
      <c r="L157" s="227">
        <v>13297.74</v>
      </c>
      <c r="M157" s="157" t="s">
        <v>1781</v>
      </c>
      <c r="N157" s="227">
        <f t="shared" si="48"/>
        <v>184917.37796201062</v>
      </c>
      <c r="O157" s="152">
        <f t="shared" si="49"/>
        <v>491534.59596201032</v>
      </c>
    </row>
    <row r="158" spans="1:15" x14ac:dyDescent="0.15">
      <c r="A158" s="154"/>
      <c r="B158" s="151"/>
      <c r="C158" s="151"/>
      <c r="D158" s="323"/>
      <c r="E158" s="155"/>
      <c r="F158" s="157"/>
      <c r="G158" s="152"/>
      <c r="H158" s="323">
        <v>41669</v>
      </c>
      <c r="I158" s="152"/>
      <c r="J158" s="154"/>
      <c r="K158" s="154" t="s">
        <v>1784</v>
      </c>
      <c r="L158" s="227">
        <v>35938.22</v>
      </c>
      <c r="M158" s="157" t="s">
        <v>1781</v>
      </c>
      <c r="N158" s="227">
        <f t="shared" si="46"/>
        <v>148979.15796201062</v>
      </c>
      <c r="O158" s="152">
        <f t="shared" si="47"/>
        <v>455596.37596201035</v>
      </c>
    </row>
    <row r="159" spans="1:15" x14ac:dyDescent="0.15">
      <c r="A159" s="154"/>
      <c r="B159" s="151"/>
      <c r="C159" s="151"/>
      <c r="D159" s="323">
        <v>41670</v>
      </c>
      <c r="E159" s="154" t="s">
        <v>72</v>
      </c>
      <c r="F159" s="157" t="s">
        <v>1782</v>
      </c>
      <c r="G159" s="152">
        <v>276380.179</v>
      </c>
      <c r="H159" s="323">
        <v>41670</v>
      </c>
      <c r="I159" s="152">
        <v>7566.84</v>
      </c>
      <c r="J159" s="154" t="s">
        <v>1781</v>
      </c>
      <c r="K159" s="154" t="s">
        <v>1784</v>
      </c>
      <c r="L159" s="227">
        <v>8245.36</v>
      </c>
      <c r="M159" s="157" t="s">
        <v>1781</v>
      </c>
      <c r="N159" s="227">
        <f t="shared" si="46"/>
        <v>133166.95796201064</v>
      </c>
      <c r="O159" s="152">
        <f t="shared" si="47"/>
        <v>716164.3549620104</v>
      </c>
    </row>
    <row r="160" spans="1:15" x14ac:dyDescent="0.15">
      <c r="A160" s="154"/>
      <c r="B160" s="151"/>
      <c r="C160" s="151"/>
      <c r="D160" s="323"/>
      <c r="E160" s="155"/>
      <c r="F160" s="157"/>
      <c r="G160" s="152"/>
      <c r="H160" s="323">
        <v>41670</v>
      </c>
      <c r="I160" s="152"/>
      <c r="J160" s="154"/>
      <c r="K160" s="154" t="s">
        <v>1784</v>
      </c>
      <c r="L160" s="227">
        <v>7811.65</v>
      </c>
      <c r="M160" s="157" t="s">
        <v>1781</v>
      </c>
      <c r="N160" s="227">
        <f t="shared" si="46"/>
        <v>125355.30796201064</v>
      </c>
      <c r="O160" s="152">
        <f t="shared" si="47"/>
        <v>708352.70496201038</v>
      </c>
    </row>
    <row r="161" spans="1:15" x14ac:dyDescent="0.15">
      <c r="A161" s="154"/>
      <c r="B161" s="151"/>
      <c r="C161" s="151"/>
      <c r="D161" s="323"/>
      <c r="E161" s="155"/>
      <c r="F161" s="157"/>
      <c r="G161" s="152"/>
      <c r="H161" s="323">
        <v>41670</v>
      </c>
      <c r="I161" s="152"/>
      <c r="J161" s="154"/>
      <c r="K161" s="154" t="s">
        <v>1784</v>
      </c>
      <c r="L161" s="227">
        <v>14182.98</v>
      </c>
      <c r="M161" s="157" t="s">
        <v>1781</v>
      </c>
      <c r="N161" s="227">
        <f t="shared" si="46"/>
        <v>111172.32796201065</v>
      </c>
      <c r="O161" s="152">
        <f t="shared" si="47"/>
        <v>694169.7249620104</v>
      </c>
    </row>
    <row r="162" spans="1:15" x14ac:dyDescent="0.15">
      <c r="A162" s="154"/>
      <c r="B162" s="151"/>
      <c r="C162" s="151"/>
      <c r="D162" s="323"/>
      <c r="E162" s="155"/>
      <c r="F162" s="157"/>
      <c r="G162" s="152"/>
      <c r="H162" s="323">
        <v>41670</v>
      </c>
      <c r="I162" s="152"/>
      <c r="J162" s="154"/>
      <c r="K162" s="154" t="s">
        <v>1784</v>
      </c>
      <c r="L162" s="227">
        <v>7229.66</v>
      </c>
      <c r="M162" s="157" t="s">
        <v>1781</v>
      </c>
      <c r="N162" s="227">
        <f t="shared" si="46"/>
        <v>103942.66796201064</v>
      </c>
      <c r="O162" s="152">
        <f t="shared" si="47"/>
        <v>686940.06496201036</v>
      </c>
    </row>
    <row r="163" spans="1:15" x14ac:dyDescent="0.15">
      <c r="A163" s="154"/>
      <c r="B163" s="151"/>
      <c r="C163" s="151"/>
      <c r="D163" s="323"/>
      <c r="E163" s="155"/>
      <c r="F163" s="157"/>
      <c r="G163" s="152"/>
      <c r="H163" s="323">
        <v>41670</v>
      </c>
      <c r="I163" s="152"/>
      <c r="J163" s="154"/>
      <c r="K163" s="154" t="s">
        <v>1784</v>
      </c>
      <c r="L163" s="227">
        <v>9848.99</v>
      </c>
      <c r="M163" s="157" t="s">
        <v>1781</v>
      </c>
      <c r="N163" s="227">
        <f t="shared" si="46"/>
        <v>94093.677962010639</v>
      </c>
      <c r="O163" s="152">
        <f t="shared" si="47"/>
        <v>677091.07496201037</v>
      </c>
    </row>
    <row r="164" spans="1:15" x14ac:dyDescent="0.15">
      <c r="A164" s="154"/>
      <c r="B164" s="151"/>
      <c r="C164" s="151"/>
      <c r="D164" s="323"/>
      <c r="E164" s="154"/>
      <c r="F164" s="291"/>
      <c r="G164" s="152"/>
      <c r="H164" s="323">
        <v>41670</v>
      </c>
      <c r="I164" s="152"/>
      <c r="J164" s="157"/>
      <c r="K164" s="154" t="s">
        <v>1784</v>
      </c>
      <c r="L164" s="227">
        <v>720.37</v>
      </c>
      <c r="M164" s="157" t="s">
        <v>1781</v>
      </c>
      <c r="N164" s="227">
        <f t="shared" si="46"/>
        <v>93373.307962010644</v>
      </c>
      <c r="O164" s="152">
        <f t="shared" si="47"/>
        <v>676370.70496201038</v>
      </c>
    </row>
    <row r="165" spans="1:15" x14ac:dyDescent="0.15">
      <c r="A165" s="154"/>
      <c r="B165" s="151"/>
      <c r="C165" s="151"/>
      <c r="D165" s="323"/>
      <c r="E165" s="154"/>
      <c r="F165" s="157"/>
      <c r="G165" s="152"/>
      <c r="H165" s="323">
        <v>41670</v>
      </c>
      <c r="I165" s="152"/>
      <c r="J165" s="157"/>
      <c r="K165" s="154" t="s">
        <v>1784</v>
      </c>
      <c r="L165" s="227">
        <v>12799.49</v>
      </c>
      <c r="M165" s="157" t="s">
        <v>1781</v>
      </c>
      <c r="N165" s="227">
        <f t="shared" si="46"/>
        <v>80573.817962010638</v>
      </c>
      <c r="O165" s="152">
        <f t="shared" si="47"/>
        <v>663571.21496201039</v>
      </c>
    </row>
    <row r="166" spans="1:15" hidden="1" x14ac:dyDescent="0.15">
      <c r="A166" s="154"/>
      <c r="B166" s="151"/>
      <c r="C166" s="151"/>
      <c r="D166" s="323"/>
      <c r="E166" s="154"/>
      <c r="F166" s="157"/>
      <c r="G166" s="152"/>
      <c r="H166" s="323"/>
      <c r="I166" s="152"/>
      <c r="J166" s="154"/>
      <c r="K166" s="154"/>
      <c r="L166" s="227"/>
      <c r="M166" s="157"/>
      <c r="N166" s="227">
        <f t="shared" si="46"/>
        <v>80573.817962010638</v>
      </c>
      <c r="O166" s="152">
        <f t="shared" si="47"/>
        <v>663571.21496201039</v>
      </c>
    </row>
    <row r="167" spans="1:15" hidden="1" x14ac:dyDescent="0.15">
      <c r="A167" s="154"/>
      <c r="B167" s="151"/>
      <c r="C167" s="151"/>
      <c r="D167" s="323"/>
      <c r="E167" s="155"/>
      <c r="F167" s="157"/>
      <c r="G167" s="152"/>
      <c r="H167" s="323"/>
      <c r="I167" s="152"/>
      <c r="J167" s="154"/>
      <c r="K167" s="154"/>
      <c r="L167" s="227"/>
      <c r="M167" s="157"/>
      <c r="N167" s="227">
        <f t="shared" si="46"/>
        <v>80573.817962010638</v>
      </c>
      <c r="O167" s="152">
        <f t="shared" si="47"/>
        <v>663571.21496201039</v>
      </c>
    </row>
    <row r="168" spans="1:15" hidden="1" x14ac:dyDescent="0.15">
      <c r="A168" s="154"/>
      <c r="B168" s="151"/>
      <c r="C168" s="151"/>
      <c r="D168" s="323"/>
      <c r="E168" s="154"/>
      <c r="F168" s="160"/>
      <c r="G168" s="152"/>
      <c r="H168" s="323"/>
      <c r="I168" s="152"/>
      <c r="J168" s="157"/>
      <c r="K168" s="154"/>
      <c r="L168" s="227"/>
      <c r="M168" s="157"/>
      <c r="N168" s="227">
        <f t="shared" si="46"/>
        <v>80573.817962010638</v>
      </c>
      <c r="O168" s="152">
        <f t="shared" si="47"/>
        <v>663571.21496201039</v>
      </c>
    </row>
    <row r="169" spans="1:15" hidden="1" x14ac:dyDescent="0.15">
      <c r="A169" s="154"/>
      <c r="B169" s="151"/>
      <c r="C169" s="151"/>
      <c r="D169" s="323"/>
      <c r="E169" s="154"/>
      <c r="F169" s="160"/>
      <c r="G169" s="152"/>
      <c r="H169" s="323"/>
      <c r="I169" s="152"/>
      <c r="J169" s="150"/>
      <c r="K169" s="154"/>
      <c r="L169" s="227"/>
      <c r="M169" s="157"/>
      <c r="N169" s="227">
        <f t="shared" si="46"/>
        <v>80573.817962010638</v>
      </c>
      <c r="O169" s="152">
        <f t="shared" si="47"/>
        <v>663571.21496201039</v>
      </c>
    </row>
    <row r="170" spans="1:15" x14ac:dyDescent="0.15">
      <c r="A170" s="173"/>
      <c r="B170" s="173"/>
      <c r="C170" s="174"/>
      <c r="D170" s="323"/>
      <c r="E170" s="173"/>
      <c r="F170" s="173"/>
      <c r="G170" s="174"/>
      <c r="H170" s="323"/>
      <c r="I170" s="174"/>
      <c r="J170" s="173"/>
      <c r="K170" s="154"/>
      <c r="L170" s="228"/>
      <c r="M170" s="173"/>
      <c r="N170" s="227">
        <f t="shared" si="46"/>
        <v>80573.817962010638</v>
      </c>
      <c r="O170" s="152">
        <f t="shared" si="47"/>
        <v>663571.21496201039</v>
      </c>
    </row>
    <row r="171" spans="1:15" x14ac:dyDescent="0.15">
      <c r="A171" s="177"/>
      <c r="B171" s="177"/>
      <c r="C171" s="178">
        <f>SUM(C7:C169)</f>
        <v>582546.87196200993</v>
      </c>
      <c r="D171" s="177"/>
      <c r="E171" s="177"/>
      <c r="F171" s="177"/>
      <c r="G171" s="178">
        <f>SUM(G7:G170)</f>
        <v>5933533.3030000012</v>
      </c>
      <c r="H171" s="179"/>
      <c r="I171" s="178">
        <f>SUM(I7:I170)</f>
        <v>220590.81</v>
      </c>
      <c r="J171" s="177"/>
      <c r="K171" s="177"/>
      <c r="L171" s="229">
        <f>SUM(L9:L170)</f>
        <v>5631918.1500000013</v>
      </c>
      <c r="M171" s="177"/>
      <c r="N171" s="180"/>
      <c r="O171" s="181">
        <f>C171+G171-I171-L171</f>
        <v>663571.21496201027</v>
      </c>
    </row>
    <row r="172" spans="1:15" x14ac:dyDescent="0.15">
      <c r="A172" s="182"/>
      <c r="B172" s="465"/>
      <c r="C172" s="465"/>
      <c r="D172" s="465"/>
      <c r="E172" s="183"/>
      <c r="F172" s="284"/>
      <c r="G172" s="185"/>
      <c r="H172" s="186"/>
      <c r="I172" s="187"/>
      <c r="J172" s="188"/>
      <c r="K172" s="189" t="s">
        <v>139</v>
      </c>
      <c r="L172" s="190">
        <f>+L171+I171</f>
        <v>5852508.9600000009</v>
      </c>
      <c r="M172" s="197"/>
      <c r="N172" s="230">
        <f>+N170</f>
        <v>80573.817962010638</v>
      </c>
      <c r="O172" s="195" t="s">
        <v>1781</v>
      </c>
    </row>
    <row r="173" spans="1:15" x14ac:dyDescent="0.15">
      <c r="A173" s="193"/>
      <c r="B173" s="470"/>
      <c r="C173" s="470"/>
      <c r="D173" s="470"/>
      <c r="E173" s="183"/>
      <c r="F173" s="336"/>
      <c r="G173" s="219"/>
      <c r="H173" s="186"/>
      <c r="I173" s="187"/>
      <c r="J173" s="210"/>
      <c r="K173" s="210"/>
      <c r="N173" s="230">
        <f>+G148+G159</f>
        <v>582997.397</v>
      </c>
      <c r="O173" s="195" t="str">
        <f>+F159</f>
        <v>GC 280114</v>
      </c>
    </row>
    <row r="174" spans="1:15" x14ac:dyDescent="0.15">
      <c r="A174" s="193" t="s">
        <v>1743</v>
      </c>
      <c r="B174" s="335" t="s">
        <v>1792</v>
      </c>
      <c r="E174" s="183" t="s">
        <v>55</v>
      </c>
      <c r="F174" s="336">
        <v>5812699.7300000004</v>
      </c>
      <c r="G174" s="219" t="s">
        <v>56</v>
      </c>
      <c r="H174" s="186">
        <v>41645</v>
      </c>
      <c r="I174" s="187" t="s">
        <v>71</v>
      </c>
      <c r="J174" s="210">
        <v>115912.83503799012</v>
      </c>
      <c r="K174" s="297"/>
      <c r="N174" s="230"/>
      <c r="O174" s="334"/>
    </row>
    <row r="175" spans="1:15" x14ac:dyDescent="0.15">
      <c r="A175" s="193" t="s">
        <v>1765</v>
      </c>
      <c r="B175" s="337" t="s">
        <v>1793</v>
      </c>
      <c r="E175" s="183" t="s">
        <v>55</v>
      </c>
      <c r="F175" s="336">
        <v>1948511.87</v>
      </c>
      <c r="G175" s="219" t="s">
        <v>56</v>
      </c>
      <c r="H175" s="186">
        <v>41649</v>
      </c>
      <c r="I175" s="187" t="s">
        <v>71</v>
      </c>
      <c r="J175" s="210">
        <v>155517.144</v>
      </c>
      <c r="K175" s="333"/>
      <c r="N175" s="230"/>
      <c r="O175" s="195"/>
    </row>
    <row r="176" spans="1:15" x14ac:dyDescent="0.15">
      <c r="A176" s="193" t="s">
        <v>1766</v>
      </c>
      <c r="B176" s="337" t="s">
        <v>1794</v>
      </c>
      <c r="E176" s="183" t="s">
        <v>55</v>
      </c>
      <c r="F176" s="336">
        <v>578582.72</v>
      </c>
      <c r="G176" s="219" t="s">
        <v>56</v>
      </c>
      <c r="H176" s="186">
        <v>41652</v>
      </c>
      <c r="I176" s="187" t="s">
        <v>71</v>
      </c>
      <c r="J176" s="210">
        <v>296514.40300000005</v>
      </c>
      <c r="N176" s="230"/>
      <c r="O176" s="195"/>
    </row>
    <row r="177" spans="1:15" x14ac:dyDescent="0.15">
      <c r="A177" s="193" t="s">
        <v>1767</v>
      </c>
      <c r="B177" s="337" t="s">
        <v>1807</v>
      </c>
      <c r="E177" s="183" t="s">
        <v>55</v>
      </c>
      <c r="F177" s="336">
        <v>2626369.52</v>
      </c>
      <c r="G177" s="219" t="s">
        <v>56</v>
      </c>
      <c r="H177" s="186">
        <v>41652</v>
      </c>
      <c r="I177" s="187" t="s">
        <v>71</v>
      </c>
      <c r="J177" s="210">
        <v>211118.18200000006</v>
      </c>
      <c r="K177" s="333"/>
      <c r="N177" s="230"/>
      <c r="O177" s="195"/>
    </row>
    <row r="178" spans="1:15" x14ac:dyDescent="0.15">
      <c r="A178" s="193" t="s">
        <v>1768</v>
      </c>
      <c r="B178" s="340" t="s">
        <v>1795</v>
      </c>
      <c r="E178" s="183" t="s">
        <v>55</v>
      </c>
      <c r="F178" s="336">
        <v>4043161.35</v>
      </c>
      <c r="G178" s="219" t="s">
        <v>56</v>
      </c>
      <c r="H178" s="186">
        <v>41654</v>
      </c>
      <c r="I178" s="187" t="s">
        <v>71</v>
      </c>
      <c r="J178" s="210">
        <v>332104.46199999994</v>
      </c>
      <c r="N178" s="230"/>
      <c r="O178" s="195"/>
    </row>
    <row r="179" spans="1:15" x14ac:dyDescent="0.15">
      <c r="A179" s="193" t="s">
        <v>1769</v>
      </c>
      <c r="B179" s="340" t="s">
        <v>1796</v>
      </c>
      <c r="E179" s="183" t="s">
        <v>55</v>
      </c>
      <c r="F179" s="336">
        <v>1606229.05</v>
      </c>
      <c r="G179" s="219" t="s">
        <v>56</v>
      </c>
      <c r="H179" s="186">
        <v>41655</v>
      </c>
      <c r="I179" s="187" t="s">
        <v>71</v>
      </c>
      <c r="J179" s="210">
        <v>469305.36999999982</v>
      </c>
      <c r="N179" s="206" t="s">
        <v>33</v>
      </c>
      <c r="O179" s="207">
        <f>SUM(N172:N178)</f>
        <v>663571.21496201062</v>
      </c>
    </row>
    <row r="180" spans="1:15" x14ac:dyDescent="0.15">
      <c r="A180" s="193" t="s">
        <v>1770</v>
      </c>
      <c r="B180" s="340" t="s">
        <v>1797</v>
      </c>
      <c r="E180" s="183" t="s">
        <v>55</v>
      </c>
      <c r="F180" s="336">
        <v>2052896.53</v>
      </c>
      <c r="G180" s="219" t="s">
        <v>56</v>
      </c>
      <c r="H180" s="186">
        <v>41659</v>
      </c>
      <c r="I180" s="187" t="s">
        <v>71</v>
      </c>
      <c r="J180" s="210">
        <v>166862.573</v>
      </c>
      <c r="K180" s="297"/>
      <c r="O180" s="132">
        <f>+O171-O179</f>
        <v>0</v>
      </c>
    </row>
    <row r="181" spans="1:15" s="132" customFormat="1" x14ac:dyDescent="0.15">
      <c r="A181" s="193" t="s">
        <v>1771</v>
      </c>
      <c r="B181" s="340" t="s">
        <v>1798</v>
      </c>
      <c r="D181" s="133"/>
      <c r="E181" s="183" t="s">
        <v>55</v>
      </c>
      <c r="F181" s="336">
        <v>666284.36</v>
      </c>
      <c r="G181" s="219" t="s">
        <v>56</v>
      </c>
      <c r="H181" s="186">
        <v>41659</v>
      </c>
      <c r="I181" s="187" t="s">
        <v>71</v>
      </c>
      <c r="J181" s="210">
        <v>297940.77400000033</v>
      </c>
      <c r="K181" s="333"/>
      <c r="M181" s="134"/>
    </row>
    <row r="182" spans="1:15" s="132" customFormat="1" x14ac:dyDescent="0.15">
      <c r="A182" s="193" t="s">
        <v>1772</v>
      </c>
      <c r="B182" s="340" t="s">
        <v>1799</v>
      </c>
      <c r="D182" s="133"/>
      <c r="E182" s="183" t="s">
        <v>55</v>
      </c>
      <c r="F182" s="336">
        <v>3938112.76</v>
      </c>
      <c r="G182" s="219" t="s">
        <v>56</v>
      </c>
      <c r="H182" s="186">
        <v>41660</v>
      </c>
      <c r="I182" s="187" t="s">
        <v>71</v>
      </c>
      <c r="J182" s="210">
        <v>171827.82500000001</v>
      </c>
      <c r="K182" s="133"/>
      <c r="M182" s="134"/>
    </row>
    <row r="183" spans="1:15" s="132" customFormat="1" x14ac:dyDescent="0.15">
      <c r="A183" s="193" t="s">
        <v>1773</v>
      </c>
      <c r="B183" s="340" t="s">
        <v>1800</v>
      </c>
      <c r="D183" s="133"/>
      <c r="E183" s="183" t="s">
        <v>55</v>
      </c>
      <c r="F183" s="336">
        <v>1984886.23</v>
      </c>
      <c r="G183" s="219" t="s">
        <v>56</v>
      </c>
      <c r="H183" s="186">
        <v>41661</v>
      </c>
      <c r="I183" s="187" t="s">
        <v>71</v>
      </c>
      <c r="J183" s="210">
        <v>387501.55300000007</v>
      </c>
      <c r="K183" s="133"/>
      <c r="M183" s="134"/>
    </row>
    <row r="184" spans="1:15" s="132" customFormat="1" x14ac:dyDescent="0.15">
      <c r="A184" s="193" t="s">
        <v>1774</v>
      </c>
      <c r="B184" s="340" t="s">
        <v>1801</v>
      </c>
      <c r="D184" s="133"/>
      <c r="E184" s="183" t="s">
        <v>55</v>
      </c>
      <c r="F184" s="336">
        <v>4094236.97</v>
      </c>
      <c r="G184" s="219" t="s">
        <v>56</v>
      </c>
      <c r="H184" s="186">
        <v>41663</v>
      </c>
      <c r="I184" s="187" t="s">
        <v>71</v>
      </c>
      <c r="J184" s="210">
        <v>171083.58199999999</v>
      </c>
      <c r="K184" s="333"/>
      <c r="M184" s="134"/>
    </row>
    <row r="185" spans="1:15" s="132" customFormat="1" x14ac:dyDescent="0.15">
      <c r="A185" s="193" t="s">
        <v>1777</v>
      </c>
      <c r="B185" s="340" t="s">
        <v>1802</v>
      </c>
      <c r="D185" s="133"/>
      <c r="E185" s="183" t="s">
        <v>55</v>
      </c>
      <c r="F185" s="336">
        <v>2054239.5</v>
      </c>
      <c r="G185" s="219" t="s">
        <v>56</v>
      </c>
      <c r="H185" s="186">
        <v>41667</v>
      </c>
      <c r="I185" s="187" t="s">
        <v>71</v>
      </c>
      <c r="J185" s="210">
        <v>346972.33000000007</v>
      </c>
      <c r="K185" s="133"/>
      <c r="M185" s="134"/>
    </row>
    <row r="186" spans="1:15" s="132" customFormat="1" x14ac:dyDescent="0.15">
      <c r="A186" s="193" t="s">
        <v>1778</v>
      </c>
      <c r="B186" s="340" t="s">
        <v>1803</v>
      </c>
      <c r="D186" s="133"/>
      <c r="E186" s="183" t="s">
        <v>55</v>
      </c>
      <c r="F186" s="336">
        <v>2623062.17</v>
      </c>
      <c r="G186" s="219" t="s">
        <v>56</v>
      </c>
      <c r="H186" s="186">
        <v>41668</v>
      </c>
      <c r="I186" s="187" t="s">
        <v>71</v>
      </c>
      <c r="J186" s="210">
        <v>176390.92600000001</v>
      </c>
      <c r="K186" s="133"/>
      <c r="M186" s="134"/>
    </row>
    <row r="187" spans="1:15" s="132" customFormat="1" x14ac:dyDescent="0.15">
      <c r="A187" s="193" t="s">
        <v>1791</v>
      </c>
      <c r="B187" s="340" t="s">
        <v>1804</v>
      </c>
      <c r="D187" s="133"/>
      <c r="E187" s="183" t="s">
        <v>55</v>
      </c>
      <c r="F187" s="336">
        <v>6838645.4100000001</v>
      </c>
      <c r="G187" s="219" t="s">
        <v>56</v>
      </c>
      <c r="H187" s="186">
        <v>41669</v>
      </c>
      <c r="I187" s="187" t="s">
        <v>71</v>
      </c>
      <c r="J187" s="210">
        <v>259674.52000000014</v>
      </c>
      <c r="K187" s="133"/>
      <c r="M187" s="134"/>
    </row>
    <row r="188" spans="1:15" s="132" customFormat="1" x14ac:dyDescent="0.15">
      <c r="A188" s="193" t="s">
        <v>1779</v>
      </c>
      <c r="B188" s="340" t="s">
        <v>1805</v>
      </c>
      <c r="D188" s="133"/>
      <c r="E188" s="183" t="s">
        <v>55</v>
      </c>
      <c r="F188" s="339">
        <v>2483443.25</v>
      </c>
      <c r="G188" s="219" t="s">
        <v>56</v>
      </c>
      <c r="H188" s="186">
        <v>41673</v>
      </c>
      <c r="I188" s="187" t="s">
        <v>71</v>
      </c>
      <c r="J188" s="210">
        <v>262572.65199999989</v>
      </c>
      <c r="K188" s="133"/>
      <c r="M188" s="134"/>
    </row>
    <row r="189" spans="1:15" s="132" customFormat="1" x14ac:dyDescent="0.15">
      <c r="A189" s="193" t="s">
        <v>1781</v>
      </c>
      <c r="B189" s="340" t="s">
        <v>1806</v>
      </c>
      <c r="D189" s="133"/>
      <c r="E189" s="183" t="s">
        <v>55</v>
      </c>
      <c r="F189" s="339">
        <v>2040866.18</v>
      </c>
      <c r="G189" s="219" t="s">
        <v>56</v>
      </c>
      <c r="H189" s="186">
        <v>41675</v>
      </c>
      <c r="I189" s="187" t="s">
        <v>71</v>
      </c>
      <c r="J189" s="210">
        <v>213789.34503798917</v>
      </c>
      <c r="K189" s="133"/>
      <c r="M189" s="134"/>
    </row>
    <row r="190" spans="1:15" s="132" customFormat="1" ht="12" thickBot="1" x14ac:dyDescent="0.2">
      <c r="A190" s="133"/>
      <c r="B190" s="337"/>
      <c r="C190" s="337"/>
      <c r="D190" s="337"/>
      <c r="E190" s="183"/>
      <c r="F190" s="338"/>
      <c r="G190" s="219"/>
      <c r="H190" s="186"/>
      <c r="I190" s="217" t="s">
        <v>856</v>
      </c>
      <c r="J190" s="211">
        <f>SUM(J174:J189)</f>
        <v>4035088.4760759799</v>
      </c>
      <c r="K190" s="133"/>
      <c r="M190" s="134"/>
    </row>
    <row r="191" spans="1:15" s="132" customFormat="1" ht="12" thickTop="1" x14ac:dyDescent="0.15">
      <c r="A191" s="193" t="s">
        <v>1776</v>
      </c>
      <c r="B191" s="337" t="s">
        <v>1786</v>
      </c>
      <c r="D191" s="133"/>
      <c r="E191" s="183" t="s">
        <v>55</v>
      </c>
      <c r="F191" s="339">
        <v>13723761.9</v>
      </c>
      <c r="G191" s="219" t="s">
        <v>56</v>
      </c>
      <c r="H191" s="186">
        <v>41436</v>
      </c>
      <c r="I191" s="187" t="s">
        <v>71</v>
      </c>
      <c r="J191" s="210">
        <v>127659.63800000001</v>
      </c>
      <c r="K191" s="133"/>
      <c r="M191" s="134"/>
    </row>
    <row r="192" spans="1:15" s="132" customFormat="1" x14ac:dyDescent="0.15">
      <c r="A192" s="193" t="s">
        <v>1742</v>
      </c>
      <c r="B192" s="337" t="s">
        <v>1762</v>
      </c>
      <c r="D192" s="133"/>
      <c r="E192" s="183" t="s">
        <v>55</v>
      </c>
      <c r="F192" s="339">
        <v>8785640.6400000006</v>
      </c>
      <c r="G192" s="219" t="s">
        <v>56</v>
      </c>
      <c r="H192" s="186">
        <v>41642</v>
      </c>
      <c r="I192" s="187" t="s">
        <v>71</v>
      </c>
      <c r="J192" s="210">
        <v>231767.83496200989</v>
      </c>
      <c r="K192" s="133"/>
      <c r="M192" s="134"/>
    </row>
    <row r="193" spans="1:15" s="132" customFormat="1" x14ac:dyDescent="0.15">
      <c r="A193" s="193" t="s">
        <v>1780</v>
      </c>
      <c r="B193" s="337" t="s">
        <v>1787</v>
      </c>
      <c r="D193" s="133"/>
      <c r="E193" s="183" t="s">
        <v>55</v>
      </c>
      <c r="F193" s="339">
        <v>29723118.579999998</v>
      </c>
      <c r="G193" s="219" t="s">
        <v>56</v>
      </c>
      <c r="H193" s="186">
        <v>41673</v>
      </c>
      <c r="I193" s="187" t="s">
        <v>71</v>
      </c>
      <c r="J193" s="210">
        <v>302976.00600000023</v>
      </c>
      <c r="K193" s="133"/>
      <c r="M193" s="134"/>
    </row>
    <row r="194" spans="1:15" s="132" customFormat="1" ht="12" thickBot="1" x14ac:dyDescent="0.2">
      <c r="A194" s="133"/>
      <c r="B194" s="337"/>
      <c r="C194" s="337"/>
      <c r="D194" s="337"/>
      <c r="E194" s="183"/>
      <c r="F194" s="338"/>
      <c r="G194" s="219"/>
      <c r="H194" s="186"/>
      <c r="I194" s="217" t="s">
        <v>856</v>
      </c>
      <c r="J194" s="211">
        <f>SUM(J191:J193)</f>
        <v>662403.47896201012</v>
      </c>
      <c r="K194" s="133"/>
      <c r="M194" s="134"/>
    </row>
    <row r="195" spans="1:15" s="132" customFormat="1" ht="12" thickTop="1" x14ac:dyDescent="0.15">
      <c r="A195" s="133" t="s">
        <v>1775</v>
      </c>
      <c r="B195" s="131" t="s">
        <v>1790</v>
      </c>
      <c r="D195" s="133"/>
      <c r="E195" s="183" t="s">
        <v>55</v>
      </c>
      <c r="F195" s="339">
        <v>11226564.67</v>
      </c>
      <c r="G195" s="219" t="s">
        <v>56</v>
      </c>
      <c r="H195" s="186">
        <v>41430</v>
      </c>
      <c r="I195" s="187" t="s">
        <v>71</v>
      </c>
      <c r="J195" s="210">
        <v>132276.90599999999</v>
      </c>
      <c r="K195" s="133"/>
      <c r="M195" s="134"/>
    </row>
    <row r="196" spans="1:15" s="132" customFormat="1" x14ac:dyDescent="0.15">
      <c r="A196" s="133" t="s">
        <v>1744</v>
      </c>
      <c r="B196" s="131" t="s">
        <v>1788</v>
      </c>
      <c r="D196" s="133"/>
      <c r="E196" s="183" t="s">
        <v>55</v>
      </c>
      <c r="F196" s="339">
        <v>28898449.140000001</v>
      </c>
      <c r="G196" s="219" t="s">
        <v>56</v>
      </c>
      <c r="H196" s="186">
        <v>41646</v>
      </c>
      <c r="I196" s="187" t="s">
        <v>71</v>
      </c>
      <c r="J196" s="210">
        <v>294370.86796200986</v>
      </c>
      <c r="K196" s="133"/>
      <c r="M196" s="134"/>
    </row>
    <row r="197" spans="1:15" s="132" customFormat="1" x14ac:dyDescent="0.15">
      <c r="A197" s="133" t="s">
        <v>1764</v>
      </c>
      <c r="B197" s="131" t="s">
        <v>1789</v>
      </c>
      <c r="D197" s="133"/>
      <c r="E197" s="183" t="s">
        <v>55</v>
      </c>
      <c r="F197" s="339">
        <v>19206185.699999999</v>
      </c>
      <c r="G197" s="219" t="s">
        <v>56</v>
      </c>
      <c r="H197" s="186">
        <v>41648</v>
      </c>
      <c r="I197" s="187" t="s">
        <v>71</v>
      </c>
      <c r="J197" s="210">
        <v>507778.42100000026</v>
      </c>
      <c r="K197" s="133"/>
      <c r="M197" s="134"/>
    </row>
    <row r="198" spans="1:15" s="132" customFormat="1" ht="12" thickBot="1" x14ac:dyDescent="0.2">
      <c r="A198" s="193"/>
      <c r="B198" s="210"/>
      <c r="C198" s="221"/>
      <c r="D198" s="237"/>
      <c r="E198" s="235"/>
      <c r="F198" s="235"/>
      <c r="H198" s="133"/>
      <c r="I198" s="218" t="s">
        <v>106</v>
      </c>
      <c r="J198" s="212">
        <f>SUM(J195:J197)</f>
        <v>934426.19496201002</v>
      </c>
      <c r="K198" s="133"/>
      <c r="M198" s="134"/>
    </row>
    <row r="199" spans="1:15" s="132" customFormat="1" ht="12" thickTop="1" x14ac:dyDescent="0.15">
      <c r="A199" s="193"/>
      <c r="B199" s="210"/>
      <c r="C199" s="221"/>
      <c r="D199" s="237"/>
      <c r="E199" s="235"/>
      <c r="F199" s="235"/>
      <c r="H199" s="133"/>
      <c r="J199" s="205"/>
      <c r="K199" s="133"/>
      <c r="M199" s="134"/>
    </row>
    <row r="200" spans="1:15" s="132" customFormat="1" x14ac:dyDescent="0.15">
      <c r="A200" s="133"/>
      <c r="B200" s="133" t="s">
        <v>9</v>
      </c>
      <c r="C200" s="220" t="s">
        <v>729</v>
      </c>
      <c r="D200" s="220" t="s">
        <v>850</v>
      </c>
      <c r="E200" s="133" t="s">
        <v>570</v>
      </c>
      <c r="F200" s="133" t="s">
        <v>571</v>
      </c>
      <c r="G200" s="133" t="s">
        <v>16</v>
      </c>
      <c r="H200" s="134"/>
      <c r="I200" s="134"/>
      <c r="J200" s="205"/>
      <c r="K200" s="133"/>
      <c r="M200" s="134"/>
    </row>
    <row r="201" spans="1:15" s="133" customFormat="1" x14ac:dyDescent="0.15">
      <c r="A201" s="193" t="s">
        <v>1743</v>
      </c>
      <c r="B201" s="210">
        <v>115913</v>
      </c>
      <c r="C201" s="221">
        <v>24.493200000000002</v>
      </c>
      <c r="D201" s="237">
        <f t="shared" ref="D201:D213" si="50">+B201*C201</f>
        <v>2839080.2916000001</v>
      </c>
      <c r="E201" s="235">
        <f t="shared" ref="E201:E213" si="51">+D201*0.01</f>
        <v>28390.802916000001</v>
      </c>
      <c r="F201" s="235">
        <f t="shared" ref="F201:F213" si="52">+E201*0.1</f>
        <v>2839.0802916000002</v>
      </c>
      <c r="G201" s="236">
        <f t="shared" ref="G201:G213" si="53">SUM(E201:F201)</f>
        <v>31229.8832076</v>
      </c>
      <c r="H201" s="134"/>
      <c r="I201" s="134"/>
      <c r="J201" s="134"/>
      <c r="L201" s="132"/>
      <c r="M201" s="134"/>
      <c r="N201" s="132"/>
      <c r="O201" s="132"/>
    </row>
    <row r="202" spans="1:15" s="133" customFormat="1" x14ac:dyDescent="0.15">
      <c r="A202" s="193" t="s">
        <v>1765</v>
      </c>
      <c r="B202" s="210">
        <v>155517</v>
      </c>
      <c r="C202" s="221">
        <v>26.464700000000001</v>
      </c>
      <c r="D202" s="237">
        <f t="shared" si="50"/>
        <v>4115710.7499000002</v>
      </c>
      <c r="E202" s="235">
        <f t="shared" si="51"/>
        <v>41157.107499000005</v>
      </c>
      <c r="F202" s="235">
        <f t="shared" si="52"/>
        <v>4115.7107499000003</v>
      </c>
      <c r="G202" s="236">
        <f t="shared" si="53"/>
        <v>45272.818248900003</v>
      </c>
      <c r="I202" s="132"/>
      <c r="J202" s="134"/>
      <c r="L202" s="132"/>
      <c r="M202" s="134"/>
      <c r="N202" s="132"/>
      <c r="O202" s="132"/>
    </row>
    <row r="203" spans="1:15" s="133" customFormat="1" x14ac:dyDescent="0.15">
      <c r="A203" s="193" t="s">
        <v>1766</v>
      </c>
      <c r="B203" s="210">
        <v>296514</v>
      </c>
      <c r="C203" s="221">
        <v>26.466100000000001</v>
      </c>
      <c r="D203" s="237">
        <f t="shared" si="50"/>
        <v>7847569.1754000001</v>
      </c>
      <c r="E203" s="235">
        <f t="shared" si="51"/>
        <v>78475.691753999999</v>
      </c>
      <c r="F203" s="235">
        <f t="shared" si="52"/>
        <v>7847.5691753999999</v>
      </c>
      <c r="G203" s="236">
        <f t="shared" si="53"/>
        <v>86323.260929399999</v>
      </c>
      <c r="I203" s="132"/>
      <c r="J203" s="134"/>
      <c r="L203" s="132"/>
      <c r="M203" s="134"/>
      <c r="N203" s="132"/>
      <c r="O203" s="132"/>
    </row>
    <row r="204" spans="1:15" s="133" customFormat="1" x14ac:dyDescent="0.15">
      <c r="A204" s="193" t="s">
        <v>1767</v>
      </c>
      <c r="B204" s="210">
        <v>211118</v>
      </c>
      <c r="C204" s="221">
        <v>26.170400000000001</v>
      </c>
      <c r="D204" s="237">
        <f t="shared" si="50"/>
        <v>5525042.5071999999</v>
      </c>
      <c r="E204" s="235">
        <f t="shared" si="51"/>
        <v>55250.425071999998</v>
      </c>
      <c r="F204" s="235">
        <f t="shared" si="52"/>
        <v>5525.0425071999998</v>
      </c>
      <c r="G204" s="236">
        <f t="shared" si="53"/>
        <v>60775.467579199998</v>
      </c>
      <c r="H204" s="134"/>
      <c r="I204" s="134"/>
      <c r="J204" s="134"/>
      <c r="L204" s="132"/>
      <c r="M204" s="134"/>
      <c r="N204" s="132"/>
      <c r="O204" s="132"/>
    </row>
    <row r="205" spans="1:15" s="133" customFormat="1" x14ac:dyDescent="0.15">
      <c r="A205" s="193" t="s">
        <v>1768</v>
      </c>
      <c r="B205" s="210">
        <v>332104</v>
      </c>
      <c r="C205" s="221">
        <v>25.7623</v>
      </c>
      <c r="D205" s="237">
        <f t="shared" si="50"/>
        <v>8555762.8792000003</v>
      </c>
      <c r="E205" s="235">
        <f t="shared" si="51"/>
        <v>85557.628792000003</v>
      </c>
      <c r="F205" s="235">
        <f t="shared" si="52"/>
        <v>8555.7628792000014</v>
      </c>
      <c r="G205" s="236">
        <f t="shared" si="53"/>
        <v>94113.391671200006</v>
      </c>
      <c r="I205" s="132"/>
      <c r="J205" s="134"/>
      <c r="L205" s="132"/>
      <c r="M205" s="134"/>
      <c r="N205" s="132"/>
      <c r="O205" s="132"/>
    </row>
    <row r="206" spans="1:15" s="133" customFormat="1" x14ac:dyDescent="0.15">
      <c r="A206" s="193" t="s">
        <v>1769</v>
      </c>
      <c r="B206" s="210">
        <v>469305</v>
      </c>
      <c r="C206" s="221">
        <v>25.7623</v>
      </c>
      <c r="D206" s="237">
        <f t="shared" si="50"/>
        <v>12090376.2015</v>
      </c>
      <c r="E206" s="235">
        <f t="shared" si="51"/>
        <v>120903.762015</v>
      </c>
      <c r="F206" s="235">
        <f t="shared" si="52"/>
        <v>12090.376201500001</v>
      </c>
      <c r="G206" s="236">
        <f t="shared" si="53"/>
        <v>132994.1382165</v>
      </c>
      <c r="I206" s="132"/>
      <c r="J206" s="134"/>
      <c r="L206" s="132"/>
      <c r="M206" s="134"/>
      <c r="N206" s="132"/>
      <c r="O206" s="132"/>
    </row>
    <row r="207" spans="1:15" x14ac:dyDescent="0.15">
      <c r="A207" s="193" t="s">
        <v>1770</v>
      </c>
      <c r="B207" s="210">
        <v>166863</v>
      </c>
      <c r="C207" s="221">
        <v>25.5671</v>
      </c>
      <c r="D207" s="237">
        <f t="shared" si="50"/>
        <v>4266203.0072999997</v>
      </c>
      <c r="E207" s="235">
        <f t="shared" si="51"/>
        <v>42662.030072999994</v>
      </c>
      <c r="F207" s="235">
        <f t="shared" si="52"/>
        <v>4266.2030072999996</v>
      </c>
      <c r="G207" s="236">
        <f t="shared" si="53"/>
        <v>46928.233080299993</v>
      </c>
      <c r="H207" s="134"/>
      <c r="I207" s="134"/>
    </row>
    <row r="208" spans="1:15" s="132" customFormat="1" x14ac:dyDescent="0.15">
      <c r="A208" s="193" t="s">
        <v>1771</v>
      </c>
      <c r="B208" s="210">
        <v>297941</v>
      </c>
      <c r="C208" s="221">
        <v>25.480899999999998</v>
      </c>
      <c r="D208" s="237">
        <f t="shared" si="50"/>
        <v>7591804.8268999998</v>
      </c>
      <c r="E208" s="235">
        <f t="shared" si="51"/>
        <v>75918.048269000006</v>
      </c>
      <c r="F208" s="235">
        <f t="shared" si="52"/>
        <v>7591.804826900001</v>
      </c>
      <c r="G208" s="236">
        <f t="shared" si="53"/>
        <v>83509.853095900005</v>
      </c>
      <c r="H208" s="133"/>
      <c r="J208" s="134"/>
      <c r="K208" s="133"/>
      <c r="M208" s="134"/>
    </row>
    <row r="209" spans="1:13" s="132" customFormat="1" x14ac:dyDescent="0.15">
      <c r="A209" s="193" t="s">
        <v>1772</v>
      </c>
      <c r="B209" s="210">
        <v>171828</v>
      </c>
      <c r="C209" s="221">
        <v>25.419899999999998</v>
      </c>
      <c r="D209" s="237">
        <f t="shared" si="50"/>
        <v>4367850.5772000002</v>
      </c>
      <c r="E209" s="235">
        <f t="shared" si="51"/>
        <v>43678.505772000004</v>
      </c>
      <c r="F209" s="235">
        <f t="shared" si="52"/>
        <v>4367.8505772000008</v>
      </c>
      <c r="G209" s="236">
        <f t="shared" si="53"/>
        <v>48046.356349200003</v>
      </c>
      <c r="H209" s="133"/>
      <c r="J209" s="134"/>
      <c r="K209" s="133"/>
      <c r="M209" s="134"/>
    </row>
    <row r="210" spans="1:13" s="132" customFormat="1" x14ac:dyDescent="0.15">
      <c r="A210" s="193" t="s">
        <v>1773</v>
      </c>
      <c r="B210" s="210">
        <v>387502</v>
      </c>
      <c r="C210" s="221">
        <v>25.3324</v>
      </c>
      <c r="D210" s="237">
        <f t="shared" si="50"/>
        <v>9816355.6647999994</v>
      </c>
      <c r="E210" s="235">
        <f t="shared" si="51"/>
        <v>98163.556647999998</v>
      </c>
      <c r="F210" s="235">
        <f t="shared" si="52"/>
        <v>9816.3556647999994</v>
      </c>
      <c r="G210" s="236">
        <f t="shared" si="53"/>
        <v>107979.91231279999</v>
      </c>
      <c r="H210" s="134"/>
      <c r="I210" s="134"/>
      <c r="J210" s="134"/>
      <c r="K210" s="133"/>
      <c r="M210" s="134"/>
    </row>
    <row r="211" spans="1:13" s="132" customFormat="1" x14ac:dyDescent="0.15">
      <c r="A211" s="193" t="s">
        <v>1774</v>
      </c>
      <c r="B211" s="210">
        <v>171084</v>
      </c>
      <c r="C211" s="221">
        <v>25.1372</v>
      </c>
      <c r="D211" s="237">
        <f t="shared" si="50"/>
        <v>4300572.7248</v>
      </c>
      <c r="E211" s="235">
        <f t="shared" si="51"/>
        <v>43005.727248000003</v>
      </c>
      <c r="F211" s="235">
        <f t="shared" si="52"/>
        <v>4300.5727248000003</v>
      </c>
      <c r="G211" s="236">
        <f t="shared" si="53"/>
        <v>47306.2999728</v>
      </c>
      <c r="H211" s="133"/>
      <c r="J211" s="134"/>
      <c r="K211" s="133"/>
      <c r="M211" s="134"/>
    </row>
    <row r="212" spans="1:13" s="132" customFormat="1" x14ac:dyDescent="0.15">
      <c r="A212" s="193" t="s">
        <v>1777</v>
      </c>
      <c r="B212" s="210">
        <v>346972</v>
      </c>
      <c r="C212" s="221">
        <v>24.993300000000001</v>
      </c>
      <c r="D212" s="237">
        <f t="shared" si="50"/>
        <v>8671975.2876000013</v>
      </c>
      <c r="E212" s="235">
        <f t="shared" si="51"/>
        <v>86719.752876000013</v>
      </c>
      <c r="F212" s="235">
        <f t="shared" si="52"/>
        <v>8671.975287600002</v>
      </c>
      <c r="G212" s="236">
        <f t="shared" si="53"/>
        <v>95391.728163600012</v>
      </c>
      <c r="H212" s="133"/>
      <c r="J212" s="134"/>
      <c r="K212" s="133"/>
      <c r="M212" s="134"/>
    </row>
    <row r="213" spans="1:13" s="132" customFormat="1" x14ac:dyDescent="0.15">
      <c r="A213" s="193" t="s">
        <v>1778</v>
      </c>
      <c r="B213" s="210">
        <v>176391</v>
      </c>
      <c r="C213" s="221">
        <v>25.169499999999999</v>
      </c>
      <c r="D213" s="237">
        <f t="shared" si="50"/>
        <v>4439673.2745000003</v>
      </c>
      <c r="E213" s="235">
        <f t="shared" si="51"/>
        <v>44396.732745000001</v>
      </c>
      <c r="F213" s="235">
        <f t="shared" si="52"/>
        <v>4439.6732744999999</v>
      </c>
      <c r="G213" s="236">
        <f t="shared" si="53"/>
        <v>48836.406019499998</v>
      </c>
      <c r="H213" s="134"/>
      <c r="I213" s="134"/>
      <c r="J213" s="134"/>
      <c r="K213" s="133"/>
      <c r="M213" s="134"/>
    </row>
    <row r="214" spans="1:13" s="132" customFormat="1" x14ac:dyDescent="0.15">
      <c r="A214" s="193" t="s">
        <v>1791</v>
      </c>
      <c r="B214" s="210">
        <v>259675</v>
      </c>
      <c r="C214" s="221">
        <v>25.169499999999999</v>
      </c>
      <c r="D214" s="237">
        <f t="shared" ref="D214:D216" si="54">+B214*C214</f>
        <v>6535889.9124999996</v>
      </c>
      <c r="E214" s="235">
        <f t="shared" ref="E214:E216" si="55">+D214*0.01</f>
        <v>65358.899124999996</v>
      </c>
      <c r="F214" s="235">
        <f t="shared" ref="F214:F216" si="56">+E214*0.1</f>
        <v>6535.8899124999998</v>
      </c>
      <c r="G214" s="236">
        <f t="shared" ref="G214:G216" si="57">SUM(E214:F214)</f>
        <v>71894.789037499999</v>
      </c>
      <c r="H214" s="134"/>
      <c r="J214" s="134"/>
      <c r="K214" s="133"/>
      <c r="M214" s="134"/>
    </row>
    <row r="215" spans="1:13" s="132" customFormat="1" x14ac:dyDescent="0.15">
      <c r="A215" s="193" t="s">
        <v>1779</v>
      </c>
      <c r="B215" s="210">
        <v>262573</v>
      </c>
      <c r="C215" s="221">
        <v>25.364599999999999</v>
      </c>
      <c r="D215" s="237">
        <f t="shared" si="54"/>
        <v>6660059.1157999998</v>
      </c>
      <c r="E215" s="235">
        <f t="shared" si="55"/>
        <v>66600.591157999996</v>
      </c>
      <c r="F215" s="235">
        <f t="shared" si="56"/>
        <v>6660.0591157999997</v>
      </c>
      <c r="G215" s="236">
        <f t="shared" si="57"/>
        <v>73260.650273799998</v>
      </c>
      <c r="H215" s="133"/>
      <c r="J215" s="134"/>
      <c r="K215" s="133"/>
      <c r="M215" s="134"/>
    </row>
    <row r="216" spans="1:13" s="132" customFormat="1" x14ac:dyDescent="0.15">
      <c r="A216" s="193" t="s">
        <v>1781</v>
      </c>
      <c r="B216" s="210">
        <v>213789</v>
      </c>
      <c r="C216" s="221">
        <v>25.3704</v>
      </c>
      <c r="D216" s="237">
        <f t="shared" si="54"/>
        <v>5423912.4456000002</v>
      </c>
      <c r="E216" s="235">
        <f t="shared" si="55"/>
        <v>54239.124456000005</v>
      </c>
      <c r="F216" s="235">
        <f t="shared" si="56"/>
        <v>5423.9124456000009</v>
      </c>
      <c r="G216" s="236">
        <f t="shared" si="57"/>
        <v>59663.036901600004</v>
      </c>
      <c r="H216" s="134"/>
      <c r="J216" s="134"/>
      <c r="K216" s="133"/>
      <c r="M216" s="134"/>
    </row>
    <row r="217" spans="1:13" s="132" customFormat="1" ht="12" thickBot="1" x14ac:dyDescent="0.2">
      <c r="A217" s="133"/>
      <c r="B217" s="211">
        <f>SUM(B201:B216)</f>
        <v>4035089</v>
      </c>
      <c r="C217" s="221"/>
      <c r="D217" s="237"/>
      <c r="E217" s="242">
        <f>SUM(E201:E216)</f>
        <v>1030478.3864180001</v>
      </c>
      <c r="F217" s="242">
        <f t="shared" ref="F217:G217" si="58">SUM(F201:F216)</f>
        <v>103047.83864180002</v>
      </c>
      <c r="G217" s="242">
        <f t="shared" si="58"/>
        <v>1133526.2250597998</v>
      </c>
      <c r="H217" s="133"/>
      <c r="J217" s="134"/>
      <c r="K217" s="133"/>
      <c r="M217" s="134"/>
    </row>
    <row r="218" spans="1:13" ht="12" thickTop="1" x14ac:dyDescent="0.15">
      <c r="A218" s="193" t="s">
        <v>1776</v>
      </c>
      <c r="B218" s="210">
        <v>127660</v>
      </c>
      <c r="C218" s="221">
        <v>21.945399999999999</v>
      </c>
      <c r="D218" s="237">
        <f t="shared" ref="D218:D220" si="59">+B218*C218</f>
        <v>2801549.764</v>
      </c>
      <c r="E218" s="235">
        <f t="shared" ref="E218:E220" si="60">+D218*0.01</f>
        <v>28015.497640000001</v>
      </c>
      <c r="F218" s="235">
        <f t="shared" ref="F218:F220" si="61">+E218*0.1</f>
        <v>2801.5497640000003</v>
      </c>
      <c r="G218" s="236">
        <f t="shared" ref="G218:G220" si="62">SUM(E218:F218)</f>
        <v>30817.047404000001</v>
      </c>
      <c r="H218" s="134"/>
    </row>
    <row r="219" spans="1:13" x14ac:dyDescent="0.15">
      <c r="A219" s="193" t="s">
        <v>1742</v>
      </c>
      <c r="B219" s="210">
        <v>231768</v>
      </c>
      <c r="C219" s="221">
        <v>26.5213</v>
      </c>
      <c r="D219" s="237">
        <f t="shared" si="59"/>
        <v>6146788.6584000001</v>
      </c>
      <c r="E219" s="235">
        <f t="shared" si="60"/>
        <v>61467.886584</v>
      </c>
      <c r="F219" s="235">
        <f t="shared" si="61"/>
        <v>6146.7886584000007</v>
      </c>
      <c r="G219" s="236">
        <f t="shared" si="62"/>
        <v>67614.675242400001</v>
      </c>
    </row>
    <row r="220" spans="1:13" x14ac:dyDescent="0.15">
      <c r="A220" s="193" t="s">
        <v>1780</v>
      </c>
      <c r="B220" s="210">
        <v>302976</v>
      </c>
      <c r="C220" s="221">
        <v>25.4649</v>
      </c>
      <c r="D220" s="237">
        <f t="shared" si="59"/>
        <v>7715253.5423999997</v>
      </c>
      <c r="E220" s="235">
        <f t="shared" si="60"/>
        <v>77152.535424000002</v>
      </c>
      <c r="F220" s="235">
        <f t="shared" si="61"/>
        <v>7715.2535424000007</v>
      </c>
      <c r="G220" s="236">
        <f t="shared" si="62"/>
        <v>84867.788966399996</v>
      </c>
    </row>
    <row r="221" spans="1:13" ht="12" thickBot="1" x14ac:dyDescent="0.2">
      <c r="A221" s="133"/>
      <c r="B221" s="211">
        <f>SUM(B218:B220)</f>
        <v>662404</v>
      </c>
      <c r="C221" s="221"/>
      <c r="D221" s="237"/>
      <c r="E221" s="242">
        <f>SUM(E218:E220)</f>
        <v>166635.91964800001</v>
      </c>
      <c r="F221" s="242">
        <f t="shared" ref="F221:G221" si="63">SUM(F218:F220)</f>
        <v>16663.591964800002</v>
      </c>
      <c r="G221" s="242">
        <f t="shared" si="63"/>
        <v>183299.51161280001</v>
      </c>
    </row>
    <row r="222" spans="1:13" ht="12" thickTop="1" x14ac:dyDescent="0.15">
      <c r="A222" s="133" t="s">
        <v>1775</v>
      </c>
      <c r="B222" s="210">
        <v>132277</v>
      </c>
      <c r="C222" s="221">
        <v>21.985299999999999</v>
      </c>
      <c r="D222" s="237">
        <f t="shared" ref="D222:D224" si="64">+B222*C222</f>
        <v>2908149.5280999998</v>
      </c>
      <c r="E222" s="235">
        <f t="shared" ref="E222:E224" si="65">+D222*0.01</f>
        <v>29081.495281</v>
      </c>
      <c r="F222" s="235">
        <f t="shared" ref="F222:F224" si="66">+E222*0.1</f>
        <v>2908.1495281000002</v>
      </c>
      <c r="G222" s="236">
        <f>SUM(E222:F222)</f>
        <v>31989.644809099998</v>
      </c>
    </row>
    <row r="223" spans="1:13" x14ac:dyDescent="0.15">
      <c r="A223" s="133" t="s">
        <v>1744</v>
      </c>
      <c r="B223" s="210">
        <v>294371</v>
      </c>
      <c r="C223" s="221">
        <v>26.641300000000001</v>
      </c>
      <c r="D223" s="237">
        <f t="shared" si="64"/>
        <v>7842426.1222999999</v>
      </c>
      <c r="E223" s="235">
        <f t="shared" si="65"/>
        <v>78424.261222999994</v>
      </c>
      <c r="F223" s="235">
        <f t="shared" si="66"/>
        <v>7842.4261222999994</v>
      </c>
      <c r="G223" s="236">
        <f>SUM(E223:F223)</f>
        <v>86266.687345299986</v>
      </c>
    </row>
    <row r="224" spans="1:13" x14ac:dyDescent="0.15">
      <c r="A224" s="133" t="s">
        <v>1764</v>
      </c>
      <c r="B224" s="210">
        <v>507778</v>
      </c>
      <c r="C224" s="221">
        <v>26.676300000000001</v>
      </c>
      <c r="D224" s="237">
        <f t="shared" si="64"/>
        <v>13545638.261400001</v>
      </c>
      <c r="E224" s="235">
        <f t="shared" si="65"/>
        <v>135456.382614</v>
      </c>
      <c r="F224" s="235">
        <f t="shared" si="66"/>
        <v>13545.638261400001</v>
      </c>
      <c r="G224" s="236">
        <f>SUM(E224:F224)</f>
        <v>149002.02087539999</v>
      </c>
    </row>
    <row r="225" spans="1:7" ht="12" thickBot="1" x14ac:dyDescent="0.2">
      <c r="A225" s="133"/>
      <c r="B225" s="211">
        <f>SUM(B222:B224)</f>
        <v>934426</v>
      </c>
      <c r="C225" s="221"/>
      <c r="D225" s="237"/>
      <c r="E225" s="242">
        <f>SUM(E222:E224)</f>
        <v>242962.13911799999</v>
      </c>
      <c r="F225" s="242">
        <f t="shared" ref="F225:G225" si="67">SUM(F222:F224)</f>
        <v>24296.213911800001</v>
      </c>
      <c r="G225" s="242">
        <f t="shared" si="67"/>
        <v>267258.3530298</v>
      </c>
    </row>
    <row r="226" spans="1:7" ht="12" thickTop="1" x14ac:dyDescent="0.15">
      <c r="B226" s="231"/>
    </row>
  </sheetData>
  <mergeCells count="8">
    <mergeCell ref="B172:D172"/>
    <mergeCell ref="B173:D17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P620"/>
  <sheetViews>
    <sheetView zoomScale="115" zoomScaleNormal="115" workbookViewId="0">
      <pane ySplit="1" topLeftCell="A307" activePane="bottomLeft" state="frozen"/>
      <selection pane="bottomLeft" activeCell="B42" sqref="B42"/>
    </sheetView>
  </sheetViews>
  <sheetFormatPr defaultColWidth="18.5703125" defaultRowHeight="11.25" x14ac:dyDescent="0.15"/>
  <cols>
    <col min="1" max="1" width="11.5703125" style="134" bestFit="1" customWidth="1"/>
    <col min="2" max="2" width="11.28515625" style="132" customWidth="1"/>
    <col min="3" max="16384" width="18.5703125" style="134"/>
  </cols>
  <sheetData>
    <row r="1" spans="1:2" x14ac:dyDescent="0.15">
      <c r="A1" s="142" t="s">
        <v>7</v>
      </c>
      <c r="B1" s="144" t="s">
        <v>9</v>
      </c>
    </row>
    <row r="2" spans="1:2" x14ac:dyDescent="0.15">
      <c r="A2" s="157"/>
      <c r="B2" s="226"/>
    </row>
    <row r="3" spans="1:2" x14ac:dyDescent="0.15">
      <c r="A3" s="157" t="s">
        <v>4082</v>
      </c>
      <c r="B3" s="227">
        <v>5986.4476379878797</v>
      </c>
    </row>
    <row r="4" spans="1:2" x14ac:dyDescent="0.15">
      <c r="A4" s="157" t="s">
        <v>4082</v>
      </c>
      <c r="B4" s="227">
        <v>31333.467000000001</v>
      </c>
    </row>
    <row r="5" spans="1:2" x14ac:dyDescent="0.15">
      <c r="A5" s="157" t="s">
        <v>4082</v>
      </c>
      <c r="B5" s="227">
        <v>13141.995999999999</v>
      </c>
    </row>
    <row r="6" spans="1:2" x14ac:dyDescent="0.15">
      <c r="A6" s="157" t="s">
        <v>4082</v>
      </c>
      <c r="B6" s="227">
        <v>13214.018</v>
      </c>
    </row>
    <row r="7" spans="1:2" x14ac:dyDescent="0.15">
      <c r="A7" s="157" t="s">
        <v>4082</v>
      </c>
      <c r="B7" s="227">
        <v>14940.543</v>
      </c>
    </row>
    <row r="8" spans="1:2" x14ac:dyDescent="0.15">
      <c r="A8" s="157" t="s">
        <v>4082</v>
      </c>
      <c r="B8" s="227">
        <v>11938.63</v>
      </c>
    </row>
    <row r="9" spans="1:2" x14ac:dyDescent="0.15">
      <c r="A9" s="157" t="s">
        <v>4082</v>
      </c>
      <c r="B9" s="227">
        <v>8361.5429999999997</v>
      </c>
    </row>
    <row r="10" spans="1:2" x14ac:dyDescent="0.15">
      <c r="A10" s="157" t="s">
        <v>4082</v>
      </c>
      <c r="B10" s="227">
        <v>15904.835999999999</v>
      </c>
    </row>
    <row r="11" spans="1:2" x14ac:dyDescent="0.15">
      <c r="A11" s="157" t="s">
        <v>4082</v>
      </c>
      <c r="B11" s="227">
        <v>1578.48</v>
      </c>
    </row>
    <row r="12" spans="1:2" x14ac:dyDescent="0.15">
      <c r="A12" s="157" t="s">
        <v>4082</v>
      </c>
      <c r="B12" s="227">
        <v>9311.8320000000003</v>
      </c>
    </row>
    <row r="13" spans="1:2" x14ac:dyDescent="0.15">
      <c r="A13" s="157" t="s">
        <v>4082</v>
      </c>
      <c r="B13" s="227">
        <v>79641.217000000004</v>
      </c>
    </row>
    <row r="14" spans="1:2" x14ac:dyDescent="0.15">
      <c r="A14" s="157" t="s">
        <v>4082</v>
      </c>
      <c r="B14" s="227">
        <v>12181.294</v>
      </c>
    </row>
    <row r="15" spans="1:2" x14ac:dyDescent="0.15">
      <c r="A15" s="157" t="s">
        <v>4082</v>
      </c>
      <c r="B15" s="227">
        <v>15127.397000000001</v>
      </c>
    </row>
    <row r="16" spans="1:2" x14ac:dyDescent="0.15">
      <c r="A16" s="157" t="s">
        <v>4082</v>
      </c>
      <c r="B16" s="227">
        <v>13568.279362011548</v>
      </c>
    </row>
    <row r="17" spans="1:2" x14ac:dyDescent="0.15">
      <c r="A17" s="157" t="s">
        <v>4083</v>
      </c>
      <c r="B17" s="227">
        <v>791.99663798845199</v>
      </c>
    </row>
    <row r="18" spans="1:2" x14ac:dyDescent="0.15">
      <c r="A18" s="157" t="s">
        <v>4083</v>
      </c>
      <c r="B18" s="227">
        <v>17684.960999999999</v>
      </c>
    </row>
    <row r="19" spans="1:2" x14ac:dyDescent="0.15">
      <c r="A19" s="157" t="s">
        <v>4083</v>
      </c>
      <c r="B19" s="227">
        <v>6308.1959999999999</v>
      </c>
    </row>
    <row r="20" spans="1:2" x14ac:dyDescent="0.15">
      <c r="A20" s="157" t="s">
        <v>4083</v>
      </c>
      <c r="B20" s="227">
        <v>11916.038</v>
      </c>
    </row>
    <row r="21" spans="1:2" x14ac:dyDescent="0.15">
      <c r="A21" s="157" t="s">
        <v>4083</v>
      </c>
      <c r="B21" s="227">
        <v>15748.98</v>
      </c>
    </row>
    <row r="22" spans="1:2" x14ac:dyDescent="0.15">
      <c r="A22" s="157" t="s">
        <v>4083</v>
      </c>
      <c r="B22" s="227">
        <v>13470.825999999999</v>
      </c>
    </row>
    <row r="23" spans="1:2" x14ac:dyDescent="0.15">
      <c r="A23" s="157" t="s">
        <v>4083</v>
      </c>
      <c r="B23" s="227">
        <v>9785.0229999999992</v>
      </c>
    </row>
    <row r="24" spans="1:2" x14ac:dyDescent="0.15">
      <c r="A24" s="157" t="s">
        <v>4083</v>
      </c>
      <c r="B24" s="227">
        <v>12332.248</v>
      </c>
    </row>
    <row r="25" spans="1:2" x14ac:dyDescent="0.15">
      <c r="A25" s="157" t="s">
        <v>4083</v>
      </c>
      <c r="B25" s="227">
        <v>4526.6229999999996</v>
      </c>
    </row>
    <row r="26" spans="1:2" x14ac:dyDescent="0.15">
      <c r="A26" s="157" t="s">
        <v>4083</v>
      </c>
      <c r="B26" s="227">
        <v>11300.562</v>
      </c>
    </row>
    <row r="27" spans="1:2" x14ac:dyDescent="0.15">
      <c r="A27" s="157" t="s">
        <v>4083</v>
      </c>
      <c r="B27" s="227">
        <v>15165.683999999999</v>
      </c>
    </row>
    <row r="28" spans="1:2" x14ac:dyDescent="0.15">
      <c r="A28" s="157" t="s">
        <v>4083</v>
      </c>
      <c r="B28" s="227">
        <v>16194.205</v>
      </c>
    </row>
    <row r="29" spans="1:2" x14ac:dyDescent="0.15">
      <c r="A29" s="157" t="s">
        <v>4083</v>
      </c>
      <c r="B29" s="227">
        <v>14055.121999999999</v>
      </c>
    </row>
    <row r="30" spans="1:2" x14ac:dyDescent="0.15">
      <c r="A30" s="157" t="s">
        <v>4083</v>
      </c>
      <c r="B30" s="227">
        <v>7092.5940000000001</v>
      </c>
    </row>
    <row r="31" spans="1:2" x14ac:dyDescent="0.15">
      <c r="A31" s="157" t="s">
        <v>4083</v>
      </c>
      <c r="B31" s="227">
        <v>3622.2773620115413</v>
      </c>
    </row>
    <row r="32" spans="1:2" x14ac:dyDescent="0.15">
      <c r="A32" s="157" t="s">
        <v>4099</v>
      </c>
      <c r="B32" s="227">
        <v>4741.0526379885296</v>
      </c>
    </row>
    <row r="33" spans="1:2" x14ac:dyDescent="0.15">
      <c r="A33" s="157" t="s">
        <v>4099</v>
      </c>
      <c r="B33" s="227">
        <v>13922.053</v>
      </c>
    </row>
    <row r="34" spans="1:2" x14ac:dyDescent="0.15">
      <c r="A34" s="157" t="s">
        <v>4099</v>
      </c>
      <c r="B34" s="227">
        <v>17093.659</v>
      </c>
    </row>
    <row r="35" spans="1:2" x14ac:dyDescent="0.15">
      <c r="A35" s="157" t="s">
        <v>4099</v>
      </c>
      <c r="B35" s="227">
        <v>6036.058</v>
      </c>
    </row>
    <row r="36" spans="1:2" x14ac:dyDescent="0.15">
      <c r="A36" s="157" t="s">
        <v>4099</v>
      </c>
      <c r="B36" s="227">
        <v>11335.743</v>
      </c>
    </row>
    <row r="37" spans="1:2" x14ac:dyDescent="0.15">
      <c r="A37" s="157" t="s">
        <v>4099</v>
      </c>
      <c r="B37" s="227">
        <v>15703.955</v>
      </c>
    </row>
    <row r="38" spans="1:2" x14ac:dyDescent="0.15">
      <c r="A38" s="157" t="s">
        <v>4099</v>
      </c>
      <c r="B38" s="227">
        <v>15246.09</v>
      </c>
    </row>
    <row r="39" spans="1:2" x14ac:dyDescent="0.15">
      <c r="A39" s="157" t="s">
        <v>4099</v>
      </c>
      <c r="B39" s="227">
        <v>16514.347000000002</v>
      </c>
    </row>
    <row r="40" spans="1:2" x14ac:dyDescent="0.15">
      <c r="A40" s="157" t="s">
        <v>4099</v>
      </c>
      <c r="B40" s="227">
        <v>2254.4569999999999</v>
      </c>
    </row>
    <row r="41" spans="1:2" x14ac:dyDescent="0.15">
      <c r="A41" s="157" t="s">
        <v>4099</v>
      </c>
      <c r="B41" s="227">
        <v>29115.57436201147</v>
      </c>
    </row>
    <row r="42" spans="1:2" x14ac:dyDescent="0.15">
      <c r="A42" s="154" t="s">
        <v>3510</v>
      </c>
      <c r="B42" s="227">
        <v>12928.755999999999</v>
      </c>
    </row>
    <row r="43" spans="1:2" x14ac:dyDescent="0.15">
      <c r="A43" s="154" t="s">
        <v>3510</v>
      </c>
      <c r="B43" s="227">
        <v>39612.932999999997</v>
      </c>
    </row>
    <row r="44" spans="1:2" x14ac:dyDescent="0.15">
      <c r="A44" s="154" t="s">
        <v>3510</v>
      </c>
      <c r="B44" s="227">
        <v>9543.4433620120981</v>
      </c>
    </row>
    <row r="45" spans="1:2" x14ac:dyDescent="0.15">
      <c r="A45" s="157" t="s">
        <v>4087</v>
      </c>
      <c r="B45" s="227">
        <v>11972.316637989001</v>
      </c>
    </row>
    <row r="46" spans="1:2" x14ac:dyDescent="0.15">
      <c r="A46" s="157" t="s">
        <v>4087</v>
      </c>
      <c r="B46" s="227">
        <v>9720.9259999999995</v>
      </c>
    </row>
    <row r="47" spans="1:2" x14ac:dyDescent="0.15">
      <c r="A47" s="157" t="s">
        <v>4087</v>
      </c>
      <c r="B47" s="227">
        <v>12982.05</v>
      </c>
    </row>
    <row r="48" spans="1:2" x14ac:dyDescent="0.15">
      <c r="A48" s="157" t="s">
        <v>4087</v>
      </c>
      <c r="B48" s="227">
        <v>38768.203999999998</v>
      </c>
    </row>
    <row r="49" spans="1:2" x14ac:dyDescent="0.15">
      <c r="A49" s="157" t="s">
        <v>4087</v>
      </c>
      <c r="B49" s="227">
        <v>2441.2570000000001</v>
      </c>
    </row>
    <row r="50" spans="1:2" x14ac:dyDescent="0.15">
      <c r="A50" s="157" t="s">
        <v>4087</v>
      </c>
      <c r="B50" s="227">
        <v>12361.239</v>
      </c>
    </row>
    <row r="51" spans="1:2" x14ac:dyDescent="0.15">
      <c r="A51" s="157" t="s">
        <v>4087</v>
      </c>
      <c r="B51" s="227">
        <v>14228.441999999999</v>
      </c>
    </row>
    <row r="52" spans="1:2" x14ac:dyDescent="0.15">
      <c r="A52" s="157" t="s">
        <v>4087</v>
      </c>
      <c r="B52" s="227">
        <v>13337.352000000001</v>
      </c>
    </row>
    <row r="53" spans="1:2" x14ac:dyDescent="0.15">
      <c r="A53" s="157" t="s">
        <v>4087</v>
      </c>
      <c r="B53" s="227">
        <v>14982.518</v>
      </c>
    </row>
    <row r="54" spans="1:2" x14ac:dyDescent="0.15">
      <c r="A54" s="157" t="s">
        <v>4087</v>
      </c>
      <c r="B54" s="227">
        <v>8042.8149999999996</v>
      </c>
    </row>
    <row r="55" spans="1:2" x14ac:dyDescent="0.15">
      <c r="A55" s="157" t="s">
        <v>4087</v>
      </c>
      <c r="B55" s="227">
        <v>16605.683000000001</v>
      </c>
    </row>
    <row r="56" spans="1:2" x14ac:dyDescent="0.15">
      <c r="A56" s="157" t="s">
        <v>4087</v>
      </c>
      <c r="B56" s="227">
        <v>9039.9159999999993</v>
      </c>
    </row>
    <row r="57" spans="1:2" x14ac:dyDescent="0.15">
      <c r="A57" s="157" t="s">
        <v>4087</v>
      </c>
      <c r="B57" s="227">
        <v>83547.467000000004</v>
      </c>
    </row>
    <row r="58" spans="1:2" x14ac:dyDescent="0.15">
      <c r="A58" s="157" t="s">
        <v>4087</v>
      </c>
      <c r="B58" s="227">
        <v>15303.24</v>
      </c>
    </row>
    <row r="59" spans="1:2" x14ac:dyDescent="0.15">
      <c r="A59" s="157" t="s">
        <v>4087</v>
      </c>
      <c r="B59" s="227">
        <v>15887.942999999999</v>
      </c>
    </row>
    <row r="60" spans="1:2" x14ac:dyDescent="0.15">
      <c r="A60" s="157" t="s">
        <v>4087</v>
      </c>
      <c r="B60" s="227">
        <v>6488.71</v>
      </c>
    </row>
    <row r="61" spans="1:2" x14ac:dyDescent="0.15">
      <c r="A61" s="157" t="s">
        <v>4087</v>
      </c>
      <c r="B61" s="227">
        <v>3710.1190000000001</v>
      </c>
    </row>
    <row r="62" spans="1:2" x14ac:dyDescent="0.15">
      <c r="A62" s="157" t="s">
        <v>4087</v>
      </c>
      <c r="B62" s="227">
        <v>37230.120999999999</v>
      </c>
    </row>
    <row r="63" spans="1:2" x14ac:dyDescent="0.15">
      <c r="A63" s="157" t="s">
        <v>4089</v>
      </c>
      <c r="B63" s="227">
        <v>12032.4826379889</v>
      </c>
    </row>
    <row r="64" spans="1:2" x14ac:dyDescent="0.15">
      <c r="A64" s="157" t="s">
        <v>4089</v>
      </c>
      <c r="B64" s="227">
        <v>14359.366</v>
      </c>
    </row>
    <row r="65" spans="1:2" x14ac:dyDescent="0.15">
      <c r="A65" s="157" t="s">
        <v>4089</v>
      </c>
      <c r="B65" s="227">
        <v>11624.535</v>
      </c>
    </row>
    <row r="66" spans="1:2" x14ac:dyDescent="0.15">
      <c r="A66" s="157" t="s">
        <v>4089</v>
      </c>
      <c r="B66" s="227">
        <v>7364.2389999999996</v>
      </c>
    </row>
    <row r="67" spans="1:2" x14ac:dyDescent="0.15">
      <c r="A67" s="157" t="s">
        <v>4089</v>
      </c>
      <c r="B67" s="227">
        <v>14892.528</v>
      </c>
    </row>
    <row r="68" spans="1:2" x14ac:dyDescent="0.15">
      <c r="A68" s="157" t="s">
        <v>4089</v>
      </c>
      <c r="B68" s="227">
        <v>9428.8670000000002</v>
      </c>
    </row>
    <row r="69" spans="1:2" x14ac:dyDescent="0.15">
      <c r="A69" s="157" t="s">
        <v>4089</v>
      </c>
      <c r="B69" s="227">
        <v>864.73699999999997</v>
      </c>
    </row>
    <row r="70" spans="1:2" x14ac:dyDescent="0.15">
      <c r="A70" s="157" t="s">
        <v>4089</v>
      </c>
      <c r="B70" s="227">
        <v>12773.114</v>
      </c>
    </row>
    <row r="71" spans="1:2" x14ac:dyDescent="0.15">
      <c r="A71" s="157" t="s">
        <v>4089</v>
      </c>
      <c r="B71" s="227">
        <v>14883.472</v>
      </c>
    </row>
    <row r="72" spans="1:2" x14ac:dyDescent="0.15">
      <c r="A72" s="157" t="s">
        <v>4089</v>
      </c>
      <c r="B72" s="227">
        <v>4303.6909999999998</v>
      </c>
    </row>
    <row r="73" spans="1:2" x14ac:dyDescent="0.15">
      <c r="A73" s="157" t="s">
        <v>4089</v>
      </c>
      <c r="B73" s="227">
        <v>35530.19</v>
      </c>
    </row>
    <row r="74" spans="1:2" x14ac:dyDescent="0.15">
      <c r="A74" s="157" t="s">
        <v>4089</v>
      </c>
      <c r="B74" s="227">
        <v>14153</v>
      </c>
    </row>
    <row r="75" spans="1:2" x14ac:dyDescent="0.15">
      <c r="A75" s="157" t="s">
        <v>4089</v>
      </c>
      <c r="B75" s="227">
        <v>13963</v>
      </c>
    </row>
    <row r="76" spans="1:2" x14ac:dyDescent="0.15">
      <c r="A76" s="157" t="s">
        <v>4089</v>
      </c>
      <c r="B76" s="227">
        <v>18637</v>
      </c>
    </row>
    <row r="77" spans="1:2" x14ac:dyDescent="0.15">
      <c r="A77" s="157" t="s">
        <v>4089</v>
      </c>
      <c r="B77" s="227">
        <v>10928</v>
      </c>
    </row>
    <row r="78" spans="1:2" x14ac:dyDescent="0.15">
      <c r="A78" s="157" t="s">
        <v>4089</v>
      </c>
      <c r="B78" s="227">
        <v>8365</v>
      </c>
    </row>
    <row r="79" spans="1:2" x14ac:dyDescent="0.15">
      <c r="A79" s="157" t="s">
        <v>4089</v>
      </c>
      <c r="B79" s="227">
        <v>8834</v>
      </c>
    </row>
    <row r="80" spans="1:2" x14ac:dyDescent="0.15">
      <c r="A80" s="157" t="s">
        <v>4089</v>
      </c>
      <c r="B80" s="227">
        <v>69900</v>
      </c>
    </row>
    <row r="81" spans="1:2" x14ac:dyDescent="0.15">
      <c r="A81" s="157" t="s">
        <v>4089</v>
      </c>
      <c r="B81" s="227">
        <v>11956</v>
      </c>
    </row>
    <row r="82" spans="1:2" x14ac:dyDescent="0.15">
      <c r="A82" s="157" t="s">
        <v>4089</v>
      </c>
      <c r="B82" s="227">
        <v>6226</v>
      </c>
    </row>
    <row r="83" spans="1:2" x14ac:dyDescent="0.15">
      <c r="A83" s="157" t="s">
        <v>4089</v>
      </c>
      <c r="B83" s="227">
        <v>16096.153</v>
      </c>
    </row>
    <row r="84" spans="1:2" x14ac:dyDescent="0.15">
      <c r="A84" s="157" t="s">
        <v>4089</v>
      </c>
      <c r="B84" s="227">
        <v>13499.125362011995</v>
      </c>
    </row>
    <row r="85" spans="1:2" x14ac:dyDescent="0.15">
      <c r="A85" s="154" t="s">
        <v>3513</v>
      </c>
      <c r="B85" s="227">
        <v>8259.3866379879491</v>
      </c>
    </row>
    <row r="86" spans="1:2" x14ac:dyDescent="0.15">
      <c r="A86" s="154" t="s">
        <v>3513</v>
      </c>
      <c r="B86" s="227">
        <v>12625.28</v>
      </c>
    </row>
    <row r="87" spans="1:2" x14ac:dyDescent="0.15">
      <c r="A87" s="154" t="s">
        <v>3513</v>
      </c>
      <c r="B87" s="227">
        <v>15693.591</v>
      </c>
    </row>
    <row r="88" spans="1:2" x14ac:dyDescent="0.15">
      <c r="A88" s="154" t="s">
        <v>3513</v>
      </c>
      <c r="B88" s="227">
        <v>2610.9409999999998</v>
      </c>
    </row>
    <row r="89" spans="1:2" x14ac:dyDescent="0.15">
      <c r="A89" s="154" t="s">
        <v>3513</v>
      </c>
      <c r="B89" s="227">
        <v>12430.957</v>
      </c>
    </row>
    <row r="90" spans="1:2" x14ac:dyDescent="0.15">
      <c r="A90" s="154" t="s">
        <v>3513</v>
      </c>
      <c r="B90" s="227">
        <v>7028.1490000000003</v>
      </c>
    </row>
    <row r="91" spans="1:2" x14ac:dyDescent="0.15">
      <c r="A91" s="154" t="s">
        <v>3513</v>
      </c>
      <c r="B91" s="227">
        <v>14093.282999999999</v>
      </c>
    </row>
    <row r="92" spans="1:2" x14ac:dyDescent="0.15">
      <c r="A92" s="154" t="s">
        <v>3513</v>
      </c>
      <c r="B92" s="227">
        <v>12807.861000000001</v>
      </c>
    </row>
    <row r="93" spans="1:2" x14ac:dyDescent="0.15">
      <c r="A93" s="154" t="s">
        <v>3513</v>
      </c>
      <c r="B93" s="227">
        <v>14185.674999999999</v>
      </c>
    </row>
    <row r="94" spans="1:2" x14ac:dyDescent="0.15">
      <c r="A94" s="154" t="s">
        <v>3513</v>
      </c>
      <c r="B94" s="227">
        <v>10123.326999999999</v>
      </c>
    </row>
    <row r="95" spans="1:2" x14ac:dyDescent="0.15">
      <c r="A95" s="154" t="s">
        <v>3513</v>
      </c>
      <c r="B95" s="227">
        <v>15174.383</v>
      </c>
    </row>
    <row r="96" spans="1:2" x14ac:dyDescent="0.15">
      <c r="A96" s="154" t="s">
        <v>3513</v>
      </c>
      <c r="B96" s="227">
        <v>6480.0280000000002</v>
      </c>
    </row>
    <row r="97" spans="1:2" x14ac:dyDescent="0.15">
      <c r="A97" s="154" t="s">
        <v>3513</v>
      </c>
      <c r="B97" s="227">
        <v>22877.033362012065</v>
      </c>
    </row>
    <row r="98" spans="1:2" x14ac:dyDescent="0.15">
      <c r="A98" s="157" t="s">
        <v>4080</v>
      </c>
      <c r="B98" s="227">
        <v>1819.9146379879401</v>
      </c>
    </row>
    <row r="99" spans="1:2" x14ac:dyDescent="0.15">
      <c r="A99" s="157" t="s">
        <v>4080</v>
      </c>
      <c r="B99" s="227">
        <v>1931.413</v>
      </c>
    </row>
    <row r="100" spans="1:2" x14ac:dyDescent="0.15">
      <c r="A100" s="157" t="s">
        <v>4080</v>
      </c>
      <c r="B100" s="227">
        <v>12102.319</v>
      </c>
    </row>
    <row r="101" spans="1:2" x14ac:dyDescent="0.15">
      <c r="A101" s="157" t="s">
        <v>4080</v>
      </c>
      <c r="B101" s="227">
        <v>38290.351999999999</v>
      </c>
    </row>
    <row r="102" spans="1:2" x14ac:dyDescent="0.15">
      <c r="A102" s="157" t="s">
        <v>4080</v>
      </c>
      <c r="B102" s="227">
        <v>11956.934999999999</v>
      </c>
    </row>
    <row r="103" spans="1:2" x14ac:dyDescent="0.15">
      <c r="A103" s="157" t="s">
        <v>4080</v>
      </c>
      <c r="B103" s="227">
        <v>17902.919999999998</v>
      </c>
    </row>
    <row r="104" spans="1:2" x14ac:dyDescent="0.15">
      <c r="A104" s="157" t="s">
        <v>4080</v>
      </c>
      <c r="B104" s="227">
        <v>12061.882</v>
      </c>
    </row>
    <row r="105" spans="1:2" x14ac:dyDescent="0.15">
      <c r="A105" s="157" t="s">
        <v>4080</v>
      </c>
      <c r="B105" s="227">
        <v>8239.8209999999999</v>
      </c>
    </row>
    <row r="106" spans="1:2" x14ac:dyDescent="0.15">
      <c r="A106" s="157" t="s">
        <v>4080</v>
      </c>
      <c r="B106" s="227">
        <v>16778.490000000002</v>
      </c>
    </row>
    <row r="107" spans="1:2" x14ac:dyDescent="0.15">
      <c r="A107" s="157" t="s">
        <v>4080</v>
      </c>
      <c r="B107" s="227">
        <v>9464.2000000000007</v>
      </c>
    </row>
    <row r="108" spans="1:2" x14ac:dyDescent="0.15">
      <c r="A108" s="157" t="s">
        <v>4080</v>
      </c>
      <c r="B108" s="227">
        <v>11898.965</v>
      </c>
    </row>
    <row r="109" spans="1:2" x14ac:dyDescent="0.15">
      <c r="A109" s="157" t="s">
        <v>4080</v>
      </c>
      <c r="B109" s="227">
        <v>2680.64</v>
      </c>
    </row>
    <row r="110" spans="1:2" x14ac:dyDescent="0.15">
      <c r="A110" s="157" t="s">
        <v>4080</v>
      </c>
      <c r="B110" s="227">
        <v>11983.922</v>
      </c>
    </row>
    <row r="111" spans="1:2" x14ac:dyDescent="0.15">
      <c r="A111" s="157" t="s">
        <v>4080</v>
      </c>
      <c r="B111" s="227">
        <v>79165.072</v>
      </c>
    </row>
    <row r="112" spans="1:2" x14ac:dyDescent="0.15">
      <c r="A112" s="157" t="s">
        <v>4080</v>
      </c>
      <c r="B112" s="227">
        <v>13335.055</v>
      </c>
    </row>
    <row r="113" spans="1:2" x14ac:dyDescent="0.15">
      <c r="A113" s="157" t="s">
        <v>4080</v>
      </c>
      <c r="B113" s="227">
        <v>13157.001</v>
      </c>
    </row>
    <row r="114" spans="1:2" x14ac:dyDescent="0.15">
      <c r="A114" s="157" t="s">
        <v>4080</v>
      </c>
      <c r="B114" s="227">
        <v>13174.005999999999</v>
      </c>
    </row>
    <row r="115" spans="1:2" x14ac:dyDescent="0.15">
      <c r="A115" s="157" t="s">
        <v>4080</v>
      </c>
      <c r="B115" s="227">
        <v>8429.5630000000001</v>
      </c>
    </row>
    <row r="116" spans="1:2" x14ac:dyDescent="0.15">
      <c r="A116" s="157" t="s">
        <v>4080</v>
      </c>
      <c r="B116" s="227">
        <v>13549.12</v>
      </c>
    </row>
    <row r="117" spans="1:2" x14ac:dyDescent="0.15">
      <c r="A117" s="157" t="s">
        <v>4080</v>
      </c>
      <c r="B117" s="227">
        <v>2493.241</v>
      </c>
    </row>
    <row r="118" spans="1:2" x14ac:dyDescent="0.15">
      <c r="A118" s="157" t="s">
        <v>4080</v>
      </c>
      <c r="B118" s="227">
        <v>13235.973</v>
      </c>
    </row>
    <row r="119" spans="1:2" x14ac:dyDescent="0.15">
      <c r="A119" s="157" t="s">
        <v>4080</v>
      </c>
      <c r="B119" s="227">
        <v>17249.98</v>
      </c>
    </row>
    <row r="120" spans="1:2" x14ac:dyDescent="0.15">
      <c r="A120" s="157" t="s">
        <v>4080</v>
      </c>
      <c r="B120" s="227">
        <v>14667.888000000001</v>
      </c>
    </row>
    <row r="121" spans="1:2" x14ac:dyDescent="0.15">
      <c r="A121" s="157" t="s">
        <v>4080</v>
      </c>
      <c r="B121" s="227">
        <v>15917.901</v>
      </c>
    </row>
    <row r="122" spans="1:2" x14ac:dyDescent="0.15">
      <c r="A122" s="157" t="s">
        <v>4080</v>
      </c>
      <c r="B122" s="227">
        <v>13382.846</v>
      </c>
    </row>
    <row r="123" spans="1:2" x14ac:dyDescent="0.15">
      <c r="A123" s="157" t="s">
        <v>4080</v>
      </c>
      <c r="B123" s="227">
        <v>12636.241</v>
      </c>
    </row>
    <row r="124" spans="1:2" x14ac:dyDescent="0.15">
      <c r="A124" s="157" t="s">
        <v>4080</v>
      </c>
      <c r="B124" s="227">
        <v>8196.643</v>
      </c>
    </row>
    <row r="125" spans="1:2" x14ac:dyDescent="0.15">
      <c r="A125" s="157" t="s">
        <v>4080</v>
      </c>
      <c r="B125" s="227">
        <v>9835.9719999999998</v>
      </c>
    </row>
    <row r="126" spans="1:2" x14ac:dyDescent="0.15">
      <c r="A126" s="157" t="s">
        <v>4080</v>
      </c>
      <c r="B126" s="227">
        <v>14296.65</v>
      </c>
    </row>
    <row r="127" spans="1:2" x14ac:dyDescent="0.15">
      <c r="A127" s="157" t="s">
        <v>4080</v>
      </c>
      <c r="B127" s="227">
        <v>13583.867</v>
      </c>
    </row>
    <row r="128" spans="1:2" x14ac:dyDescent="0.15">
      <c r="A128" s="157" t="s">
        <v>4080</v>
      </c>
      <c r="B128" s="227">
        <v>297.90899999999999</v>
      </c>
    </row>
    <row r="129" spans="1:2" x14ac:dyDescent="0.15">
      <c r="A129" s="157" t="s">
        <v>4080</v>
      </c>
      <c r="B129" s="227">
        <v>13452.906999999999</v>
      </c>
    </row>
    <row r="130" spans="1:2" x14ac:dyDescent="0.15">
      <c r="A130" s="157" t="s">
        <v>4080</v>
      </c>
      <c r="B130" s="227">
        <v>33754.730000000003</v>
      </c>
    </row>
    <row r="131" spans="1:2" x14ac:dyDescent="0.15">
      <c r="A131" s="157" t="s">
        <v>4080</v>
      </c>
      <c r="B131" s="227">
        <v>7923.9793620116179</v>
      </c>
    </row>
    <row r="132" spans="1:2" x14ac:dyDescent="0.15">
      <c r="A132" s="157" t="s">
        <v>4084</v>
      </c>
      <c r="B132" s="227">
        <v>11356.3126379885</v>
      </c>
    </row>
    <row r="133" spans="1:2" x14ac:dyDescent="0.15">
      <c r="A133" s="157" t="s">
        <v>4084</v>
      </c>
      <c r="B133" s="227">
        <v>9313.7189999999991</v>
      </c>
    </row>
    <row r="134" spans="1:2" x14ac:dyDescent="0.15">
      <c r="A134" s="157" t="s">
        <v>4084</v>
      </c>
      <c r="B134" s="227">
        <v>13919.527</v>
      </c>
    </row>
    <row r="135" spans="1:2" x14ac:dyDescent="0.15">
      <c r="A135" s="157" t="s">
        <v>4084</v>
      </c>
      <c r="B135" s="227">
        <v>591.64</v>
      </c>
    </row>
    <row r="136" spans="1:2" x14ac:dyDescent="0.15">
      <c r="A136" s="157" t="s">
        <v>4084</v>
      </c>
      <c r="B136" s="227">
        <v>15001.868</v>
      </c>
    </row>
    <row r="137" spans="1:2" x14ac:dyDescent="0.15">
      <c r="A137" s="157" t="s">
        <v>4084</v>
      </c>
      <c r="B137" s="227">
        <v>4467.2809999999999</v>
      </c>
    </row>
    <row r="138" spans="1:2" x14ac:dyDescent="0.15">
      <c r="A138" s="157" t="s">
        <v>4084</v>
      </c>
      <c r="B138" s="227">
        <v>12225.558000000001</v>
      </c>
    </row>
    <row r="139" spans="1:2" x14ac:dyDescent="0.15">
      <c r="A139" s="157" t="s">
        <v>4084</v>
      </c>
      <c r="B139" s="227">
        <v>39099.963000000003</v>
      </c>
    </row>
    <row r="140" spans="1:2" x14ac:dyDescent="0.15">
      <c r="A140" s="157" t="s">
        <v>4084</v>
      </c>
      <c r="B140" s="227">
        <v>14100.429</v>
      </c>
    </row>
    <row r="141" spans="1:2" x14ac:dyDescent="0.15">
      <c r="A141" s="157" t="s">
        <v>4084</v>
      </c>
      <c r="B141" s="227">
        <v>12281.245000000001</v>
      </c>
    </row>
    <row r="142" spans="1:2" x14ac:dyDescent="0.15">
      <c r="A142" s="157" t="s">
        <v>4084</v>
      </c>
      <c r="B142" s="227">
        <v>17701.794000000002</v>
      </c>
    </row>
    <row r="143" spans="1:2" x14ac:dyDescent="0.15">
      <c r="A143" s="157" t="s">
        <v>4084</v>
      </c>
      <c r="B143" s="227">
        <v>5790.6523620114313</v>
      </c>
    </row>
    <row r="144" spans="1:2" x14ac:dyDescent="0.15">
      <c r="A144" s="157" t="s">
        <v>4085</v>
      </c>
      <c r="B144" s="227">
        <v>881.02363798856902</v>
      </c>
    </row>
    <row r="145" spans="1:2" x14ac:dyDescent="0.15">
      <c r="A145" s="157" t="s">
        <v>4085</v>
      </c>
      <c r="B145" s="227">
        <v>15806.602000000001</v>
      </c>
    </row>
    <row r="146" spans="1:2" x14ac:dyDescent="0.15">
      <c r="A146" s="157" t="s">
        <v>4085</v>
      </c>
      <c r="B146" s="227">
        <v>64058.493000000002</v>
      </c>
    </row>
    <row r="147" spans="1:2" x14ac:dyDescent="0.15">
      <c r="A147" s="157" t="s">
        <v>4085</v>
      </c>
      <c r="B147" s="227">
        <v>71909.289000000004</v>
      </c>
    </row>
    <row r="148" spans="1:2" x14ac:dyDescent="0.15">
      <c r="A148" s="157" t="s">
        <v>4085</v>
      </c>
      <c r="B148" s="227">
        <v>1873.24</v>
      </c>
    </row>
    <row r="149" spans="1:2" x14ac:dyDescent="0.15">
      <c r="A149" s="157" t="s">
        <v>4085</v>
      </c>
      <c r="B149" s="227">
        <v>6184.491</v>
      </c>
    </row>
    <row r="150" spans="1:2" x14ac:dyDescent="0.15">
      <c r="A150" s="157" t="s">
        <v>4085</v>
      </c>
      <c r="B150" s="227">
        <v>13941.343999999999</v>
      </c>
    </row>
    <row r="151" spans="1:2" x14ac:dyDescent="0.15">
      <c r="A151" s="157" t="s">
        <v>4085</v>
      </c>
      <c r="B151" s="227">
        <v>5827.6360000000004</v>
      </c>
    </row>
    <row r="152" spans="1:2" x14ac:dyDescent="0.15">
      <c r="A152" s="157" t="s">
        <v>4085</v>
      </c>
      <c r="B152" s="227">
        <v>14296.2</v>
      </c>
    </row>
    <row r="153" spans="1:2" x14ac:dyDescent="0.15">
      <c r="A153" s="157" t="s">
        <v>4085</v>
      </c>
      <c r="B153" s="227">
        <v>15737.018</v>
      </c>
    </row>
    <row r="154" spans="1:2" x14ac:dyDescent="0.15">
      <c r="A154" s="157" t="s">
        <v>4085</v>
      </c>
      <c r="B154" s="227">
        <v>14846.47</v>
      </c>
    </row>
    <row r="155" spans="1:2" x14ac:dyDescent="0.15">
      <c r="A155" s="157" t="s">
        <v>4085</v>
      </c>
      <c r="B155" s="227">
        <v>12840.486999999999</v>
      </c>
    </row>
    <row r="156" spans="1:2" x14ac:dyDescent="0.15">
      <c r="A156" s="157" t="s">
        <v>4085</v>
      </c>
      <c r="B156" s="227">
        <v>12786.514999999999</v>
      </c>
    </row>
    <row r="157" spans="1:2" x14ac:dyDescent="0.15">
      <c r="A157" s="157" t="s">
        <v>4085</v>
      </c>
      <c r="B157" s="227">
        <v>6800.5510000000004</v>
      </c>
    </row>
    <row r="158" spans="1:2" x14ac:dyDescent="0.15">
      <c r="A158" s="157" t="s">
        <v>4085</v>
      </c>
      <c r="B158" s="227">
        <v>927.53</v>
      </c>
    </row>
    <row r="159" spans="1:2" x14ac:dyDescent="0.15">
      <c r="A159" s="157" t="s">
        <v>4085</v>
      </c>
      <c r="B159" s="227">
        <v>12090.868</v>
      </c>
    </row>
    <row r="160" spans="1:2" x14ac:dyDescent="0.15">
      <c r="A160" s="157" t="s">
        <v>4085</v>
      </c>
      <c r="B160" s="227">
        <v>17864.938999999998</v>
      </c>
    </row>
    <row r="161" spans="1:2" x14ac:dyDescent="0.15">
      <c r="A161" s="157" t="s">
        <v>4085</v>
      </c>
      <c r="B161" s="227">
        <v>4920.5039999999999</v>
      </c>
    </row>
    <row r="162" spans="1:2" x14ac:dyDescent="0.15">
      <c r="A162" s="157" t="s">
        <v>4085</v>
      </c>
      <c r="B162" s="227">
        <v>14021.102999999999</v>
      </c>
    </row>
    <row r="163" spans="1:2" x14ac:dyDescent="0.15">
      <c r="A163" s="157" t="s">
        <v>4085</v>
      </c>
      <c r="B163" s="227">
        <v>13163.669</v>
      </c>
    </row>
    <row r="164" spans="1:2" x14ac:dyDescent="0.15">
      <c r="A164" s="157" t="s">
        <v>4085</v>
      </c>
      <c r="B164" s="227">
        <v>8199.5033620114682</v>
      </c>
    </row>
    <row r="165" spans="1:2" x14ac:dyDescent="0.15">
      <c r="A165" s="157" t="s">
        <v>4086</v>
      </c>
      <c r="B165" s="227">
        <v>6402.6246379885297</v>
      </c>
    </row>
    <row r="166" spans="1:2" x14ac:dyDescent="0.15">
      <c r="A166" s="157" t="s">
        <v>4086</v>
      </c>
      <c r="B166" s="227">
        <v>14586.391</v>
      </c>
    </row>
    <row r="167" spans="1:2" x14ac:dyDescent="0.15">
      <c r="A167" s="157" t="s">
        <v>4086</v>
      </c>
      <c r="B167" s="227">
        <v>18092.167000000001</v>
      </c>
    </row>
    <row r="168" spans="1:2" x14ac:dyDescent="0.15">
      <c r="A168" s="157" t="s">
        <v>4086</v>
      </c>
      <c r="B168" s="227">
        <v>12121.142</v>
      </c>
    </row>
    <row r="169" spans="1:2" x14ac:dyDescent="0.15">
      <c r="A169" s="157" t="s">
        <v>4086</v>
      </c>
      <c r="B169" s="227">
        <v>4953.51</v>
      </c>
    </row>
    <row r="170" spans="1:2" x14ac:dyDescent="0.15">
      <c r="A170" s="157" t="s">
        <v>4086</v>
      </c>
      <c r="B170" s="227">
        <v>12406.286</v>
      </c>
    </row>
    <row r="171" spans="1:2" x14ac:dyDescent="0.15">
      <c r="A171" s="157" t="s">
        <v>4086</v>
      </c>
      <c r="B171" s="227">
        <v>75228.116999999998</v>
      </c>
    </row>
    <row r="172" spans="1:2" x14ac:dyDescent="0.15">
      <c r="A172" s="157" t="s">
        <v>4086</v>
      </c>
      <c r="B172" s="227">
        <v>69161.793362010969</v>
      </c>
    </row>
    <row r="173" spans="1:2" x14ac:dyDescent="0.15">
      <c r="A173" s="154" t="s">
        <v>3511</v>
      </c>
      <c r="B173" s="227">
        <v>8848.0966379878992</v>
      </c>
    </row>
    <row r="174" spans="1:2" x14ac:dyDescent="0.15">
      <c r="A174" s="154" t="s">
        <v>3511</v>
      </c>
      <c r="B174" s="227">
        <v>11571.307000000001</v>
      </c>
    </row>
    <row r="175" spans="1:2" x14ac:dyDescent="0.15">
      <c r="A175" s="154" t="s">
        <v>3511</v>
      </c>
      <c r="B175" s="227">
        <v>15809.588</v>
      </c>
    </row>
    <row r="176" spans="1:2" x14ac:dyDescent="0.15">
      <c r="A176" s="154" t="s">
        <v>3511</v>
      </c>
      <c r="B176" s="227">
        <v>58689.372000000003</v>
      </c>
    </row>
    <row r="177" spans="1:2" x14ac:dyDescent="0.15">
      <c r="A177" s="154" t="s">
        <v>3511</v>
      </c>
      <c r="B177" s="227">
        <v>360.70699999999999</v>
      </c>
    </row>
    <row r="178" spans="1:2" x14ac:dyDescent="0.15">
      <c r="A178" s="154" t="s">
        <v>3511</v>
      </c>
      <c r="B178" s="227">
        <v>12426.915000000001</v>
      </c>
    </row>
    <row r="179" spans="1:2" x14ac:dyDescent="0.15">
      <c r="A179" s="154" t="s">
        <v>3511</v>
      </c>
      <c r="B179" s="227">
        <v>2787.7379999999998</v>
      </c>
    </row>
    <row r="180" spans="1:2" x14ac:dyDescent="0.15">
      <c r="A180" s="154" t="s">
        <v>3511</v>
      </c>
      <c r="B180" s="227">
        <v>11709.498</v>
      </c>
    </row>
    <row r="181" spans="1:2" x14ac:dyDescent="0.15">
      <c r="A181" s="157" t="s">
        <v>4088</v>
      </c>
      <c r="B181" s="227">
        <v>14422.222</v>
      </c>
    </row>
    <row r="182" spans="1:2" x14ac:dyDescent="0.15">
      <c r="A182" s="157" t="s">
        <v>4088</v>
      </c>
      <c r="B182" s="227">
        <v>17645.259999999998</v>
      </c>
    </row>
    <row r="183" spans="1:2" x14ac:dyDescent="0.15">
      <c r="A183" s="157" t="s">
        <v>4088</v>
      </c>
      <c r="B183" s="227">
        <v>12815.2</v>
      </c>
    </row>
    <row r="184" spans="1:2" x14ac:dyDescent="0.15">
      <c r="A184" s="157" t="s">
        <v>4088</v>
      </c>
      <c r="B184" s="227">
        <v>710.56799999999998</v>
      </c>
    </row>
    <row r="185" spans="1:2" x14ac:dyDescent="0.15">
      <c r="A185" s="157" t="s">
        <v>4088</v>
      </c>
      <c r="B185" s="227">
        <v>11591.945</v>
      </c>
    </row>
    <row r="186" spans="1:2" x14ac:dyDescent="0.15">
      <c r="A186" s="157" t="s">
        <v>4088</v>
      </c>
      <c r="B186" s="227">
        <v>13968.08</v>
      </c>
    </row>
    <row r="187" spans="1:2" x14ac:dyDescent="0.15">
      <c r="A187" s="157" t="s">
        <v>4088</v>
      </c>
      <c r="B187" s="227">
        <v>17625.482</v>
      </c>
    </row>
    <row r="188" spans="1:2" x14ac:dyDescent="0.15">
      <c r="A188" s="157" t="s">
        <v>4088</v>
      </c>
      <c r="B188" s="227">
        <v>5461.1210000000001</v>
      </c>
    </row>
    <row r="189" spans="1:2" x14ac:dyDescent="0.15">
      <c r="A189" s="157" t="s">
        <v>4088</v>
      </c>
      <c r="B189" s="227">
        <v>12746.947</v>
      </c>
    </row>
    <row r="190" spans="1:2" x14ac:dyDescent="0.15">
      <c r="A190" s="157" t="s">
        <v>4088</v>
      </c>
      <c r="B190" s="227">
        <v>12162.698</v>
      </c>
    </row>
    <row r="191" spans="1:2" x14ac:dyDescent="0.15">
      <c r="A191" s="157" t="s">
        <v>4088</v>
      </c>
      <c r="B191" s="227">
        <v>250.25236201109874</v>
      </c>
    </row>
    <row r="192" spans="1:2" x14ac:dyDescent="0.15">
      <c r="A192" s="157" t="s">
        <v>3512</v>
      </c>
      <c r="B192" s="227">
        <v>12420.259</v>
      </c>
    </row>
    <row r="193" spans="1:2" x14ac:dyDescent="0.15">
      <c r="A193" s="157" t="s">
        <v>3512</v>
      </c>
      <c r="B193" s="227">
        <v>12011.217000000001</v>
      </c>
    </row>
    <row r="194" spans="1:2" x14ac:dyDescent="0.15">
      <c r="A194" s="157" t="s">
        <v>3512</v>
      </c>
      <c r="B194" s="227">
        <v>10109.025</v>
      </c>
    </row>
    <row r="195" spans="1:2" x14ac:dyDescent="0.15">
      <c r="A195" s="157" t="s">
        <v>3512</v>
      </c>
      <c r="B195" s="227">
        <v>12345.251</v>
      </c>
    </row>
    <row r="196" spans="1:2" x14ac:dyDescent="0.15">
      <c r="A196" s="157" t="s">
        <v>3512</v>
      </c>
      <c r="B196" s="227">
        <v>1448.2660000000001</v>
      </c>
    </row>
    <row r="197" spans="1:2" x14ac:dyDescent="0.15">
      <c r="A197" s="157" t="s">
        <v>3512</v>
      </c>
      <c r="B197" s="227">
        <v>12572.273999999999</v>
      </c>
    </row>
    <row r="198" spans="1:2" x14ac:dyDescent="0.15">
      <c r="A198" s="157" t="s">
        <v>3512</v>
      </c>
      <c r="B198" s="227">
        <v>11221.137000000001</v>
      </c>
    </row>
    <row r="199" spans="1:2" x14ac:dyDescent="0.15">
      <c r="A199" s="157" t="s">
        <v>3512</v>
      </c>
      <c r="B199" s="227">
        <v>13809.4</v>
      </c>
    </row>
    <row r="200" spans="1:2" x14ac:dyDescent="0.15">
      <c r="A200" s="157" t="s">
        <v>3512</v>
      </c>
      <c r="B200" s="227">
        <v>17599.784</v>
      </c>
    </row>
    <row r="201" spans="1:2" x14ac:dyDescent="0.15">
      <c r="A201" s="157" t="s">
        <v>3512</v>
      </c>
      <c r="B201" s="227">
        <v>13256.343999999999</v>
      </c>
    </row>
    <row r="202" spans="1:2" x14ac:dyDescent="0.15">
      <c r="A202" s="157" t="s">
        <v>3512</v>
      </c>
      <c r="B202" s="227">
        <v>11702.186</v>
      </c>
    </row>
    <row r="203" spans="1:2" x14ac:dyDescent="0.15">
      <c r="A203" s="157" t="s">
        <v>3512</v>
      </c>
      <c r="B203" s="227">
        <v>14489.123</v>
      </c>
    </row>
    <row r="204" spans="1:2" x14ac:dyDescent="0.15">
      <c r="A204" s="157" t="s">
        <v>3512</v>
      </c>
      <c r="B204" s="227">
        <v>3881.393</v>
      </c>
    </row>
    <row r="205" spans="1:2" x14ac:dyDescent="0.15">
      <c r="A205" s="157" t="s">
        <v>3512</v>
      </c>
      <c r="B205" s="227">
        <v>12272.022000000001</v>
      </c>
    </row>
    <row r="206" spans="1:2" x14ac:dyDescent="0.15">
      <c r="A206" s="157" t="s">
        <v>3512</v>
      </c>
      <c r="B206" s="227">
        <v>13823.001</v>
      </c>
    </row>
    <row r="207" spans="1:2" x14ac:dyDescent="0.15">
      <c r="A207" s="157" t="s">
        <v>3512</v>
      </c>
      <c r="B207" s="227">
        <v>13570.745000000001</v>
      </c>
    </row>
    <row r="208" spans="1:2" x14ac:dyDescent="0.15">
      <c r="A208" s="157" t="s">
        <v>3512</v>
      </c>
      <c r="B208" s="227">
        <v>18344.580999999998</v>
      </c>
    </row>
    <row r="209" spans="1:2" x14ac:dyDescent="0.15">
      <c r="A209" s="157" t="s">
        <v>3512</v>
      </c>
      <c r="B209" s="227">
        <v>11456.603999999999</v>
      </c>
    </row>
    <row r="210" spans="1:2" x14ac:dyDescent="0.15">
      <c r="A210" s="157" t="s">
        <v>3512</v>
      </c>
      <c r="B210" s="227">
        <v>15523.723</v>
      </c>
    </row>
    <row r="211" spans="1:2" x14ac:dyDescent="0.15">
      <c r="A211" s="157" t="s">
        <v>3512</v>
      </c>
      <c r="B211" s="227">
        <v>13361.532999999999</v>
      </c>
    </row>
    <row r="212" spans="1:2" x14ac:dyDescent="0.15">
      <c r="A212" s="157" t="s">
        <v>3512</v>
      </c>
      <c r="B212" s="227">
        <v>12439.902</v>
      </c>
    </row>
    <row r="213" spans="1:2" x14ac:dyDescent="0.15">
      <c r="A213" s="157" t="s">
        <v>3512</v>
      </c>
      <c r="B213" s="227">
        <v>4312.4989999999998</v>
      </c>
    </row>
    <row r="214" spans="1:2" x14ac:dyDescent="0.15">
      <c r="A214" s="157" t="s">
        <v>3512</v>
      </c>
      <c r="B214" s="227">
        <v>13719.862999999999</v>
      </c>
    </row>
    <row r="215" spans="1:2" x14ac:dyDescent="0.15">
      <c r="A215" s="157" t="s">
        <v>3512</v>
      </c>
      <c r="B215" s="227">
        <v>16555.642</v>
      </c>
    </row>
    <row r="216" spans="1:2" x14ac:dyDescent="0.15">
      <c r="A216" s="157" t="s">
        <v>3512</v>
      </c>
      <c r="B216" s="227">
        <v>12120.541999999999</v>
      </c>
    </row>
    <row r="217" spans="1:2" x14ac:dyDescent="0.15">
      <c r="A217" s="157" t="s">
        <v>3512</v>
      </c>
      <c r="B217" s="227">
        <v>15275.902</v>
      </c>
    </row>
    <row r="218" spans="1:2" x14ac:dyDescent="0.15">
      <c r="A218" s="157" t="s">
        <v>3512</v>
      </c>
      <c r="B218" s="227">
        <v>9624.0480000000007</v>
      </c>
    </row>
    <row r="219" spans="1:2" x14ac:dyDescent="0.15">
      <c r="A219" s="157" t="s">
        <v>3512</v>
      </c>
      <c r="B219" s="227">
        <v>64114.995999999999</v>
      </c>
    </row>
    <row r="220" spans="1:2" x14ac:dyDescent="0.15">
      <c r="A220" s="157" t="s">
        <v>3512</v>
      </c>
      <c r="B220" s="227">
        <v>896.45399999999995</v>
      </c>
    </row>
    <row r="221" spans="1:2" x14ac:dyDescent="0.15">
      <c r="A221" s="157" t="s">
        <v>3512</v>
      </c>
      <c r="B221" s="227">
        <v>32731.076000000001</v>
      </c>
    </row>
    <row r="222" spans="1:2" x14ac:dyDescent="0.15">
      <c r="A222" s="157" t="s">
        <v>3512</v>
      </c>
      <c r="B222" s="227">
        <v>13899.409</v>
      </c>
    </row>
    <row r="223" spans="1:2" x14ac:dyDescent="0.15">
      <c r="A223" s="157" t="s">
        <v>3512</v>
      </c>
      <c r="B223" s="227">
        <v>17523.776000000002</v>
      </c>
    </row>
    <row r="224" spans="1:2" x14ac:dyDescent="0.15">
      <c r="A224" s="157" t="s">
        <v>3512</v>
      </c>
      <c r="B224" s="227">
        <v>4718.9293620120552</v>
      </c>
    </row>
    <row r="225" spans="1:2" x14ac:dyDescent="0.15">
      <c r="A225" s="157" t="s">
        <v>4090</v>
      </c>
      <c r="B225" s="227">
        <v>1205.32263798801</v>
      </c>
    </row>
    <row r="226" spans="1:2" x14ac:dyDescent="0.15">
      <c r="A226" s="157" t="s">
        <v>4090</v>
      </c>
      <c r="B226" s="227">
        <v>12222.191000000001</v>
      </c>
    </row>
    <row r="227" spans="1:2" x14ac:dyDescent="0.15">
      <c r="A227" s="157" t="s">
        <v>4090</v>
      </c>
      <c r="B227" s="227">
        <v>6986.5389999999998</v>
      </c>
    </row>
    <row r="228" spans="1:2" x14ac:dyDescent="0.15">
      <c r="A228" s="157" t="s">
        <v>4090</v>
      </c>
      <c r="B228" s="227">
        <v>13208.691000000001</v>
      </c>
    </row>
    <row r="229" spans="1:2" x14ac:dyDescent="0.15">
      <c r="A229" s="157" t="s">
        <v>4090</v>
      </c>
      <c r="B229" s="227">
        <v>4735.4799999999996</v>
      </c>
    </row>
    <row r="230" spans="1:2" x14ac:dyDescent="0.15">
      <c r="A230" s="157" t="s">
        <v>4090</v>
      </c>
      <c r="B230" s="227">
        <v>15323.553</v>
      </c>
    </row>
    <row r="231" spans="1:2" x14ac:dyDescent="0.15">
      <c r="A231" s="154" t="s">
        <v>3514</v>
      </c>
      <c r="B231" s="227">
        <v>13100.0196379879</v>
      </c>
    </row>
    <row r="232" spans="1:2" x14ac:dyDescent="0.15">
      <c r="A232" s="154" t="s">
        <v>3514</v>
      </c>
      <c r="B232" s="227">
        <v>15531.275</v>
      </c>
    </row>
    <row r="233" spans="1:2" x14ac:dyDescent="0.15">
      <c r="A233" s="154" t="s">
        <v>3514</v>
      </c>
      <c r="B233" s="227">
        <v>13545.879000000001</v>
      </c>
    </row>
    <row r="234" spans="1:2" x14ac:dyDescent="0.15">
      <c r="A234" s="154" t="s">
        <v>3514</v>
      </c>
      <c r="B234" s="227">
        <v>12385.232</v>
      </c>
    </row>
    <row r="235" spans="1:2" x14ac:dyDescent="0.15">
      <c r="A235" s="154" t="s">
        <v>3514</v>
      </c>
      <c r="B235" s="227">
        <v>18543.359</v>
      </c>
    </row>
    <row r="236" spans="1:2" x14ac:dyDescent="0.15">
      <c r="A236" s="154" t="s">
        <v>3514</v>
      </c>
      <c r="B236" s="227">
        <v>14581.564</v>
      </c>
    </row>
    <row r="237" spans="1:2" x14ac:dyDescent="0.15">
      <c r="A237" s="154" t="s">
        <v>3514</v>
      </c>
      <c r="B237" s="227">
        <v>62823.887000000002</v>
      </c>
    </row>
    <row r="238" spans="1:2" x14ac:dyDescent="0.15">
      <c r="A238" s="154" t="s">
        <v>3514</v>
      </c>
      <c r="B238" s="227">
        <v>31937.044000000002</v>
      </c>
    </row>
    <row r="239" spans="1:2" x14ac:dyDescent="0.15">
      <c r="A239" s="154" t="s">
        <v>3514</v>
      </c>
      <c r="B239" s="227">
        <v>12757.824000000001</v>
      </c>
    </row>
    <row r="240" spans="1:2" x14ac:dyDescent="0.15">
      <c r="A240" s="154" t="s">
        <v>3514</v>
      </c>
      <c r="B240" s="227">
        <v>3900.4180000000001</v>
      </c>
    </row>
    <row r="241" spans="1:2" x14ac:dyDescent="0.15">
      <c r="A241" s="154" t="s">
        <v>3514</v>
      </c>
      <c r="B241" s="227">
        <v>14822.986999999999</v>
      </c>
    </row>
    <row r="242" spans="1:2" x14ac:dyDescent="0.15">
      <c r="A242" s="154" t="s">
        <v>3514</v>
      </c>
      <c r="B242" s="227">
        <v>14308.45</v>
      </c>
    </row>
    <row r="243" spans="1:2" x14ac:dyDescent="0.15">
      <c r="A243" s="154" t="s">
        <v>3514</v>
      </c>
      <c r="B243" s="227">
        <v>9844.374362012124</v>
      </c>
    </row>
    <row r="244" spans="1:2" x14ac:dyDescent="0.15">
      <c r="A244" s="154" t="s">
        <v>3515</v>
      </c>
      <c r="B244" s="227">
        <v>3537.9816379878798</v>
      </c>
    </row>
    <row r="245" spans="1:2" x14ac:dyDescent="0.15">
      <c r="A245" s="154" t="s">
        <v>3515</v>
      </c>
      <c r="B245" s="227">
        <v>12525.27</v>
      </c>
    </row>
    <row r="246" spans="1:2" x14ac:dyDescent="0.15">
      <c r="A246" s="154" t="s">
        <v>3515</v>
      </c>
      <c r="B246" s="227">
        <v>12608.278</v>
      </c>
    </row>
    <row r="247" spans="1:2" x14ac:dyDescent="0.15">
      <c r="A247" s="154" t="s">
        <v>3515</v>
      </c>
      <c r="B247" s="227">
        <v>12223.239</v>
      </c>
    </row>
    <row r="248" spans="1:2" x14ac:dyDescent="0.15">
      <c r="A248" s="154" t="s">
        <v>3515</v>
      </c>
      <c r="B248" s="227">
        <v>5101.4129999999996</v>
      </c>
    </row>
    <row r="249" spans="1:2" x14ac:dyDescent="0.15">
      <c r="A249" s="154" t="s">
        <v>3515</v>
      </c>
      <c r="B249" s="227">
        <v>13100.026</v>
      </c>
    </row>
    <row r="250" spans="1:2" x14ac:dyDescent="0.15">
      <c r="A250" s="154" t="s">
        <v>3515</v>
      </c>
      <c r="B250" s="227">
        <v>13355.87</v>
      </c>
    </row>
    <row r="251" spans="1:2" x14ac:dyDescent="0.15">
      <c r="A251" s="154" t="s">
        <v>3515</v>
      </c>
      <c r="B251" s="227">
        <v>17373.424999999999</v>
      </c>
    </row>
    <row r="252" spans="1:2" x14ac:dyDescent="0.15">
      <c r="A252" s="154" t="s">
        <v>3515</v>
      </c>
      <c r="B252" s="227">
        <v>15347.657999999999</v>
      </c>
    </row>
    <row r="253" spans="1:2" x14ac:dyDescent="0.15">
      <c r="A253" s="154" t="s">
        <v>3515</v>
      </c>
      <c r="B253" s="227">
        <v>11027.288</v>
      </c>
    </row>
    <row r="254" spans="1:2" x14ac:dyDescent="0.15">
      <c r="A254" s="154" t="s">
        <v>3515</v>
      </c>
      <c r="B254" s="227">
        <v>3950.1950000000002</v>
      </c>
    </row>
    <row r="255" spans="1:2" x14ac:dyDescent="0.15">
      <c r="A255" s="154" t="s">
        <v>3515</v>
      </c>
      <c r="B255" s="227">
        <v>14163.94</v>
      </c>
    </row>
    <row r="256" spans="1:2" x14ac:dyDescent="0.15">
      <c r="A256" s="154" t="s">
        <v>3515</v>
      </c>
      <c r="B256" s="227">
        <v>31211.832999999999</v>
      </c>
    </row>
    <row r="257" spans="1:2" x14ac:dyDescent="0.15">
      <c r="A257" s="154" t="s">
        <v>3515</v>
      </c>
      <c r="B257" s="227">
        <v>12810.895</v>
      </c>
    </row>
    <row r="258" spans="1:2" x14ac:dyDescent="0.15">
      <c r="A258" s="154" t="s">
        <v>3515</v>
      </c>
      <c r="B258" s="227">
        <v>17728.39</v>
      </c>
    </row>
    <row r="259" spans="1:2" x14ac:dyDescent="0.15">
      <c r="A259" s="154" t="s">
        <v>3515</v>
      </c>
      <c r="B259" s="227">
        <v>11787.584000000001</v>
      </c>
    </row>
    <row r="260" spans="1:2" x14ac:dyDescent="0.15">
      <c r="A260" s="154" t="s">
        <v>3515</v>
      </c>
      <c r="B260" s="227">
        <v>15478.706</v>
      </c>
    </row>
    <row r="261" spans="1:2" x14ac:dyDescent="0.15">
      <c r="A261" s="154" t="s">
        <v>3515</v>
      </c>
      <c r="B261" s="227">
        <v>13103.984</v>
      </c>
    </row>
    <row r="262" spans="1:2" x14ac:dyDescent="0.15">
      <c r="A262" s="154" t="s">
        <v>3515</v>
      </c>
      <c r="B262" s="227">
        <v>58716.851000000002</v>
      </c>
    </row>
    <row r="263" spans="1:2" x14ac:dyDescent="0.15">
      <c r="A263" s="154" t="s">
        <v>3515</v>
      </c>
      <c r="B263" s="227">
        <v>9064.7559999999994</v>
      </c>
    </row>
    <row r="264" spans="1:2" x14ac:dyDescent="0.15">
      <c r="A264" s="154" t="s">
        <v>3515</v>
      </c>
      <c r="B264" s="227">
        <v>12108.86</v>
      </c>
    </row>
    <row r="265" spans="1:2" x14ac:dyDescent="0.15">
      <c r="A265" s="154" t="s">
        <v>3515</v>
      </c>
      <c r="B265" s="227">
        <v>2965.4960000000001</v>
      </c>
    </row>
    <row r="266" spans="1:2" x14ac:dyDescent="0.15">
      <c r="A266" s="154" t="s">
        <v>3515</v>
      </c>
      <c r="B266" s="227">
        <v>11294.272999999999</v>
      </c>
    </row>
    <row r="267" spans="1:2" x14ac:dyDescent="0.15">
      <c r="A267" s="154" t="s">
        <v>3515</v>
      </c>
      <c r="B267" s="227">
        <v>12672.567999999999</v>
      </c>
    </row>
    <row r="268" spans="1:2" x14ac:dyDescent="0.15">
      <c r="A268" s="154" t="s">
        <v>3515</v>
      </c>
      <c r="B268" s="227">
        <v>13362.708000000001</v>
      </c>
    </row>
    <row r="269" spans="1:2" x14ac:dyDescent="0.15">
      <c r="A269" s="154" t="s">
        <v>3515</v>
      </c>
      <c r="B269" s="227">
        <v>14511.941000000001</v>
      </c>
    </row>
    <row r="270" spans="1:2" x14ac:dyDescent="0.15">
      <c r="A270" s="154" t="s">
        <v>3515</v>
      </c>
      <c r="B270" s="227">
        <v>9934.0130000000008</v>
      </c>
    </row>
    <row r="271" spans="1:2" x14ac:dyDescent="0.15">
      <c r="A271" s="154" t="s">
        <v>3515</v>
      </c>
      <c r="B271" s="227">
        <v>19317.12836201211</v>
      </c>
    </row>
    <row r="272" spans="1:2" x14ac:dyDescent="0.15">
      <c r="A272" s="154" t="s">
        <v>3516</v>
      </c>
      <c r="B272" s="227">
        <v>60663.541637987903</v>
      </c>
    </row>
    <row r="273" spans="1:2" x14ac:dyDescent="0.15">
      <c r="A273" s="154" t="s">
        <v>3516</v>
      </c>
      <c r="B273" s="227">
        <v>13406.922</v>
      </c>
    </row>
    <row r="274" spans="1:2" x14ac:dyDescent="0.15">
      <c r="A274" s="154" t="s">
        <v>3516</v>
      </c>
      <c r="B274" s="227">
        <v>1799.453</v>
      </c>
    </row>
    <row r="275" spans="1:2" x14ac:dyDescent="0.15">
      <c r="A275" s="154" t="s">
        <v>3516</v>
      </c>
      <c r="B275" s="227">
        <v>3719.8679999999999</v>
      </c>
    </row>
    <row r="276" spans="1:2" x14ac:dyDescent="0.15">
      <c r="A276" s="154" t="s">
        <v>3516</v>
      </c>
      <c r="B276" s="227">
        <v>33582.784</v>
      </c>
    </row>
    <row r="277" spans="1:2" x14ac:dyDescent="0.15">
      <c r="A277" s="154" t="s">
        <v>3516</v>
      </c>
      <c r="B277" s="227">
        <v>11063.635</v>
      </c>
    </row>
    <row r="278" spans="1:2" x14ac:dyDescent="0.15">
      <c r="A278" s="154" t="s">
        <v>3516</v>
      </c>
      <c r="B278" s="227">
        <v>12413.445</v>
      </c>
    </row>
    <row r="279" spans="1:2" x14ac:dyDescent="0.15">
      <c r="A279" s="154" t="s">
        <v>3516</v>
      </c>
      <c r="B279" s="227">
        <v>13272.922</v>
      </c>
    </row>
    <row r="280" spans="1:2" x14ac:dyDescent="0.15">
      <c r="A280" s="154" t="s">
        <v>3516</v>
      </c>
      <c r="B280" s="227">
        <v>13253.933999999999</v>
      </c>
    </row>
    <row r="281" spans="1:2" x14ac:dyDescent="0.15">
      <c r="A281" s="154" t="s">
        <v>3516</v>
      </c>
      <c r="B281" s="227">
        <v>18032.026000000002</v>
      </c>
    </row>
    <row r="282" spans="1:2" x14ac:dyDescent="0.15">
      <c r="A282" s="154" t="s">
        <v>3516</v>
      </c>
      <c r="B282" s="227">
        <v>11057.271000000001</v>
      </c>
    </row>
    <row r="283" spans="1:2" x14ac:dyDescent="0.15">
      <c r="A283" s="154" t="s">
        <v>3516</v>
      </c>
      <c r="B283" s="227">
        <v>9827.02</v>
      </c>
    </row>
    <row r="284" spans="1:2" x14ac:dyDescent="0.15">
      <c r="A284" s="154" t="s">
        <v>3516</v>
      </c>
      <c r="B284" s="227">
        <v>15196.752</v>
      </c>
    </row>
    <row r="285" spans="1:2" x14ac:dyDescent="0.15">
      <c r="A285" s="154" t="s">
        <v>3516</v>
      </c>
      <c r="B285" s="227">
        <v>13994.483</v>
      </c>
    </row>
    <row r="286" spans="1:2" x14ac:dyDescent="0.15">
      <c r="A286" s="154" t="s">
        <v>3516</v>
      </c>
      <c r="B286" s="227">
        <v>13444.088</v>
      </c>
    </row>
    <row r="287" spans="1:2" x14ac:dyDescent="0.15">
      <c r="A287" s="154" t="s">
        <v>3516</v>
      </c>
      <c r="B287" s="227">
        <v>2296.136</v>
      </c>
    </row>
    <row r="288" spans="1:2" x14ac:dyDescent="0.15">
      <c r="A288" s="154" t="s">
        <v>3516</v>
      </c>
      <c r="B288" s="227">
        <v>11150.949000000001</v>
      </c>
    </row>
    <row r="289" spans="1:2" x14ac:dyDescent="0.15">
      <c r="A289" s="154" t="s">
        <v>3516</v>
      </c>
      <c r="B289" s="227">
        <v>11217.546</v>
      </c>
    </row>
    <row r="290" spans="1:2" x14ac:dyDescent="0.15">
      <c r="A290" s="154" t="s">
        <v>3516</v>
      </c>
      <c r="B290" s="227">
        <v>11930.834999999999</v>
      </c>
    </row>
    <row r="291" spans="1:2" x14ac:dyDescent="0.15">
      <c r="A291" s="154" t="s">
        <v>3516</v>
      </c>
      <c r="B291" s="227">
        <v>13367.416999999999</v>
      </c>
    </row>
    <row r="292" spans="1:2" x14ac:dyDescent="0.15">
      <c r="A292" s="154" t="s">
        <v>3516</v>
      </c>
      <c r="B292" s="227">
        <v>14512.882</v>
      </c>
    </row>
    <row r="293" spans="1:2" x14ac:dyDescent="0.15">
      <c r="A293" s="154" t="s">
        <v>3516</v>
      </c>
      <c r="B293" s="227">
        <v>7212.7463620120598</v>
      </c>
    </row>
    <row r="294" spans="1:2" x14ac:dyDescent="0.15">
      <c r="A294" s="157" t="s">
        <v>4081</v>
      </c>
      <c r="B294" s="227">
        <v>6650.4976379883801</v>
      </c>
    </row>
    <row r="295" spans="1:2" x14ac:dyDescent="0.15">
      <c r="A295" s="157" t="s">
        <v>4081</v>
      </c>
      <c r="B295" s="227">
        <v>12807.298000000001</v>
      </c>
    </row>
    <row r="296" spans="1:2" x14ac:dyDescent="0.15">
      <c r="A296" s="157" t="s">
        <v>4081</v>
      </c>
      <c r="B296" s="227">
        <v>13349.352999999999</v>
      </c>
    </row>
    <row r="297" spans="1:2" x14ac:dyDescent="0.15">
      <c r="A297" s="157" t="s">
        <v>4081</v>
      </c>
      <c r="B297" s="227">
        <v>17576.780999999999</v>
      </c>
    </row>
    <row r="298" spans="1:2" x14ac:dyDescent="0.15">
      <c r="A298" s="157" t="s">
        <v>4081</v>
      </c>
      <c r="B298" s="227">
        <v>11297.145</v>
      </c>
    </row>
    <row r="299" spans="1:2" x14ac:dyDescent="0.15">
      <c r="A299" s="157" t="s">
        <v>4081</v>
      </c>
      <c r="B299" s="227">
        <v>10378.052</v>
      </c>
    </row>
    <row r="300" spans="1:2" x14ac:dyDescent="0.15">
      <c r="A300" s="157" t="s">
        <v>4081</v>
      </c>
      <c r="B300" s="227">
        <v>15881.61</v>
      </c>
    </row>
    <row r="301" spans="1:2" x14ac:dyDescent="0.15">
      <c r="A301" s="157" t="s">
        <v>4081</v>
      </c>
      <c r="B301" s="227">
        <v>9158.9279999999999</v>
      </c>
    </row>
    <row r="302" spans="1:2" x14ac:dyDescent="0.15">
      <c r="A302" s="157" t="s">
        <v>4081</v>
      </c>
      <c r="B302" s="227">
        <v>67962.432000000001</v>
      </c>
    </row>
    <row r="303" spans="1:2" x14ac:dyDescent="0.15">
      <c r="A303" s="157" t="s">
        <v>4081</v>
      </c>
      <c r="B303" s="227">
        <v>17851.758999999998</v>
      </c>
    </row>
    <row r="304" spans="1:2" x14ac:dyDescent="0.15">
      <c r="A304" s="157" t="s">
        <v>4081</v>
      </c>
      <c r="B304" s="227">
        <v>2762.8789999999999</v>
      </c>
    </row>
    <row r="305" spans="1:3" x14ac:dyDescent="0.15">
      <c r="A305" s="157" t="s">
        <v>4081</v>
      </c>
      <c r="B305" s="227">
        <v>12697.849</v>
      </c>
    </row>
    <row r="306" spans="1:3" x14ac:dyDescent="0.15">
      <c r="A306" s="157" t="s">
        <v>4081</v>
      </c>
      <c r="B306" s="227">
        <v>2455.0039999999999</v>
      </c>
    </row>
    <row r="307" spans="1:3" x14ac:dyDescent="0.15">
      <c r="A307" s="157" t="s">
        <v>4081</v>
      </c>
      <c r="B307" s="227">
        <v>13175.655000000001</v>
      </c>
    </row>
    <row r="308" spans="1:3" x14ac:dyDescent="0.15">
      <c r="A308" s="157" t="s">
        <v>4081</v>
      </c>
      <c r="B308" s="227">
        <v>1641.501</v>
      </c>
    </row>
    <row r="309" spans="1:3" x14ac:dyDescent="0.15">
      <c r="A309" s="157" t="s">
        <v>4081</v>
      </c>
      <c r="B309" s="227">
        <v>8086.2703620121174</v>
      </c>
    </row>
    <row r="310" spans="1:3" ht="12" customHeight="1" x14ac:dyDescent="0.15">
      <c r="A310" s="157"/>
      <c r="B310" s="227">
        <f>SUM(B3:B309)</f>
        <v>4535608.1979999989</v>
      </c>
    </row>
    <row r="313" spans="1:3" x14ac:dyDescent="0.15">
      <c r="A313" s="157" t="s">
        <v>4082</v>
      </c>
      <c r="B313" s="227">
        <v>246229.97999999943</v>
      </c>
      <c r="C313" s="134">
        <v>5800361507</v>
      </c>
    </row>
    <row r="314" spans="1:3" x14ac:dyDescent="0.15">
      <c r="A314" s="157" t="s">
        <v>4083</v>
      </c>
      <c r="B314" s="227">
        <v>159995.33600000001</v>
      </c>
      <c r="C314" s="134">
        <v>5800361507</v>
      </c>
    </row>
    <row r="315" spans="1:3" x14ac:dyDescent="0.15">
      <c r="A315" s="157" t="s">
        <v>4099</v>
      </c>
      <c r="B315" s="227">
        <v>131962.989</v>
      </c>
      <c r="C315" s="134">
        <v>5800361507</v>
      </c>
    </row>
    <row r="316" spans="1:3" x14ac:dyDescent="0.15">
      <c r="A316" s="154" t="s">
        <v>3510</v>
      </c>
      <c r="B316" s="227">
        <v>62085.132362012097</v>
      </c>
      <c r="C316" s="134">
        <v>5800361507</v>
      </c>
    </row>
    <row r="317" spans="1:3" x14ac:dyDescent="0.15">
      <c r="A317" s="157" t="s">
        <v>4087</v>
      </c>
      <c r="B317" s="227">
        <v>326650.31863798894</v>
      </c>
      <c r="C317" s="134">
        <v>5800361507</v>
      </c>
    </row>
    <row r="318" spans="1:3" x14ac:dyDescent="0.15">
      <c r="A318" s="157" t="s">
        <v>4089</v>
      </c>
      <c r="B318" s="227">
        <v>330614.50000000093</v>
      </c>
      <c r="C318" s="134">
        <v>5800361507</v>
      </c>
    </row>
    <row r="319" spans="1:3" x14ac:dyDescent="0.15">
      <c r="A319" s="154" t="s">
        <v>3513</v>
      </c>
      <c r="B319" s="227">
        <v>154389.89500000002</v>
      </c>
      <c r="C319" s="134">
        <v>5800361507</v>
      </c>
    </row>
    <row r="320" spans="1:3" x14ac:dyDescent="0.15">
      <c r="A320" s="157" t="s">
        <v>4080</v>
      </c>
      <c r="B320" s="227">
        <v>488848.3179999995</v>
      </c>
      <c r="C320" s="134">
        <v>5800361507</v>
      </c>
    </row>
    <row r="321" spans="1:16" x14ac:dyDescent="0.15">
      <c r="A321" s="157" t="s">
        <v>4084</v>
      </c>
      <c r="B321" s="227">
        <v>155849.98899999994</v>
      </c>
      <c r="C321" s="134">
        <v>5800362597</v>
      </c>
    </row>
    <row r="322" spans="1:16" x14ac:dyDescent="0.15">
      <c r="A322" s="157" t="s">
        <v>4085</v>
      </c>
      <c r="B322" s="227">
        <v>328977.47600000008</v>
      </c>
      <c r="C322" s="134">
        <v>5800362597</v>
      </c>
    </row>
    <row r="323" spans="1:16" x14ac:dyDescent="0.15">
      <c r="A323" s="157" t="s">
        <v>4086</v>
      </c>
      <c r="B323" s="227">
        <v>212952.03099999949</v>
      </c>
      <c r="C323" s="134">
        <v>5800362597</v>
      </c>
    </row>
    <row r="324" spans="1:16" x14ac:dyDescent="0.15">
      <c r="A324" s="154" t="s">
        <v>3511</v>
      </c>
      <c r="B324" s="227">
        <v>122203.22163798791</v>
      </c>
      <c r="C324" s="134">
        <v>5800362597</v>
      </c>
    </row>
    <row r="325" spans="1:16" x14ac:dyDescent="0.15">
      <c r="A325" s="157" t="s">
        <v>4088</v>
      </c>
      <c r="B325" s="227">
        <v>119399.7753620111</v>
      </c>
      <c r="C325" s="134">
        <v>5800362597</v>
      </c>
    </row>
    <row r="326" spans="1:16" x14ac:dyDescent="0.15">
      <c r="A326" s="157" t="s">
        <v>3512</v>
      </c>
      <c r="B326" s="227">
        <v>463150.90636201209</v>
      </c>
      <c r="C326" s="134">
        <v>5800362597</v>
      </c>
    </row>
    <row r="327" spans="1:16" x14ac:dyDescent="0.15">
      <c r="A327" s="157" t="s">
        <v>4090</v>
      </c>
      <c r="B327" s="227">
        <v>53681.776637988005</v>
      </c>
      <c r="C327" s="134">
        <v>5800362597</v>
      </c>
    </row>
    <row r="328" spans="1:16" x14ac:dyDescent="0.15">
      <c r="A328" s="154" t="s">
        <v>3514</v>
      </c>
      <c r="B328" s="227">
        <v>238082.31300000002</v>
      </c>
      <c r="C328" s="134">
        <v>5800362597</v>
      </c>
    </row>
    <row r="329" spans="1:16" x14ac:dyDescent="0.15">
      <c r="A329" s="154" t="s">
        <v>3515</v>
      </c>
      <c r="B329" s="227">
        <v>400384.56999999989</v>
      </c>
      <c r="C329" s="134">
        <v>5800362597</v>
      </c>
    </row>
    <row r="330" spans="1:16" x14ac:dyDescent="0.15">
      <c r="A330" s="154" t="s">
        <v>3516</v>
      </c>
      <c r="B330" s="227">
        <v>316416.65599999996</v>
      </c>
      <c r="C330" s="134">
        <v>5800362597</v>
      </c>
    </row>
    <row r="331" spans="1:16" x14ac:dyDescent="0.15">
      <c r="A331" s="157" t="s">
        <v>4081</v>
      </c>
      <c r="B331" s="227">
        <v>223733.01400000043</v>
      </c>
      <c r="C331" s="134">
        <v>5800362597</v>
      </c>
    </row>
    <row r="332" spans="1:16" ht="21.75" x14ac:dyDescent="0.5">
      <c r="A332"/>
      <c r="B332" s="458">
        <f>SUM(B313:B331)</f>
        <v>4535608.1980000008</v>
      </c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ht="21.75" x14ac:dyDescent="0.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15">
      <c r="A334" s="154" t="s">
        <v>3510</v>
      </c>
      <c r="B334" s="227">
        <v>62085.132362012097</v>
      </c>
    </row>
    <row r="335" spans="1:16" x14ac:dyDescent="0.15">
      <c r="A335" s="154" t="s">
        <v>3513</v>
      </c>
      <c r="B335" s="227">
        <v>154389.89500000002</v>
      </c>
    </row>
    <row r="336" spans="1:16" x14ac:dyDescent="0.15">
      <c r="A336" s="157" t="s">
        <v>4080</v>
      </c>
      <c r="B336" s="227">
        <v>488848.3179999995</v>
      </c>
    </row>
    <row r="337" spans="1:2" x14ac:dyDescent="0.15">
      <c r="A337" s="157" t="s">
        <v>4082</v>
      </c>
      <c r="B337" s="227">
        <v>246229.97999999943</v>
      </c>
    </row>
    <row r="338" spans="1:2" x14ac:dyDescent="0.15">
      <c r="A338" s="157" t="s">
        <v>4083</v>
      </c>
      <c r="B338" s="227">
        <v>159995.33600000001</v>
      </c>
    </row>
    <row r="339" spans="1:2" x14ac:dyDescent="0.15">
      <c r="A339" s="157" t="s">
        <v>4099</v>
      </c>
      <c r="B339" s="227">
        <v>131962.989</v>
      </c>
    </row>
    <row r="340" spans="1:2" x14ac:dyDescent="0.15">
      <c r="A340" s="157" t="s">
        <v>4087</v>
      </c>
      <c r="B340" s="227">
        <v>326650.31863798894</v>
      </c>
    </row>
    <row r="341" spans="1:2" x14ac:dyDescent="0.15">
      <c r="A341" s="157" t="s">
        <v>4089</v>
      </c>
      <c r="B341" s="227">
        <v>330614.50000000093</v>
      </c>
    </row>
    <row r="342" spans="1:2" x14ac:dyDescent="0.15">
      <c r="A342" s="157"/>
      <c r="B342" s="227"/>
    </row>
    <row r="343" spans="1:2" x14ac:dyDescent="0.15">
      <c r="A343" s="154" t="s">
        <v>3511</v>
      </c>
      <c r="B343" s="227">
        <v>122203.22163798791</v>
      </c>
    </row>
    <row r="344" spans="1:2" x14ac:dyDescent="0.15">
      <c r="A344" s="157" t="s">
        <v>3512</v>
      </c>
      <c r="B344" s="227">
        <v>463150.90636201209</v>
      </c>
    </row>
    <row r="345" spans="1:2" x14ac:dyDescent="0.15">
      <c r="A345" s="154" t="s">
        <v>3514</v>
      </c>
      <c r="B345" s="227">
        <v>238082.31300000002</v>
      </c>
    </row>
    <row r="346" spans="1:2" x14ac:dyDescent="0.15">
      <c r="A346" s="154" t="s">
        <v>3515</v>
      </c>
      <c r="B346" s="227">
        <v>400384.56999999989</v>
      </c>
    </row>
    <row r="347" spans="1:2" x14ac:dyDescent="0.15">
      <c r="A347" s="154" t="s">
        <v>3516</v>
      </c>
      <c r="B347" s="227">
        <v>316416.65599999996</v>
      </c>
    </row>
    <row r="348" spans="1:2" x14ac:dyDescent="0.15">
      <c r="A348" s="157" t="s">
        <v>4081</v>
      </c>
      <c r="B348" s="227">
        <v>223733.01400000043</v>
      </c>
    </row>
    <row r="349" spans="1:2" x14ac:dyDescent="0.15">
      <c r="A349" s="157" t="s">
        <v>4084</v>
      </c>
      <c r="B349" s="227">
        <v>155849.98899999994</v>
      </c>
    </row>
    <row r="350" spans="1:2" x14ac:dyDescent="0.15">
      <c r="A350" s="157" t="s">
        <v>4085</v>
      </c>
      <c r="B350" s="227">
        <v>328977.47600000008</v>
      </c>
    </row>
    <row r="351" spans="1:2" x14ac:dyDescent="0.15">
      <c r="A351" s="157" t="s">
        <v>4086</v>
      </c>
      <c r="B351" s="227">
        <v>212952.03099999949</v>
      </c>
    </row>
    <row r="352" spans="1:2" x14ac:dyDescent="0.15">
      <c r="A352" s="157" t="s">
        <v>4088</v>
      </c>
      <c r="B352" s="227">
        <v>119399.7753620111</v>
      </c>
    </row>
    <row r="353" spans="1:16" x14ac:dyDescent="0.15">
      <c r="A353" s="157" t="s">
        <v>4090</v>
      </c>
      <c r="B353" s="227">
        <v>53681.776637988005</v>
      </c>
    </row>
    <row r="354" spans="1:16" ht="21.75" x14ac:dyDescent="0.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ht="21.75" x14ac:dyDescent="0.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ht="21.75" x14ac:dyDescent="0.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ht="21.75" x14ac:dyDescent="0.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ht="21.75" x14ac:dyDescent="0.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ht="21.75" x14ac:dyDescent="0.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ht="21.75" x14ac:dyDescent="0.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ht="21.75" x14ac:dyDescent="0.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ht="21.75" x14ac:dyDescent="0.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ht="21.75" x14ac:dyDescent="0.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ht="21.75" x14ac:dyDescent="0.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ht="21.75" x14ac:dyDescent="0.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ht="21.75" x14ac:dyDescent="0.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ht="21.75" x14ac:dyDescent="0.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ht="21.75" x14ac:dyDescent="0.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ht="21.75" x14ac:dyDescent="0.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ht="21.75" x14ac:dyDescent="0.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ht="21.75" x14ac:dyDescent="0.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ht="21.75" x14ac:dyDescent="0.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ht="21.75" x14ac:dyDescent="0.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ht="21.75" x14ac:dyDescent="0.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ht="21.75" x14ac:dyDescent="0.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ht="21.75" x14ac:dyDescent="0.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ht="21.75" x14ac:dyDescent="0.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ht="21.75" x14ac:dyDescent="0.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ht="21.75" x14ac:dyDescent="0.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ht="21.75" x14ac:dyDescent="0.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ht="21.75" x14ac:dyDescent="0.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ht="21.75" x14ac:dyDescent="0.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ht="21.75" x14ac:dyDescent="0.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ht="21.75" x14ac:dyDescent="0.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ht="21.75" x14ac:dyDescent="0.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ht="21.75" x14ac:dyDescent="0.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ht="21.75" x14ac:dyDescent="0.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ht="21.75" x14ac:dyDescent="0.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ht="21.75" x14ac:dyDescent="0.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ht="21.75" x14ac:dyDescent="0.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ht="21.75" x14ac:dyDescent="0.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ht="21.75" x14ac:dyDescent="0.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ht="21.75" x14ac:dyDescent="0.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ht="21.75" x14ac:dyDescent="0.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ht="21.75" x14ac:dyDescent="0.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ht="21.75" x14ac:dyDescent="0.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ht="21.75" x14ac:dyDescent="0.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ht="21.75" x14ac:dyDescent="0.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ht="21.75" x14ac:dyDescent="0.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ht="21.75" x14ac:dyDescent="0.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ht="21.75" x14ac:dyDescent="0.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ht="21.75" x14ac:dyDescent="0.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ht="21.75" x14ac:dyDescent="0.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ht="21.75" x14ac:dyDescent="0.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ht="21.75" x14ac:dyDescent="0.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ht="21.75" x14ac:dyDescent="0.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ht="21.75" x14ac:dyDescent="0.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ht="21.75" x14ac:dyDescent="0.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ht="21.75" x14ac:dyDescent="0.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ht="21.75" x14ac:dyDescent="0.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ht="21.75" x14ac:dyDescent="0.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ht="21.75" x14ac:dyDescent="0.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ht="21.75" x14ac:dyDescent="0.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ht="21.75" x14ac:dyDescent="0.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ht="21.75" x14ac:dyDescent="0.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ht="21.75" x14ac:dyDescent="0.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ht="21.75" x14ac:dyDescent="0.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ht="21.75" x14ac:dyDescent="0.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ht="21.75" x14ac:dyDescent="0.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ht="21.75" x14ac:dyDescent="0.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ht="21.75" x14ac:dyDescent="0.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ht="21.75" x14ac:dyDescent="0.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ht="21.75" x14ac:dyDescent="0.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ht="21.75" x14ac:dyDescent="0.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ht="21.75" x14ac:dyDescent="0.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ht="21.75" x14ac:dyDescent="0.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ht="21.75" x14ac:dyDescent="0.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ht="21.75" x14ac:dyDescent="0.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ht="21.75" x14ac:dyDescent="0.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ht="21.75" x14ac:dyDescent="0.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ht="21.75" x14ac:dyDescent="0.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ht="21.75" x14ac:dyDescent="0.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ht="21.75" x14ac:dyDescent="0.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ht="21.75" x14ac:dyDescent="0.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ht="21.75" x14ac:dyDescent="0.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ht="21.75" x14ac:dyDescent="0.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ht="21.75" x14ac:dyDescent="0.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ht="21.75" x14ac:dyDescent="0.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ht="21.75" x14ac:dyDescent="0.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ht="21.75" x14ac:dyDescent="0.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ht="21.75" x14ac:dyDescent="0.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ht="21.75" x14ac:dyDescent="0.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ht="21.75" x14ac:dyDescent="0.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ht="21.75" x14ac:dyDescent="0.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ht="21.75" x14ac:dyDescent="0.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ht="21.75" x14ac:dyDescent="0.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ht="21.75" x14ac:dyDescent="0.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ht="21.75" x14ac:dyDescent="0.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ht="21.75" x14ac:dyDescent="0.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ht="21.75" x14ac:dyDescent="0.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ht="21.75" x14ac:dyDescent="0.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ht="21.75" x14ac:dyDescent="0.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ht="21.75" x14ac:dyDescent="0.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ht="21.75" x14ac:dyDescent="0.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ht="21.75" x14ac:dyDescent="0.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ht="21.75" x14ac:dyDescent="0.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ht="21.75" x14ac:dyDescent="0.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ht="21.75" x14ac:dyDescent="0.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ht="21.75" x14ac:dyDescent="0.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ht="21.75" x14ac:dyDescent="0.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ht="21.75" x14ac:dyDescent="0.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ht="21.75" x14ac:dyDescent="0.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ht="21.75" x14ac:dyDescent="0.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ht="21.75" x14ac:dyDescent="0.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ht="21.75" x14ac:dyDescent="0.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ht="21.75" x14ac:dyDescent="0.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ht="21.75" x14ac:dyDescent="0.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ht="21.75" x14ac:dyDescent="0.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ht="21.75" x14ac:dyDescent="0.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ht="21.75" x14ac:dyDescent="0.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ht="21.75" x14ac:dyDescent="0.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ht="21.75" x14ac:dyDescent="0.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ht="21.75" x14ac:dyDescent="0.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ht="21.75" x14ac:dyDescent="0.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ht="21.75" x14ac:dyDescent="0.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ht="21.75" x14ac:dyDescent="0.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ht="21.75" x14ac:dyDescent="0.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ht="21.75" x14ac:dyDescent="0.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ht="21.75" x14ac:dyDescent="0.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ht="21.75" x14ac:dyDescent="0.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ht="21.75" x14ac:dyDescent="0.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ht="21.75" x14ac:dyDescent="0.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ht="21.75" x14ac:dyDescent="0.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ht="21.75" x14ac:dyDescent="0.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ht="21.75" x14ac:dyDescent="0.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ht="21.75" x14ac:dyDescent="0.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ht="21.75" x14ac:dyDescent="0.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ht="21.75" x14ac:dyDescent="0.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ht="21.75" x14ac:dyDescent="0.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ht="21.75" x14ac:dyDescent="0.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ht="21.75" x14ac:dyDescent="0.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ht="21.75" x14ac:dyDescent="0.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ht="21.75" x14ac:dyDescent="0.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ht="21.75" x14ac:dyDescent="0.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ht="21.75" x14ac:dyDescent="0.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ht="21.75" x14ac:dyDescent="0.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ht="21.75" x14ac:dyDescent="0.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ht="21.75" x14ac:dyDescent="0.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ht="21.75" x14ac:dyDescent="0.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ht="21.75" x14ac:dyDescent="0.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ht="21.75" x14ac:dyDescent="0.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ht="21.75" x14ac:dyDescent="0.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ht="21.75" x14ac:dyDescent="0.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ht="21.75" x14ac:dyDescent="0.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ht="21.75" x14ac:dyDescent="0.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ht="21.75" x14ac:dyDescent="0.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ht="21.75" x14ac:dyDescent="0.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ht="21.75" x14ac:dyDescent="0.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ht="21.75" x14ac:dyDescent="0.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ht="21.75" x14ac:dyDescent="0.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ht="21.75" x14ac:dyDescent="0.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ht="21.75" x14ac:dyDescent="0.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ht="21.75" x14ac:dyDescent="0.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ht="21.75" x14ac:dyDescent="0.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ht="21.75" x14ac:dyDescent="0.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ht="21.75" x14ac:dyDescent="0.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ht="21.75" x14ac:dyDescent="0.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ht="21.75" x14ac:dyDescent="0.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ht="21.75" x14ac:dyDescent="0.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ht="21.75" x14ac:dyDescent="0.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ht="21.75" x14ac:dyDescent="0.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ht="21.75" x14ac:dyDescent="0.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ht="21.75" x14ac:dyDescent="0.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ht="21.75" x14ac:dyDescent="0.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ht="21.75" x14ac:dyDescent="0.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ht="21.75" x14ac:dyDescent="0.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ht="21.75" x14ac:dyDescent="0.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ht="21.75" x14ac:dyDescent="0.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ht="21.75" x14ac:dyDescent="0.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ht="21.75" x14ac:dyDescent="0.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ht="21.75" x14ac:dyDescent="0.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ht="21.75" x14ac:dyDescent="0.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ht="21.75" x14ac:dyDescent="0.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ht="21.75" x14ac:dyDescent="0.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ht="21.75" x14ac:dyDescent="0.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ht="21.75" x14ac:dyDescent="0.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ht="21.75" x14ac:dyDescent="0.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ht="21.75" x14ac:dyDescent="0.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ht="21.75" x14ac:dyDescent="0.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ht="21.75" x14ac:dyDescent="0.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ht="21.75" x14ac:dyDescent="0.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ht="21.75" x14ac:dyDescent="0.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ht="21.75" x14ac:dyDescent="0.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ht="21.75" x14ac:dyDescent="0.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ht="21.75" x14ac:dyDescent="0.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ht="21.75" x14ac:dyDescent="0.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ht="21.75" x14ac:dyDescent="0.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ht="21.75" x14ac:dyDescent="0.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ht="21.75" x14ac:dyDescent="0.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ht="21.75" x14ac:dyDescent="0.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ht="21.75" x14ac:dyDescent="0.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ht="21.75" x14ac:dyDescent="0.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ht="21.75" x14ac:dyDescent="0.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ht="21.75" x14ac:dyDescent="0.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ht="21.75" x14ac:dyDescent="0.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ht="21.75" x14ac:dyDescent="0.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ht="21.75" x14ac:dyDescent="0.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ht="21.75" x14ac:dyDescent="0.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ht="21.75" x14ac:dyDescent="0.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ht="21.75" x14ac:dyDescent="0.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ht="21.75" x14ac:dyDescent="0.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ht="21.75" x14ac:dyDescent="0.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ht="21.75" x14ac:dyDescent="0.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ht="21.75" x14ac:dyDescent="0.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ht="21.75" x14ac:dyDescent="0.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ht="21.75" x14ac:dyDescent="0.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ht="21.75" x14ac:dyDescent="0.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ht="21.75" x14ac:dyDescent="0.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ht="21.75" x14ac:dyDescent="0.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ht="21.75" x14ac:dyDescent="0.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ht="21.75" x14ac:dyDescent="0.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ht="21.75" x14ac:dyDescent="0.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ht="21.75" x14ac:dyDescent="0.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ht="21.75" x14ac:dyDescent="0.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ht="21.75" x14ac:dyDescent="0.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ht="21.75" x14ac:dyDescent="0.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ht="21.75" x14ac:dyDescent="0.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ht="21.75" x14ac:dyDescent="0.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ht="21.75" x14ac:dyDescent="0.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ht="21.75" x14ac:dyDescent="0.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ht="21.75" x14ac:dyDescent="0.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ht="21.75" x14ac:dyDescent="0.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ht="21.75" x14ac:dyDescent="0.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ht="21.75" x14ac:dyDescent="0.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ht="21.75" x14ac:dyDescent="0.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ht="21.75" x14ac:dyDescent="0.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ht="21.75" x14ac:dyDescent="0.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ht="21.75" x14ac:dyDescent="0.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ht="21.75" x14ac:dyDescent="0.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ht="21.75" x14ac:dyDescent="0.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ht="21.75" x14ac:dyDescent="0.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ht="21.75" x14ac:dyDescent="0.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ht="21.75" x14ac:dyDescent="0.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ht="21.75" x14ac:dyDescent="0.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ht="21.75" x14ac:dyDescent="0.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ht="21.75" x14ac:dyDescent="0.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ht="21.75" x14ac:dyDescent="0.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ht="21.75" x14ac:dyDescent="0.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ht="21.75" x14ac:dyDescent="0.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ht="21.75" x14ac:dyDescent="0.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ht="21.75" x14ac:dyDescent="0.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ht="21.75" x14ac:dyDescent="0.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ht="21.75" x14ac:dyDescent="0.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ht="21.75" x14ac:dyDescent="0.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ht="21.75" x14ac:dyDescent="0.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ht="21.75" x14ac:dyDescent="0.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ht="21.75" x14ac:dyDescent="0.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ht="21.75" x14ac:dyDescent="0.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ht="21.75" x14ac:dyDescent="0.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ht="21.75" x14ac:dyDescent="0.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ht="21.75" x14ac:dyDescent="0.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 ht="21.75" x14ac:dyDescent="0.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 ht="21.75" x14ac:dyDescent="0.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 ht="21.75" x14ac:dyDescent="0.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 ht="21.75" x14ac:dyDescent="0.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 ht="21.75" x14ac:dyDescent="0.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 ht="21.75" x14ac:dyDescent="0.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 ht="21.75" x14ac:dyDescent="0.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 ht="21.75" x14ac:dyDescent="0.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 ht="21.75" x14ac:dyDescent="0.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</sheetData>
  <sortState ref="A3:P318">
    <sortCondition ref="A3:A318"/>
  </sortState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02"/>
  <sheetViews>
    <sheetView topLeftCell="E1" zoomScale="130" zoomScaleNormal="130" workbookViewId="0">
      <pane ySplit="6" topLeftCell="A122" activePane="bottomLeft" state="frozen"/>
      <selection pane="bottomLeft" activeCell="O143" sqref="O143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4" style="133" bestFit="1" customWidth="1"/>
    <col min="5" max="5" width="11.28515625" style="133" bestFit="1" customWidth="1"/>
    <col min="6" max="6" width="15" style="134" bestFit="1" customWidth="1"/>
    <col min="7" max="7" width="13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2.7109375" style="132" bestFit="1" customWidth="1"/>
    <col min="16" max="16384" width="18.5703125" style="134"/>
  </cols>
  <sheetData>
    <row r="1" spans="1:15" x14ac:dyDescent="0.15">
      <c r="A1" s="130" t="s">
        <v>1729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1708</v>
      </c>
      <c r="B7" s="146"/>
      <c r="C7" s="147">
        <v>245517.71296200948</v>
      </c>
      <c r="D7" s="323"/>
      <c r="E7" s="149"/>
      <c r="F7" s="149"/>
      <c r="G7" s="147"/>
      <c r="H7" s="323"/>
      <c r="I7" s="147"/>
      <c r="J7" s="149"/>
      <c r="K7" s="149"/>
      <c r="L7" s="226"/>
      <c r="M7" s="149"/>
      <c r="N7" s="226">
        <f>+C7</f>
        <v>245517.71296200948</v>
      </c>
      <c r="O7" s="147">
        <f>+C143</f>
        <v>597737.31696200965</v>
      </c>
    </row>
    <row r="8" spans="1:15" x14ac:dyDescent="0.15">
      <c r="A8" s="154" t="s">
        <v>1709</v>
      </c>
      <c r="B8" s="151"/>
      <c r="C8" s="152">
        <v>264159.36599999998</v>
      </c>
      <c r="D8" s="323"/>
      <c r="E8" s="154"/>
      <c r="F8" s="154"/>
      <c r="G8" s="152"/>
      <c r="H8" s="323"/>
      <c r="I8" s="152"/>
      <c r="J8" s="154"/>
      <c r="K8" s="156"/>
      <c r="L8" s="227"/>
      <c r="M8" s="154"/>
      <c r="N8" s="227">
        <f>+N7-I8-L8</f>
        <v>245517.71296200948</v>
      </c>
      <c r="O8" s="152">
        <f t="shared" ref="O8:O12" si="0">O7+G8-I8-L8</f>
        <v>597737.31696200965</v>
      </c>
    </row>
    <row r="9" spans="1:15" x14ac:dyDescent="0.15">
      <c r="A9" s="157" t="s">
        <v>1710</v>
      </c>
      <c r="B9" s="151"/>
      <c r="C9" s="152">
        <v>88060.238000000201</v>
      </c>
      <c r="D9" s="323"/>
      <c r="E9" s="154"/>
      <c r="F9" s="154"/>
      <c r="G9" s="152"/>
      <c r="H9" s="323"/>
      <c r="I9" s="152"/>
      <c r="J9" s="154"/>
      <c r="K9" s="156"/>
      <c r="L9" s="227"/>
      <c r="M9" s="154"/>
      <c r="N9" s="227">
        <f t="shared" ref="N9:N12" si="1">+N8-I9-L9</f>
        <v>245517.71296200948</v>
      </c>
      <c r="O9" s="152">
        <f t="shared" si="0"/>
        <v>597737.31696200965</v>
      </c>
    </row>
    <row r="10" spans="1:15" x14ac:dyDescent="0.15">
      <c r="A10" s="154"/>
      <c r="B10" s="151"/>
      <c r="C10" s="152"/>
      <c r="D10" s="323">
        <v>41609</v>
      </c>
      <c r="E10" s="154" t="s">
        <v>72</v>
      </c>
      <c r="F10" s="154" t="s">
        <v>1710</v>
      </c>
      <c r="G10" s="152">
        <v>132092.924</v>
      </c>
      <c r="H10" s="323">
        <v>41609</v>
      </c>
      <c r="I10" s="152">
        <v>1505.1399999999999</v>
      </c>
      <c r="J10" s="154" t="s">
        <v>1708</v>
      </c>
      <c r="K10" s="154" t="s">
        <v>1761</v>
      </c>
      <c r="L10" s="227">
        <v>11574.75</v>
      </c>
      <c r="M10" s="157" t="s">
        <v>1708</v>
      </c>
      <c r="N10" s="227">
        <f t="shared" si="1"/>
        <v>232437.82296200946</v>
      </c>
      <c r="O10" s="152">
        <f t="shared" si="0"/>
        <v>716750.35096200963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>
        <v>41609</v>
      </c>
      <c r="I11" s="152"/>
      <c r="J11" s="154"/>
      <c r="K11" s="154" t="s">
        <v>1761</v>
      </c>
      <c r="L11" s="227">
        <v>12365.03</v>
      </c>
      <c r="M11" s="154" t="s">
        <v>1708</v>
      </c>
      <c r="N11" s="227">
        <f t="shared" si="1"/>
        <v>220072.79296200947</v>
      </c>
      <c r="O11" s="152">
        <f t="shared" si="0"/>
        <v>704385.3209620096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41609</v>
      </c>
      <c r="I12" s="152"/>
      <c r="J12" s="154"/>
      <c r="K12" s="154" t="s">
        <v>1761</v>
      </c>
      <c r="L12" s="227">
        <v>72347.19</v>
      </c>
      <c r="M12" s="154" t="s">
        <v>1708</v>
      </c>
      <c r="N12" s="227">
        <f t="shared" si="1"/>
        <v>147725.60296200946</v>
      </c>
      <c r="O12" s="152">
        <f t="shared" si="0"/>
        <v>632038.13096200954</v>
      </c>
    </row>
    <row r="13" spans="1:15" x14ac:dyDescent="0.15">
      <c r="A13" s="154"/>
      <c r="B13" s="151"/>
      <c r="C13" s="152"/>
      <c r="D13" s="323"/>
      <c r="E13" s="155"/>
      <c r="F13" s="157"/>
      <c r="G13" s="152"/>
      <c r="H13" s="323">
        <v>41611</v>
      </c>
      <c r="I13" s="152">
        <v>2118</v>
      </c>
      <c r="J13" s="154" t="s">
        <v>1708</v>
      </c>
      <c r="K13" s="154" t="s">
        <v>1761</v>
      </c>
      <c r="L13" s="227">
        <v>14083</v>
      </c>
      <c r="M13" s="154" t="s">
        <v>1708</v>
      </c>
      <c r="N13" s="227">
        <f t="shared" ref="N13:N73" si="2">+N12-I13-L13</f>
        <v>131524.60296200946</v>
      </c>
      <c r="O13" s="152">
        <f t="shared" ref="O13:O73" si="3">O12+G13-I13-L13</f>
        <v>615837.13096200954</v>
      </c>
    </row>
    <row r="14" spans="1:15" x14ac:dyDescent="0.15">
      <c r="A14" s="154"/>
      <c r="B14" s="151"/>
      <c r="C14" s="152"/>
      <c r="D14" s="323">
        <v>41612</v>
      </c>
      <c r="E14" s="154" t="s">
        <v>72</v>
      </c>
      <c r="F14" s="154" t="s">
        <v>1710</v>
      </c>
      <c r="G14" s="152">
        <v>33955.34200000175</v>
      </c>
      <c r="H14" s="323">
        <v>41612</v>
      </c>
      <c r="I14" s="152"/>
      <c r="J14" s="154"/>
      <c r="K14" s="154" t="s">
        <v>1761</v>
      </c>
      <c r="L14" s="227">
        <v>10056.290000000001</v>
      </c>
      <c r="M14" s="154" t="s">
        <v>1708</v>
      </c>
      <c r="N14" s="227">
        <f t="shared" si="2"/>
        <v>121468.31296200946</v>
      </c>
      <c r="O14" s="152">
        <f t="shared" si="3"/>
        <v>639736.18296201131</v>
      </c>
    </row>
    <row r="15" spans="1:15" x14ac:dyDescent="0.15">
      <c r="A15" s="154"/>
      <c r="B15" s="151"/>
      <c r="C15" s="152"/>
      <c r="D15" s="323">
        <v>41612</v>
      </c>
      <c r="E15" s="154" t="s">
        <v>72</v>
      </c>
      <c r="F15" s="157" t="s">
        <v>1730</v>
      </c>
      <c r="G15" s="152">
        <v>54110.980999998297</v>
      </c>
      <c r="H15" s="323">
        <v>41612</v>
      </c>
      <c r="I15" s="152"/>
      <c r="J15" s="154"/>
      <c r="K15" s="154" t="s">
        <v>1761</v>
      </c>
      <c r="L15" s="227">
        <v>37285.39</v>
      </c>
      <c r="M15" s="154" t="s">
        <v>1708</v>
      </c>
      <c r="N15" s="227">
        <f t="shared" ref="N15:N20" si="4">+N14-I15-L15</f>
        <v>84182.922962009456</v>
      </c>
      <c r="O15" s="152">
        <f t="shared" ref="O15:O20" si="5">O14+G15-I15-L15</f>
        <v>656561.77396200958</v>
      </c>
    </row>
    <row r="16" spans="1:15" x14ac:dyDescent="0.15">
      <c r="A16" s="154"/>
      <c r="B16" s="151"/>
      <c r="C16" s="152"/>
      <c r="D16" s="323"/>
      <c r="E16" s="155"/>
      <c r="F16" s="157"/>
      <c r="G16" s="152"/>
      <c r="H16" s="323">
        <v>41612</v>
      </c>
      <c r="I16" s="152"/>
      <c r="J16" s="154"/>
      <c r="K16" s="154" t="s">
        <v>1761</v>
      </c>
      <c r="L16" s="227">
        <v>84182.922962009456</v>
      </c>
      <c r="M16" s="154" t="s">
        <v>1708</v>
      </c>
      <c r="N16" s="227">
        <f t="shared" si="4"/>
        <v>0</v>
      </c>
      <c r="O16" s="152">
        <f t="shared" si="5"/>
        <v>572378.85100000014</v>
      </c>
    </row>
    <row r="17" spans="1:15" x14ac:dyDescent="0.15">
      <c r="A17" s="154"/>
      <c r="B17" s="151"/>
      <c r="C17" s="152"/>
      <c r="D17" s="323"/>
      <c r="E17" s="155"/>
      <c r="F17" s="157"/>
      <c r="G17" s="152"/>
      <c r="H17" s="323">
        <v>41612</v>
      </c>
      <c r="I17" s="152"/>
      <c r="J17" s="154"/>
      <c r="K17" s="154" t="s">
        <v>1761</v>
      </c>
      <c r="L17" s="227">
        <v>6834.4870379905497</v>
      </c>
      <c r="M17" s="154" t="s">
        <v>1709</v>
      </c>
      <c r="N17" s="227">
        <f>C8+N16-I17-L17</f>
        <v>257324.87896200942</v>
      </c>
      <c r="O17" s="152">
        <f t="shared" si="5"/>
        <v>565544.36396200955</v>
      </c>
    </row>
    <row r="18" spans="1:15" x14ac:dyDescent="0.15">
      <c r="A18" s="154"/>
      <c r="B18" s="151"/>
      <c r="C18" s="152"/>
      <c r="D18" s="323"/>
      <c r="E18" s="155"/>
      <c r="F18" s="157"/>
      <c r="G18" s="152"/>
      <c r="H18" s="323">
        <v>41612</v>
      </c>
      <c r="I18" s="152"/>
      <c r="J18" s="154"/>
      <c r="K18" s="154" t="s">
        <v>1761</v>
      </c>
      <c r="L18" s="227">
        <v>59806.86</v>
      </c>
      <c r="M18" s="154" t="s">
        <v>1709</v>
      </c>
      <c r="N18" s="227">
        <f t="shared" si="4"/>
        <v>197518.0189620094</v>
      </c>
      <c r="O18" s="152">
        <f t="shared" si="5"/>
        <v>505737.50396200956</v>
      </c>
    </row>
    <row r="19" spans="1:15" x14ac:dyDescent="0.15">
      <c r="A19" s="154"/>
      <c r="B19" s="151"/>
      <c r="C19" s="152"/>
      <c r="D19" s="323"/>
      <c r="E19" s="155"/>
      <c r="F19" s="157"/>
      <c r="G19" s="152"/>
      <c r="H19" s="323">
        <v>41612</v>
      </c>
      <c r="I19" s="152"/>
      <c r="J19" s="154"/>
      <c r="K19" s="154" t="s">
        <v>1761</v>
      </c>
      <c r="L19" s="227">
        <v>73809.539999999994</v>
      </c>
      <c r="M19" s="154" t="s">
        <v>1709</v>
      </c>
      <c r="N19" s="227">
        <f t="shared" si="4"/>
        <v>123708.47896200941</v>
      </c>
      <c r="O19" s="152">
        <f t="shared" si="5"/>
        <v>431927.96396200958</v>
      </c>
    </row>
    <row r="20" spans="1:15" x14ac:dyDescent="0.15">
      <c r="A20" s="154"/>
      <c r="B20" s="151"/>
      <c r="C20" s="152"/>
      <c r="D20" s="323">
        <v>41613</v>
      </c>
      <c r="E20" s="154" t="s">
        <v>72</v>
      </c>
      <c r="F20" s="157" t="s">
        <v>1730</v>
      </c>
      <c r="G20" s="152">
        <v>88090.973999999798</v>
      </c>
      <c r="H20" s="323">
        <v>41613</v>
      </c>
      <c r="I20" s="152">
        <v>564.57000000000005</v>
      </c>
      <c r="J20" s="154" t="s">
        <v>1709</v>
      </c>
      <c r="K20" s="154" t="s">
        <v>1761</v>
      </c>
      <c r="L20" s="227">
        <v>36232.69</v>
      </c>
      <c r="M20" s="154" t="s">
        <v>1709</v>
      </c>
      <c r="N20" s="227">
        <f t="shared" si="4"/>
        <v>86911.2189620094</v>
      </c>
      <c r="O20" s="152">
        <f t="shared" si="5"/>
        <v>483221.67796200939</v>
      </c>
    </row>
    <row r="21" spans="1:15" x14ac:dyDescent="0.15">
      <c r="A21" s="154"/>
      <c r="B21" s="151"/>
      <c r="C21" s="152"/>
      <c r="D21" s="323">
        <v>41613</v>
      </c>
      <c r="E21" s="154" t="s">
        <v>72</v>
      </c>
      <c r="F21" s="157" t="s">
        <v>1731</v>
      </c>
      <c r="G21" s="152">
        <v>88059.706000000195</v>
      </c>
      <c r="H21" s="323">
        <v>41613</v>
      </c>
      <c r="I21" s="152"/>
      <c r="J21" s="157"/>
      <c r="K21" s="154" t="s">
        <v>1761</v>
      </c>
      <c r="L21" s="227">
        <v>86911.2189620094</v>
      </c>
      <c r="M21" s="154" t="s">
        <v>1709</v>
      </c>
      <c r="N21" s="227">
        <f t="shared" ref="N21:N25" si="6">+N20-I21-L21</f>
        <v>0</v>
      </c>
      <c r="O21" s="152">
        <f t="shared" ref="O21:O25" si="7">O20+G21-I21-L21</f>
        <v>484370.16500000015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>
        <v>41613</v>
      </c>
      <c r="I22" s="152"/>
      <c r="J22" s="157"/>
      <c r="K22" s="154" t="s">
        <v>1759</v>
      </c>
      <c r="L22" s="227">
        <v>4136.2610379906</v>
      </c>
      <c r="M22" s="154" t="s">
        <v>1710</v>
      </c>
      <c r="N22" s="227">
        <f>C9+G10+G14+N21-I22-L22</f>
        <v>249972.24296201134</v>
      </c>
      <c r="O22" s="152">
        <f t="shared" si="7"/>
        <v>480233.90396200953</v>
      </c>
    </row>
    <row r="23" spans="1:15" x14ac:dyDescent="0.15">
      <c r="A23" s="154"/>
      <c r="B23" s="151"/>
      <c r="C23" s="152"/>
      <c r="D23" s="323"/>
      <c r="E23" s="155"/>
      <c r="F23" s="157"/>
      <c r="G23" s="152"/>
      <c r="H23" s="323">
        <v>41613</v>
      </c>
      <c r="I23" s="152"/>
      <c r="J23" s="157"/>
      <c r="K23" s="154" t="s">
        <v>1759</v>
      </c>
      <c r="L23" s="227">
        <v>20470.740000000002</v>
      </c>
      <c r="M23" s="154" t="s">
        <v>1710</v>
      </c>
      <c r="N23" s="227">
        <f t="shared" si="6"/>
        <v>229501.50296201135</v>
      </c>
      <c r="O23" s="152">
        <f t="shared" si="7"/>
        <v>459763.16396200954</v>
      </c>
    </row>
    <row r="24" spans="1:15" x14ac:dyDescent="0.15">
      <c r="A24" s="154"/>
      <c r="B24" s="151"/>
      <c r="C24" s="152"/>
      <c r="D24" s="323">
        <v>41614</v>
      </c>
      <c r="E24" s="154" t="s">
        <v>72</v>
      </c>
      <c r="F24" s="157" t="s">
        <v>1731</v>
      </c>
      <c r="G24" s="152">
        <v>88104.622999999992</v>
      </c>
      <c r="H24" s="323">
        <v>41614</v>
      </c>
      <c r="I24" s="152">
        <v>26060.489999999998</v>
      </c>
      <c r="J24" s="154" t="s">
        <v>1710</v>
      </c>
      <c r="K24" s="154" t="s">
        <v>1759</v>
      </c>
      <c r="L24" s="227">
        <v>12548.61</v>
      </c>
      <c r="M24" s="154" t="s">
        <v>1710</v>
      </c>
      <c r="N24" s="227">
        <f t="shared" si="6"/>
        <v>190892.40296201134</v>
      </c>
      <c r="O24" s="152">
        <f t="shared" si="7"/>
        <v>509258.68696200952</v>
      </c>
    </row>
    <row r="25" spans="1:15" x14ac:dyDescent="0.15">
      <c r="A25" s="154"/>
      <c r="B25" s="151"/>
      <c r="C25" s="152"/>
      <c r="D25" s="323"/>
      <c r="E25" s="155"/>
      <c r="F25" s="157"/>
      <c r="G25" s="152"/>
      <c r="H25" s="323">
        <v>41614</v>
      </c>
      <c r="I25" s="152"/>
      <c r="J25" s="154"/>
      <c r="K25" s="154" t="s">
        <v>1759</v>
      </c>
      <c r="L25" s="227">
        <v>3554.12</v>
      </c>
      <c r="M25" s="154" t="s">
        <v>1710</v>
      </c>
      <c r="N25" s="227">
        <f t="shared" si="6"/>
        <v>187338.28296201135</v>
      </c>
      <c r="O25" s="152">
        <f t="shared" si="7"/>
        <v>505704.56696200953</v>
      </c>
    </row>
    <row r="26" spans="1:15" x14ac:dyDescent="0.15">
      <c r="A26" s="154"/>
      <c r="B26" s="151"/>
      <c r="C26" s="152"/>
      <c r="D26" s="323"/>
      <c r="E26" s="155"/>
      <c r="F26" s="157"/>
      <c r="G26" s="152"/>
      <c r="H26" s="323">
        <v>41614</v>
      </c>
      <c r="I26" s="152"/>
      <c r="J26" s="154"/>
      <c r="K26" s="154" t="s">
        <v>1759</v>
      </c>
      <c r="L26" s="227">
        <v>4332.33</v>
      </c>
      <c r="M26" s="154" t="s">
        <v>1710</v>
      </c>
      <c r="N26" s="227">
        <f t="shared" si="2"/>
        <v>183005.95296201136</v>
      </c>
      <c r="O26" s="152">
        <f t="shared" si="3"/>
        <v>501372.23696200951</v>
      </c>
    </row>
    <row r="27" spans="1:15" x14ac:dyDescent="0.15">
      <c r="A27" s="154"/>
      <c r="B27" s="151"/>
      <c r="C27" s="152"/>
      <c r="D27" s="323">
        <v>41615</v>
      </c>
      <c r="E27" s="154" t="s">
        <v>72</v>
      </c>
      <c r="F27" s="157" t="s">
        <v>1731</v>
      </c>
      <c r="G27" s="152">
        <v>88072.311999999831</v>
      </c>
      <c r="H27" s="323">
        <v>41615</v>
      </c>
      <c r="I27" s="152"/>
      <c r="J27" s="154"/>
      <c r="K27" s="154" t="s">
        <v>1759</v>
      </c>
      <c r="L27" s="227">
        <v>30343.69</v>
      </c>
      <c r="M27" s="154" t="s">
        <v>1710</v>
      </c>
      <c r="N27" s="227">
        <f t="shared" si="2"/>
        <v>152662.26296201136</v>
      </c>
      <c r="O27" s="152">
        <f t="shared" si="3"/>
        <v>559100.85896200943</v>
      </c>
    </row>
    <row r="28" spans="1:15" x14ac:dyDescent="0.15">
      <c r="A28" s="154"/>
      <c r="B28" s="151"/>
      <c r="C28" s="152"/>
      <c r="D28" s="323">
        <v>41615</v>
      </c>
      <c r="E28" s="154" t="s">
        <v>72</v>
      </c>
      <c r="F28" s="157" t="s">
        <v>1732</v>
      </c>
      <c r="G28" s="152">
        <v>88000.404000000199</v>
      </c>
      <c r="H28" s="323">
        <v>41615</v>
      </c>
      <c r="I28" s="152"/>
      <c r="J28" s="154"/>
      <c r="K28" s="154" t="s">
        <v>1759</v>
      </c>
      <c r="L28" s="227">
        <v>3130.6</v>
      </c>
      <c r="M28" s="154" t="s">
        <v>1710</v>
      </c>
      <c r="N28" s="227">
        <f t="shared" si="2"/>
        <v>149531.66296201135</v>
      </c>
      <c r="O28" s="152">
        <f t="shared" si="3"/>
        <v>643970.66296200966</v>
      </c>
    </row>
    <row r="29" spans="1:15" x14ac:dyDescent="0.15">
      <c r="A29" s="154"/>
      <c r="B29" s="151"/>
      <c r="C29" s="152"/>
      <c r="D29" s="323"/>
      <c r="E29" s="155"/>
      <c r="F29" s="157"/>
      <c r="G29" s="152"/>
      <c r="H29" s="323">
        <v>41615</v>
      </c>
      <c r="I29" s="152"/>
      <c r="J29" s="154"/>
      <c r="K29" s="154" t="s">
        <v>1759</v>
      </c>
      <c r="L29" s="227">
        <v>80956.13</v>
      </c>
      <c r="M29" s="154" t="s">
        <v>1710</v>
      </c>
      <c r="N29" s="227">
        <f t="shared" si="2"/>
        <v>68575.532962011348</v>
      </c>
      <c r="O29" s="152">
        <f t="shared" si="3"/>
        <v>563014.53296200966</v>
      </c>
    </row>
    <row r="30" spans="1:15" x14ac:dyDescent="0.15">
      <c r="A30" s="154"/>
      <c r="B30" s="151"/>
      <c r="C30" s="152"/>
      <c r="D30" s="323"/>
      <c r="E30" s="155"/>
      <c r="F30" s="157"/>
      <c r="G30" s="152"/>
      <c r="H30" s="323">
        <v>41615</v>
      </c>
      <c r="I30" s="152"/>
      <c r="J30" s="154"/>
      <c r="K30" s="154" t="s">
        <v>1759</v>
      </c>
      <c r="L30" s="227">
        <v>68575.532962011348</v>
      </c>
      <c r="M30" s="154" t="s">
        <v>1710</v>
      </c>
      <c r="N30" s="227">
        <f t="shared" ref="N30:N33" si="8">+N29-I30-L30</f>
        <v>0</v>
      </c>
      <c r="O30" s="152">
        <f t="shared" ref="O30:O33" si="9">O29+G30-I30-L30</f>
        <v>494438.99999999831</v>
      </c>
    </row>
    <row r="31" spans="1:15" x14ac:dyDescent="0.15">
      <c r="A31" s="154"/>
      <c r="B31" s="151"/>
      <c r="C31" s="152"/>
      <c r="D31" s="323"/>
      <c r="E31" s="155"/>
      <c r="F31" s="157"/>
      <c r="G31" s="152"/>
      <c r="H31" s="323">
        <v>41615</v>
      </c>
      <c r="I31" s="152"/>
      <c r="J31" s="154"/>
      <c r="K31" s="154" t="s">
        <v>1761</v>
      </c>
      <c r="L31" s="227">
        <v>6005.5770379886499</v>
      </c>
      <c r="M31" s="157" t="s">
        <v>1730</v>
      </c>
      <c r="N31" s="227">
        <f>G15+G20+N30-I31-L31</f>
        <v>136196.37796200946</v>
      </c>
      <c r="O31" s="152">
        <f t="shared" si="9"/>
        <v>488433.42296200967</v>
      </c>
    </row>
    <row r="32" spans="1:15" x14ac:dyDescent="0.15">
      <c r="A32" s="154"/>
      <c r="B32" s="151"/>
      <c r="C32" s="152"/>
      <c r="D32" s="323"/>
      <c r="E32" s="155"/>
      <c r="F32" s="157"/>
      <c r="G32" s="152"/>
      <c r="H32" s="323">
        <v>41615</v>
      </c>
      <c r="I32" s="152"/>
      <c r="J32" s="154"/>
      <c r="K32" s="154" t="s">
        <v>1761</v>
      </c>
      <c r="L32" s="227">
        <v>4954.0200000000004</v>
      </c>
      <c r="M32" s="157" t="s">
        <v>1730</v>
      </c>
      <c r="N32" s="227">
        <f t="shared" si="8"/>
        <v>131242.35796200947</v>
      </c>
      <c r="O32" s="152">
        <f t="shared" si="9"/>
        <v>483479.40296200966</v>
      </c>
    </row>
    <row r="33" spans="1:15" x14ac:dyDescent="0.15">
      <c r="A33" s="154"/>
      <c r="B33" s="151"/>
      <c r="C33" s="152"/>
      <c r="D33" s="323">
        <v>41616</v>
      </c>
      <c r="E33" s="154" t="s">
        <v>72</v>
      </c>
      <c r="F33" s="157" t="s">
        <v>1732</v>
      </c>
      <c r="G33" s="152">
        <v>88093.012000000002</v>
      </c>
      <c r="H33" s="323">
        <v>41616</v>
      </c>
      <c r="I33" s="152"/>
      <c r="J33" s="154"/>
      <c r="K33" s="154" t="s">
        <v>1761</v>
      </c>
      <c r="L33" s="227">
        <v>14859.08</v>
      </c>
      <c r="M33" s="157" t="s">
        <v>1730</v>
      </c>
      <c r="N33" s="227">
        <f t="shared" si="8"/>
        <v>116383.27796200947</v>
      </c>
      <c r="O33" s="152">
        <f t="shared" si="9"/>
        <v>556713.33496200969</v>
      </c>
    </row>
    <row r="34" spans="1:15" x14ac:dyDescent="0.15">
      <c r="A34" s="154"/>
      <c r="B34" s="151"/>
      <c r="C34" s="152"/>
      <c r="D34" s="323"/>
      <c r="E34" s="155"/>
      <c r="F34" s="157"/>
      <c r="G34" s="152"/>
      <c r="H34" s="323">
        <v>41616</v>
      </c>
      <c r="I34" s="152"/>
      <c r="J34" s="154"/>
      <c r="K34" s="154" t="s">
        <v>1761</v>
      </c>
      <c r="L34" s="227">
        <v>32903.32</v>
      </c>
      <c r="M34" s="157" t="s">
        <v>1730</v>
      </c>
      <c r="N34" s="227">
        <f t="shared" si="2"/>
        <v>83479.957962009474</v>
      </c>
      <c r="O34" s="152">
        <f t="shared" si="3"/>
        <v>523810.01496200968</v>
      </c>
    </row>
    <row r="35" spans="1:15" x14ac:dyDescent="0.15">
      <c r="A35" s="154"/>
      <c r="B35" s="151"/>
      <c r="C35" s="152"/>
      <c r="D35" s="323"/>
      <c r="E35" s="155"/>
      <c r="F35" s="157"/>
      <c r="G35" s="152"/>
      <c r="H35" s="323">
        <v>41616</v>
      </c>
      <c r="I35" s="152"/>
      <c r="J35" s="154"/>
      <c r="K35" s="154" t="s">
        <v>1761</v>
      </c>
      <c r="L35" s="227">
        <v>1443.34</v>
      </c>
      <c r="M35" s="157" t="s">
        <v>1730</v>
      </c>
      <c r="N35" s="227">
        <f t="shared" si="2"/>
        <v>82036.617962009477</v>
      </c>
      <c r="O35" s="152">
        <f t="shared" si="3"/>
        <v>522366.67496200965</v>
      </c>
    </row>
    <row r="36" spans="1:15" x14ac:dyDescent="0.15">
      <c r="A36" s="154"/>
      <c r="B36" s="151"/>
      <c r="C36" s="152"/>
      <c r="D36" s="323"/>
      <c r="E36" s="155"/>
      <c r="F36" s="157"/>
      <c r="G36" s="152"/>
      <c r="H36" s="323">
        <v>41616</v>
      </c>
      <c r="I36" s="152"/>
      <c r="J36" s="154"/>
      <c r="K36" s="154" t="s">
        <v>1761</v>
      </c>
      <c r="L36" s="227">
        <v>4561.3900000000003</v>
      </c>
      <c r="M36" s="157" t="s">
        <v>1730</v>
      </c>
      <c r="N36" s="227">
        <f t="shared" si="2"/>
        <v>77475.227962009478</v>
      </c>
      <c r="O36" s="152">
        <f t="shared" si="3"/>
        <v>517805.28496200964</v>
      </c>
    </row>
    <row r="37" spans="1:15" x14ac:dyDescent="0.15">
      <c r="A37" s="154"/>
      <c r="B37" s="151"/>
      <c r="C37" s="152"/>
      <c r="D37" s="323"/>
      <c r="E37" s="155"/>
      <c r="F37" s="157"/>
      <c r="G37" s="152"/>
      <c r="H37" s="323">
        <v>41616</v>
      </c>
      <c r="I37" s="152"/>
      <c r="J37" s="154"/>
      <c r="K37" s="154" t="s">
        <v>1761</v>
      </c>
      <c r="L37" s="227">
        <v>72162.95</v>
      </c>
      <c r="M37" s="157" t="s">
        <v>1730</v>
      </c>
      <c r="N37" s="227">
        <f t="shared" si="2"/>
        <v>5312.2779620094807</v>
      </c>
      <c r="O37" s="152">
        <f t="shared" si="3"/>
        <v>445642.33496200963</v>
      </c>
    </row>
    <row r="38" spans="1:15" x14ac:dyDescent="0.15">
      <c r="A38" s="154"/>
      <c r="B38" s="151"/>
      <c r="C38" s="152"/>
      <c r="D38" s="323">
        <v>41617</v>
      </c>
      <c r="E38" s="154" t="s">
        <v>72</v>
      </c>
      <c r="F38" s="157" t="s">
        <v>1732</v>
      </c>
      <c r="G38" s="152">
        <v>43931.78999999979</v>
      </c>
      <c r="H38" s="323">
        <v>41617</v>
      </c>
      <c r="I38" s="152"/>
      <c r="J38" s="154"/>
      <c r="K38" s="154" t="s">
        <v>1761</v>
      </c>
      <c r="L38" s="227">
        <v>2175.65</v>
      </c>
      <c r="M38" s="157" t="s">
        <v>1730</v>
      </c>
      <c r="N38" s="227">
        <f t="shared" si="2"/>
        <v>3136.6279620094806</v>
      </c>
      <c r="O38" s="152">
        <f t="shared" si="3"/>
        <v>487398.47496200941</v>
      </c>
    </row>
    <row r="39" spans="1:15" x14ac:dyDescent="0.15">
      <c r="A39" s="154"/>
      <c r="B39" s="151"/>
      <c r="C39" s="152"/>
      <c r="D39" s="323">
        <v>41617</v>
      </c>
      <c r="E39" s="154" t="s">
        <v>72</v>
      </c>
      <c r="F39" s="157" t="s">
        <v>1733</v>
      </c>
      <c r="G39" s="152">
        <v>44033.350000000202</v>
      </c>
      <c r="H39" s="323">
        <v>41617</v>
      </c>
      <c r="I39" s="152"/>
      <c r="J39" s="154"/>
      <c r="K39" s="154" t="s">
        <v>1761</v>
      </c>
      <c r="L39" s="227">
        <v>3136.6279620094806</v>
      </c>
      <c r="M39" s="157" t="s">
        <v>1730</v>
      </c>
      <c r="N39" s="227">
        <f t="shared" ref="N39:N43" si="10">+N38-I39-L39</f>
        <v>0</v>
      </c>
      <c r="O39" s="152">
        <f t="shared" ref="O39:O43" si="11">O38+G39-I39-L39</f>
        <v>528295.19700000004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>
        <v>41617</v>
      </c>
      <c r="I40" s="152"/>
      <c r="J40" s="154"/>
      <c r="K40" s="154" t="s">
        <v>1759</v>
      </c>
      <c r="L40" s="227">
        <v>33788.262037990498</v>
      </c>
      <c r="M40" s="157" t="s">
        <v>1731</v>
      </c>
      <c r="N40" s="227">
        <f>G21+G24+G27+N39-I40-L40</f>
        <v>230448.37896200956</v>
      </c>
      <c r="O40" s="152">
        <f t="shared" si="11"/>
        <v>494506.93496200955</v>
      </c>
    </row>
    <row r="41" spans="1:15" x14ac:dyDescent="0.15">
      <c r="A41" s="154"/>
      <c r="B41" s="151"/>
      <c r="C41" s="152"/>
      <c r="D41" s="323"/>
      <c r="E41" s="155"/>
      <c r="F41" s="157"/>
      <c r="G41" s="152"/>
      <c r="H41" s="323">
        <v>41617</v>
      </c>
      <c r="I41" s="152"/>
      <c r="J41" s="154"/>
      <c r="K41" s="154" t="s">
        <v>1759</v>
      </c>
      <c r="L41" s="227">
        <v>34120.379999999997</v>
      </c>
      <c r="M41" s="157" t="s">
        <v>1731</v>
      </c>
      <c r="N41" s="227">
        <f t="shared" si="10"/>
        <v>196327.99896200956</v>
      </c>
      <c r="O41" s="152">
        <f t="shared" si="11"/>
        <v>460386.55496200954</v>
      </c>
    </row>
    <row r="42" spans="1:15" x14ac:dyDescent="0.15">
      <c r="A42" s="154"/>
      <c r="B42" s="151"/>
      <c r="C42" s="152"/>
      <c r="D42" s="323"/>
      <c r="E42" s="155"/>
      <c r="F42" s="157"/>
      <c r="G42" s="152"/>
      <c r="H42" s="323">
        <v>41617</v>
      </c>
      <c r="I42" s="152"/>
      <c r="J42" s="154"/>
      <c r="K42" s="154" t="s">
        <v>1759</v>
      </c>
      <c r="L42" s="227">
        <v>4064.24</v>
      </c>
      <c r="M42" s="157" t="s">
        <v>1731</v>
      </c>
      <c r="N42" s="227">
        <f t="shared" si="10"/>
        <v>192263.75896200957</v>
      </c>
      <c r="O42" s="152">
        <f t="shared" si="11"/>
        <v>456322.31496200955</v>
      </c>
    </row>
    <row r="43" spans="1:15" x14ac:dyDescent="0.15">
      <c r="A43" s="154"/>
      <c r="B43" s="151"/>
      <c r="C43" s="152"/>
      <c r="D43" s="323">
        <v>41618</v>
      </c>
      <c r="E43" s="154" t="s">
        <v>72</v>
      </c>
      <c r="F43" s="157" t="s">
        <v>1733</v>
      </c>
      <c r="G43" s="152">
        <v>175774.03100000002</v>
      </c>
      <c r="H43" s="323">
        <v>41618</v>
      </c>
      <c r="I43" s="152">
        <v>3566.02</v>
      </c>
      <c r="J43" s="157" t="s">
        <v>1731</v>
      </c>
      <c r="K43" s="154" t="s">
        <v>1759</v>
      </c>
      <c r="L43" s="227">
        <v>9810.0400000000009</v>
      </c>
      <c r="M43" s="157" t="s">
        <v>1731</v>
      </c>
      <c r="N43" s="227">
        <f t="shared" si="10"/>
        <v>178887.69896200957</v>
      </c>
      <c r="O43" s="152">
        <f t="shared" si="11"/>
        <v>618720.28596200957</v>
      </c>
    </row>
    <row r="44" spans="1:15" x14ac:dyDescent="0.15">
      <c r="A44" s="154"/>
      <c r="B44" s="151"/>
      <c r="C44" s="152"/>
      <c r="D44" s="323">
        <v>41619</v>
      </c>
      <c r="E44" s="154" t="s">
        <v>72</v>
      </c>
      <c r="F44" s="157" t="s">
        <v>1733</v>
      </c>
      <c r="G44" s="152">
        <v>87983.875999999989</v>
      </c>
      <c r="H44" s="323">
        <v>41619</v>
      </c>
      <c r="I44" s="152">
        <v>1835</v>
      </c>
      <c r="J44" s="157" t="s">
        <v>1731</v>
      </c>
      <c r="K44" s="154" t="s">
        <v>1759</v>
      </c>
      <c r="L44" s="227">
        <v>11622</v>
      </c>
      <c r="M44" s="157" t="s">
        <v>1731</v>
      </c>
      <c r="N44" s="227">
        <f t="shared" si="2"/>
        <v>165430.69896200957</v>
      </c>
      <c r="O44" s="152">
        <f t="shared" si="3"/>
        <v>693247.1619620095</v>
      </c>
    </row>
    <row r="45" spans="1:15" x14ac:dyDescent="0.15">
      <c r="A45" s="154"/>
      <c r="B45" s="151"/>
      <c r="C45" s="152"/>
      <c r="D45" s="323"/>
      <c r="E45" s="155"/>
      <c r="F45" s="157"/>
      <c r="G45" s="152"/>
      <c r="H45" s="323">
        <v>41619</v>
      </c>
      <c r="I45" s="152"/>
      <c r="J45" s="154"/>
      <c r="K45" s="154" t="s">
        <v>1759</v>
      </c>
      <c r="L45" s="227">
        <v>89880</v>
      </c>
      <c r="M45" s="157" t="s">
        <v>1731</v>
      </c>
      <c r="N45" s="227">
        <f t="shared" si="2"/>
        <v>75550.69896200957</v>
      </c>
      <c r="O45" s="152">
        <f t="shared" si="3"/>
        <v>603367.1619620095</v>
      </c>
    </row>
    <row r="46" spans="1:15" x14ac:dyDescent="0.15">
      <c r="A46" s="154"/>
      <c r="B46" s="151"/>
      <c r="C46" s="152"/>
      <c r="D46" s="323"/>
      <c r="E46" s="155"/>
      <c r="F46" s="157"/>
      <c r="G46" s="152"/>
      <c r="H46" s="323">
        <v>41619</v>
      </c>
      <c r="I46" s="152"/>
      <c r="J46" s="154"/>
      <c r="K46" s="154" t="s">
        <v>1759</v>
      </c>
      <c r="L46" s="227">
        <v>75550.69896200957</v>
      </c>
      <c r="M46" s="157" t="s">
        <v>1731</v>
      </c>
      <c r="N46" s="227">
        <f t="shared" ref="N46:N51" si="12">+N45-I46-L46</f>
        <v>0</v>
      </c>
      <c r="O46" s="152">
        <f t="shared" ref="O46:O51" si="13">O45+G46-I46-L46</f>
        <v>527816.46299999999</v>
      </c>
    </row>
    <row r="47" spans="1:15" x14ac:dyDescent="0.15">
      <c r="A47" s="154"/>
      <c r="B47" s="151"/>
      <c r="C47" s="152"/>
      <c r="D47" s="323"/>
      <c r="E47" s="155"/>
      <c r="F47" s="157"/>
      <c r="G47" s="152"/>
      <c r="H47" s="323">
        <v>41619</v>
      </c>
      <c r="I47" s="152"/>
      <c r="J47" s="154"/>
      <c r="K47" s="154" t="s">
        <v>1761</v>
      </c>
      <c r="L47" s="227">
        <v>6877.3010379904299</v>
      </c>
      <c r="M47" s="157" t="s">
        <v>1732</v>
      </c>
      <c r="N47" s="227">
        <f>G28+G33+G38+N46-I47-L47</f>
        <v>213147.90496200958</v>
      </c>
      <c r="O47" s="152">
        <f t="shared" si="13"/>
        <v>520939.16196200956</v>
      </c>
    </row>
    <row r="48" spans="1:15" x14ac:dyDescent="0.15">
      <c r="A48" s="154"/>
      <c r="B48" s="151"/>
      <c r="C48" s="152"/>
      <c r="D48" s="323"/>
      <c r="E48" s="155"/>
      <c r="F48" s="157"/>
      <c r="G48" s="152"/>
      <c r="H48" s="323">
        <v>41619</v>
      </c>
      <c r="I48" s="152"/>
      <c r="J48" s="154"/>
      <c r="K48" s="154" t="s">
        <v>1761</v>
      </c>
      <c r="L48" s="227">
        <v>77340</v>
      </c>
      <c r="M48" s="157" t="s">
        <v>1732</v>
      </c>
      <c r="N48" s="227">
        <f t="shared" si="12"/>
        <v>135807.90496200958</v>
      </c>
      <c r="O48" s="152">
        <f t="shared" si="13"/>
        <v>443599.16196200956</v>
      </c>
    </row>
    <row r="49" spans="1:15" x14ac:dyDescent="0.15">
      <c r="A49" s="154"/>
      <c r="B49" s="151"/>
      <c r="C49" s="152"/>
      <c r="D49" s="323">
        <v>41620</v>
      </c>
      <c r="E49" s="154" t="s">
        <v>72</v>
      </c>
      <c r="F49" s="157" t="s">
        <v>1733</v>
      </c>
      <c r="G49" s="152">
        <v>88014.308999999776</v>
      </c>
      <c r="H49" s="323">
        <v>41620</v>
      </c>
      <c r="I49" s="152">
        <v>766</v>
      </c>
      <c r="J49" s="157" t="s">
        <v>1732</v>
      </c>
      <c r="K49" s="154" t="s">
        <v>1761</v>
      </c>
      <c r="L49" s="227">
        <v>88070</v>
      </c>
      <c r="M49" s="157" t="s">
        <v>1732</v>
      </c>
      <c r="N49" s="227">
        <f t="shared" si="12"/>
        <v>46971.904962009576</v>
      </c>
      <c r="O49" s="152">
        <f t="shared" si="13"/>
        <v>442777.47096200939</v>
      </c>
    </row>
    <row r="50" spans="1:15" x14ac:dyDescent="0.15">
      <c r="A50" s="154"/>
      <c r="B50" s="151"/>
      <c r="C50" s="152"/>
      <c r="D50" s="323">
        <v>41620</v>
      </c>
      <c r="E50" s="154" t="s">
        <v>72</v>
      </c>
      <c r="F50" s="157" t="s">
        <v>1734</v>
      </c>
      <c r="G50" s="152">
        <v>88023.598000000202</v>
      </c>
      <c r="H50" s="323">
        <v>41620</v>
      </c>
      <c r="I50" s="152"/>
      <c r="J50" s="154"/>
      <c r="K50" s="154" t="s">
        <v>1761</v>
      </c>
      <c r="L50" s="227">
        <v>36322</v>
      </c>
      <c r="M50" s="157" t="s">
        <v>1732</v>
      </c>
      <c r="N50" s="227">
        <f t="shared" si="12"/>
        <v>10649.904962009576</v>
      </c>
      <c r="O50" s="152">
        <f t="shared" si="13"/>
        <v>494479.06896200962</v>
      </c>
    </row>
    <row r="51" spans="1:15" x14ac:dyDescent="0.15">
      <c r="A51" s="154"/>
      <c r="B51" s="151"/>
      <c r="C51" s="152"/>
      <c r="D51" s="323">
        <v>41621</v>
      </c>
      <c r="E51" s="154" t="s">
        <v>72</v>
      </c>
      <c r="F51" s="157" t="s">
        <v>1734</v>
      </c>
      <c r="G51" s="152">
        <v>88082.959000000003</v>
      </c>
      <c r="H51" s="323">
        <v>41621</v>
      </c>
      <c r="I51" s="152"/>
      <c r="J51" s="154"/>
      <c r="K51" s="154" t="s">
        <v>1761</v>
      </c>
      <c r="L51" s="227">
        <v>10649.904962009576</v>
      </c>
      <c r="M51" s="157" t="s">
        <v>1732</v>
      </c>
      <c r="N51" s="227">
        <f t="shared" si="12"/>
        <v>0</v>
      </c>
      <c r="O51" s="152">
        <f t="shared" si="13"/>
        <v>571912.12300000014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>
        <v>41621</v>
      </c>
      <c r="I52" s="152"/>
      <c r="J52" s="154"/>
      <c r="K52" s="154" t="s">
        <v>1761</v>
      </c>
      <c r="L52" s="227">
        <v>3872.0950379904202</v>
      </c>
      <c r="M52" s="157" t="s">
        <v>1733</v>
      </c>
      <c r="N52" s="227">
        <f>G39+G43+G44+G49+N51-I52-L52</f>
        <v>391933.47096200957</v>
      </c>
      <c r="O52" s="152">
        <f t="shared" ref="O52:O54" si="14">O51+G52-I52-L52</f>
        <v>568040.02796200977</v>
      </c>
    </row>
    <row r="53" spans="1:15" x14ac:dyDescent="0.15">
      <c r="A53" s="154"/>
      <c r="B53" s="151"/>
      <c r="C53" s="152"/>
      <c r="D53" s="323"/>
      <c r="E53" s="155"/>
      <c r="F53" s="157"/>
      <c r="G53" s="152"/>
      <c r="H53" s="323">
        <v>41621</v>
      </c>
      <c r="I53" s="152"/>
      <c r="J53" s="154"/>
      <c r="K53" s="154" t="s">
        <v>1761</v>
      </c>
      <c r="L53" s="227">
        <v>758</v>
      </c>
      <c r="M53" s="157" t="s">
        <v>1733</v>
      </c>
      <c r="N53" s="227">
        <f t="shared" ref="N53:N54" si="15">+N52-I53-L53</f>
        <v>391175.47096200957</v>
      </c>
      <c r="O53" s="152">
        <f t="shared" si="14"/>
        <v>567282.02796200977</v>
      </c>
    </row>
    <row r="54" spans="1:15" x14ac:dyDescent="0.15">
      <c r="A54" s="154"/>
      <c r="B54" s="151"/>
      <c r="C54" s="152"/>
      <c r="D54" s="323"/>
      <c r="E54" s="155"/>
      <c r="F54" s="157"/>
      <c r="G54" s="152"/>
      <c r="H54" s="323">
        <v>41621</v>
      </c>
      <c r="I54" s="152"/>
      <c r="J54" s="154"/>
      <c r="K54" s="154" t="s">
        <v>1761</v>
      </c>
      <c r="L54" s="227">
        <v>102734</v>
      </c>
      <c r="M54" s="157" t="s">
        <v>1733</v>
      </c>
      <c r="N54" s="227">
        <f t="shared" si="15"/>
        <v>288441.47096200957</v>
      </c>
      <c r="O54" s="152">
        <f t="shared" si="14"/>
        <v>464548.02796200977</v>
      </c>
    </row>
    <row r="55" spans="1:15" x14ac:dyDescent="0.15">
      <c r="A55" s="154"/>
      <c r="B55" s="151"/>
      <c r="C55" s="152"/>
      <c r="D55" s="323"/>
      <c r="E55" s="155"/>
      <c r="F55" s="157"/>
      <c r="G55" s="152"/>
      <c r="H55" s="323">
        <v>41621</v>
      </c>
      <c r="I55" s="152"/>
      <c r="J55" s="154"/>
      <c r="K55" s="154" t="s">
        <v>1761</v>
      </c>
      <c r="L55" s="227">
        <v>72118</v>
      </c>
      <c r="M55" s="157" t="s">
        <v>1733</v>
      </c>
      <c r="N55" s="227">
        <f t="shared" si="2"/>
        <v>216323.47096200957</v>
      </c>
      <c r="O55" s="152">
        <f t="shared" si="3"/>
        <v>392430.02796200977</v>
      </c>
    </row>
    <row r="56" spans="1:15" x14ac:dyDescent="0.15">
      <c r="A56" s="154"/>
      <c r="B56" s="151"/>
      <c r="C56" s="152"/>
      <c r="D56" s="323">
        <v>41622</v>
      </c>
      <c r="E56" s="154" t="s">
        <v>72</v>
      </c>
      <c r="F56" s="157" t="s">
        <v>1734</v>
      </c>
      <c r="G56" s="152">
        <v>43982.557999999786</v>
      </c>
      <c r="H56" s="323">
        <v>41622</v>
      </c>
      <c r="I56" s="152">
        <v>1515</v>
      </c>
      <c r="J56" s="157" t="s">
        <v>1733</v>
      </c>
      <c r="K56" s="154" t="s">
        <v>1761</v>
      </c>
      <c r="L56" s="227">
        <v>91212</v>
      </c>
      <c r="M56" s="157" t="s">
        <v>1733</v>
      </c>
      <c r="N56" s="227">
        <f t="shared" si="2"/>
        <v>123596.47096200957</v>
      </c>
      <c r="O56" s="152">
        <f t="shared" si="3"/>
        <v>343685.58596200956</v>
      </c>
    </row>
    <row r="57" spans="1:15" x14ac:dyDescent="0.15">
      <c r="A57" s="154"/>
      <c r="B57" s="151"/>
      <c r="C57" s="152"/>
      <c r="D57" s="323">
        <v>41622</v>
      </c>
      <c r="E57" s="154" t="s">
        <v>72</v>
      </c>
      <c r="F57" s="157" t="s">
        <v>1735</v>
      </c>
      <c r="G57" s="152">
        <v>85045.466000000204</v>
      </c>
      <c r="H57" s="323">
        <v>41622</v>
      </c>
      <c r="I57" s="152"/>
      <c r="J57" s="154"/>
      <c r="K57" s="154" t="s">
        <v>1761</v>
      </c>
      <c r="L57" s="227">
        <v>80930</v>
      </c>
      <c r="M57" s="157" t="s">
        <v>1733</v>
      </c>
      <c r="N57" s="227">
        <f t="shared" si="2"/>
        <v>42666.470962009567</v>
      </c>
      <c r="O57" s="152">
        <f t="shared" si="3"/>
        <v>347801.05196200975</v>
      </c>
    </row>
    <row r="58" spans="1:15" x14ac:dyDescent="0.15">
      <c r="A58" s="154"/>
      <c r="B58" s="151"/>
      <c r="C58" s="152"/>
      <c r="D58" s="323">
        <v>41623</v>
      </c>
      <c r="E58" s="154" t="s">
        <v>72</v>
      </c>
      <c r="F58" s="157" t="s">
        <v>1735</v>
      </c>
      <c r="G58" s="152">
        <v>293058.24599999998</v>
      </c>
      <c r="H58" s="323">
        <v>41623</v>
      </c>
      <c r="I58" s="152"/>
      <c r="J58" s="154"/>
      <c r="K58" s="154" t="s">
        <v>1761</v>
      </c>
      <c r="L58" s="227">
        <v>42666.470962009567</v>
      </c>
      <c r="M58" s="157" t="s">
        <v>1733</v>
      </c>
      <c r="N58" s="227">
        <f t="shared" si="2"/>
        <v>0</v>
      </c>
      <c r="O58" s="152">
        <f t="shared" si="3"/>
        <v>598192.82700000005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>
        <v>41623</v>
      </c>
      <c r="I59" s="152"/>
      <c r="J59" s="154"/>
      <c r="K59" s="154" t="s">
        <v>1761</v>
      </c>
      <c r="L59" s="227">
        <v>1942.25903799044</v>
      </c>
      <c r="M59" s="157" t="s">
        <v>1734</v>
      </c>
      <c r="N59" s="227">
        <f>G50+G51+G56+N58-I59-L59</f>
        <v>218146.85596200955</v>
      </c>
      <c r="O59" s="152">
        <f t="shared" ref="O59:O61" si="16">O58+G59-I59-L59</f>
        <v>596250.56796200958</v>
      </c>
    </row>
    <row r="60" spans="1:15" x14ac:dyDescent="0.15">
      <c r="A60" s="154"/>
      <c r="B60" s="151"/>
      <c r="C60" s="152"/>
      <c r="D60" s="323"/>
      <c r="E60" s="155"/>
      <c r="F60" s="157"/>
      <c r="G60" s="152"/>
      <c r="H60" s="323">
        <v>41623</v>
      </c>
      <c r="I60" s="152"/>
      <c r="J60" s="157"/>
      <c r="K60" s="154" t="s">
        <v>1761</v>
      </c>
      <c r="L60" s="227">
        <v>74212.679999999993</v>
      </c>
      <c r="M60" s="157" t="s">
        <v>1734</v>
      </c>
      <c r="N60" s="227">
        <f t="shared" ref="N60:N61" si="17">+N59-I60-L60</f>
        <v>143934.17596200955</v>
      </c>
      <c r="O60" s="152">
        <f t="shared" si="16"/>
        <v>522037.88796200958</v>
      </c>
    </row>
    <row r="61" spans="1:15" x14ac:dyDescent="0.15">
      <c r="A61" s="154"/>
      <c r="B61" s="151"/>
      <c r="C61" s="152"/>
      <c r="D61" s="323"/>
      <c r="E61" s="155"/>
      <c r="F61" s="157"/>
      <c r="G61" s="152"/>
      <c r="H61" s="323">
        <v>41623</v>
      </c>
      <c r="I61" s="152"/>
      <c r="J61" s="154"/>
      <c r="K61" s="154" t="s">
        <v>1761</v>
      </c>
      <c r="L61" s="227">
        <v>66150.44</v>
      </c>
      <c r="M61" s="157" t="s">
        <v>1734</v>
      </c>
      <c r="N61" s="227">
        <f t="shared" si="17"/>
        <v>77783.735962009552</v>
      </c>
      <c r="O61" s="152">
        <f t="shared" si="16"/>
        <v>455887.44796200958</v>
      </c>
    </row>
    <row r="62" spans="1:15" x14ac:dyDescent="0.15">
      <c r="A62" s="154"/>
      <c r="B62" s="151"/>
      <c r="C62" s="152"/>
      <c r="D62" s="323"/>
      <c r="E62" s="155"/>
      <c r="F62" s="157"/>
      <c r="G62" s="152"/>
      <c r="H62" s="323">
        <v>41623</v>
      </c>
      <c r="I62" s="152"/>
      <c r="J62" s="154"/>
      <c r="K62" s="154" t="s">
        <v>1761</v>
      </c>
      <c r="L62" s="227">
        <v>64764.34</v>
      </c>
      <c r="M62" s="157" t="s">
        <v>1734</v>
      </c>
      <c r="N62" s="227">
        <f t="shared" si="2"/>
        <v>13019.395962009556</v>
      </c>
      <c r="O62" s="152">
        <f t="shared" si="3"/>
        <v>391123.10796200961</v>
      </c>
    </row>
    <row r="63" spans="1:15" x14ac:dyDescent="0.15">
      <c r="A63" s="154"/>
      <c r="B63" s="151"/>
      <c r="C63" s="152"/>
      <c r="D63" s="323"/>
      <c r="E63" s="155"/>
      <c r="F63" s="157"/>
      <c r="G63" s="152"/>
      <c r="H63" s="323">
        <v>41623</v>
      </c>
      <c r="I63" s="152"/>
      <c r="J63" s="154"/>
      <c r="K63" s="154" t="s">
        <v>1761</v>
      </c>
      <c r="L63" s="227">
        <v>270.14</v>
      </c>
      <c r="M63" s="157" t="s">
        <v>1734</v>
      </c>
      <c r="N63" s="227">
        <f t="shared" si="2"/>
        <v>12749.255962009556</v>
      </c>
      <c r="O63" s="152">
        <f t="shared" si="3"/>
        <v>390852.9679620096</v>
      </c>
    </row>
    <row r="64" spans="1:15" x14ac:dyDescent="0.15">
      <c r="A64" s="154"/>
      <c r="B64" s="151"/>
      <c r="C64" s="152"/>
      <c r="D64" s="323">
        <v>41624</v>
      </c>
      <c r="E64" s="154" t="s">
        <v>72</v>
      </c>
      <c r="F64" s="157" t="s">
        <v>1736</v>
      </c>
      <c r="G64" s="152">
        <v>132055.55499999999</v>
      </c>
      <c r="H64" s="323">
        <v>41624</v>
      </c>
      <c r="I64" s="152">
        <v>5446.0499999999993</v>
      </c>
      <c r="J64" s="157" t="s">
        <v>1734</v>
      </c>
      <c r="K64" s="154" t="s">
        <v>1761</v>
      </c>
      <c r="L64" s="227">
        <v>7303.205962009557</v>
      </c>
      <c r="M64" s="157" t="s">
        <v>1734</v>
      </c>
      <c r="N64" s="227">
        <f t="shared" ref="N64:N67" si="18">+N63-I64-L64</f>
        <v>0</v>
      </c>
      <c r="O64" s="152">
        <f t="shared" ref="O64:O67" si="19">O63+G64-I64-L64</f>
        <v>510159.26700000005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>
        <v>41624</v>
      </c>
      <c r="I65" s="152"/>
      <c r="J65" s="154"/>
      <c r="K65" s="154" t="s">
        <v>1761</v>
      </c>
      <c r="L65" s="227">
        <v>2534.7340379904399</v>
      </c>
      <c r="M65" s="157" t="s">
        <v>1735</v>
      </c>
      <c r="N65" s="227">
        <f>G57+G58+N64-I65-L65</f>
        <v>375568.97796200973</v>
      </c>
      <c r="O65" s="152">
        <f t="shared" si="19"/>
        <v>507624.5329620096</v>
      </c>
    </row>
    <row r="66" spans="1:15" x14ac:dyDescent="0.15">
      <c r="A66" s="154"/>
      <c r="B66" s="151"/>
      <c r="C66" s="152"/>
      <c r="D66" s="323"/>
      <c r="E66" s="155"/>
      <c r="F66" s="157"/>
      <c r="G66" s="152"/>
      <c r="H66" s="323">
        <v>41624</v>
      </c>
      <c r="I66" s="152"/>
      <c r="J66" s="154"/>
      <c r="K66" s="154" t="s">
        <v>1761</v>
      </c>
      <c r="L66" s="227">
        <v>11773.88</v>
      </c>
      <c r="M66" s="157" t="s">
        <v>1735</v>
      </c>
      <c r="N66" s="227">
        <f t="shared" si="18"/>
        <v>363795.09796200972</v>
      </c>
      <c r="O66" s="152">
        <f t="shared" si="19"/>
        <v>495850.6529620096</v>
      </c>
    </row>
    <row r="67" spans="1:15" x14ac:dyDescent="0.15">
      <c r="A67" s="154"/>
      <c r="B67" s="151"/>
      <c r="C67" s="152"/>
      <c r="D67" s="323"/>
      <c r="E67" s="155"/>
      <c r="F67" s="157"/>
      <c r="G67" s="152"/>
      <c r="H67" s="323">
        <v>41624</v>
      </c>
      <c r="I67" s="152"/>
      <c r="J67" s="157"/>
      <c r="K67" s="154" t="s">
        <v>1761</v>
      </c>
      <c r="L67" s="227">
        <v>34547.5</v>
      </c>
      <c r="M67" s="157" t="s">
        <v>1735</v>
      </c>
      <c r="N67" s="227">
        <f t="shared" si="18"/>
        <v>329247.59796200972</v>
      </c>
      <c r="O67" s="152">
        <f t="shared" si="19"/>
        <v>461303.1529620096</v>
      </c>
    </row>
    <row r="68" spans="1:15" x14ac:dyDescent="0.15">
      <c r="A68" s="154"/>
      <c r="B68" s="151"/>
      <c r="C68" s="152"/>
      <c r="D68" s="323">
        <v>41625</v>
      </c>
      <c r="E68" s="154" t="s">
        <v>72</v>
      </c>
      <c r="F68" s="157" t="s">
        <v>1736</v>
      </c>
      <c r="G68" s="152">
        <v>88000.040999999997</v>
      </c>
      <c r="H68" s="323">
        <v>41625</v>
      </c>
      <c r="I68" s="152">
        <v>6645.39</v>
      </c>
      <c r="J68" s="157" t="s">
        <v>1735</v>
      </c>
      <c r="K68" s="154" t="s">
        <v>1761</v>
      </c>
      <c r="L68" s="227">
        <v>3376.47</v>
      </c>
      <c r="M68" s="157" t="s">
        <v>1735</v>
      </c>
      <c r="N68" s="227">
        <f t="shared" si="2"/>
        <v>319225.73796200973</v>
      </c>
      <c r="O68" s="152">
        <f t="shared" si="3"/>
        <v>539281.33396200964</v>
      </c>
    </row>
    <row r="69" spans="1:15" x14ac:dyDescent="0.15">
      <c r="A69" s="154"/>
      <c r="B69" s="151"/>
      <c r="C69" s="152"/>
      <c r="D69" s="323">
        <v>41626</v>
      </c>
      <c r="E69" s="154" t="s">
        <v>72</v>
      </c>
      <c r="F69" s="157" t="s">
        <v>1736</v>
      </c>
      <c r="G69" s="152">
        <v>87868.314999999973</v>
      </c>
      <c r="H69" s="323">
        <v>41626</v>
      </c>
      <c r="I69" s="152">
        <v>3469.11</v>
      </c>
      <c r="J69" s="157" t="s">
        <v>1735</v>
      </c>
      <c r="K69" s="154" t="s">
        <v>1761</v>
      </c>
      <c r="L69" s="227">
        <v>14587.63</v>
      </c>
      <c r="M69" s="157" t="s">
        <v>1735</v>
      </c>
      <c r="N69" s="227">
        <f t="shared" si="2"/>
        <v>301168.99796200974</v>
      </c>
      <c r="O69" s="152">
        <f t="shared" si="3"/>
        <v>609092.90896200959</v>
      </c>
    </row>
    <row r="70" spans="1:15" x14ac:dyDescent="0.15">
      <c r="A70" s="154"/>
      <c r="B70" s="151"/>
      <c r="C70" s="152"/>
      <c r="D70" s="323">
        <v>41626</v>
      </c>
      <c r="E70" s="154" t="s">
        <v>72</v>
      </c>
      <c r="F70" s="157" t="s">
        <v>1737</v>
      </c>
      <c r="G70" s="152">
        <v>128825.40700000001</v>
      </c>
      <c r="H70" s="323">
        <v>41626</v>
      </c>
      <c r="I70" s="152"/>
      <c r="J70" s="157"/>
      <c r="K70" s="154" t="s">
        <v>1761</v>
      </c>
      <c r="L70" s="227">
        <v>97237.5</v>
      </c>
      <c r="M70" s="157" t="s">
        <v>1735</v>
      </c>
      <c r="N70" s="227">
        <f t="shared" si="2"/>
        <v>203931.49796200974</v>
      </c>
      <c r="O70" s="152">
        <f t="shared" si="3"/>
        <v>640680.8159620096</v>
      </c>
    </row>
    <row r="71" spans="1:15" x14ac:dyDescent="0.15">
      <c r="A71" s="154"/>
      <c r="B71" s="151"/>
      <c r="C71" s="152"/>
      <c r="D71" s="323"/>
      <c r="E71" s="155"/>
      <c r="F71" s="157"/>
      <c r="G71" s="152"/>
      <c r="H71" s="323">
        <v>41626</v>
      </c>
      <c r="I71" s="152"/>
      <c r="J71" s="157"/>
      <c r="K71" s="154" t="s">
        <v>1761</v>
      </c>
      <c r="L71" s="152">
        <v>36546.199999999997</v>
      </c>
      <c r="M71" s="157" t="s">
        <v>1735</v>
      </c>
      <c r="N71" s="227">
        <f t="shared" si="2"/>
        <v>167385.29796200973</v>
      </c>
      <c r="O71" s="152">
        <f t="shared" si="3"/>
        <v>604134.61596200964</v>
      </c>
    </row>
    <row r="72" spans="1:15" x14ac:dyDescent="0.15">
      <c r="A72" s="154"/>
      <c r="B72" s="151"/>
      <c r="C72" s="152"/>
      <c r="D72" s="323"/>
      <c r="E72" s="155"/>
      <c r="F72" s="154"/>
      <c r="G72" s="152"/>
      <c r="H72" s="323">
        <v>41626</v>
      </c>
      <c r="I72" s="152"/>
      <c r="J72" s="157"/>
      <c r="K72" s="154" t="s">
        <v>1761</v>
      </c>
      <c r="L72" s="227">
        <v>79248.36</v>
      </c>
      <c r="M72" s="157" t="s">
        <v>1735</v>
      </c>
      <c r="N72" s="227">
        <f t="shared" si="2"/>
        <v>88136.937962009732</v>
      </c>
      <c r="O72" s="152">
        <f t="shared" si="3"/>
        <v>524886.25596200966</v>
      </c>
    </row>
    <row r="73" spans="1:15" x14ac:dyDescent="0.15">
      <c r="A73" s="154"/>
      <c r="B73" s="151"/>
      <c r="C73" s="152"/>
      <c r="D73" s="323"/>
      <c r="E73" s="155"/>
      <c r="F73" s="154"/>
      <c r="G73" s="152"/>
      <c r="H73" s="323">
        <v>41626</v>
      </c>
      <c r="I73" s="152"/>
      <c r="J73" s="157"/>
      <c r="K73" s="154" t="s">
        <v>1761</v>
      </c>
      <c r="L73" s="227">
        <v>34455.81</v>
      </c>
      <c r="M73" s="157" t="s">
        <v>1735</v>
      </c>
      <c r="N73" s="227">
        <f t="shared" si="2"/>
        <v>53681.127962009734</v>
      </c>
      <c r="O73" s="152">
        <f t="shared" si="3"/>
        <v>490430.44596200966</v>
      </c>
    </row>
    <row r="74" spans="1:15" x14ac:dyDescent="0.15">
      <c r="A74" s="154"/>
      <c r="B74" s="151"/>
      <c r="C74" s="152"/>
      <c r="D74" s="323"/>
      <c r="E74" s="155"/>
      <c r="F74" s="157"/>
      <c r="G74" s="152"/>
      <c r="H74" s="323">
        <v>41626</v>
      </c>
      <c r="I74" s="152"/>
      <c r="J74" s="157"/>
      <c r="K74" s="154" t="s">
        <v>1761</v>
      </c>
      <c r="L74" s="227">
        <v>53681.127962009734</v>
      </c>
      <c r="M74" s="157" t="s">
        <v>1735</v>
      </c>
      <c r="N74" s="227">
        <f t="shared" ref="N74:N77" si="20">+N73-I74-L74</f>
        <v>0</v>
      </c>
      <c r="O74" s="152">
        <f t="shared" ref="O74:O77" si="21">O73+G74-I74-L74</f>
        <v>436749.31799999991</v>
      </c>
    </row>
    <row r="75" spans="1:15" x14ac:dyDescent="0.15">
      <c r="A75" s="154"/>
      <c r="B75" s="151"/>
      <c r="C75" s="152"/>
      <c r="D75" s="323"/>
      <c r="E75" s="155"/>
      <c r="F75" s="157"/>
      <c r="G75" s="152"/>
      <c r="H75" s="323">
        <v>41626</v>
      </c>
      <c r="I75" s="152"/>
      <c r="J75" s="157"/>
      <c r="K75" s="154" t="s">
        <v>1761</v>
      </c>
      <c r="L75" s="227">
        <v>24876.1120379903</v>
      </c>
      <c r="M75" s="157" t="s">
        <v>1736</v>
      </c>
      <c r="N75" s="227">
        <f>G64+G68+G69+N74-I75-L75</f>
        <v>283047.79896200966</v>
      </c>
      <c r="O75" s="152">
        <f t="shared" si="21"/>
        <v>411873.20596200961</v>
      </c>
    </row>
    <row r="76" spans="1:15" x14ac:dyDescent="0.15">
      <c r="A76" s="154"/>
      <c r="B76" s="151"/>
      <c r="C76" s="152"/>
      <c r="D76" s="323">
        <v>41627</v>
      </c>
      <c r="E76" s="154" t="s">
        <v>72</v>
      </c>
      <c r="F76" s="157" t="s">
        <v>1737</v>
      </c>
      <c r="G76" s="152">
        <v>131875.408</v>
      </c>
      <c r="H76" s="323">
        <v>41627</v>
      </c>
      <c r="I76" s="152">
        <v>8754.43</v>
      </c>
      <c r="J76" s="157" t="s">
        <v>1736</v>
      </c>
      <c r="K76" s="154" t="s">
        <v>1761</v>
      </c>
      <c r="L76" s="227">
        <v>89880.59</v>
      </c>
      <c r="M76" s="157" t="s">
        <v>1736</v>
      </c>
      <c r="N76" s="227">
        <f t="shared" si="20"/>
        <v>184412.77896200967</v>
      </c>
      <c r="O76" s="152">
        <f t="shared" si="21"/>
        <v>445113.59396200953</v>
      </c>
    </row>
    <row r="77" spans="1:15" x14ac:dyDescent="0.15">
      <c r="A77" s="154"/>
      <c r="B77" s="151"/>
      <c r="C77" s="152"/>
      <c r="D77" s="323"/>
      <c r="E77" s="155"/>
      <c r="F77" s="157"/>
      <c r="G77" s="152"/>
      <c r="H77" s="323">
        <v>41627</v>
      </c>
      <c r="I77" s="152"/>
      <c r="J77" s="154"/>
      <c r="K77" s="154" t="s">
        <v>1761</v>
      </c>
      <c r="L77" s="227">
        <v>69485.210000000006</v>
      </c>
      <c r="M77" s="157" t="s">
        <v>1736</v>
      </c>
      <c r="N77" s="227">
        <f t="shared" si="20"/>
        <v>114927.56896200967</v>
      </c>
      <c r="O77" s="152">
        <f t="shared" si="21"/>
        <v>375628.38396200951</v>
      </c>
    </row>
    <row r="78" spans="1:15" x14ac:dyDescent="0.15">
      <c r="A78" s="154"/>
      <c r="B78" s="151"/>
      <c r="C78" s="152"/>
      <c r="D78" s="323">
        <v>41628</v>
      </c>
      <c r="E78" s="154" t="s">
        <v>72</v>
      </c>
      <c r="F78" s="157" t="s">
        <v>1737</v>
      </c>
      <c r="G78" s="152">
        <v>88091.122000000032</v>
      </c>
      <c r="H78" s="323">
        <v>41628</v>
      </c>
      <c r="I78" s="152">
        <v>4610.6099999999997</v>
      </c>
      <c r="J78" s="157" t="s">
        <v>1736</v>
      </c>
      <c r="K78" s="154" t="s">
        <v>1761</v>
      </c>
      <c r="L78" s="227">
        <v>31889.1</v>
      </c>
      <c r="M78" s="157" t="s">
        <v>1736</v>
      </c>
      <c r="N78" s="227">
        <f t="shared" ref="N78:N142" si="22">+N77-I78-L78</f>
        <v>78427.858962009661</v>
      </c>
      <c r="O78" s="152">
        <f t="shared" ref="O78:O142" si="23">O77+G78-I78-L78</f>
        <v>427219.79596200958</v>
      </c>
    </row>
    <row r="79" spans="1:15" x14ac:dyDescent="0.15">
      <c r="A79" s="154"/>
      <c r="B79" s="151"/>
      <c r="C79" s="152"/>
      <c r="D79" s="323">
        <v>41628</v>
      </c>
      <c r="E79" s="154" t="s">
        <v>72</v>
      </c>
      <c r="F79" s="157" t="s">
        <v>1738</v>
      </c>
      <c r="G79" s="152">
        <v>166141.32800000001</v>
      </c>
      <c r="H79" s="323">
        <v>41628</v>
      </c>
      <c r="I79" s="152"/>
      <c r="J79" s="157"/>
      <c r="K79" s="154" t="s">
        <v>1761</v>
      </c>
      <c r="L79" s="227">
        <v>962.88</v>
      </c>
      <c r="M79" s="157" t="s">
        <v>1736</v>
      </c>
      <c r="N79" s="227">
        <f t="shared" si="22"/>
        <v>77464.978962009656</v>
      </c>
      <c r="O79" s="152">
        <f t="shared" si="23"/>
        <v>592398.24396200955</v>
      </c>
    </row>
    <row r="80" spans="1:15" x14ac:dyDescent="0.15">
      <c r="A80" s="154"/>
      <c r="B80" s="151"/>
      <c r="C80" s="152"/>
      <c r="D80" s="323">
        <v>41629</v>
      </c>
      <c r="E80" s="154" t="s">
        <v>72</v>
      </c>
      <c r="F80" s="157" t="s">
        <v>1738</v>
      </c>
      <c r="G80" s="152">
        <v>188112.49600000001</v>
      </c>
      <c r="H80" s="323">
        <v>41629</v>
      </c>
      <c r="I80" s="152">
        <v>8957.9</v>
      </c>
      <c r="J80" s="157" t="s">
        <v>1736</v>
      </c>
      <c r="K80" s="154" t="s">
        <v>1761</v>
      </c>
      <c r="L80" s="227">
        <v>11409.48</v>
      </c>
      <c r="M80" s="157" t="s">
        <v>1736</v>
      </c>
      <c r="N80" s="227">
        <f t="shared" si="22"/>
        <v>57097.598962009666</v>
      </c>
      <c r="O80" s="152">
        <f t="shared" si="23"/>
        <v>760143.35996200959</v>
      </c>
    </row>
    <row r="81" spans="1:15" x14ac:dyDescent="0.15">
      <c r="A81" s="154"/>
      <c r="B81" s="151"/>
      <c r="C81" s="152"/>
      <c r="D81" s="323"/>
      <c r="E81" s="155"/>
      <c r="F81" s="157"/>
      <c r="G81" s="152"/>
      <c r="H81" s="323">
        <v>41629</v>
      </c>
      <c r="I81" s="152"/>
      <c r="J81" s="157"/>
      <c r="K81" s="154" t="s">
        <v>1761</v>
      </c>
      <c r="L81" s="227">
        <v>57097.598962009666</v>
      </c>
      <c r="M81" s="157" t="s">
        <v>1736</v>
      </c>
      <c r="N81" s="227">
        <f t="shared" si="22"/>
        <v>0</v>
      </c>
      <c r="O81" s="152">
        <f t="shared" si="23"/>
        <v>703045.76099999994</v>
      </c>
    </row>
    <row r="82" spans="1:15" x14ac:dyDescent="0.15">
      <c r="A82" s="154"/>
      <c r="B82" s="151"/>
      <c r="C82" s="152"/>
      <c r="D82" s="323"/>
      <c r="E82" s="155"/>
      <c r="F82" s="157"/>
      <c r="G82" s="152"/>
      <c r="H82" s="323">
        <v>41629</v>
      </c>
      <c r="I82" s="152"/>
      <c r="J82" s="157"/>
      <c r="K82" s="154" t="s">
        <v>1761</v>
      </c>
      <c r="L82" s="227">
        <v>30871.891037990299</v>
      </c>
      <c r="M82" s="157" t="s">
        <v>1737</v>
      </c>
      <c r="N82" s="316">
        <f>G70+G76+G78+N81-I82-L82</f>
        <v>317920.04596200975</v>
      </c>
      <c r="O82" s="152">
        <f t="shared" ref="O82:O83" si="24">O81+G82-I82-L82</f>
        <v>672173.8699620096</v>
      </c>
    </row>
    <row r="83" spans="1:15" x14ac:dyDescent="0.15">
      <c r="A83" s="154"/>
      <c r="B83" s="151"/>
      <c r="C83" s="152"/>
      <c r="D83" s="323"/>
      <c r="E83" s="155"/>
      <c r="F83" s="157"/>
      <c r="G83" s="152"/>
      <c r="H83" s="323">
        <v>41629</v>
      </c>
      <c r="I83" s="152"/>
      <c r="J83" s="157"/>
      <c r="K83" s="154" t="s">
        <v>1761</v>
      </c>
      <c r="L83" s="227">
        <v>77685.83</v>
      </c>
      <c r="M83" s="157" t="s">
        <v>1737</v>
      </c>
      <c r="N83" s="227">
        <f t="shared" ref="N83" si="25">+N82-I83-L83</f>
        <v>240234.21596200974</v>
      </c>
      <c r="O83" s="152">
        <f t="shared" si="24"/>
        <v>594488.03996200964</v>
      </c>
    </row>
    <row r="84" spans="1:15" x14ac:dyDescent="0.15">
      <c r="A84" s="154"/>
      <c r="B84" s="151"/>
      <c r="C84" s="152"/>
      <c r="D84" s="323"/>
      <c r="E84" s="155"/>
      <c r="F84" s="157"/>
      <c r="G84" s="152"/>
      <c r="H84" s="323">
        <v>41629</v>
      </c>
      <c r="I84" s="152"/>
      <c r="J84" s="157"/>
      <c r="K84" s="154" t="s">
        <v>1761</v>
      </c>
      <c r="L84" s="227">
        <v>32121.279999999999</v>
      </c>
      <c r="M84" s="157" t="s">
        <v>1737</v>
      </c>
      <c r="N84" s="227">
        <f t="shared" si="22"/>
        <v>208112.93596200974</v>
      </c>
      <c r="O84" s="152">
        <f t="shared" si="23"/>
        <v>562366.75996200962</v>
      </c>
    </row>
    <row r="85" spans="1:15" x14ac:dyDescent="0.15">
      <c r="A85" s="154"/>
      <c r="B85" s="151"/>
      <c r="C85" s="152"/>
      <c r="D85" s="323"/>
      <c r="E85" s="155"/>
      <c r="F85" s="157"/>
      <c r="G85" s="152"/>
      <c r="H85" s="323">
        <v>41629</v>
      </c>
      <c r="I85" s="152"/>
      <c r="J85" s="157"/>
      <c r="K85" s="154" t="s">
        <v>1761</v>
      </c>
      <c r="L85" s="227">
        <v>27253.81</v>
      </c>
      <c r="M85" s="157" t="s">
        <v>1737</v>
      </c>
      <c r="N85" s="227">
        <f t="shared" si="22"/>
        <v>180859.12596200974</v>
      </c>
      <c r="O85" s="152">
        <f t="shared" si="23"/>
        <v>535112.94996200956</v>
      </c>
    </row>
    <row r="86" spans="1:15" x14ac:dyDescent="0.15">
      <c r="A86" s="154"/>
      <c r="B86" s="151"/>
      <c r="C86" s="152"/>
      <c r="D86" s="323">
        <v>41630</v>
      </c>
      <c r="E86" s="154" t="s">
        <v>72</v>
      </c>
      <c r="F86" s="157" t="s">
        <v>1738</v>
      </c>
      <c r="G86" s="152">
        <v>43978.096999999951</v>
      </c>
      <c r="H86" s="323">
        <v>41630</v>
      </c>
      <c r="I86" s="152">
        <v>7821.6900000000005</v>
      </c>
      <c r="J86" s="157" t="s">
        <v>1737</v>
      </c>
      <c r="K86" s="154" t="s">
        <v>1761</v>
      </c>
      <c r="L86" s="227">
        <v>9671.75</v>
      </c>
      <c r="M86" s="157" t="s">
        <v>1737</v>
      </c>
      <c r="N86" s="227">
        <f t="shared" si="22"/>
        <v>163365.68596200974</v>
      </c>
      <c r="O86" s="152">
        <f t="shared" si="23"/>
        <v>561597.60696200957</v>
      </c>
    </row>
    <row r="87" spans="1:15" x14ac:dyDescent="0.15">
      <c r="A87" s="154"/>
      <c r="B87" s="151"/>
      <c r="C87" s="152"/>
      <c r="D87" s="323">
        <v>41630</v>
      </c>
      <c r="E87" s="154" t="s">
        <v>72</v>
      </c>
      <c r="F87" s="157" t="s">
        <v>1739</v>
      </c>
      <c r="G87" s="152">
        <v>225859.486</v>
      </c>
      <c r="H87" s="323">
        <v>41630</v>
      </c>
      <c r="I87" s="152"/>
      <c r="J87" s="157"/>
      <c r="K87" s="154" t="s">
        <v>1761</v>
      </c>
      <c r="L87" s="227">
        <v>73867.34</v>
      </c>
      <c r="M87" s="157" t="s">
        <v>1737</v>
      </c>
      <c r="N87" s="227">
        <f t="shared" si="22"/>
        <v>89498.345962009742</v>
      </c>
      <c r="O87" s="152">
        <f t="shared" si="23"/>
        <v>713589.75296200963</v>
      </c>
    </row>
    <row r="88" spans="1:15" x14ac:dyDescent="0.15">
      <c r="A88" s="154"/>
      <c r="B88" s="151"/>
      <c r="C88" s="152"/>
      <c r="D88" s="323"/>
      <c r="E88" s="155"/>
      <c r="F88" s="157"/>
      <c r="G88" s="152"/>
      <c r="H88" s="323">
        <v>41630</v>
      </c>
      <c r="I88" s="152"/>
      <c r="J88" s="157"/>
      <c r="K88" s="154" t="s">
        <v>1761</v>
      </c>
      <c r="L88" s="227">
        <v>79294.490000000005</v>
      </c>
      <c r="M88" s="157" t="s">
        <v>1737</v>
      </c>
      <c r="N88" s="227">
        <f t="shared" si="22"/>
        <v>10203.855962009737</v>
      </c>
      <c r="O88" s="152">
        <f t="shared" si="23"/>
        <v>634295.26296200964</v>
      </c>
    </row>
    <row r="89" spans="1:15" x14ac:dyDescent="0.15">
      <c r="A89" s="154"/>
      <c r="B89" s="151"/>
      <c r="C89" s="152"/>
      <c r="D89" s="323"/>
      <c r="E89" s="155"/>
      <c r="F89" s="157"/>
      <c r="G89" s="152"/>
      <c r="H89" s="323">
        <v>41630</v>
      </c>
      <c r="I89" s="152"/>
      <c r="J89" s="157"/>
      <c r="K89" s="154" t="s">
        <v>1761</v>
      </c>
      <c r="L89" s="227">
        <v>10203.855962009737</v>
      </c>
      <c r="M89" s="157" t="s">
        <v>1737</v>
      </c>
      <c r="N89" s="227">
        <f t="shared" ref="N89:N92" si="26">+N88-I89-L89</f>
        <v>0</v>
      </c>
      <c r="O89" s="152">
        <f t="shared" ref="O89:O92" si="27">O88+G89-I89-L89</f>
        <v>624091.40699999989</v>
      </c>
    </row>
    <row r="90" spans="1:15" x14ac:dyDescent="0.15">
      <c r="A90" s="154"/>
      <c r="B90" s="151"/>
      <c r="C90" s="152"/>
      <c r="D90" s="323"/>
      <c r="E90" s="155"/>
      <c r="F90" s="157"/>
      <c r="G90" s="152"/>
      <c r="H90" s="323">
        <v>41630</v>
      </c>
      <c r="I90" s="152"/>
      <c r="J90" s="157"/>
      <c r="K90" s="154" t="s">
        <v>1761</v>
      </c>
      <c r="L90" s="227">
        <v>51304.194037990303</v>
      </c>
      <c r="M90" s="157" t="s">
        <v>1738</v>
      </c>
      <c r="N90" s="227">
        <f>G79+G80+G86+N89-I90-L90</f>
        <v>346927.72696200968</v>
      </c>
      <c r="O90" s="152">
        <f t="shared" si="27"/>
        <v>572787.21296200959</v>
      </c>
    </row>
    <row r="91" spans="1:15" x14ac:dyDescent="0.15">
      <c r="A91" s="154"/>
      <c r="B91" s="151"/>
      <c r="C91" s="152"/>
      <c r="D91" s="323"/>
      <c r="E91" s="155"/>
      <c r="F91" s="157"/>
      <c r="G91" s="152"/>
      <c r="H91" s="323">
        <v>41630</v>
      </c>
      <c r="I91" s="152"/>
      <c r="J91" s="154"/>
      <c r="K91" s="154" t="s">
        <v>1761</v>
      </c>
      <c r="L91" s="227">
        <v>2399.73</v>
      </c>
      <c r="M91" s="157" t="s">
        <v>1738</v>
      </c>
      <c r="N91" s="227">
        <f t="shared" si="26"/>
        <v>344527.9969620097</v>
      </c>
      <c r="O91" s="152">
        <f t="shared" si="27"/>
        <v>570387.48296200961</v>
      </c>
    </row>
    <row r="92" spans="1:15" x14ac:dyDescent="0.15">
      <c r="A92" s="154"/>
      <c r="B92" s="151"/>
      <c r="C92" s="152"/>
      <c r="D92" s="323"/>
      <c r="E92" s="155"/>
      <c r="F92" s="157"/>
      <c r="G92" s="152"/>
      <c r="H92" s="323">
        <v>41630</v>
      </c>
      <c r="I92" s="152"/>
      <c r="J92" s="157"/>
      <c r="K92" s="154" t="s">
        <v>1761</v>
      </c>
      <c r="L92" s="227">
        <v>35300.74</v>
      </c>
      <c r="M92" s="157" t="s">
        <v>1738</v>
      </c>
      <c r="N92" s="227">
        <f t="shared" si="26"/>
        <v>309227.25696200971</v>
      </c>
      <c r="O92" s="152">
        <f t="shared" si="27"/>
        <v>535086.74296200962</v>
      </c>
    </row>
    <row r="93" spans="1:15" x14ac:dyDescent="0.15">
      <c r="A93" s="154"/>
      <c r="B93" s="151"/>
      <c r="C93" s="152"/>
      <c r="D93" s="323"/>
      <c r="E93" s="155"/>
      <c r="F93" s="157"/>
      <c r="G93" s="152"/>
      <c r="H93" s="323">
        <v>41630</v>
      </c>
      <c r="I93" s="152"/>
      <c r="J93" s="157"/>
      <c r="K93" s="154" t="s">
        <v>1761</v>
      </c>
      <c r="L93" s="227">
        <v>35570.82</v>
      </c>
      <c r="M93" s="157" t="s">
        <v>1738</v>
      </c>
      <c r="N93" s="227">
        <f t="shared" si="22"/>
        <v>273656.4369620097</v>
      </c>
      <c r="O93" s="152">
        <f t="shared" si="23"/>
        <v>499515.92296200962</v>
      </c>
    </row>
    <row r="94" spans="1:15" x14ac:dyDescent="0.15">
      <c r="A94" s="154"/>
      <c r="B94" s="151"/>
      <c r="C94" s="152"/>
      <c r="D94" s="323">
        <v>41631</v>
      </c>
      <c r="E94" s="154" t="s">
        <v>72</v>
      </c>
      <c r="F94" s="157" t="s">
        <v>1739</v>
      </c>
      <c r="G94" s="152">
        <v>88001.216</v>
      </c>
      <c r="H94" s="323">
        <v>41631</v>
      </c>
      <c r="I94" s="152">
        <v>5536.7999999999993</v>
      </c>
      <c r="J94" s="157" t="s">
        <v>1738</v>
      </c>
      <c r="K94" s="154" t="s">
        <v>1761</v>
      </c>
      <c r="L94" s="227">
        <v>35441.410000000003</v>
      </c>
      <c r="M94" s="157" t="s">
        <v>1738</v>
      </c>
      <c r="N94" s="227">
        <f t="shared" si="22"/>
        <v>232678.22696200971</v>
      </c>
      <c r="O94" s="152">
        <f t="shared" si="23"/>
        <v>546538.92896200949</v>
      </c>
    </row>
    <row r="95" spans="1:15" x14ac:dyDescent="0.15">
      <c r="A95" s="154"/>
      <c r="B95" s="151"/>
      <c r="C95" s="152"/>
      <c r="D95" s="323"/>
      <c r="E95" s="155"/>
      <c r="F95" s="157"/>
      <c r="G95" s="152"/>
      <c r="H95" s="323">
        <v>41631</v>
      </c>
      <c r="I95" s="152"/>
      <c r="J95" s="154"/>
      <c r="K95" s="154" t="s">
        <v>1761</v>
      </c>
      <c r="L95" s="227">
        <v>13901.52</v>
      </c>
      <c r="M95" s="157" t="s">
        <v>1738</v>
      </c>
      <c r="N95" s="227">
        <f t="shared" si="22"/>
        <v>218776.70696200972</v>
      </c>
      <c r="O95" s="152">
        <f t="shared" si="23"/>
        <v>532637.40896200947</v>
      </c>
    </row>
    <row r="96" spans="1:15" x14ac:dyDescent="0.15">
      <c r="A96" s="154"/>
      <c r="B96" s="151"/>
      <c r="C96" s="152"/>
      <c r="D96" s="323"/>
      <c r="E96" s="155"/>
      <c r="F96" s="157"/>
      <c r="G96" s="152"/>
      <c r="H96" s="323">
        <v>41631</v>
      </c>
      <c r="I96" s="152"/>
      <c r="J96" s="154"/>
      <c r="K96" s="154" t="s">
        <v>1761</v>
      </c>
      <c r="L96" s="227">
        <v>35213.85</v>
      </c>
      <c r="M96" s="157" t="s">
        <v>1738</v>
      </c>
      <c r="N96" s="227">
        <f t="shared" si="22"/>
        <v>183562.85696200971</v>
      </c>
      <c r="O96" s="152">
        <f t="shared" si="23"/>
        <v>497423.5589620095</v>
      </c>
    </row>
    <row r="97" spans="1:15" x14ac:dyDescent="0.15">
      <c r="A97" s="154"/>
      <c r="B97" s="151"/>
      <c r="C97" s="152"/>
      <c r="D97" s="323">
        <v>41632</v>
      </c>
      <c r="E97" s="154" t="s">
        <v>72</v>
      </c>
      <c r="F97" s="157" t="s">
        <v>1739</v>
      </c>
      <c r="G97" s="152">
        <v>88121.987000000008</v>
      </c>
      <c r="H97" s="323">
        <v>41632</v>
      </c>
      <c r="I97" s="152">
        <v>5944.3600000000006</v>
      </c>
      <c r="J97" s="157" t="s">
        <v>1738</v>
      </c>
      <c r="K97" s="154" t="s">
        <v>1761</v>
      </c>
      <c r="L97" s="227">
        <v>21637.32</v>
      </c>
      <c r="M97" s="157" t="s">
        <v>1738</v>
      </c>
      <c r="N97" s="227">
        <f t="shared" si="22"/>
        <v>155981.17696200969</v>
      </c>
      <c r="O97" s="152">
        <f t="shared" si="23"/>
        <v>557963.86596200953</v>
      </c>
    </row>
    <row r="98" spans="1:15" x14ac:dyDescent="0.15">
      <c r="A98" s="154"/>
      <c r="B98" s="151"/>
      <c r="C98" s="152"/>
      <c r="D98" s="323">
        <v>41632</v>
      </c>
      <c r="E98" s="154" t="s">
        <v>72</v>
      </c>
      <c r="F98" s="157" t="s">
        <v>1740</v>
      </c>
      <c r="G98" s="152">
        <v>129123.836</v>
      </c>
      <c r="H98" s="323">
        <v>41632</v>
      </c>
      <c r="I98" s="152"/>
      <c r="J98" s="154"/>
      <c r="K98" s="154" t="s">
        <v>1761</v>
      </c>
      <c r="L98" s="227">
        <v>34425.440000000002</v>
      </c>
      <c r="M98" s="157" t="s">
        <v>1738</v>
      </c>
      <c r="N98" s="227">
        <f t="shared" si="22"/>
        <v>121555.73696200969</v>
      </c>
      <c r="O98" s="152">
        <f t="shared" si="23"/>
        <v>652662.26196200959</v>
      </c>
    </row>
    <row r="99" spans="1:15" x14ac:dyDescent="0.15">
      <c r="A99" s="154"/>
      <c r="B99" s="151"/>
      <c r="C99" s="152"/>
      <c r="D99" s="323">
        <v>41633</v>
      </c>
      <c r="E99" s="154" t="s">
        <v>72</v>
      </c>
      <c r="F99" s="157" t="s">
        <v>1740</v>
      </c>
      <c r="G99" s="152">
        <v>169206.489</v>
      </c>
      <c r="H99" s="323">
        <v>41633</v>
      </c>
      <c r="I99" s="152">
        <v>6248</v>
      </c>
      <c r="J99" s="157" t="s">
        <v>1738</v>
      </c>
      <c r="K99" s="154" t="s">
        <v>1761</v>
      </c>
      <c r="L99" s="227">
        <v>85050</v>
      </c>
      <c r="M99" s="157" t="s">
        <v>1738</v>
      </c>
      <c r="N99" s="227">
        <f t="shared" si="22"/>
        <v>30257.736962009687</v>
      </c>
      <c r="O99" s="152">
        <f t="shared" si="23"/>
        <v>730570.75096200965</v>
      </c>
    </row>
    <row r="100" spans="1:15" x14ac:dyDescent="0.15">
      <c r="A100" s="154"/>
      <c r="B100" s="151"/>
      <c r="C100" s="152"/>
      <c r="D100" s="323"/>
      <c r="E100" s="155"/>
      <c r="F100" s="157"/>
      <c r="G100" s="152"/>
      <c r="H100" s="323">
        <v>41633</v>
      </c>
      <c r="I100" s="152"/>
      <c r="J100" s="154"/>
      <c r="K100" s="154" t="s">
        <v>1761</v>
      </c>
      <c r="L100" s="227">
        <v>30257.736962009687</v>
      </c>
      <c r="M100" s="157" t="s">
        <v>1738</v>
      </c>
      <c r="N100" s="227">
        <f t="shared" ref="N100:N102" si="28">+N99-I100-L100</f>
        <v>0</v>
      </c>
      <c r="O100" s="152">
        <f t="shared" ref="O100:O102" si="29">O99+G100-I100-L100</f>
        <v>700313.01399999997</v>
      </c>
    </row>
    <row r="101" spans="1:15" x14ac:dyDescent="0.15">
      <c r="A101" s="154"/>
      <c r="B101" s="151"/>
      <c r="C101" s="152"/>
      <c r="D101" s="323"/>
      <c r="E101" s="155"/>
      <c r="F101" s="157"/>
      <c r="G101" s="152"/>
      <c r="H101" s="323">
        <v>41633</v>
      </c>
      <c r="I101" s="152"/>
      <c r="J101" s="154"/>
      <c r="K101" s="154" t="s">
        <v>1761</v>
      </c>
      <c r="L101" s="227">
        <v>46882.263037990298</v>
      </c>
      <c r="M101" s="157" t="s">
        <v>1739</v>
      </c>
      <c r="N101" s="227">
        <f>G87+G94+G97+N100-I101-L101</f>
        <v>355100.4259620097</v>
      </c>
      <c r="O101" s="152">
        <f t="shared" si="29"/>
        <v>653430.75096200965</v>
      </c>
    </row>
    <row r="102" spans="1:15" x14ac:dyDescent="0.15">
      <c r="A102" s="154"/>
      <c r="B102" s="151"/>
      <c r="C102" s="152"/>
      <c r="D102" s="323"/>
      <c r="E102" s="155"/>
      <c r="F102" s="157"/>
      <c r="G102" s="152"/>
      <c r="H102" s="323">
        <v>41633</v>
      </c>
      <c r="I102" s="152"/>
      <c r="J102" s="154"/>
      <c r="K102" s="154" t="s">
        <v>1761</v>
      </c>
      <c r="L102" s="227">
        <v>34535</v>
      </c>
      <c r="M102" s="157" t="s">
        <v>1739</v>
      </c>
      <c r="N102" s="227">
        <f t="shared" si="28"/>
        <v>320565.4259620097</v>
      </c>
      <c r="O102" s="152">
        <f t="shared" si="29"/>
        <v>618895.75096200965</v>
      </c>
    </row>
    <row r="103" spans="1:15" x14ac:dyDescent="0.15">
      <c r="A103" s="154"/>
      <c r="B103" s="151"/>
      <c r="C103" s="152"/>
      <c r="D103" s="323"/>
      <c r="E103" s="155"/>
      <c r="F103" s="157"/>
      <c r="G103" s="152"/>
      <c r="H103" s="323">
        <v>41633</v>
      </c>
      <c r="I103" s="152"/>
      <c r="J103" s="154"/>
      <c r="K103" s="154" t="s">
        <v>1761</v>
      </c>
      <c r="L103" s="227">
        <v>38390</v>
      </c>
      <c r="M103" s="157" t="s">
        <v>1739</v>
      </c>
      <c r="N103" s="227">
        <f t="shared" si="22"/>
        <v>282175.4259620097</v>
      </c>
      <c r="O103" s="152">
        <f t="shared" si="23"/>
        <v>580505.75096200965</v>
      </c>
    </row>
    <row r="104" spans="1:15" x14ac:dyDescent="0.15">
      <c r="A104" s="154"/>
      <c r="B104" s="151"/>
      <c r="C104" s="152"/>
      <c r="D104" s="323"/>
      <c r="E104" s="155"/>
      <c r="F104" s="157"/>
      <c r="G104" s="152"/>
      <c r="H104" s="323">
        <v>41633</v>
      </c>
      <c r="I104" s="152"/>
      <c r="J104" s="154"/>
      <c r="K104" s="154" t="s">
        <v>1761</v>
      </c>
      <c r="L104" s="227">
        <v>30860</v>
      </c>
      <c r="M104" s="157" t="s">
        <v>1739</v>
      </c>
      <c r="N104" s="227">
        <f t="shared" si="22"/>
        <v>251315.4259620097</v>
      </c>
      <c r="O104" s="152">
        <f t="shared" si="23"/>
        <v>549645.75096200965</v>
      </c>
    </row>
    <row r="105" spans="1:15" x14ac:dyDescent="0.15">
      <c r="A105" s="154"/>
      <c r="B105" s="151"/>
      <c r="C105" s="152"/>
      <c r="D105" s="323">
        <v>41634</v>
      </c>
      <c r="E105" s="154" t="s">
        <v>72</v>
      </c>
      <c r="F105" s="157" t="s">
        <v>1740</v>
      </c>
      <c r="G105" s="152">
        <v>88136.296000000031</v>
      </c>
      <c r="H105" s="323">
        <v>41634</v>
      </c>
      <c r="I105" s="152">
        <v>8828.25</v>
      </c>
      <c r="J105" s="157" t="s">
        <v>1739</v>
      </c>
      <c r="K105" s="154" t="s">
        <v>1761</v>
      </c>
      <c r="L105" s="227">
        <v>72273.34</v>
      </c>
      <c r="M105" s="157" t="s">
        <v>1739</v>
      </c>
      <c r="N105" s="227">
        <f t="shared" si="22"/>
        <v>170213.8359620097</v>
      </c>
      <c r="O105" s="152">
        <f t="shared" si="23"/>
        <v>556680.45696200978</v>
      </c>
    </row>
    <row r="106" spans="1:15" x14ac:dyDescent="0.15">
      <c r="A106" s="154"/>
      <c r="B106" s="151"/>
      <c r="C106" s="152"/>
      <c r="D106" s="323">
        <v>41634</v>
      </c>
      <c r="E106" s="154" t="s">
        <v>72</v>
      </c>
      <c r="F106" s="157" t="s">
        <v>1741</v>
      </c>
      <c r="G106" s="152">
        <v>88090.349000000002</v>
      </c>
      <c r="H106" s="323">
        <v>41634</v>
      </c>
      <c r="I106" s="152"/>
      <c r="J106" s="154"/>
      <c r="K106" s="154" t="s">
        <v>1761</v>
      </c>
      <c r="L106" s="227">
        <v>85616.57</v>
      </c>
      <c r="M106" s="157" t="s">
        <v>1739</v>
      </c>
      <c r="N106" s="227">
        <f t="shared" si="22"/>
        <v>84597.265962009697</v>
      </c>
      <c r="O106" s="152">
        <f t="shared" si="23"/>
        <v>559154.23596200976</v>
      </c>
    </row>
    <row r="107" spans="1:15" x14ac:dyDescent="0.15">
      <c r="A107" s="154"/>
      <c r="B107" s="151"/>
      <c r="C107" s="152"/>
      <c r="D107" s="323"/>
      <c r="E107" s="155"/>
      <c r="F107" s="157"/>
      <c r="G107" s="152"/>
      <c r="H107" s="323">
        <v>41634</v>
      </c>
      <c r="I107" s="152"/>
      <c r="J107" s="154"/>
      <c r="K107" s="154" t="s">
        <v>1761</v>
      </c>
      <c r="L107" s="227">
        <v>34690</v>
      </c>
      <c r="M107" s="157" t="s">
        <v>1739</v>
      </c>
      <c r="N107" s="227">
        <f t="shared" si="22"/>
        <v>49907.265962009697</v>
      </c>
      <c r="O107" s="152">
        <f t="shared" si="23"/>
        <v>524464.23596200976</v>
      </c>
    </row>
    <row r="108" spans="1:15" x14ac:dyDescent="0.15">
      <c r="A108" s="154"/>
      <c r="B108" s="151"/>
      <c r="C108" s="152"/>
      <c r="D108" s="323">
        <v>41635</v>
      </c>
      <c r="E108" s="154" t="s">
        <v>72</v>
      </c>
      <c r="F108" s="157" t="s">
        <v>1741</v>
      </c>
      <c r="G108" s="152">
        <v>88150.605999999985</v>
      </c>
      <c r="H108" s="323">
        <v>41635</v>
      </c>
      <c r="I108" s="152">
        <v>5194.63</v>
      </c>
      <c r="J108" s="157" t="s">
        <v>1739</v>
      </c>
      <c r="K108" s="154" t="s">
        <v>1761</v>
      </c>
      <c r="L108" s="227">
        <v>34098.730000000003</v>
      </c>
      <c r="M108" s="157" t="s">
        <v>1739</v>
      </c>
      <c r="N108" s="227">
        <f t="shared" si="22"/>
        <v>10613.905962009696</v>
      </c>
      <c r="O108" s="152">
        <f t="shared" si="23"/>
        <v>573321.4819620098</v>
      </c>
    </row>
    <row r="109" spans="1:15" x14ac:dyDescent="0.15">
      <c r="A109" s="154"/>
      <c r="B109" s="151"/>
      <c r="C109" s="152"/>
      <c r="D109" s="323">
        <v>41635</v>
      </c>
      <c r="E109" s="154" t="s">
        <v>72</v>
      </c>
      <c r="F109" s="157" t="s">
        <v>1742</v>
      </c>
      <c r="G109" s="152">
        <v>167289.69899999999</v>
      </c>
      <c r="H109" s="323">
        <v>41635</v>
      </c>
      <c r="I109" s="152"/>
      <c r="J109" s="154"/>
      <c r="K109" s="154" t="s">
        <v>1761</v>
      </c>
      <c r="L109" s="227">
        <v>10613.905962009696</v>
      </c>
      <c r="M109" s="157" t="s">
        <v>1739</v>
      </c>
      <c r="N109" s="227">
        <f t="shared" ref="N109:N111" si="30">+N108-I109-L109</f>
        <v>0</v>
      </c>
      <c r="O109" s="152">
        <f t="shared" ref="O109:O111" si="31">O108+G109-I109-L109</f>
        <v>729997.27500000014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>
        <v>41635</v>
      </c>
      <c r="I110" s="152"/>
      <c r="J110" s="154"/>
      <c r="K110" s="154" t="s">
        <v>1761</v>
      </c>
      <c r="L110" s="227">
        <v>22963.924037990299</v>
      </c>
      <c r="M110" s="157" t="s">
        <v>1740</v>
      </c>
      <c r="N110" s="227">
        <f>G98+G99+G105+N109-I110-L110</f>
        <v>363502.69696200977</v>
      </c>
      <c r="O110" s="152">
        <f t="shared" si="31"/>
        <v>707033.35096200986</v>
      </c>
    </row>
    <row r="111" spans="1:15" x14ac:dyDescent="0.15">
      <c r="A111" s="154"/>
      <c r="B111" s="151"/>
      <c r="C111" s="152"/>
      <c r="D111" s="323"/>
      <c r="E111" s="155"/>
      <c r="F111" s="157"/>
      <c r="G111" s="152"/>
      <c r="H111" s="323">
        <v>41635</v>
      </c>
      <c r="I111" s="152"/>
      <c r="J111" s="154"/>
      <c r="K111" s="154" t="s">
        <v>1761</v>
      </c>
      <c r="L111" s="227">
        <v>34677.57</v>
      </c>
      <c r="M111" s="157" t="s">
        <v>1740</v>
      </c>
      <c r="N111" s="227">
        <f t="shared" si="30"/>
        <v>328825.12696200976</v>
      </c>
      <c r="O111" s="152">
        <f t="shared" si="31"/>
        <v>672355.78096200991</v>
      </c>
    </row>
    <row r="112" spans="1:15" x14ac:dyDescent="0.15">
      <c r="A112" s="154"/>
      <c r="B112" s="151"/>
      <c r="C112" s="152"/>
      <c r="D112" s="323"/>
      <c r="E112" s="155"/>
      <c r="F112" s="157"/>
      <c r="G112" s="152"/>
      <c r="H112" s="323">
        <v>41635</v>
      </c>
      <c r="I112" s="152"/>
      <c r="J112" s="154"/>
      <c r="K112" s="154" t="s">
        <v>1761</v>
      </c>
      <c r="L112" s="227">
        <v>80557.820000000007</v>
      </c>
      <c r="M112" s="157" t="s">
        <v>1740</v>
      </c>
      <c r="N112" s="227">
        <f t="shared" si="22"/>
        <v>248267.30696200975</v>
      </c>
      <c r="O112" s="152">
        <f t="shared" si="23"/>
        <v>591797.96096200985</v>
      </c>
    </row>
    <row r="113" spans="1:15" x14ac:dyDescent="0.15">
      <c r="A113" s="154"/>
      <c r="B113" s="151"/>
      <c r="C113" s="152"/>
      <c r="D113" s="323">
        <v>41636</v>
      </c>
      <c r="E113" s="154" t="s">
        <v>72</v>
      </c>
      <c r="F113" s="157" t="s">
        <v>1742</v>
      </c>
      <c r="G113" s="152">
        <v>19026.986000000001</v>
      </c>
      <c r="H113" s="323">
        <v>41636</v>
      </c>
      <c r="I113" s="152">
        <v>7647.01</v>
      </c>
      <c r="J113" s="157" t="s">
        <v>1740</v>
      </c>
      <c r="K113" s="154" t="s">
        <v>1761</v>
      </c>
      <c r="L113" s="227">
        <v>10380.08</v>
      </c>
      <c r="M113" s="157" t="s">
        <v>1740</v>
      </c>
      <c r="N113" s="227">
        <f t="shared" si="22"/>
        <v>230240.21696200976</v>
      </c>
      <c r="O113" s="152">
        <f t="shared" si="23"/>
        <v>592797.85696200992</v>
      </c>
    </row>
    <row r="114" spans="1:15" x14ac:dyDescent="0.15">
      <c r="A114" s="154"/>
      <c r="B114" s="151"/>
      <c r="C114" s="152"/>
      <c r="D114" s="323"/>
      <c r="E114" s="155"/>
      <c r="F114" s="157"/>
      <c r="G114" s="152"/>
      <c r="H114" s="323">
        <v>41636</v>
      </c>
      <c r="I114" s="152"/>
      <c r="J114" s="154"/>
      <c r="K114" s="154" t="s">
        <v>1761</v>
      </c>
      <c r="L114" s="227">
        <v>14473.79</v>
      </c>
      <c r="M114" s="157" t="s">
        <v>1740</v>
      </c>
      <c r="N114" s="227">
        <f t="shared" si="22"/>
        <v>215766.42696200975</v>
      </c>
      <c r="O114" s="152">
        <f t="shared" si="23"/>
        <v>578324.06696200988</v>
      </c>
    </row>
    <row r="115" spans="1:15" x14ac:dyDescent="0.15">
      <c r="A115" s="154"/>
      <c r="B115" s="151"/>
      <c r="C115" s="152"/>
      <c r="D115" s="323"/>
      <c r="E115" s="155"/>
      <c r="F115" s="157"/>
      <c r="G115" s="152"/>
      <c r="H115" s="323">
        <v>41636</v>
      </c>
      <c r="I115" s="152"/>
      <c r="J115" s="154"/>
      <c r="K115" s="154" t="s">
        <v>1761</v>
      </c>
      <c r="L115" s="227">
        <v>30602.71</v>
      </c>
      <c r="M115" s="157" t="s">
        <v>1740</v>
      </c>
      <c r="N115" s="227">
        <f t="shared" si="22"/>
        <v>185163.71696200976</v>
      </c>
      <c r="O115" s="152">
        <f t="shared" si="23"/>
        <v>547721.35696200992</v>
      </c>
    </row>
    <row r="116" spans="1:15" x14ac:dyDescent="0.15">
      <c r="A116" s="154"/>
      <c r="B116" s="151"/>
      <c r="C116" s="152"/>
      <c r="D116" s="323"/>
      <c r="E116" s="155"/>
      <c r="F116" s="157"/>
      <c r="G116" s="152"/>
      <c r="H116" s="323">
        <v>41636</v>
      </c>
      <c r="I116" s="152"/>
      <c r="J116" s="154"/>
      <c r="K116" s="154" t="s">
        <v>1761</v>
      </c>
      <c r="L116" s="227">
        <v>81222.759999999995</v>
      </c>
      <c r="M116" s="157" t="s">
        <v>1740</v>
      </c>
      <c r="N116" s="227">
        <f t="shared" si="22"/>
        <v>103940.95696200976</v>
      </c>
      <c r="O116" s="152">
        <f t="shared" si="23"/>
        <v>466498.59696200991</v>
      </c>
    </row>
    <row r="117" spans="1:15" x14ac:dyDescent="0.15">
      <c r="A117" s="154"/>
      <c r="B117" s="151"/>
      <c r="C117" s="152"/>
      <c r="D117" s="323"/>
      <c r="E117" s="155"/>
      <c r="F117" s="157"/>
      <c r="G117" s="152"/>
      <c r="H117" s="323">
        <v>41636</v>
      </c>
      <c r="I117" s="152"/>
      <c r="J117" s="154"/>
      <c r="K117" s="154" t="s">
        <v>1761</v>
      </c>
      <c r="L117" s="227">
        <v>74057.52</v>
      </c>
      <c r="M117" s="157" t="s">
        <v>1740</v>
      </c>
      <c r="N117" s="227">
        <f t="shared" si="22"/>
        <v>29883.436962009757</v>
      </c>
      <c r="O117" s="152">
        <f t="shared" si="23"/>
        <v>392441.07696200989</v>
      </c>
    </row>
    <row r="118" spans="1:15" x14ac:dyDescent="0.15">
      <c r="A118" s="154"/>
      <c r="B118" s="151"/>
      <c r="C118" s="152"/>
      <c r="D118" s="323">
        <v>41637</v>
      </c>
      <c r="E118" s="154" t="s">
        <v>72</v>
      </c>
      <c r="F118" s="157" t="s">
        <v>1742</v>
      </c>
      <c r="G118" s="152">
        <v>312522.08800000005</v>
      </c>
      <c r="H118" s="323">
        <v>41637</v>
      </c>
      <c r="I118" s="152">
        <v>10808.73</v>
      </c>
      <c r="J118" s="157" t="s">
        <v>1740</v>
      </c>
      <c r="K118" s="154" t="s">
        <v>1761</v>
      </c>
      <c r="L118" s="227">
        <v>19074.706962009757</v>
      </c>
      <c r="M118" s="157" t="s">
        <v>1740</v>
      </c>
      <c r="N118" s="227">
        <f t="shared" si="22"/>
        <v>0</v>
      </c>
      <c r="O118" s="152">
        <f t="shared" si="23"/>
        <v>675079.72800000024</v>
      </c>
    </row>
    <row r="119" spans="1:15" x14ac:dyDescent="0.15">
      <c r="A119" s="154"/>
      <c r="B119" s="151"/>
      <c r="C119" s="152"/>
      <c r="D119" s="323">
        <v>41637</v>
      </c>
      <c r="E119" s="154" t="s">
        <v>72</v>
      </c>
      <c r="F119" s="157" t="s">
        <v>1743</v>
      </c>
      <c r="G119" s="152">
        <v>85210.2239999999</v>
      </c>
      <c r="H119" s="323">
        <v>41637</v>
      </c>
      <c r="I119" s="152"/>
      <c r="J119" s="154"/>
      <c r="K119" s="154" t="s">
        <v>1761</v>
      </c>
      <c r="L119" s="227">
        <v>17768.7630379902</v>
      </c>
      <c r="M119" s="157" t="s">
        <v>1741</v>
      </c>
      <c r="N119" s="227">
        <f>G106+G108+N118-I119-L119</f>
        <v>158472.19196200979</v>
      </c>
      <c r="O119" s="152">
        <f t="shared" ref="O119:O121" si="32">O118+G119-I119-L119</f>
        <v>742521.18896200997</v>
      </c>
    </row>
    <row r="120" spans="1:15" x14ac:dyDescent="0.15">
      <c r="A120" s="154"/>
      <c r="B120" s="151"/>
      <c r="C120" s="152"/>
      <c r="D120" s="323"/>
      <c r="E120" s="155"/>
      <c r="F120" s="157"/>
      <c r="G120" s="152"/>
      <c r="H120" s="323">
        <v>41637</v>
      </c>
      <c r="I120" s="152"/>
      <c r="J120" s="154"/>
      <c r="K120" s="154" t="s">
        <v>1761</v>
      </c>
      <c r="L120" s="227">
        <v>72389.7</v>
      </c>
      <c r="M120" s="157" t="s">
        <v>1741</v>
      </c>
      <c r="N120" s="227">
        <f t="shared" ref="N120:N121" si="33">+N119-I120-L120</f>
        <v>86082.491962009793</v>
      </c>
      <c r="O120" s="152">
        <f t="shared" si="32"/>
        <v>670131.48896201001</v>
      </c>
    </row>
    <row r="121" spans="1:15" x14ac:dyDescent="0.15">
      <c r="A121" s="154"/>
      <c r="B121" s="151"/>
      <c r="C121" s="152"/>
      <c r="D121" s="323"/>
      <c r="E121" s="155"/>
      <c r="F121" s="157"/>
      <c r="G121" s="152"/>
      <c r="H121" s="323">
        <v>41637</v>
      </c>
      <c r="I121" s="152"/>
      <c r="J121" s="154"/>
      <c r="K121" s="154" t="s">
        <v>1761</v>
      </c>
      <c r="L121" s="227">
        <v>74548.41</v>
      </c>
      <c r="M121" s="157" t="s">
        <v>1741</v>
      </c>
      <c r="N121" s="227">
        <f t="shared" si="33"/>
        <v>11534.08196200979</v>
      </c>
      <c r="O121" s="152">
        <f t="shared" si="32"/>
        <v>595583.07896200998</v>
      </c>
    </row>
    <row r="122" spans="1:15" x14ac:dyDescent="0.15">
      <c r="A122" s="154"/>
      <c r="B122" s="151"/>
      <c r="C122" s="152"/>
      <c r="D122" s="323"/>
      <c r="E122" s="155"/>
      <c r="F122" s="157"/>
      <c r="G122" s="152"/>
      <c r="H122" s="323">
        <v>41637</v>
      </c>
      <c r="I122" s="152"/>
      <c r="J122" s="154"/>
      <c r="K122" s="154" t="s">
        <v>1761</v>
      </c>
      <c r="L122" s="227">
        <v>11534.08196200979</v>
      </c>
      <c r="M122" s="157" t="s">
        <v>1741</v>
      </c>
      <c r="N122" s="227">
        <f t="shared" si="22"/>
        <v>0</v>
      </c>
      <c r="O122" s="152">
        <f t="shared" si="23"/>
        <v>584048.99700000021</v>
      </c>
    </row>
    <row r="123" spans="1:15" x14ac:dyDescent="0.15">
      <c r="A123" s="154"/>
      <c r="B123" s="151"/>
      <c r="C123" s="152"/>
      <c r="D123" s="323"/>
      <c r="E123" s="155"/>
      <c r="F123" s="157"/>
      <c r="G123" s="152"/>
      <c r="H123" s="323">
        <v>41637</v>
      </c>
      <c r="I123" s="152"/>
      <c r="J123" s="154"/>
      <c r="K123" s="154" t="s">
        <v>1760</v>
      </c>
      <c r="L123" s="227">
        <v>68611.978037990193</v>
      </c>
      <c r="M123" s="157" t="s">
        <v>1742</v>
      </c>
      <c r="N123" s="227">
        <f>G109+G113+G118+N122-I123-L123</f>
        <v>430226.79496200988</v>
      </c>
      <c r="O123" s="152">
        <f t="shared" si="23"/>
        <v>515437.01896201004</v>
      </c>
    </row>
    <row r="124" spans="1:15" x14ac:dyDescent="0.15">
      <c r="A124" s="154"/>
      <c r="B124" s="151"/>
      <c r="C124" s="152"/>
      <c r="D124" s="323"/>
      <c r="E124" s="155"/>
      <c r="F124" s="157"/>
      <c r="G124" s="152"/>
      <c r="H124" s="323">
        <v>41637</v>
      </c>
      <c r="I124" s="152"/>
      <c r="J124" s="154"/>
      <c r="K124" s="154" t="s">
        <v>1760</v>
      </c>
      <c r="L124" s="227">
        <v>33913.75</v>
      </c>
      <c r="M124" s="157" t="s">
        <v>1742</v>
      </c>
      <c r="N124" s="227">
        <f t="shared" si="22"/>
        <v>396313.04496200988</v>
      </c>
      <c r="O124" s="152">
        <f t="shared" si="23"/>
        <v>481523.26896201004</v>
      </c>
    </row>
    <row r="125" spans="1:15" x14ac:dyDescent="0.15">
      <c r="A125" s="154"/>
      <c r="B125" s="151"/>
      <c r="C125" s="152"/>
      <c r="D125" s="323">
        <v>41638</v>
      </c>
      <c r="E125" s="154" t="s">
        <v>72</v>
      </c>
      <c r="F125" s="157" t="s">
        <v>1743</v>
      </c>
      <c r="G125" s="152">
        <v>44077.483000000095</v>
      </c>
      <c r="H125" s="323">
        <v>41638</v>
      </c>
      <c r="I125" s="152">
        <v>6439.27</v>
      </c>
      <c r="J125" s="157" t="s">
        <v>1742</v>
      </c>
      <c r="K125" s="154" t="s">
        <v>1760</v>
      </c>
      <c r="L125" s="227">
        <v>32926.69</v>
      </c>
      <c r="M125" s="157" t="s">
        <v>1742</v>
      </c>
      <c r="N125" s="227">
        <f t="shared" si="22"/>
        <v>356947.08496200986</v>
      </c>
      <c r="O125" s="152">
        <f t="shared" si="23"/>
        <v>486234.79196201015</v>
      </c>
    </row>
    <row r="126" spans="1:15" x14ac:dyDescent="0.15">
      <c r="A126" s="154"/>
      <c r="B126" s="151"/>
      <c r="C126" s="152"/>
      <c r="D126" s="323">
        <v>41638</v>
      </c>
      <c r="E126" s="154" t="s">
        <v>72</v>
      </c>
      <c r="F126" s="157" t="s">
        <v>1744</v>
      </c>
      <c r="G126" s="152">
        <v>126204.94500000001</v>
      </c>
      <c r="H126" s="323">
        <v>41638</v>
      </c>
      <c r="I126" s="152"/>
      <c r="J126" s="154"/>
      <c r="K126" s="154" t="s">
        <v>1760</v>
      </c>
      <c r="L126" s="227">
        <v>35638.06</v>
      </c>
      <c r="M126" s="157" t="s">
        <v>1742</v>
      </c>
      <c r="N126" s="227">
        <f t="shared" si="22"/>
        <v>321309.02496200986</v>
      </c>
      <c r="O126" s="152">
        <f t="shared" si="23"/>
        <v>576801.6769620101</v>
      </c>
    </row>
    <row r="127" spans="1:15" x14ac:dyDescent="0.15">
      <c r="A127" s="154"/>
      <c r="B127" s="151"/>
      <c r="C127" s="152"/>
      <c r="D127" s="323">
        <v>41639</v>
      </c>
      <c r="E127" s="154" t="s">
        <v>72</v>
      </c>
      <c r="F127" s="157" t="s">
        <v>1744</v>
      </c>
      <c r="G127" s="152">
        <v>88202.195000000007</v>
      </c>
      <c r="H127" s="323">
        <v>41639</v>
      </c>
      <c r="I127" s="152">
        <v>12027.91</v>
      </c>
      <c r="J127" s="157" t="s">
        <v>1742</v>
      </c>
      <c r="K127" s="154" t="s">
        <v>1760</v>
      </c>
      <c r="L127" s="227">
        <v>38577.49</v>
      </c>
      <c r="M127" s="157" t="s">
        <v>1742</v>
      </c>
      <c r="N127" s="227">
        <f t="shared" si="22"/>
        <v>270703.6249620099</v>
      </c>
      <c r="O127" s="152">
        <f t="shared" si="23"/>
        <v>614398.47196201014</v>
      </c>
    </row>
    <row r="128" spans="1:15" x14ac:dyDescent="0.15">
      <c r="A128" s="154"/>
      <c r="B128" s="151"/>
      <c r="C128" s="152"/>
      <c r="D128" s="323"/>
      <c r="E128" s="155"/>
      <c r="F128" s="157"/>
      <c r="G128" s="152"/>
      <c r="H128" s="323">
        <v>41639</v>
      </c>
      <c r="I128" s="152"/>
      <c r="J128" s="154"/>
      <c r="K128" s="154" t="s">
        <v>1760</v>
      </c>
      <c r="L128" s="227">
        <v>31851.599999999999</v>
      </c>
      <c r="M128" s="157" t="s">
        <v>1742</v>
      </c>
      <c r="N128" s="227">
        <f t="shared" si="22"/>
        <v>238852.02496200989</v>
      </c>
      <c r="O128" s="152">
        <f t="shared" si="23"/>
        <v>582546.87196201016</v>
      </c>
    </row>
    <row r="129" spans="1:15" hidden="1" x14ac:dyDescent="0.15">
      <c r="A129" s="154"/>
      <c r="B129" s="151"/>
      <c r="C129" s="152"/>
      <c r="D129" s="323"/>
      <c r="E129" s="155"/>
      <c r="F129" s="157"/>
      <c r="G129" s="152"/>
      <c r="H129" s="323"/>
      <c r="I129" s="152"/>
      <c r="J129" s="157"/>
      <c r="K129" s="154"/>
      <c r="L129" s="227"/>
      <c r="M129" s="157"/>
      <c r="N129" s="227">
        <f t="shared" si="22"/>
        <v>238852.02496200989</v>
      </c>
      <c r="O129" s="152">
        <f t="shared" si="23"/>
        <v>582546.87196201016</v>
      </c>
    </row>
    <row r="130" spans="1:15" hidden="1" x14ac:dyDescent="0.15">
      <c r="A130" s="154"/>
      <c r="B130" s="151"/>
      <c r="C130" s="152"/>
      <c r="D130" s="323"/>
      <c r="E130" s="155"/>
      <c r="F130" s="157"/>
      <c r="G130" s="152"/>
      <c r="H130" s="323"/>
      <c r="I130" s="152"/>
      <c r="J130" s="154"/>
      <c r="K130" s="154"/>
      <c r="L130" s="227"/>
      <c r="M130" s="157"/>
      <c r="N130" s="227">
        <f t="shared" si="22"/>
        <v>238852.02496200989</v>
      </c>
      <c r="O130" s="152">
        <f t="shared" si="23"/>
        <v>582546.87196201016</v>
      </c>
    </row>
    <row r="131" spans="1:15" hidden="1" x14ac:dyDescent="0.15">
      <c r="A131" s="154"/>
      <c r="B131" s="151"/>
      <c r="C131" s="152"/>
      <c r="D131" s="323"/>
      <c r="E131" s="155"/>
      <c r="F131" s="157"/>
      <c r="G131" s="152"/>
      <c r="H131" s="323"/>
      <c r="I131" s="152"/>
      <c r="J131" s="157"/>
      <c r="K131" s="154"/>
      <c r="L131" s="227"/>
      <c r="M131" s="157"/>
      <c r="N131" s="227">
        <f t="shared" si="22"/>
        <v>238852.02496200989</v>
      </c>
      <c r="O131" s="152">
        <f t="shared" si="23"/>
        <v>582546.87196201016</v>
      </c>
    </row>
    <row r="132" spans="1:15" hidden="1" x14ac:dyDescent="0.15">
      <c r="A132" s="154"/>
      <c r="B132" s="151"/>
      <c r="C132" s="151"/>
      <c r="D132" s="323"/>
      <c r="E132" s="155"/>
      <c r="F132" s="157"/>
      <c r="G132" s="152"/>
      <c r="H132" s="323"/>
      <c r="I132" s="152"/>
      <c r="J132" s="157"/>
      <c r="K132" s="154"/>
      <c r="L132" s="227"/>
      <c r="M132" s="157"/>
      <c r="N132" s="227">
        <f t="shared" si="22"/>
        <v>238852.02496200989</v>
      </c>
      <c r="O132" s="152">
        <f t="shared" si="23"/>
        <v>582546.87196201016</v>
      </c>
    </row>
    <row r="133" spans="1:15" hidden="1" x14ac:dyDescent="0.15">
      <c r="A133" s="154"/>
      <c r="B133" s="151"/>
      <c r="C133" s="151"/>
      <c r="D133" s="323"/>
      <c r="E133" s="155"/>
      <c r="F133" s="157"/>
      <c r="G133" s="152"/>
      <c r="H133" s="323"/>
      <c r="I133" s="152"/>
      <c r="J133" s="154"/>
      <c r="K133" s="154"/>
      <c r="L133" s="227"/>
      <c r="M133" s="157"/>
      <c r="N133" s="227">
        <f t="shared" si="22"/>
        <v>238852.02496200989</v>
      </c>
      <c r="O133" s="152">
        <f t="shared" si="23"/>
        <v>582546.87196201016</v>
      </c>
    </row>
    <row r="134" spans="1:15" hidden="1" x14ac:dyDescent="0.15">
      <c r="A134" s="154"/>
      <c r="B134" s="151"/>
      <c r="C134" s="151"/>
      <c r="D134" s="323"/>
      <c r="E134" s="155"/>
      <c r="F134" s="157"/>
      <c r="G134" s="152"/>
      <c r="H134" s="323"/>
      <c r="I134" s="152"/>
      <c r="J134" s="154"/>
      <c r="K134" s="154"/>
      <c r="L134" s="227"/>
      <c r="M134" s="157"/>
      <c r="N134" s="227">
        <f t="shared" si="22"/>
        <v>238852.02496200989</v>
      </c>
      <c r="O134" s="152">
        <f t="shared" si="23"/>
        <v>582546.87196201016</v>
      </c>
    </row>
    <row r="135" spans="1:15" hidden="1" x14ac:dyDescent="0.15">
      <c r="A135" s="154"/>
      <c r="B135" s="151"/>
      <c r="C135" s="151"/>
      <c r="D135" s="323"/>
      <c r="E135" s="155"/>
      <c r="F135" s="157"/>
      <c r="G135" s="152"/>
      <c r="H135" s="323"/>
      <c r="I135" s="152"/>
      <c r="J135" s="154"/>
      <c r="K135" s="154"/>
      <c r="L135" s="227"/>
      <c r="M135" s="157"/>
      <c r="N135" s="227">
        <f t="shared" si="22"/>
        <v>238852.02496200989</v>
      </c>
      <c r="O135" s="152">
        <f t="shared" si="23"/>
        <v>582546.87196201016</v>
      </c>
    </row>
    <row r="136" spans="1:15" hidden="1" x14ac:dyDescent="0.15">
      <c r="A136" s="154"/>
      <c r="B136" s="151"/>
      <c r="C136" s="151"/>
      <c r="D136" s="323"/>
      <c r="E136" s="154"/>
      <c r="F136" s="291"/>
      <c r="G136" s="152"/>
      <c r="H136" s="323"/>
      <c r="I136" s="152"/>
      <c r="J136" s="157"/>
      <c r="K136" s="154"/>
      <c r="L136" s="227"/>
      <c r="M136" s="157"/>
      <c r="N136" s="227">
        <f t="shared" si="22"/>
        <v>238852.02496200989</v>
      </c>
      <c r="O136" s="152">
        <f t="shared" si="23"/>
        <v>582546.87196201016</v>
      </c>
    </row>
    <row r="137" spans="1:15" hidden="1" x14ac:dyDescent="0.15">
      <c r="A137" s="154"/>
      <c r="B137" s="151"/>
      <c r="C137" s="151"/>
      <c r="D137" s="323"/>
      <c r="E137" s="154"/>
      <c r="F137" s="157"/>
      <c r="G137" s="152"/>
      <c r="H137" s="323"/>
      <c r="I137" s="152"/>
      <c r="J137" s="157"/>
      <c r="K137" s="154"/>
      <c r="L137" s="227"/>
      <c r="M137" s="157"/>
      <c r="N137" s="227">
        <f t="shared" si="22"/>
        <v>238852.02496200989</v>
      </c>
      <c r="O137" s="152">
        <f t="shared" si="23"/>
        <v>582546.87196201016</v>
      </c>
    </row>
    <row r="138" spans="1:15" hidden="1" x14ac:dyDescent="0.15">
      <c r="A138" s="154"/>
      <c r="B138" s="151"/>
      <c r="C138" s="151"/>
      <c r="D138" s="323"/>
      <c r="E138" s="154"/>
      <c r="F138" s="157"/>
      <c r="G138" s="152"/>
      <c r="H138" s="323"/>
      <c r="I138" s="152"/>
      <c r="J138" s="154"/>
      <c r="K138" s="154"/>
      <c r="L138" s="227"/>
      <c r="M138" s="157"/>
      <c r="N138" s="227">
        <f t="shared" si="22"/>
        <v>238852.02496200989</v>
      </c>
      <c r="O138" s="152">
        <f t="shared" si="23"/>
        <v>582546.87196201016</v>
      </c>
    </row>
    <row r="139" spans="1:15" hidden="1" x14ac:dyDescent="0.15">
      <c r="A139" s="154"/>
      <c r="B139" s="151"/>
      <c r="C139" s="151"/>
      <c r="D139" s="323"/>
      <c r="E139" s="155"/>
      <c r="F139" s="157"/>
      <c r="G139" s="152"/>
      <c r="H139" s="323"/>
      <c r="I139" s="152"/>
      <c r="J139" s="154"/>
      <c r="K139" s="154"/>
      <c r="L139" s="227"/>
      <c r="M139" s="157"/>
      <c r="N139" s="227">
        <f t="shared" si="22"/>
        <v>238852.02496200989</v>
      </c>
      <c r="O139" s="152">
        <f t="shared" si="23"/>
        <v>582546.87196201016</v>
      </c>
    </row>
    <row r="140" spans="1:15" hidden="1" x14ac:dyDescent="0.15">
      <c r="A140" s="154"/>
      <c r="B140" s="151"/>
      <c r="C140" s="151"/>
      <c r="D140" s="323"/>
      <c r="E140" s="154"/>
      <c r="F140" s="160"/>
      <c r="G140" s="152"/>
      <c r="H140" s="323"/>
      <c r="I140" s="152"/>
      <c r="J140" s="157"/>
      <c r="K140" s="154"/>
      <c r="L140" s="227"/>
      <c r="M140" s="157"/>
      <c r="N140" s="227">
        <f t="shared" si="22"/>
        <v>238852.02496200989</v>
      </c>
      <c r="O140" s="152">
        <f t="shared" si="23"/>
        <v>582546.87196201016</v>
      </c>
    </row>
    <row r="141" spans="1:15" hidden="1" x14ac:dyDescent="0.15">
      <c r="A141" s="154"/>
      <c r="B141" s="151"/>
      <c r="C141" s="151"/>
      <c r="D141" s="323"/>
      <c r="E141" s="154"/>
      <c r="F141" s="160"/>
      <c r="G141" s="152"/>
      <c r="H141" s="323"/>
      <c r="I141" s="152"/>
      <c r="J141" s="150"/>
      <c r="K141" s="154"/>
      <c r="L141" s="227"/>
      <c r="M141" s="157"/>
      <c r="N141" s="227">
        <f t="shared" si="22"/>
        <v>238852.02496200989</v>
      </c>
      <c r="O141" s="152">
        <f t="shared" si="23"/>
        <v>582546.87196201016</v>
      </c>
    </row>
    <row r="142" spans="1:15" x14ac:dyDescent="0.15">
      <c r="A142" s="173"/>
      <c r="B142" s="173"/>
      <c r="C142" s="174"/>
      <c r="D142" s="323"/>
      <c r="E142" s="173"/>
      <c r="F142" s="173"/>
      <c r="G142" s="174"/>
      <c r="H142" s="323"/>
      <c r="I142" s="174"/>
      <c r="J142" s="173"/>
      <c r="K142" s="154"/>
      <c r="L142" s="228"/>
      <c r="M142" s="173"/>
      <c r="N142" s="227">
        <f t="shared" si="22"/>
        <v>238852.02496200989</v>
      </c>
      <c r="O142" s="152">
        <f t="shared" si="23"/>
        <v>582546.87196201016</v>
      </c>
    </row>
    <row r="143" spans="1:15" x14ac:dyDescent="0.15">
      <c r="A143" s="177"/>
      <c r="B143" s="177"/>
      <c r="C143" s="178">
        <f>SUM(C7:C141)</f>
        <v>597737.31696200965</v>
      </c>
      <c r="D143" s="177"/>
      <c r="E143" s="177"/>
      <c r="F143" s="177"/>
      <c r="G143" s="178">
        <f>SUM(G7:G142)</f>
        <v>4648682.1150000002</v>
      </c>
      <c r="H143" s="179"/>
      <c r="I143" s="178">
        <f>SUM(I7:I142)</f>
        <v>152310.35999999999</v>
      </c>
      <c r="J143" s="177"/>
      <c r="K143" s="177"/>
      <c r="L143" s="229">
        <f>SUM(L9:L142)</f>
        <v>4511562.1999999993</v>
      </c>
      <c r="M143" s="177"/>
      <c r="N143" s="180"/>
      <c r="O143" s="181">
        <f>C143+G143-I143-L143</f>
        <v>582546.87196200993</v>
      </c>
    </row>
    <row r="144" spans="1:15" x14ac:dyDescent="0.15">
      <c r="A144" s="182"/>
      <c r="B144" s="465"/>
      <c r="C144" s="465"/>
      <c r="D144" s="465"/>
      <c r="E144" s="183"/>
      <c r="F144" s="284"/>
      <c r="G144" s="185"/>
      <c r="H144" s="186"/>
      <c r="I144" s="187"/>
      <c r="J144" s="188"/>
      <c r="K144" s="189" t="s">
        <v>139</v>
      </c>
      <c r="L144" s="190">
        <f>+L143+I143</f>
        <v>4663872.5599999996</v>
      </c>
      <c r="M144" s="197"/>
      <c r="N144" s="230">
        <f>+N142</f>
        <v>238852.02496200989</v>
      </c>
      <c r="O144" s="195" t="s">
        <v>1742</v>
      </c>
    </row>
    <row r="145" spans="1:15" x14ac:dyDescent="0.15">
      <c r="A145" s="193"/>
      <c r="B145" s="470"/>
      <c r="C145" s="470"/>
      <c r="D145" s="470"/>
      <c r="E145" s="183"/>
      <c r="F145" s="332"/>
      <c r="G145" s="219"/>
      <c r="H145" s="186"/>
      <c r="I145" s="187"/>
      <c r="J145" s="210"/>
      <c r="K145" s="210"/>
      <c r="N145" s="230">
        <f>+G119+G125</f>
        <v>129287.70699999999</v>
      </c>
      <c r="O145" s="195" t="s">
        <v>1743</v>
      </c>
    </row>
    <row r="146" spans="1:15" x14ac:dyDescent="0.15">
      <c r="A146" s="193" t="s">
        <v>1708</v>
      </c>
      <c r="B146" s="330" t="s">
        <v>1721</v>
      </c>
      <c r="E146" s="183" t="s">
        <v>55</v>
      </c>
      <c r="F146" s="332">
        <v>2927930.6</v>
      </c>
      <c r="G146" s="219" t="s">
        <v>56</v>
      </c>
      <c r="H146" s="186">
        <v>41610</v>
      </c>
      <c r="I146" s="187" t="s">
        <v>71</v>
      </c>
      <c r="J146" s="210">
        <v>241894.57296200946</v>
      </c>
      <c r="K146" s="297"/>
      <c r="N146" s="230">
        <f>+G126+G127</f>
        <v>214407.14</v>
      </c>
      <c r="O146" s="334" t="str">
        <f>+F127</f>
        <v>TOP 281213</v>
      </c>
    </row>
    <row r="147" spans="1:15" x14ac:dyDescent="0.15">
      <c r="A147" s="193" t="s">
        <v>1709</v>
      </c>
      <c r="B147" s="330" t="s">
        <v>1745</v>
      </c>
      <c r="E147" s="183" t="s">
        <v>55</v>
      </c>
      <c r="F147" s="332">
        <v>1967640.99</v>
      </c>
      <c r="G147" s="219" t="s">
        <v>56</v>
      </c>
      <c r="H147" s="186">
        <v>41614</v>
      </c>
      <c r="I147" s="187" t="s">
        <v>71</v>
      </c>
      <c r="J147" s="210">
        <v>263594.79599999997</v>
      </c>
      <c r="K147" s="333"/>
      <c r="N147" s="230"/>
      <c r="O147" s="195"/>
    </row>
    <row r="148" spans="1:15" x14ac:dyDescent="0.15">
      <c r="A148" s="193" t="s">
        <v>1730</v>
      </c>
      <c r="B148" s="330" t="s">
        <v>1746</v>
      </c>
      <c r="E148" s="183" t="s">
        <v>55</v>
      </c>
      <c r="F148" s="332">
        <v>2015521.84</v>
      </c>
      <c r="G148" s="219" t="s">
        <v>56</v>
      </c>
      <c r="H148" s="186">
        <v>41617</v>
      </c>
      <c r="I148" s="187" t="s">
        <v>71</v>
      </c>
      <c r="J148" s="210">
        <v>142201.95499999812</v>
      </c>
      <c r="N148" s="230"/>
      <c r="O148" s="195"/>
    </row>
    <row r="149" spans="1:15" x14ac:dyDescent="0.15">
      <c r="A149" s="193" t="s">
        <v>1732</v>
      </c>
      <c r="B149" s="330" t="s">
        <v>1747</v>
      </c>
      <c r="E149" s="183" t="s">
        <v>55</v>
      </c>
      <c r="F149" s="332">
        <v>6821633.29</v>
      </c>
      <c r="G149" s="219" t="s">
        <v>56</v>
      </c>
      <c r="H149" s="186">
        <v>41624</v>
      </c>
      <c r="I149" s="187" t="s">
        <v>71</v>
      </c>
      <c r="J149" s="210">
        <v>219259.20600000001</v>
      </c>
      <c r="K149" s="333"/>
      <c r="N149" s="230"/>
      <c r="O149" s="195"/>
    </row>
    <row r="150" spans="1:15" x14ac:dyDescent="0.15">
      <c r="A150" s="193" t="s">
        <v>1733</v>
      </c>
      <c r="B150" s="330" t="s">
        <v>1748</v>
      </c>
      <c r="E150" s="183" t="s">
        <v>55</v>
      </c>
      <c r="F150" s="332">
        <v>3009246.41</v>
      </c>
      <c r="G150" s="219" t="s">
        <v>56</v>
      </c>
      <c r="H150" s="186">
        <v>41624</v>
      </c>
      <c r="I150" s="187" t="s">
        <v>71</v>
      </c>
      <c r="J150" s="210">
        <v>394290.56599999999</v>
      </c>
      <c r="N150" s="230"/>
      <c r="O150" s="195"/>
    </row>
    <row r="151" spans="1:15" x14ac:dyDescent="0.15">
      <c r="A151" s="193" t="s">
        <v>1734</v>
      </c>
      <c r="B151" s="330" t="s">
        <v>1749</v>
      </c>
      <c r="E151" s="183" t="s">
        <v>55</v>
      </c>
      <c r="F151" s="332">
        <v>2209425.65</v>
      </c>
      <c r="G151" s="219" t="s">
        <v>56</v>
      </c>
      <c r="H151" s="186">
        <v>41625</v>
      </c>
      <c r="I151" s="187" t="s">
        <v>71</v>
      </c>
      <c r="J151" s="210">
        <v>214643.065</v>
      </c>
      <c r="N151" s="206" t="s">
        <v>33</v>
      </c>
      <c r="O151" s="207">
        <f>SUM(N144:N150)</f>
        <v>582546.87196200993</v>
      </c>
    </row>
    <row r="152" spans="1:15" x14ac:dyDescent="0.15">
      <c r="A152" s="193" t="s">
        <v>1735</v>
      </c>
      <c r="B152" s="330" t="s">
        <v>1750</v>
      </c>
      <c r="E152" s="183" t="s">
        <v>55</v>
      </c>
      <c r="F152" s="332">
        <v>4162096.13</v>
      </c>
      <c r="G152" s="219" t="s">
        <v>56</v>
      </c>
      <c r="H152" s="186">
        <v>41631</v>
      </c>
      <c r="I152" s="187" t="s">
        <v>71</v>
      </c>
      <c r="J152" s="210">
        <v>367989.21200000017</v>
      </c>
      <c r="K152" s="297"/>
      <c r="O152" s="132">
        <f>+O143-O151</f>
        <v>0</v>
      </c>
    </row>
    <row r="153" spans="1:15" s="132" customFormat="1" x14ac:dyDescent="0.15">
      <c r="A153" s="193" t="s">
        <v>1736</v>
      </c>
      <c r="B153" s="330" t="s">
        <v>1751</v>
      </c>
      <c r="D153" s="133"/>
      <c r="E153" s="183" t="s">
        <v>55</v>
      </c>
      <c r="F153" s="332">
        <v>1988923.54</v>
      </c>
      <c r="G153" s="219" t="s">
        <v>56</v>
      </c>
      <c r="H153" s="186">
        <v>41631</v>
      </c>
      <c r="I153" s="187" t="s">
        <v>71</v>
      </c>
      <c r="J153" s="210">
        <v>285600.97099999996</v>
      </c>
      <c r="K153" s="333"/>
      <c r="M153" s="134"/>
    </row>
    <row r="154" spans="1:15" s="132" customFormat="1" x14ac:dyDescent="0.15">
      <c r="A154" s="193" t="s">
        <v>1737</v>
      </c>
      <c r="B154" s="330" t="s">
        <v>1752</v>
      </c>
      <c r="D154" s="133"/>
      <c r="E154" s="183" t="s">
        <v>55</v>
      </c>
      <c r="F154" s="332">
        <v>792870.47</v>
      </c>
      <c r="G154" s="219" t="s">
        <v>56</v>
      </c>
      <c r="H154" s="186">
        <v>41633</v>
      </c>
      <c r="I154" s="187" t="s">
        <v>71</v>
      </c>
      <c r="J154" s="210">
        <v>340970.24700000003</v>
      </c>
      <c r="K154" s="133"/>
      <c r="M154" s="134"/>
    </row>
    <row r="155" spans="1:15" s="132" customFormat="1" x14ac:dyDescent="0.15">
      <c r="A155" s="193" t="s">
        <v>1738</v>
      </c>
      <c r="B155" s="330" t="s">
        <v>1753</v>
      </c>
      <c r="D155" s="133"/>
      <c r="E155" s="183" t="s">
        <v>55</v>
      </c>
      <c r="F155" s="332">
        <v>3095876.87</v>
      </c>
      <c r="G155" s="219" t="s">
        <v>56</v>
      </c>
      <c r="H155" s="186">
        <v>41634</v>
      </c>
      <c r="I155" s="187" t="s">
        <v>71</v>
      </c>
      <c r="J155" s="210">
        <v>380502.761</v>
      </c>
      <c r="K155" s="133"/>
      <c r="M155" s="134"/>
    </row>
    <row r="156" spans="1:15" s="132" customFormat="1" x14ac:dyDescent="0.15">
      <c r="A156" s="193" t="s">
        <v>1739</v>
      </c>
      <c r="B156" s="330" t="s">
        <v>1754</v>
      </c>
      <c r="D156" s="133"/>
      <c r="E156" s="183" t="s">
        <v>55</v>
      </c>
      <c r="F156" s="332">
        <v>3052906.81</v>
      </c>
      <c r="G156" s="219" t="s">
        <v>56</v>
      </c>
      <c r="H156" s="186">
        <v>41641</v>
      </c>
      <c r="I156" s="187" t="s">
        <v>71</v>
      </c>
      <c r="J156" s="210">
        <v>387959.80900000001</v>
      </c>
      <c r="K156" s="333"/>
      <c r="M156" s="134"/>
    </row>
    <row r="157" spans="1:15" s="132" customFormat="1" x14ac:dyDescent="0.15">
      <c r="A157" s="193" t="s">
        <v>1740</v>
      </c>
      <c r="B157" s="330" t="s">
        <v>1755</v>
      </c>
      <c r="D157" s="133"/>
      <c r="E157" s="183" t="s">
        <v>55</v>
      </c>
      <c r="F157" s="332">
        <v>2585831.7000000002</v>
      </c>
      <c r="G157" s="219" t="s">
        <v>56</v>
      </c>
      <c r="H157" s="186">
        <v>41641</v>
      </c>
      <c r="I157" s="187" t="s">
        <v>71</v>
      </c>
      <c r="J157" s="210">
        <v>368010.88100000005</v>
      </c>
      <c r="K157" s="133"/>
      <c r="M157" s="134"/>
    </row>
    <row r="158" spans="1:15" s="132" customFormat="1" x14ac:dyDescent="0.15">
      <c r="A158" s="193" t="s">
        <v>1741</v>
      </c>
      <c r="B158" s="330" t="s">
        <v>1756</v>
      </c>
      <c r="D158" s="133"/>
      <c r="E158" s="183" t="s">
        <v>55</v>
      </c>
      <c r="F158" s="332">
        <v>600808.03</v>
      </c>
      <c r="G158" s="219" t="s">
        <v>56</v>
      </c>
      <c r="H158" s="186">
        <v>41641</v>
      </c>
      <c r="I158" s="187" t="s">
        <v>71</v>
      </c>
      <c r="J158" s="210">
        <v>176240.95499999996</v>
      </c>
      <c r="K158" s="133"/>
      <c r="M158" s="134"/>
    </row>
    <row r="159" spans="1:15" s="132" customFormat="1" ht="12" thickBot="1" x14ac:dyDescent="0.2">
      <c r="A159" s="133"/>
      <c r="B159" s="330"/>
      <c r="C159" s="330"/>
      <c r="D159" s="330"/>
      <c r="E159" s="183"/>
      <c r="F159" s="331"/>
      <c r="G159" s="219"/>
      <c r="H159" s="186"/>
      <c r="I159" s="217" t="s">
        <v>856</v>
      </c>
      <c r="J159" s="211">
        <f>SUM(J146:J158)</f>
        <v>3783158.9969620076</v>
      </c>
      <c r="K159" s="133"/>
      <c r="M159" s="134"/>
    </row>
    <row r="160" spans="1:15" s="132" customFormat="1" ht="12" thickTop="1" x14ac:dyDescent="0.15">
      <c r="A160" s="193" t="s">
        <v>1742</v>
      </c>
      <c r="B160" s="330" t="s">
        <v>1762</v>
      </c>
      <c r="D160" s="133"/>
      <c r="E160" s="183" t="s">
        <v>55</v>
      </c>
      <c r="F160" s="332">
        <v>8785640.6400000006</v>
      </c>
      <c r="G160" s="219" t="s">
        <v>56</v>
      </c>
      <c r="H160" s="186">
        <v>41642</v>
      </c>
      <c r="I160" s="187" t="s">
        <v>71</v>
      </c>
      <c r="J160" s="210">
        <v>241519.56803799019</v>
      </c>
      <c r="K160" s="133"/>
      <c r="M160" s="134"/>
    </row>
    <row r="161" spans="1:13" s="132" customFormat="1" ht="12" thickBot="1" x14ac:dyDescent="0.2">
      <c r="A161" s="133"/>
      <c r="B161" s="330"/>
      <c r="C161" s="330"/>
      <c r="D161" s="330"/>
      <c r="E161" s="183"/>
      <c r="F161" s="331"/>
      <c r="G161" s="219"/>
      <c r="H161" s="186"/>
      <c r="I161" s="217" t="s">
        <v>856</v>
      </c>
      <c r="J161" s="211">
        <f>SUM(J160)</f>
        <v>241519.56803799019</v>
      </c>
      <c r="K161" s="133"/>
      <c r="M161" s="134"/>
    </row>
    <row r="162" spans="1:13" s="132" customFormat="1" ht="12" thickTop="1" x14ac:dyDescent="0.15">
      <c r="A162" s="133" t="s">
        <v>1710</v>
      </c>
      <c r="B162" s="131" t="s">
        <v>1758</v>
      </c>
      <c r="D162" s="133"/>
      <c r="E162" s="183" t="s">
        <v>55</v>
      </c>
      <c r="F162" s="332">
        <v>33289389.850000001</v>
      </c>
      <c r="G162" s="219" t="s">
        <v>56</v>
      </c>
      <c r="H162" s="186">
        <v>41614</v>
      </c>
      <c r="I162" s="187" t="s">
        <v>71</v>
      </c>
      <c r="J162" s="210">
        <v>228048.01400000195</v>
      </c>
      <c r="K162" s="133"/>
      <c r="M162" s="134"/>
    </row>
    <row r="163" spans="1:13" s="132" customFormat="1" x14ac:dyDescent="0.15">
      <c r="A163" s="133" t="s">
        <v>1731</v>
      </c>
      <c r="B163" s="131" t="s">
        <v>1757</v>
      </c>
      <c r="D163" s="133"/>
      <c r="E163" s="183" t="s">
        <v>55</v>
      </c>
      <c r="F163" s="332">
        <v>21076126.370000001</v>
      </c>
      <c r="G163" s="219" t="s">
        <v>56</v>
      </c>
      <c r="H163" s="186">
        <v>41619</v>
      </c>
      <c r="I163" s="187" t="s">
        <v>71</v>
      </c>
      <c r="J163" s="210">
        <v>258835.62100000007</v>
      </c>
      <c r="K163" s="133"/>
      <c r="M163" s="134"/>
    </row>
    <row r="164" spans="1:13" s="132" customFormat="1" ht="12" thickBot="1" x14ac:dyDescent="0.2">
      <c r="A164" s="193"/>
      <c r="B164" s="210"/>
      <c r="C164" s="221"/>
      <c r="D164" s="237"/>
      <c r="E164" s="235"/>
      <c r="F164" s="235"/>
      <c r="H164" s="133"/>
      <c r="I164" s="218" t="s">
        <v>106</v>
      </c>
      <c r="J164" s="212">
        <f>SUM(J162:J163)</f>
        <v>486883.63500000199</v>
      </c>
      <c r="K164" s="133"/>
      <c r="M164" s="134"/>
    </row>
    <row r="165" spans="1:13" s="132" customFormat="1" ht="12" thickTop="1" x14ac:dyDescent="0.15">
      <c r="A165" s="193"/>
      <c r="B165" s="210"/>
      <c r="C165" s="221"/>
      <c r="D165" s="237"/>
      <c r="E165" s="235"/>
      <c r="F165" s="235"/>
      <c r="H165" s="133"/>
      <c r="J165" s="205"/>
      <c r="K165" s="133"/>
      <c r="M165" s="134"/>
    </row>
    <row r="166" spans="1:13" s="132" customFormat="1" x14ac:dyDescent="0.15">
      <c r="A166" s="193"/>
      <c r="B166" s="210"/>
      <c r="C166" s="221"/>
      <c r="D166" s="237"/>
      <c r="E166" s="235"/>
      <c r="F166" s="235"/>
      <c r="H166" s="133"/>
      <c r="J166" s="205"/>
      <c r="K166" s="133"/>
      <c r="M166" s="134"/>
    </row>
    <row r="167" spans="1:13" s="132" customFormat="1" x14ac:dyDescent="0.15">
      <c r="A167" s="193"/>
      <c r="B167" s="210"/>
      <c r="C167" s="221"/>
      <c r="D167" s="237"/>
      <c r="E167" s="235"/>
      <c r="F167" s="235"/>
      <c r="H167" s="133"/>
      <c r="J167" s="205"/>
      <c r="K167" s="133"/>
      <c r="M167" s="134"/>
    </row>
    <row r="168" spans="1:13" s="132" customFormat="1" x14ac:dyDescent="0.15">
      <c r="A168" s="193"/>
      <c r="B168" s="210"/>
      <c r="C168" s="221"/>
      <c r="D168" s="237"/>
      <c r="E168" s="235"/>
      <c r="F168" s="235"/>
      <c r="H168" s="133"/>
      <c r="J168" s="205"/>
      <c r="K168" s="133"/>
      <c r="M168" s="134"/>
    </row>
    <row r="169" spans="1:13" s="132" customFormat="1" x14ac:dyDescent="0.15">
      <c r="A169" s="193"/>
      <c r="B169" s="210"/>
      <c r="C169" s="221"/>
      <c r="D169" s="237"/>
      <c r="E169" s="235"/>
      <c r="F169" s="235"/>
      <c r="H169" s="133"/>
      <c r="J169" s="205"/>
      <c r="K169" s="133"/>
      <c r="M169" s="134"/>
    </row>
    <row r="170" spans="1:13" s="132" customFormat="1" x14ac:dyDescent="0.15">
      <c r="A170" s="193"/>
      <c r="B170" s="210"/>
      <c r="C170" s="221"/>
      <c r="D170" s="237"/>
      <c r="E170" s="235"/>
      <c r="F170" s="235"/>
      <c r="H170" s="133"/>
      <c r="J170" s="205"/>
      <c r="K170" s="133"/>
      <c r="M170" s="134"/>
    </row>
    <row r="171" spans="1:13" s="132" customFormat="1" x14ac:dyDescent="0.15">
      <c r="A171" s="193"/>
      <c r="B171" s="210"/>
      <c r="C171" s="221"/>
      <c r="D171" s="237"/>
      <c r="E171" s="235"/>
      <c r="F171" s="235"/>
      <c r="H171" s="133"/>
      <c r="J171" s="205"/>
      <c r="K171" s="133"/>
      <c r="M171" s="134"/>
    </row>
    <row r="172" spans="1:13" s="132" customFormat="1" x14ac:dyDescent="0.15">
      <c r="A172" s="193"/>
      <c r="B172" s="210"/>
      <c r="C172" s="221"/>
      <c r="D172" s="237"/>
      <c r="E172" s="235"/>
      <c r="F172" s="235"/>
      <c r="H172" s="133"/>
      <c r="J172" s="205"/>
      <c r="K172" s="133"/>
      <c r="M172" s="134"/>
    </row>
    <row r="173" spans="1:13" s="132" customFormat="1" x14ac:dyDescent="0.15">
      <c r="A173" s="193"/>
      <c r="B173" s="210"/>
      <c r="C173" s="221"/>
      <c r="D173" s="237"/>
      <c r="E173" s="235"/>
      <c r="F173" s="235"/>
      <c r="H173" s="133"/>
      <c r="J173" s="205"/>
      <c r="K173" s="133"/>
      <c r="M173" s="134"/>
    </row>
    <row r="174" spans="1:13" s="132" customFormat="1" x14ac:dyDescent="0.15">
      <c r="A174" s="193"/>
      <c r="B174" s="210"/>
      <c r="C174" s="221"/>
      <c r="D174" s="237"/>
      <c r="E174" s="235"/>
      <c r="F174" s="235"/>
      <c r="H174" s="133"/>
      <c r="J174" s="205"/>
      <c r="K174" s="133"/>
      <c r="M174" s="134"/>
    </row>
    <row r="175" spans="1:13" s="132" customFormat="1" x14ac:dyDescent="0.15">
      <c r="A175" s="193"/>
      <c r="B175" s="210"/>
      <c r="C175" s="221"/>
      <c r="D175" s="237"/>
      <c r="E175" s="235"/>
      <c r="F175" s="235"/>
      <c r="H175" s="133"/>
      <c r="J175" s="205"/>
      <c r="K175" s="133"/>
      <c r="M175" s="134"/>
    </row>
    <row r="176" spans="1:13" s="132" customFormat="1" x14ac:dyDescent="0.15">
      <c r="A176" s="193"/>
      <c r="B176" s="210"/>
      <c r="C176" s="221"/>
      <c r="D176" s="237"/>
      <c r="E176" s="235"/>
      <c r="F176" s="235"/>
      <c r="H176" s="133"/>
      <c r="J176" s="205"/>
      <c r="K176" s="133"/>
      <c r="M176" s="134"/>
    </row>
    <row r="177" spans="1:15" s="132" customFormat="1" x14ac:dyDescent="0.15">
      <c r="A177" s="193"/>
      <c r="B177" s="210"/>
      <c r="C177" s="221"/>
      <c r="D177" s="237"/>
      <c r="E177" s="235"/>
      <c r="F177" s="235"/>
      <c r="H177" s="133"/>
      <c r="J177" s="205"/>
      <c r="K177" s="133"/>
      <c r="M177" s="134"/>
    </row>
    <row r="178" spans="1:15" s="132" customFormat="1" x14ac:dyDescent="0.15">
      <c r="A178" s="193"/>
      <c r="B178" s="210"/>
      <c r="C178" s="221"/>
      <c r="D178" s="237"/>
      <c r="E178" s="235"/>
      <c r="F178" s="235"/>
      <c r="H178" s="133"/>
      <c r="J178" s="205"/>
      <c r="K178" s="133"/>
      <c r="M178" s="134"/>
    </row>
    <row r="179" spans="1:15" s="132" customFormat="1" x14ac:dyDescent="0.15">
      <c r="A179" s="193"/>
      <c r="B179" s="210"/>
      <c r="C179" s="221"/>
      <c r="D179" s="237"/>
      <c r="E179" s="235"/>
      <c r="F179" s="235"/>
      <c r="H179" s="133"/>
      <c r="J179" s="205"/>
      <c r="K179" s="133"/>
      <c r="M179" s="134"/>
    </row>
    <row r="180" spans="1:15" s="132" customFormat="1" x14ac:dyDescent="0.15">
      <c r="A180" s="193"/>
      <c r="B180" s="210"/>
      <c r="C180" s="221"/>
      <c r="D180" s="237"/>
      <c r="E180" s="235"/>
      <c r="F180" s="235"/>
      <c r="H180" s="133"/>
      <c r="J180" s="205"/>
      <c r="K180" s="133"/>
      <c r="M180" s="134"/>
    </row>
    <row r="181" spans="1:15" s="132" customFormat="1" x14ac:dyDescent="0.15">
      <c r="A181" s="193"/>
      <c r="B181" s="210"/>
      <c r="C181" s="221"/>
      <c r="D181" s="237"/>
      <c r="E181" s="235"/>
      <c r="F181" s="235"/>
      <c r="H181" s="133"/>
      <c r="J181" s="205"/>
      <c r="K181" s="133"/>
      <c r="M181" s="134"/>
    </row>
    <row r="182" spans="1:15" s="132" customFormat="1" x14ac:dyDescent="0.15">
      <c r="A182" s="133"/>
      <c r="B182" s="133" t="s">
        <v>9</v>
      </c>
      <c r="C182" s="220" t="s">
        <v>729</v>
      </c>
      <c r="D182" s="220" t="s">
        <v>850</v>
      </c>
      <c r="E182" s="133" t="s">
        <v>570</v>
      </c>
      <c r="F182" s="133" t="s">
        <v>571</v>
      </c>
      <c r="G182" s="133" t="s">
        <v>16</v>
      </c>
      <c r="H182" s="134"/>
      <c r="I182" s="134"/>
      <c r="J182" s="205"/>
      <c r="K182" s="133"/>
      <c r="M182" s="134"/>
    </row>
    <row r="183" spans="1:15" s="132" customFormat="1" x14ac:dyDescent="0.15">
      <c r="A183" s="193" t="s">
        <v>1708</v>
      </c>
      <c r="B183" s="210">
        <f t="shared" ref="B183:B195" si="34">+ROUND(J146,0)</f>
        <v>241895</v>
      </c>
      <c r="C183" s="221">
        <v>24.762699999999999</v>
      </c>
      <c r="D183" s="237">
        <f t="shared" ref="D183:D194" si="35">+B183*C183</f>
        <v>5989973.3164999997</v>
      </c>
      <c r="E183" s="235">
        <f t="shared" ref="E183:E194" si="36">+D183*0.01</f>
        <v>59899.733164999998</v>
      </c>
      <c r="F183" s="235">
        <f t="shared" ref="F183:F194" si="37">+E183*0.1</f>
        <v>5989.9733164999998</v>
      </c>
      <c r="G183" s="236">
        <f t="shared" ref="G183:G194" si="38">SUM(E183:F183)</f>
        <v>65889.706481500005</v>
      </c>
      <c r="H183" s="134"/>
      <c r="I183" s="134"/>
      <c r="J183" s="134"/>
      <c r="K183" s="133"/>
      <c r="M183" s="134"/>
    </row>
    <row r="184" spans="1:15" s="132" customFormat="1" x14ac:dyDescent="0.15">
      <c r="A184" s="193" t="s">
        <v>1709</v>
      </c>
      <c r="B184" s="210">
        <f t="shared" si="34"/>
        <v>263595</v>
      </c>
      <c r="C184" s="221">
        <v>25.249199999999998</v>
      </c>
      <c r="D184" s="237">
        <f t="shared" si="35"/>
        <v>6655562.8739999998</v>
      </c>
      <c r="E184" s="235">
        <f t="shared" si="36"/>
        <v>66555.62874</v>
      </c>
      <c r="F184" s="235">
        <f t="shared" si="37"/>
        <v>6655.5628740000002</v>
      </c>
      <c r="G184" s="236">
        <f t="shared" si="38"/>
        <v>73211.191613999996</v>
      </c>
      <c r="H184" s="133"/>
      <c r="J184" s="134"/>
      <c r="K184" s="133"/>
      <c r="M184" s="134"/>
    </row>
    <row r="185" spans="1:15" s="132" customFormat="1" x14ac:dyDescent="0.15">
      <c r="A185" s="193" t="s">
        <v>1730</v>
      </c>
      <c r="B185" s="210">
        <f t="shared" si="34"/>
        <v>142202</v>
      </c>
      <c r="C185" s="221">
        <v>25.731999999999999</v>
      </c>
      <c r="D185" s="237">
        <f t="shared" si="35"/>
        <v>3659141.8640000001</v>
      </c>
      <c r="E185" s="235">
        <f t="shared" si="36"/>
        <v>36591.418640000004</v>
      </c>
      <c r="F185" s="235">
        <f t="shared" si="37"/>
        <v>3659.1418640000006</v>
      </c>
      <c r="G185" s="236">
        <f t="shared" si="38"/>
        <v>40250.560504000001</v>
      </c>
      <c r="H185" s="133"/>
      <c r="J185" s="134"/>
      <c r="K185" s="133"/>
      <c r="M185" s="134"/>
    </row>
    <row r="186" spans="1:15" s="133" customFormat="1" x14ac:dyDescent="0.15">
      <c r="A186" s="193" t="s">
        <v>1732</v>
      </c>
      <c r="B186" s="210">
        <f t="shared" si="34"/>
        <v>219259</v>
      </c>
      <c r="C186" s="221">
        <v>26.103300000000001</v>
      </c>
      <c r="D186" s="237">
        <f t="shared" si="35"/>
        <v>5723383.4547000006</v>
      </c>
      <c r="E186" s="235">
        <f t="shared" si="36"/>
        <v>57233.834547000006</v>
      </c>
      <c r="F186" s="235">
        <f t="shared" si="37"/>
        <v>5723.3834547000006</v>
      </c>
      <c r="G186" s="236">
        <f t="shared" si="38"/>
        <v>62957.218001700006</v>
      </c>
      <c r="H186" s="134"/>
      <c r="I186" s="134"/>
      <c r="J186" s="134"/>
      <c r="L186" s="132"/>
      <c r="M186" s="134"/>
      <c r="N186" s="132"/>
      <c r="O186" s="132"/>
    </row>
    <row r="187" spans="1:15" s="133" customFormat="1" x14ac:dyDescent="0.15">
      <c r="A187" s="193" t="s">
        <v>1733</v>
      </c>
      <c r="B187" s="210">
        <f t="shared" si="34"/>
        <v>394291</v>
      </c>
      <c r="C187" s="221">
        <v>26.101900000000001</v>
      </c>
      <c r="D187" s="237">
        <f t="shared" si="35"/>
        <v>10291744.252900001</v>
      </c>
      <c r="E187" s="235">
        <f t="shared" si="36"/>
        <v>102917.44252900001</v>
      </c>
      <c r="F187" s="235">
        <f t="shared" si="37"/>
        <v>10291.744252900002</v>
      </c>
      <c r="G187" s="236">
        <f t="shared" si="38"/>
        <v>113209.1867819</v>
      </c>
      <c r="I187" s="132"/>
      <c r="J187" s="134"/>
      <c r="L187" s="132"/>
      <c r="M187" s="134"/>
      <c r="N187" s="132"/>
      <c r="O187" s="132"/>
    </row>
    <row r="188" spans="1:15" s="133" customFormat="1" x14ac:dyDescent="0.15">
      <c r="A188" s="193" t="s">
        <v>1734</v>
      </c>
      <c r="B188" s="210">
        <f t="shared" si="34"/>
        <v>214643</v>
      </c>
      <c r="C188" s="221">
        <v>26.134599999999999</v>
      </c>
      <c r="D188" s="237">
        <f t="shared" si="35"/>
        <v>5609608.9478000002</v>
      </c>
      <c r="E188" s="235">
        <f t="shared" si="36"/>
        <v>56096.089478000002</v>
      </c>
      <c r="F188" s="235">
        <f t="shared" si="37"/>
        <v>5609.6089478000004</v>
      </c>
      <c r="G188" s="236">
        <f t="shared" si="38"/>
        <v>61705.698425800001</v>
      </c>
      <c r="I188" s="132"/>
      <c r="J188" s="134"/>
      <c r="L188" s="132"/>
      <c r="M188" s="134"/>
      <c r="N188" s="132"/>
      <c r="O188" s="132"/>
    </row>
    <row r="189" spans="1:15" s="133" customFormat="1" x14ac:dyDescent="0.15">
      <c r="A189" s="193" t="s">
        <v>1735</v>
      </c>
      <c r="B189" s="210">
        <f t="shared" si="34"/>
        <v>367989</v>
      </c>
      <c r="C189" s="221">
        <v>25.6678</v>
      </c>
      <c r="D189" s="237">
        <f t="shared" si="35"/>
        <v>9445468.0541999992</v>
      </c>
      <c r="E189" s="235">
        <f t="shared" si="36"/>
        <v>94454.680541999987</v>
      </c>
      <c r="F189" s="235">
        <f t="shared" si="37"/>
        <v>9445.4680541999987</v>
      </c>
      <c r="G189" s="236">
        <f t="shared" si="38"/>
        <v>103900.14859619999</v>
      </c>
      <c r="H189" s="134"/>
      <c r="I189" s="134"/>
      <c r="J189" s="134"/>
      <c r="L189" s="132"/>
      <c r="M189" s="134"/>
      <c r="N189" s="132"/>
      <c r="O189" s="132"/>
    </row>
    <row r="190" spans="1:15" s="133" customFormat="1" x14ac:dyDescent="0.15">
      <c r="A190" s="193" t="s">
        <v>1736</v>
      </c>
      <c r="B190" s="210">
        <f t="shared" si="34"/>
        <v>285601</v>
      </c>
      <c r="C190" s="221">
        <v>25.586300000000001</v>
      </c>
      <c r="D190" s="237">
        <f t="shared" si="35"/>
        <v>7307472.8663000008</v>
      </c>
      <c r="E190" s="235">
        <f t="shared" si="36"/>
        <v>73074.728663000016</v>
      </c>
      <c r="F190" s="235">
        <f t="shared" si="37"/>
        <v>7307.4728663000024</v>
      </c>
      <c r="G190" s="236">
        <f t="shared" si="38"/>
        <v>80382.201529300015</v>
      </c>
      <c r="I190" s="132"/>
      <c r="J190" s="134"/>
      <c r="L190" s="132"/>
      <c r="M190" s="134"/>
      <c r="N190" s="132"/>
      <c r="O190" s="132"/>
    </row>
    <row r="191" spans="1:15" s="133" customFormat="1" x14ac:dyDescent="0.15">
      <c r="A191" s="193" t="s">
        <v>1737</v>
      </c>
      <c r="B191" s="210">
        <f t="shared" si="34"/>
        <v>340970</v>
      </c>
      <c r="C191" s="221">
        <v>25.430099999999999</v>
      </c>
      <c r="D191" s="237">
        <f t="shared" si="35"/>
        <v>8670901.1970000006</v>
      </c>
      <c r="E191" s="235">
        <f t="shared" si="36"/>
        <v>86709.011970000007</v>
      </c>
      <c r="F191" s="235">
        <f t="shared" si="37"/>
        <v>8670.901197000001</v>
      </c>
      <c r="G191" s="236">
        <f t="shared" si="38"/>
        <v>95379.913167000006</v>
      </c>
      <c r="I191" s="132"/>
      <c r="J191" s="134"/>
      <c r="L191" s="132"/>
      <c r="M191" s="134"/>
      <c r="N191" s="132"/>
      <c r="O191" s="132"/>
    </row>
    <row r="192" spans="1:15" x14ac:dyDescent="0.15">
      <c r="A192" s="193" t="s">
        <v>1738</v>
      </c>
      <c r="B192" s="210">
        <f t="shared" si="34"/>
        <v>380503</v>
      </c>
      <c r="C192" s="221">
        <v>25.430099999999999</v>
      </c>
      <c r="D192" s="237">
        <f t="shared" si="35"/>
        <v>9676229.3402999993</v>
      </c>
      <c r="E192" s="235">
        <f t="shared" si="36"/>
        <v>96762.293402999989</v>
      </c>
      <c r="F192" s="235">
        <f t="shared" si="37"/>
        <v>9676.2293402999985</v>
      </c>
      <c r="G192" s="236">
        <f t="shared" si="38"/>
        <v>106438.52274329998</v>
      </c>
      <c r="H192" s="134"/>
      <c r="I192" s="134"/>
    </row>
    <row r="193" spans="1:13" s="132" customFormat="1" x14ac:dyDescent="0.15">
      <c r="A193" s="193" t="s">
        <v>1739</v>
      </c>
      <c r="B193" s="210">
        <f t="shared" si="34"/>
        <v>387960</v>
      </c>
      <c r="C193" s="221">
        <v>25.566500000000001</v>
      </c>
      <c r="D193" s="237">
        <f t="shared" si="35"/>
        <v>9918779.3399999999</v>
      </c>
      <c r="E193" s="235">
        <f t="shared" si="36"/>
        <v>99187.793399999995</v>
      </c>
      <c r="F193" s="235">
        <f t="shared" si="37"/>
        <v>9918.779340000001</v>
      </c>
      <c r="G193" s="236">
        <f t="shared" si="38"/>
        <v>109106.57274</v>
      </c>
      <c r="H193" s="133"/>
      <c r="J193" s="134"/>
      <c r="K193" s="133"/>
      <c r="M193" s="134"/>
    </row>
    <row r="194" spans="1:13" x14ac:dyDescent="0.15">
      <c r="A194" s="193" t="s">
        <v>1740</v>
      </c>
      <c r="B194" s="210">
        <f t="shared" si="34"/>
        <v>368011</v>
      </c>
      <c r="C194" s="221">
        <v>26.1173</v>
      </c>
      <c r="D194" s="237">
        <f t="shared" si="35"/>
        <v>9611453.6903000008</v>
      </c>
      <c r="E194" s="235">
        <f t="shared" si="36"/>
        <v>96114.536903000015</v>
      </c>
      <c r="F194" s="235">
        <f t="shared" si="37"/>
        <v>9611.4536903000026</v>
      </c>
      <c r="G194" s="236">
        <f t="shared" si="38"/>
        <v>105725.99059330001</v>
      </c>
    </row>
    <row r="195" spans="1:13" x14ac:dyDescent="0.15">
      <c r="A195" s="193" t="s">
        <v>1741</v>
      </c>
      <c r="B195" s="210">
        <f t="shared" si="34"/>
        <v>176241</v>
      </c>
      <c r="C195" s="221">
        <v>26.341799999999999</v>
      </c>
      <c r="D195" s="237">
        <f t="shared" ref="D195" si="39">+B195*C195</f>
        <v>4642505.1738</v>
      </c>
      <c r="E195" s="235">
        <f t="shared" ref="E195" si="40">+D195*0.01</f>
        <v>46425.051738000002</v>
      </c>
      <c r="F195" s="235">
        <f t="shared" ref="F195" si="41">+E195*0.1</f>
        <v>4642.5051738000002</v>
      </c>
      <c r="G195" s="236">
        <f t="shared" ref="G195" si="42">SUM(E195:F195)</f>
        <v>51067.556911799998</v>
      </c>
      <c r="H195" s="134"/>
      <c r="I195" s="134"/>
    </row>
    <row r="196" spans="1:13" ht="12" thickBot="1" x14ac:dyDescent="0.2">
      <c r="A196" s="133"/>
      <c r="B196" s="211">
        <f>SUM(B183:B195)</f>
        <v>3783160</v>
      </c>
      <c r="C196" s="221"/>
      <c r="D196" s="237"/>
      <c r="E196" s="242">
        <f>SUM(E183:E195)</f>
        <v>972022.2437179999</v>
      </c>
      <c r="F196" s="242">
        <f t="shared" ref="F196:G196" si="43">SUM(F183:F195)</f>
        <v>97202.22437180001</v>
      </c>
      <c r="G196" s="242">
        <f t="shared" si="43"/>
        <v>1069224.4680897999</v>
      </c>
    </row>
    <row r="197" spans="1:13" ht="12" thickTop="1" x14ac:dyDescent="0.15">
      <c r="A197" s="193" t="s">
        <v>1742</v>
      </c>
      <c r="B197" s="210">
        <f>+ROUND(J160,0)</f>
        <v>241520</v>
      </c>
      <c r="C197" s="221">
        <v>26.5213</v>
      </c>
      <c r="D197" s="237">
        <f t="shared" ref="D197" si="44">+B197*C197</f>
        <v>6405424.3760000002</v>
      </c>
      <c r="E197" s="235">
        <f t="shared" ref="E197" si="45">+D197*0.01</f>
        <v>64054.243760000005</v>
      </c>
      <c r="F197" s="235">
        <f t="shared" ref="F197" si="46">+E197*0.1</f>
        <v>6405.4243760000008</v>
      </c>
      <c r="G197" s="236">
        <f t="shared" ref="G197" si="47">SUM(E197:F197)</f>
        <v>70459.668136000008</v>
      </c>
      <c r="H197" s="134"/>
    </row>
    <row r="198" spans="1:13" ht="12" thickBot="1" x14ac:dyDescent="0.2">
      <c r="A198" s="133"/>
      <c r="B198" s="211">
        <f>SUM(B197)</f>
        <v>241520</v>
      </c>
      <c r="C198" s="221"/>
      <c r="D198" s="237"/>
      <c r="E198" s="242">
        <f>SUM(E197)</f>
        <v>64054.243760000005</v>
      </c>
      <c r="F198" s="242">
        <f t="shared" ref="F198:G198" si="48">SUM(F197)</f>
        <v>6405.4243760000008</v>
      </c>
      <c r="G198" s="242">
        <f t="shared" si="48"/>
        <v>70459.668136000008</v>
      </c>
    </row>
    <row r="199" spans="1:13" ht="12" thickTop="1" x14ac:dyDescent="0.15">
      <c r="A199" s="133" t="s">
        <v>1710</v>
      </c>
      <c r="B199" s="210">
        <f>+ROUND(J162,0)</f>
        <v>228048</v>
      </c>
      <c r="C199" s="221">
        <v>25.392299999999999</v>
      </c>
      <c r="D199" s="237">
        <f t="shared" ref="D199:D200" si="49">+B199*C199</f>
        <v>5790663.2303999998</v>
      </c>
      <c r="E199" s="235">
        <f t="shared" ref="E199:E200" si="50">+D199*0.01</f>
        <v>57906.632303999999</v>
      </c>
      <c r="F199" s="235">
        <f t="shared" ref="F199:F200" si="51">+E199*0.1</f>
        <v>5790.6632304000004</v>
      </c>
      <c r="G199" s="236">
        <f>SUM(E199:F199)</f>
        <v>63697.2955344</v>
      </c>
    </row>
    <row r="200" spans="1:13" x14ac:dyDescent="0.15">
      <c r="A200" s="133" t="s">
        <v>1731</v>
      </c>
      <c r="B200" s="210">
        <f>+ROUND(J163,0)</f>
        <v>258836</v>
      </c>
      <c r="C200" s="221">
        <v>26.077400000000001</v>
      </c>
      <c r="D200" s="237">
        <f t="shared" si="49"/>
        <v>6749769.9063999997</v>
      </c>
      <c r="E200" s="235">
        <f t="shared" si="50"/>
        <v>67497.699064</v>
      </c>
      <c r="F200" s="235">
        <f t="shared" si="51"/>
        <v>6749.7699064000008</v>
      </c>
      <c r="G200" s="236">
        <f>SUM(E200:F200)</f>
        <v>74247.468970400005</v>
      </c>
    </row>
    <row r="201" spans="1:13" ht="12" thickBot="1" x14ac:dyDescent="0.2">
      <c r="A201" s="133"/>
      <c r="B201" s="211">
        <f>SUM(B199:B200)</f>
        <v>486884</v>
      </c>
      <c r="C201" s="221"/>
      <c r="D201" s="237"/>
      <c r="E201" s="242">
        <f>SUM(E199:E200)</f>
        <v>125404.331368</v>
      </c>
      <c r="F201" s="242">
        <f t="shared" ref="F201:G201" si="52">SUM(F199:F200)</f>
        <v>12540.433136800002</v>
      </c>
      <c r="G201" s="242">
        <f t="shared" si="52"/>
        <v>137944.7645048</v>
      </c>
    </row>
    <row r="202" spans="1:13" s="132" customFormat="1" ht="12" thickTop="1" x14ac:dyDescent="0.15">
      <c r="A202" s="134"/>
      <c r="B202" s="231"/>
      <c r="D202" s="133"/>
      <c r="E202" s="133"/>
      <c r="F202" s="134"/>
      <c r="H202" s="133"/>
      <c r="J202" s="134"/>
      <c r="K202" s="133"/>
      <c r="M202" s="134"/>
    </row>
  </sheetData>
  <mergeCells count="8">
    <mergeCell ref="B144:D144"/>
    <mergeCell ref="B145:D145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horizontalDpi="4294967293" r:id="rId1"/>
  <headerFooter alignWithMargins="0">
    <oddHeader xml:space="preserve">&amp;R&amp;"Cordia New,Bold"&amp;UJP02&amp;"Cordia New,Regular"&amp;Uหน้าที่&amp;P/&amp;N
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5"/>
  <sheetViews>
    <sheetView topLeftCell="E1" zoomScale="130" zoomScaleNormal="130" workbookViewId="0">
      <pane ySplit="6" topLeftCell="A95" activePane="bottomLeft" state="frozen"/>
      <selection pane="bottomLeft" activeCell="O102" sqref="O102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1.28515625" style="133" bestFit="1" customWidth="1"/>
    <col min="6" max="6" width="15" style="134" bestFit="1" customWidth="1"/>
    <col min="7" max="7" width="11.85546875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2.7109375" style="132" bestFit="1" customWidth="1"/>
    <col min="16" max="16384" width="18.5703125" style="134"/>
  </cols>
  <sheetData>
    <row r="1" spans="1:15" x14ac:dyDescent="0.15">
      <c r="A1" s="130" t="s">
        <v>1695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1685</v>
      </c>
      <c r="B7" s="146"/>
      <c r="C7" s="147">
        <v>62727.925562009514</v>
      </c>
      <c r="D7" s="323"/>
      <c r="E7" s="149"/>
      <c r="F7" s="149"/>
      <c r="G7" s="147"/>
      <c r="H7" s="323"/>
      <c r="I7" s="147"/>
      <c r="J7" s="149"/>
      <c r="K7" s="149"/>
      <c r="L7" s="226"/>
      <c r="M7" s="149"/>
      <c r="N7" s="226">
        <f>+C7</f>
        <v>62727.925562009514</v>
      </c>
      <c r="O7" s="147">
        <f>+C102</f>
        <v>487722.77056200948</v>
      </c>
    </row>
    <row r="8" spans="1:15" x14ac:dyDescent="0.15">
      <c r="A8" s="154" t="s">
        <v>1686</v>
      </c>
      <c r="B8" s="151"/>
      <c r="C8" s="152">
        <v>39004.36</v>
      </c>
      <c r="D8" s="323"/>
      <c r="E8" s="154"/>
      <c r="F8" s="154"/>
      <c r="G8" s="152"/>
      <c r="H8" s="323"/>
      <c r="I8" s="152"/>
      <c r="J8" s="154"/>
      <c r="K8" s="156"/>
      <c r="L8" s="227"/>
      <c r="M8" s="154"/>
      <c r="N8" s="227">
        <f>+N7-I8-L8</f>
        <v>62727.925562009514</v>
      </c>
      <c r="O8" s="152">
        <f t="shared" ref="O8:O9" si="0">O7+G8-I8-L8</f>
        <v>487722.77056200948</v>
      </c>
    </row>
    <row r="9" spans="1:15" x14ac:dyDescent="0.15">
      <c r="A9" s="157" t="s">
        <v>1687</v>
      </c>
      <c r="B9" s="151"/>
      <c r="C9" s="152">
        <v>192020.00199999998</v>
      </c>
      <c r="D9" s="323"/>
      <c r="E9" s="154"/>
      <c r="F9" s="154"/>
      <c r="G9" s="152"/>
      <c r="H9" s="323"/>
      <c r="I9" s="152"/>
      <c r="J9" s="154"/>
      <c r="K9" s="156"/>
      <c r="L9" s="227"/>
      <c r="M9" s="154"/>
      <c r="N9" s="227">
        <f t="shared" ref="N9" si="1">+N8-I9-L9</f>
        <v>62727.925562009514</v>
      </c>
      <c r="O9" s="152">
        <f t="shared" si="0"/>
        <v>487722.77056200948</v>
      </c>
    </row>
    <row r="10" spans="1:15" x14ac:dyDescent="0.15">
      <c r="A10" s="154" t="s">
        <v>1688</v>
      </c>
      <c r="B10" s="151"/>
      <c r="C10" s="152">
        <v>96983.763999999996</v>
      </c>
      <c r="D10" s="323"/>
      <c r="E10" s="154"/>
      <c r="F10" s="154"/>
      <c r="G10" s="152"/>
      <c r="H10" s="323"/>
      <c r="I10" s="152"/>
      <c r="J10" s="154"/>
      <c r="K10" s="154"/>
      <c r="L10" s="227"/>
      <c r="M10" s="157"/>
      <c r="N10" s="227">
        <f t="shared" ref="N10:N12" si="2">+N9-I10-L10</f>
        <v>62727.925562009514</v>
      </c>
      <c r="O10" s="152">
        <f t="shared" ref="O10:O12" si="3">O9+G10-I10-L10</f>
        <v>487722.77056200948</v>
      </c>
    </row>
    <row r="11" spans="1:15" x14ac:dyDescent="0.15">
      <c r="A11" s="154" t="s">
        <v>1689</v>
      </c>
      <c r="B11" s="151"/>
      <c r="C11" s="152">
        <v>96986.718999999997</v>
      </c>
      <c r="D11" s="323"/>
      <c r="E11" s="154"/>
      <c r="F11" s="157"/>
      <c r="G11" s="152"/>
      <c r="H11" s="323"/>
      <c r="I11" s="152"/>
      <c r="J11" s="154"/>
      <c r="K11" s="154"/>
      <c r="L11" s="227"/>
      <c r="M11" s="154"/>
      <c r="N11" s="227">
        <f t="shared" si="2"/>
        <v>62727.925562009514</v>
      </c>
      <c r="O11" s="152">
        <f t="shared" si="3"/>
        <v>487722.77056200948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/>
      <c r="I12" s="152"/>
      <c r="J12" s="154"/>
      <c r="K12" s="154"/>
      <c r="L12" s="227"/>
      <c r="M12" s="154"/>
      <c r="N12" s="227">
        <f t="shared" si="2"/>
        <v>62727.925562009514</v>
      </c>
      <c r="O12" s="152">
        <f t="shared" si="3"/>
        <v>487722.77056200948</v>
      </c>
    </row>
    <row r="13" spans="1:15" x14ac:dyDescent="0.15">
      <c r="A13" s="154"/>
      <c r="B13" s="151"/>
      <c r="C13" s="152"/>
      <c r="D13" s="323"/>
      <c r="E13" s="155"/>
      <c r="F13" s="157"/>
      <c r="G13" s="152"/>
      <c r="H13" s="323">
        <v>41579</v>
      </c>
      <c r="I13" s="152">
        <v>4219.74</v>
      </c>
      <c r="J13" s="154" t="s">
        <v>1685</v>
      </c>
      <c r="K13" s="154"/>
      <c r="L13" s="227"/>
      <c r="M13" s="154"/>
      <c r="N13" s="227">
        <f t="shared" ref="N13:N16" si="4">+N12-I13-L13</f>
        <v>58508.185562009516</v>
      </c>
      <c r="O13" s="152">
        <f t="shared" ref="O13:O16" si="5">O12+G13-I13-L13</f>
        <v>483503.03056200949</v>
      </c>
    </row>
    <row r="14" spans="1:15" x14ac:dyDescent="0.15">
      <c r="A14" s="154"/>
      <c r="B14" s="151"/>
      <c r="C14" s="152"/>
      <c r="D14" s="323">
        <v>41580</v>
      </c>
      <c r="E14" s="155" t="s">
        <v>72</v>
      </c>
      <c r="F14" s="157" t="s">
        <v>1697</v>
      </c>
      <c r="G14" s="152">
        <v>40012.516000000003</v>
      </c>
      <c r="H14" s="323">
        <v>41580</v>
      </c>
      <c r="I14" s="152">
        <v>573.93010000000004</v>
      </c>
      <c r="J14" s="154" t="s">
        <v>1685</v>
      </c>
      <c r="K14" s="154" t="s">
        <v>1727</v>
      </c>
      <c r="L14" s="227">
        <v>57934.255462009518</v>
      </c>
      <c r="M14" s="154" t="s">
        <v>1685</v>
      </c>
      <c r="N14" s="152">
        <f t="shared" si="4"/>
        <v>0</v>
      </c>
      <c r="O14" s="152">
        <f t="shared" si="5"/>
        <v>465007.36099999998</v>
      </c>
    </row>
    <row r="15" spans="1:15" x14ac:dyDescent="0.15">
      <c r="A15" s="154"/>
      <c r="B15" s="151"/>
      <c r="C15" s="152"/>
      <c r="D15" s="323"/>
      <c r="E15" s="155"/>
      <c r="F15" s="157"/>
      <c r="G15" s="152"/>
      <c r="H15" s="323">
        <v>41580</v>
      </c>
      <c r="I15" s="152"/>
      <c r="J15" s="154"/>
      <c r="K15" s="154" t="s">
        <v>1727</v>
      </c>
      <c r="L15" s="227">
        <v>17489.9745379905</v>
      </c>
      <c r="M15" s="154" t="s">
        <v>1686</v>
      </c>
      <c r="N15" s="152">
        <f>C8+N14-I15-L15</f>
        <v>21514.385462009501</v>
      </c>
      <c r="O15" s="152">
        <f t="shared" si="5"/>
        <v>447517.38646200945</v>
      </c>
    </row>
    <row r="16" spans="1:15" x14ac:dyDescent="0.15">
      <c r="A16" s="154"/>
      <c r="B16" s="151"/>
      <c r="C16" s="152"/>
      <c r="D16" s="323"/>
      <c r="E16" s="155"/>
      <c r="F16" s="157"/>
      <c r="G16" s="152"/>
      <c r="H16" s="323">
        <v>41580</v>
      </c>
      <c r="I16" s="152"/>
      <c r="J16" s="154"/>
      <c r="K16" s="154" t="s">
        <v>1727</v>
      </c>
      <c r="L16" s="227">
        <v>21514.385462009501</v>
      </c>
      <c r="M16" s="154" t="s">
        <v>1686</v>
      </c>
      <c r="N16" s="152">
        <f t="shared" si="4"/>
        <v>0</v>
      </c>
      <c r="O16" s="152">
        <f t="shared" si="5"/>
        <v>426003.00099999993</v>
      </c>
    </row>
    <row r="17" spans="1:15" x14ac:dyDescent="0.15">
      <c r="A17" s="154"/>
      <c r="B17" s="151"/>
      <c r="C17" s="152"/>
      <c r="D17" s="323"/>
      <c r="E17" s="155"/>
      <c r="F17" s="157"/>
      <c r="G17" s="152"/>
      <c r="H17" s="323">
        <v>41580</v>
      </c>
      <c r="I17" s="152"/>
      <c r="J17" s="154"/>
      <c r="K17" s="154" t="s">
        <v>1727</v>
      </c>
      <c r="L17" s="227">
        <v>31471.484537990498</v>
      </c>
      <c r="M17" s="157" t="s">
        <v>1687</v>
      </c>
      <c r="N17" s="152">
        <f>C9+N16-I17-L17</f>
        <v>160548.51746200948</v>
      </c>
      <c r="O17" s="152">
        <f t="shared" ref="O17:O19" si="6">O16+G17-I17-L17</f>
        <v>394531.51646200946</v>
      </c>
    </row>
    <row r="18" spans="1:15" x14ac:dyDescent="0.15">
      <c r="A18" s="154"/>
      <c r="B18" s="151"/>
      <c r="C18" s="152"/>
      <c r="D18" s="323">
        <v>41581</v>
      </c>
      <c r="E18" s="155" t="s">
        <v>72</v>
      </c>
      <c r="F18" s="157" t="s">
        <v>1697</v>
      </c>
      <c r="G18" s="152">
        <v>42904.087</v>
      </c>
      <c r="H18" s="323">
        <v>41581</v>
      </c>
      <c r="I18" s="152"/>
      <c r="J18" s="154"/>
      <c r="K18" s="154" t="s">
        <v>1727</v>
      </c>
      <c r="L18" s="227">
        <v>14345</v>
      </c>
      <c r="M18" s="157" t="s">
        <v>1687</v>
      </c>
      <c r="N18" s="152">
        <f t="shared" ref="N18:N19" si="7">+N17-I18-L18</f>
        <v>146203.51746200948</v>
      </c>
      <c r="O18" s="152">
        <f t="shared" si="6"/>
        <v>423090.60346200946</v>
      </c>
    </row>
    <row r="19" spans="1:15" x14ac:dyDescent="0.15">
      <c r="A19" s="154"/>
      <c r="B19" s="151"/>
      <c r="C19" s="152"/>
      <c r="D19" s="323">
        <v>41581</v>
      </c>
      <c r="E19" s="155" t="s">
        <v>72</v>
      </c>
      <c r="F19" s="157" t="s">
        <v>1698</v>
      </c>
      <c r="G19" s="152">
        <v>75938.933999999994</v>
      </c>
      <c r="H19" s="323">
        <v>41581</v>
      </c>
      <c r="I19" s="152"/>
      <c r="J19" s="154"/>
      <c r="K19" s="154" t="s">
        <v>1727</v>
      </c>
      <c r="L19" s="227">
        <v>55530</v>
      </c>
      <c r="M19" s="157" t="s">
        <v>1687</v>
      </c>
      <c r="N19" s="152">
        <f t="shared" si="7"/>
        <v>90673.517462009477</v>
      </c>
      <c r="O19" s="152">
        <f t="shared" si="6"/>
        <v>443499.53746200947</v>
      </c>
    </row>
    <row r="20" spans="1:15" x14ac:dyDescent="0.15">
      <c r="A20" s="154"/>
      <c r="B20" s="151"/>
      <c r="C20" s="152"/>
      <c r="D20" s="323">
        <v>41582</v>
      </c>
      <c r="E20" s="155" t="s">
        <v>72</v>
      </c>
      <c r="F20" s="157" t="s">
        <v>1698</v>
      </c>
      <c r="G20" s="152">
        <v>80897.365000000005</v>
      </c>
      <c r="H20" s="323">
        <v>41582</v>
      </c>
      <c r="I20" s="152">
        <v>1217.0954999999999</v>
      </c>
      <c r="J20" s="157" t="s">
        <v>1687</v>
      </c>
      <c r="K20" s="154"/>
      <c r="L20" s="227"/>
      <c r="M20" s="154"/>
      <c r="N20" s="152">
        <f t="shared" ref="N20:N61" si="8">+N19-I20-L20</f>
        <v>89456.421962009481</v>
      </c>
      <c r="O20" s="152">
        <f t="shared" ref="O20:O61" si="9">O19+G20-I20-L20</f>
        <v>523179.80696200946</v>
      </c>
    </row>
    <row r="21" spans="1:15" x14ac:dyDescent="0.15">
      <c r="A21" s="154"/>
      <c r="B21" s="151"/>
      <c r="C21" s="152"/>
      <c r="D21" s="323">
        <v>41583</v>
      </c>
      <c r="E21" s="155" t="s">
        <v>72</v>
      </c>
      <c r="F21" s="157" t="s">
        <v>1698</v>
      </c>
      <c r="G21" s="152">
        <v>42931.663</v>
      </c>
      <c r="H21" s="323">
        <v>41583</v>
      </c>
      <c r="I21" s="152">
        <v>14367</v>
      </c>
      <c r="J21" s="157" t="s">
        <v>1687</v>
      </c>
      <c r="K21" s="154"/>
      <c r="L21" s="227"/>
      <c r="M21" s="154"/>
      <c r="N21" s="152">
        <f t="shared" si="8"/>
        <v>75089.421962009481</v>
      </c>
      <c r="O21" s="152">
        <f t="shared" si="9"/>
        <v>551744.46996200946</v>
      </c>
    </row>
    <row r="22" spans="1:15" x14ac:dyDescent="0.15">
      <c r="A22" s="154"/>
      <c r="B22" s="151"/>
      <c r="C22" s="152"/>
      <c r="D22" s="323">
        <v>41584</v>
      </c>
      <c r="E22" s="155" t="s">
        <v>72</v>
      </c>
      <c r="F22" s="157" t="s">
        <v>1699</v>
      </c>
      <c r="G22" s="152">
        <v>42841.14</v>
      </c>
      <c r="H22" s="323">
        <v>41584</v>
      </c>
      <c r="I22" s="152">
        <v>1236.81</v>
      </c>
      <c r="J22" s="157" t="s">
        <v>1687</v>
      </c>
      <c r="K22" s="154" t="s">
        <v>1727</v>
      </c>
      <c r="L22" s="227">
        <v>56500</v>
      </c>
      <c r="M22" s="157" t="s">
        <v>1687</v>
      </c>
      <c r="N22" s="152">
        <f t="shared" si="8"/>
        <v>17352.611962009483</v>
      </c>
      <c r="O22" s="152">
        <f t="shared" si="9"/>
        <v>536848.79996200942</v>
      </c>
    </row>
    <row r="23" spans="1:15" x14ac:dyDescent="0.15">
      <c r="A23" s="154"/>
      <c r="B23" s="151"/>
      <c r="C23" s="152"/>
      <c r="D23" s="323"/>
      <c r="E23" s="155"/>
      <c r="F23" s="157"/>
      <c r="G23" s="152"/>
      <c r="H23" s="323">
        <v>41584</v>
      </c>
      <c r="I23" s="152"/>
      <c r="J23" s="154"/>
      <c r="K23" s="154" t="s">
        <v>1727</v>
      </c>
      <c r="L23" s="227">
        <v>17352.611962009483</v>
      </c>
      <c r="M23" s="157" t="s">
        <v>1687</v>
      </c>
      <c r="N23" s="152">
        <f t="shared" ref="N23:N25" si="10">+N22-I23-L23</f>
        <v>0</v>
      </c>
      <c r="O23" s="152">
        <f t="shared" ref="O23:O25" si="11">O22+G23-I23-L23</f>
        <v>519496.18799999997</v>
      </c>
    </row>
    <row r="24" spans="1:15" x14ac:dyDescent="0.15">
      <c r="A24" s="154"/>
      <c r="B24" s="151"/>
      <c r="C24" s="152"/>
      <c r="D24" s="323"/>
      <c r="E24" s="155"/>
      <c r="F24" s="157"/>
      <c r="G24" s="152"/>
      <c r="H24" s="323">
        <v>41584</v>
      </c>
      <c r="I24" s="152"/>
      <c r="J24" s="154"/>
      <c r="K24" s="154" t="s">
        <v>1727</v>
      </c>
      <c r="L24" s="227">
        <v>19311.388037990499</v>
      </c>
      <c r="M24" s="154" t="s">
        <v>1688</v>
      </c>
      <c r="N24" s="152">
        <f>C10+N23-I24-L24</f>
        <v>77672.375962009493</v>
      </c>
      <c r="O24" s="152">
        <f t="shared" si="11"/>
        <v>500184.79996200948</v>
      </c>
    </row>
    <row r="25" spans="1:15" x14ac:dyDescent="0.15">
      <c r="A25" s="154"/>
      <c r="B25" s="151"/>
      <c r="C25" s="152"/>
      <c r="D25" s="323">
        <v>41585</v>
      </c>
      <c r="E25" s="155" t="s">
        <v>72</v>
      </c>
      <c r="F25" s="157" t="s">
        <v>1699</v>
      </c>
      <c r="G25" s="152">
        <v>43849.436999999998</v>
      </c>
      <c r="H25" s="323">
        <v>41585</v>
      </c>
      <c r="I25" s="152">
        <v>729.93</v>
      </c>
      <c r="J25" s="154" t="s">
        <v>1688</v>
      </c>
      <c r="K25" s="154" t="s">
        <v>1727</v>
      </c>
      <c r="L25" s="227">
        <v>980.9</v>
      </c>
      <c r="M25" s="154" t="s">
        <v>1688</v>
      </c>
      <c r="N25" s="152">
        <f t="shared" si="10"/>
        <v>75961.545962009506</v>
      </c>
      <c r="O25" s="152">
        <f t="shared" si="11"/>
        <v>542323.40696200938</v>
      </c>
    </row>
    <row r="26" spans="1:15" x14ac:dyDescent="0.15">
      <c r="A26" s="154"/>
      <c r="B26" s="151"/>
      <c r="C26" s="152"/>
      <c r="D26" s="323"/>
      <c r="E26" s="155"/>
      <c r="F26" s="157"/>
      <c r="G26" s="152"/>
      <c r="H26" s="323">
        <v>41585</v>
      </c>
      <c r="I26" s="152"/>
      <c r="J26" s="154"/>
      <c r="K26" s="154" t="s">
        <v>1727</v>
      </c>
      <c r="L26" s="227">
        <v>37089.24</v>
      </c>
      <c r="M26" s="154" t="s">
        <v>1688</v>
      </c>
      <c r="N26" s="152">
        <f t="shared" si="8"/>
        <v>38872.305962009508</v>
      </c>
      <c r="O26" s="152">
        <f t="shared" si="9"/>
        <v>505234.16696200939</v>
      </c>
    </row>
    <row r="27" spans="1:15" x14ac:dyDescent="0.15">
      <c r="A27" s="154"/>
      <c r="B27" s="151"/>
      <c r="C27" s="152"/>
      <c r="D27" s="323">
        <v>41586</v>
      </c>
      <c r="E27" s="155" t="s">
        <v>72</v>
      </c>
      <c r="F27" s="157" t="s">
        <v>1699</v>
      </c>
      <c r="G27" s="152">
        <v>43872.587</v>
      </c>
      <c r="H27" s="323">
        <v>41586</v>
      </c>
      <c r="I27" s="152">
        <v>2880.46</v>
      </c>
      <c r="J27" s="154" t="s">
        <v>1688</v>
      </c>
      <c r="K27" s="154" t="s">
        <v>1727</v>
      </c>
      <c r="L27" s="227">
        <v>15001.6</v>
      </c>
      <c r="M27" s="154" t="s">
        <v>1688</v>
      </c>
      <c r="N27" s="152">
        <f t="shared" si="8"/>
        <v>20990.245962009511</v>
      </c>
      <c r="O27" s="152">
        <f t="shared" si="9"/>
        <v>531224.69396200951</v>
      </c>
    </row>
    <row r="28" spans="1:15" x14ac:dyDescent="0.15">
      <c r="A28" s="154"/>
      <c r="B28" s="151"/>
      <c r="C28" s="152"/>
      <c r="D28" s="323"/>
      <c r="E28" s="155"/>
      <c r="F28" s="157"/>
      <c r="G28" s="152"/>
      <c r="H28" s="323">
        <v>41586</v>
      </c>
      <c r="I28" s="152"/>
      <c r="J28" s="154"/>
      <c r="K28" s="154" t="s">
        <v>1727</v>
      </c>
      <c r="L28" s="227">
        <v>557.28</v>
      </c>
      <c r="M28" s="154" t="s">
        <v>1688</v>
      </c>
      <c r="N28" s="152">
        <f t="shared" si="8"/>
        <v>20432.965962009512</v>
      </c>
      <c r="O28" s="152">
        <f t="shared" si="9"/>
        <v>530667.41396200948</v>
      </c>
    </row>
    <row r="29" spans="1:15" x14ac:dyDescent="0.15">
      <c r="A29" s="154"/>
      <c r="B29" s="151"/>
      <c r="C29" s="152"/>
      <c r="D29" s="323"/>
      <c r="E29" s="155"/>
      <c r="F29" s="157"/>
      <c r="G29" s="152"/>
      <c r="H29" s="323">
        <v>41586</v>
      </c>
      <c r="I29" s="152"/>
      <c r="J29" s="154"/>
      <c r="K29" s="154" t="s">
        <v>1727</v>
      </c>
      <c r="L29" s="227">
        <v>1052.68</v>
      </c>
      <c r="M29" s="154" t="s">
        <v>1688</v>
      </c>
      <c r="N29" s="152">
        <f t="shared" si="8"/>
        <v>19380.285962009511</v>
      </c>
      <c r="O29" s="152">
        <f t="shared" si="9"/>
        <v>529614.73396200943</v>
      </c>
    </row>
    <row r="30" spans="1:15" x14ac:dyDescent="0.15">
      <c r="A30" s="154"/>
      <c r="B30" s="151"/>
      <c r="C30" s="152"/>
      <c r="D30" s="323">
        <v>41587</v>
      </c>
      <c r="E30" s="155" t="s">
        <v>72</v>
      </c>
      <c r="F30" s="157" t="s">
        <v>1700</v>
      </c>
      <c r="G30" s="152">
        <v>43896.955000000002</v>
      </c>
      <c r="H30" s="323">
        <v>41587</v>
      </c>
      <c r="I30" s="152">
        <v>2784.85</v>
      </c>
      <c r="J30" s="154" t="s">
        <v>1688</v>
      </c>
      <c r="K30" s="154" t="s">
        <v>1727</v>
      </c>
      <c r="L30" s="227">
        <v>16595.435962009513</v>
      </c>
      <c r="M30" s="154" t="s">
        <v>1688</v>
      </c>
      <c r="N30" s="152">
        <f t="shared" si="8"/>
        <v>0</v>
      </c>
      <c r="O30" s="152">
        <f t="shared" si="9"/>
        <v>554131.40299999993</v>
      </c>
    </row>
    <row r="31" spans="1:15" x14ac:dyDescent="0.15">
      <c r="A31" s="154"/>
      <c r="B31" s="151"/>
      <c r="C31" s="152"/>
      <c r="D31" s="323"/>
      <c r="E31" s="155"/>
      <c r="F31" s="157"/>
      <c r="G31" s="152"/>
      <c r="H31" s="323">
        <v>41587</v>
      </c>
      <c r="I31" s="152"/>
      <c r="J31" s="154"/>
      <c r="K31" s="154" t="s">
        <v>1727</v>
      </c>
      <c r="L31" s="227">
        <v>57947.244037990502</v>
      </c>
      <c r="M31" s="154" t="s">
        <v>1689</v>
      </c>
      <c r="N31" s="152">
        <f>C11+N30-I31-L31</f>
        <v>39039.474962009495</v>
      </c>
      <c r="O31" s="152">
        <f t="shared" ref="O31:O32" si="12">O30+G31-I31-L31</f>
        <v>496184.15896200942</v>
      </c>
    </row>
    <row r="32" spans="1:15" x14ac:dyDescent="0.15">
      <c r="A32" s="154"/>
      <c r="B32" s="151"/>
      <c r="C32" s="152"/>
      <c r="D32" s="323"/>
      <c r="E32" s="155"/>
      <c r="F32" s="157"/>
      <c r="G32" s="152"/>
      <c r="H32" s="323">
        <v>41587</v>
      </c>
      <c r="I32" s="152"/>
      <c r="J32" s="154"/>
      <c r="K32" s="154" t="s">
        <v>1727</v>
      </c>
      <c r="L32" s="227">
        <v>39039.474962009495</v>
      </c>
      <c r="M32" s="154" t="s">
        <v>1689</v>
      </c>
      <c r="N32" s="152">
        <f t="shared" ref="N32" si="13">+N31-I32-L32</f>
        <v>0</v>
      </c>
      <c r="O32" s="152">
        <f t="shared" si="12"/>
        <v>457144.68399999989</v>
      </c>
    </row>
    <row r="33" spans="1:15" x14ac:dyDescent="0.15">
      <c r="A33" s="154"/>
      <c r="B33" s="151"/>
      <c r="C33" s="152"/>
      <c r="D33" s="323"/>
      <c r="E33" s="155"/>
      <c r="F33" s="157"/>
      <c r="G33" s="152"/>
      <c r="H33" s="323">
        <v>41587</v>
      </c>
      <c r="I33" s="152"/>
      <c r="J33" s="154"/>
      <c r="K33" s="154" t="s">
        <v>1727</v>
      </c>
      <c r="L33" s="227">
        <v>39894.535037990499</v>
      </c>
      <c r="M33" s="157" t="s">
        <v>1697</v>
      </c>
      <c r="N33" s="152">
        <f>G14+G18+N32-I33-L33</f>
        <v>43022.067962009503</v>
      </c>
      <c r="O33" s="152">
        <f t="shared" ref="O33:O36" si="14">O32+G33-I33-L33</f>
        <v>417250.14896200941</v>
      </c>
    </row>
    <row r="34" spans="1:15" x14ac:dyDescent="0.15">
      <c r="A34" s="154"/>
      <c r="B34" s="151"/>
      <c r="C34" s="152"/>
      <c r="D34" s="323"/>
      <c r="E34" s="155"/>
      <c r="F34" s="157"/>
      <c r="G34" s="152"/>
      <c r="H34" s="323">
        <v>41587</v>
      </c>
      <c r="I34" s="152"/>
      <c r="J34" s="154"/>
      <c r="K34" s="154" t="s">
        <v>1727</v>
      </c>
      <c r="L34" s="227">
        <v>34242.199999999997</v>
      </c>
      <c r="M34" s="157" t="s">
        <v>1697</v>
      </c>
      <c r="N34" s="152">
        <f t="shared" ref="N34:N36" si="15">+N33-I34-L34</f>
        <v>8779.8679620095063</v>
      </c>
      <c r="O34" s="152">
        <f t="shared" si="14"/>
        <v>383007.9489620094</v>
      </c>
    </row>
    <row r="35" spans="1:15" x14ac:dyDescent="0.15">
      <c r="A35" s="154"/>
      <c r="B35" s="151"/>
      <c r="C35" s="152"/>
      <c r="D35" s="323"/>
      <c r="E35" s="155"/>
      <c r="F35" s="157"/>
      <c r="G35" s="152"/>
      <c r="H35" s="323">
        <v>41587</v>
      </c>
      <c r="I35" s="152"/>
      <c r="J35" s="154"/>
      <c r="K35" s="154" t="s">
        <v>1727</v>
      </c>
      <c r="L35" s="227">
        <v>5618.44</v>
      </c>
      <c r="M35" s="157" t="s">
        <v>1697</v>
      </c>
      <c r="N35" s="152">
        <f t="shared" si="15"/>
        <v>3161.4279620095067</v>
      </c>
      <c r="O35" s="152">
        <f t="shared" si="14"/>
        <v>377389.50896200939</v>
      </c>
    </row>
    <row r="36" spans="1:15" x14ac:dyDescent="0.15">
      <c r="A36" s="154"/>
      <c r="B36" s="151"/>
      <c r="C36" s="152"/>
      <c r="D36" s="323">
        <v>41588</v>
      </c>
      <c r="E36" s="155" t="s">
        <v>72</v>
      </c>
      <c r="F36" s="157" t="s">
        <v>1700</v>
      </c>
      <c r="G36" s="152">
        <v>87865.861999999994</v>
      </c>
      <c r="H36" s="323">
        <v>41588</v>
      </c>
      <c r="I36" s="152"/>
      <c r="J36" s="154"/>
      <c r="K36" s="154" t="s">
        <v>1727</v>
      </c>
      <c r="L36" s="227">
        <v>3161.4279620095067</v>
      </c>
      <c r="M36" s="157" t="s">
        <v>1697</v>
      </c>
      <c r="N36" s="152">
        <f t="shared" si="15"/>
        <v>0</v>
      </c>
      <c r="O36" s="152">
        <f t="shared" si="14"/>
        <v>462093.94299999991</v>
      </c>
    </row>
    <row r="37" spans="1:15" x14ac:dyDescent="0.15">
      <c r="A37" s="154"/>
      <c r="B37" s="151"/>
      <c r="C37" s="152"/>
      <c r="D37" s="323"/>
      <c r="E37" s="155"/>
      <c r="F37" s="157"/>
      <c r="G37" s="152"/>
      <c r="H37" s="323">
        <v>41588</v>
      </c>
      <c r="I37" s="152"/>
      <c r="J37" s="154"/>
      <c r="K37" s="154" t="s">
        <v>1728</v>
      </c>
      <c r="L37" s="227">
        <v>69825.572037990496</v>
      </c>
      <c r="M37" s="157" t="s">
        <v>1698</v>
      </c>
      <c r="N37" s="152">
        <f>G19+G20+G21+N36-I37-L37</f>
        <v>129942.3899620095</v>
      </c>
      <c r="O37" s="152">
        <f t="shared" ref="O37:O39" si="16">O36+G37-I37-L37</f>
        <v>392268.37096200942</v>
      </c>
    </row>
    <row r="38" spans="1:15" x14ac:dyDescent="0.15">
      <c r="A38" s="154"/>
      <c r="B38" s="151"/>
      <c r="C38" s="152"/>
      <c r="D38" s="323">
        <v>41589</v>
      </c>
      <c r="E38" s="155" t="s">
        <v>72</v>
      </c>
      <c r="F38" s="157" t="s">
        <v>1701</v>
      </c>
      <c r="G38" s="152">
        <v>40962.688999999998</v>
      </c>
      <c r="H38" s="323">
        <v>41589</v>
      </c>
      <c r="I38" s="152"/>
      <c r="J38" s="154"/>
      <c r="K38" s="154" t="s">
        <v>1728</v>
      </c>
      <c r="L38" s="227">
        <v>509.84</v>
      </c>
      <c r="M38" s="157" t="s">
        <v>1698</v>
      </c>
      <c r="N38" s="152">
        <f t="shared" ref="N38:N39" si="17">+N37-I38-L38</f>
        <v>129432.54996200951</v>
      </c>
      <c r="O38" s="152">
        <f t="shared" si="16"/>
        <v>432721.2199620094</v>
      </c>
    </row>
    <row r="39" spans="1:15" x14ac:dyDescent="0.15">
      <c r="A39" s="154"/>
      <c r="B39" s="151"/>
      <c r="C39" s="152"/>
      <c r="D39" s="323">
        <v>41590</v>
      </c>
      <c r="E39" s="155" t="s">
        <v>72</v>
      </c>
      <c r="F39" s="157" t="s">
        <v>1701</v>
      </c>
      <c r="G39" s="152">
        <v>87843.875</v>
      </c>
      <c r="H39" s="323">
        <v>41590</v>
      </c>
      <c r="I39" s="152">
        <v>2516.02</v>
      </c>
      <c r="J39" s="157" t="s">
        <v>1698</v>
      </c>
      <c r="K39" s="154" t="s">
        <v>1728</v>
      </c>
      <c r="L39" s="227">
        <v>5227.12</v>
      </c>
      <c r="M39" s="157" t="s">
        <v>1698</v>
      </c>
      <c r="N39" s="152">
        <f t="shared" si="17"/>
        <v>121689.40996200951</v>
      </c>
      <c r="O39" s="152">
        <f t="shared" si="16"/>
        <v>512821.95496200939</v>
      </c>
    </row>
    <row r="40" spans="1:15" x14ac:dyDescent="0.15">
      <c r="A40" s="154"/>
      <c r="B40" s="151"/>
      <c r="C40" s="152"/>
      <c r="D40" s="323"/>
      <c r="E40" s="155"/>
      <c r="F40" s="157"/>
      <c r="G40" s="152"/>
      <c r="H40" s="323">
        <v>41590</v>
      </c>
      <c r="I40" s="152"/>
      <c r="J40" s="154"/>
      <c r="K40" s="154" t="s">
        <v>1728</v>
      </c>
      <c r="L40" s="227">
        <v>8015.25</v>
      </c>
      <c r="M40" s="157" t="s">
        <v>1698</v>
      </c>
      <c r="N40" s="152">
        <f t="shared" si="8"/>
        <v>113674.15996200951</v>
      </c>
      <c r="O40" s="152">
        <f t="shared" si="9"/>
        <v>504806.70496200939</v>
      </c>
    </row>
    <row r="41" spans="1:15" x14ac:dyDescent="0.15">
      <c r="A41" s="154"/>
      <c r="B41" s="151"/>
      <c r="C41" s="152"/>
      <c r="D41" s="323">
        <v>41591</v>
      </c>
      <c r="E41" s="155" t="s">
        <v>1696</v>
      </c>
      <c r="F41" s="157" t="s">
        <v>1702</v>
      </c>
      <c r="G41" s="152">
        <v>43889.754999999997</v>
      </c>
      <c r="H41" s="323">
        <v>41591</v>
      </c>
      <c r="I41" s="152"/>
      <c r="J41" s="154"/>
      <c r="K41" s="154" t="s">
        <v>1728</v>
      </c>
      <c r="L41" s="227">
        <v>14826.51</v>
      </c>
      <c r="M41" s="157" t="s">
        <v>1698</v>
      </c>
      <c r="N41" s="152">
        <f t="shared" si="8"/>
        <v>98847.649962009513</v>
      </c>
      <c r="O41" s="152">
        <f t="shared" si="9"/>
        <v>533869.94996200933</v>
      </c>
    </row>
    <row r="42" spans="1:15" x14ac:dyDescent="0.15">
      <c r="A42" s="154"/>
      <c r="B42" s="151"/>
      <c r="C42" s="152"/>
      <c r="D42" s="323">
        <v>41591</v>
      </c>
      <c r="E42" s="155" t="s">
        <v>72</v>
      </c>
      <c r="F42" s="157" t="s">
        <v>1703</v>
      </c>
      <c r="G42" s="152">
        <v>43976.29</v>
      </c>
      <c r="H42" s="323">
        <v>41591</v>
      </c>
      <c r="I42" s="152"/>
      <c r="J42" s="154"/>
      <c r="K42" s="154" t="s">
        <v>1728</v>
      </c>
      <c r="L42" s="227">
        <v>33290.129999999997</v>
      </c>
      <c r="M42" s="157" t="s">
        <v>1698</v>
      </c>
      <c r="N42" s="152">
        <f t="shared" si="8"/>
        <v>65557.519962009508</v>
      </c>
      <c r="O42" s="152">
        <f t="shared" si="9"/>
        <v>544556.10996200936</v>
      </c>
    </row>
    <row r="43" spans="1:15" x14ac:dyDescent="0.15">
      <c r="A43" s="154"/>
      <c r="B43" s="151"/>
      <c r="C43" s="152"/>
      <c r="D43" s="323"/>
      <c r="E43" s="155"/>
      <c r="F43" s="157"/>
      <c r="G43" s="152"/>
      <c r="H43" s="323">
        <v>41591</v>
      </c>
      <c r="I43" s="152"/>
      <c r="J43" s="154"/>
      <c r="K43" s="154" t="s">
        <v>1728</v>
      </c>
      <c r="L43" s="227">
        <v>31200.49</v>
      </c>
      <c r="M43" s="157" t="s">
        <v>1698</v>
      </c>
      <c r="N43" s="152">
        <f t="shared" si="8"/>
        <v>34357.029962009503</v>
      </c>
      <c r="O43" s="152">
        <f t="shared" si="9"/>
        <v>513355.61996200937</v>
      </c>
    </row>
    <row r="44" spans="1:15" x14ac:dyDescent="0.15">
      <c r="A44" s="154"/>
      <c r="B44" s="151"/>
      <c r="C44" s="152"/>
      <c r="D44" s="323"/>
      <c r="E44" s="155"/>
      <c r="F44" s="157"/>
      <c r="G44" s="152"/>
      <c r="H44" s="323">
        <v>41591</v>
      </c>
      <c r="I44" s="152"/>
      <c r="J44" s="154"/>
      <c r="K44" s="154" t="s">
        <v>1728</v>
      </c>
      <c r="L44" s="227">
        <v>34357.029962009503</v>
      </c>
      <c r="M44" s="157" t="s">
        <v>1698</v>
      </c>
      <c r="N44" s="152">
        <f t="shared" ref="N44:N48" si="18">+N43-I44-L44</f>
        <v>0</v>
      </c>
      <c r="O44" s="152">
        <f t="shared" ref="O44:O48" si="19">O43+G44-I44-L44</f>
        <v>478998.58999999985</v>
      </c>
    </row>
    <row r="45" spans="1:15" x14ac:dyDescent="0.15">
      <c r="A45" s="154"/>
      <c r="B45" s="151"/>
      <c r="C45" s="152"/>
      <c r="D45" s="323"/>
      <c r="E45" s="155"/>
      <c r="F45" s="157"/>
      <c r="G45" s="152"/>
      <c r="H45" s="323">
        <v>41591</v>
      </c>
      <c r="I45" s="152"/>
      <c r="J45" s="154"/>
      <c r="K45" s="154" t="s">
        <v>1727</v>
      </c>
      <c r="L45" s="227">
        <v>39315.380037990501</v>
      </c>
      <c r="M45" s="157" t="s">
        <v>1699</v>
      </c>
      <c r="N45" s="152">
        <f>G22+G25+G27+N44-I45-L45</f>
        <v>91247.783962009489</v>
      </c>
      <c r="O45" s="152">
        <f t="shared" si="19"/>
        <v>439683.20996200934</v>
      </c>
    </row>
    <row r="46" spans="1:15" x14ac:dyDescent="0.15">
      <c r="A46" s="154"/>
      <c r="B46" s="151"/>
      <c r="C46" s="152"/>
      <c r="D46" s="323">
        <v>41592</v>
      </c>
      <c r="E46" s="155" t="s">
        <v>72</v>
      </c>
      <c r="F46" s="157" t="s">
        <v>1703</v>
      </c>
      <c r="G46" s="152">
        <v>131822.264</v>
      </c>
      <c r="H46" s="323">
        <v>41592</v>
      </c>
      <c r="I46" s="152"/>
      <c r="J46" s="154"/>
      <c r="K46" s="154"/>
      <c r="L46" s="227"/>
      <c r="M46" s="154"/>
      <c r="N46" s="152">
        <f t="shared" si="18"/>
        <v>91247.783962009489</v>
      </c>
      <c r="O46" s="152">
        <f t="shared" si="19"/>
        <v>571505.4739620093</v>
      </c>
    </row>
    <row r="47" spans="1:15" x14ac:dyDescent="0.15">
      <c r="A47" s="154"/>
      <c r="B47" s="151"/>
      <c r="C47" s="152"/>
      <c r="D47" s="323">
        <v>41593</v>
      </c>
      <c r="E47" s="155" t="s">
        <v>72</v>
      </c>
      <c r="F47" s="157" t="s">
        <v>1703</v>
      </c>
      <c r="G47" s="152">
        <v>43896.614999999998</v>
      </c>
      <c r="H47" s="323">
        <v>41593</v>
      </c>
      <c r="I47" s="152"/>
      <c r="J47" s="154"/>
      <c r="K47" s="154"/>
      <c r="L47" s="227"/>
      <c r="M47" s="154"/>
      <c r="N47" s="152">
        <f t="shared" si="18"/>
        <v>91247.783962009489</v>
      </c>
      <c r="O47" s="152">
        <f t="shared" si="19"/>
        <v>615402.08896200929</v>
      </c>
    </row>
    <row r="48" spans="1:15" x14ac:dyDescent="0.15">
      <c r="A48" s="154"/>
      <c r="B48" s="151"/>
      <c r="C48" s="152"/>
      <c r="D48" s="323">
        <v>41594</v>
      </c>
      <c r="E48" s="155" t="s">
        <v>72</v>
      </c>
      <c r="F48" s="157" t="s">
        <v>1703</v>
      </c>
      <c r="G48" s="152">
        <v>87846.581999999995</v>
      </c>
      <c r="H48" s="323">
        <v>41594</v>
      </c>
      <c r="I48" s="152"/>
      <c r="J48" s="154"/>
      <c r="K48" s="154" t="s">
        <v>1727</v>
      </c>
      <c r="L48" s="227">
        <v>11854.21</v>
      </c>
      <c r="M48" s="157" t="s">
        <v>1699</v>
      </c>
      <c r="N48" s="152">
        <f t="shared" si="18"/>
        <v>79393.573962009483</v>
      </c>
      <c r="O48" s="152">
        <f t="shared" si="19"/>
        <v>691394.46096200938</v>
      </c>
    </row>
    <row r="49" spans="1:15" x14ac:dyDescent="0.15">
      <c r="A49" s="154"/>
      <c r="B49" s="151"/>
      <c r="C49" s="152"/>
      <c r="D49" s="323"/>
      <c r="E49" s="155"/>
      <c r="F49" s="157"/>
      <c r="G49" s="152"/>
      <c r="H49" s="323">
        <v>41594</v>
      </c>
      <c r="I49" s="152"/>
      <c r="J49" s="154"/>
      <c r="K49" s="154" t="s">
        <v>1727</v>
      </c>
      <c r="L49" s="227">
        <v>77638.210000000006</v>
      </c>
      <c r="M49" s="157" t="s">
        <v>1699</v>
      </c>
      <c r="N49" s="152">
        <f t="shared" si="8"/>
        <v>1755.3639620094764</v>
      </c>
      <c r="O49" s="152">
        <f t="shared" si="9"/>
        <v>613756.25096200942</v>
      </c>
    </row>
    <row r="50" spans="1:15" x14ac:dyDescent="0.15">
      <c r="A50" s="154"/>
      <c r="B50" s="151"/>
      <c r="C50" s="152"/>
      <c r="D50" s="323"/>
      <c r="E50" s="155"/>
      <c r="F50" s="157"/>
      <c r="G50" s="152"/>
      <c r="H50" s="323">
        <v>41594</v>
      </c>
      <c r="I50" s="152"/>
      <c r="J50" s="154"/>
      <c r="K50" s="154" t="s">
        <v>1727</v>
      </c>
      <c r="L50" s="227">
        <v>1755.3639620094764</v>
      </c>
      <c r="M50" s="157" t="s">
        <v>1699</v>
      </c>
      <c r="N50" s="152">
        <f t="shared" si="8"/>
        <v>0</v>
      </c>
      <c r="O50" s="152">
        <f t="shared" si="9"/>
        <v>612000.88699999999</v>
      </c>
    </row>
    <row r="51" spans="1:15" x14ac:dyDescent="0.15">
      <c r="A51" s="154"/>
      <c r="B51" s="151"/>
      <c r="C51" s="152"/>
      <c r="D51" s="323"/>
      <c r="E51" s="155"/>
      <c r="F51" s="157"/>
      <c r="G51" s="152"/>
      <c r="H51" s="323">
        <v>41594</v>
      </c>
      <c r="I51" s="152"/>
      <c r="J51" s="154"/>
      <c r="K51" s="154" t="s">
        <v>1727</v>
      </c>
      <c r="L51" s="227">
        <v>68837.566037990502</v>
      </c>
      <c r="M51" s="157" t="s">
        <v>1700</v>
      </c>
      <c r="N51" s="152">
        <f>G30+G36+N50-I51-L51</f>
        <v>62925.250962009479</v>
      </c>
      <c r="O51" s="152">
        <f t="shared" ref="O51:O53" si="20">O50+G51-I51-L51</f>
        <v>543163.32096200949</v>
      </c>
    </row>
    <row r="52" spans="1:15" x14ac:dyDescent="0.15">
      <c r="A52" s="154"/>
      <c r="B52" s="151"/>
      <c r="C52" s="152"/>
      <c r="D52" s="323"/>
      <c r="E52" s="155"/>
      <c r="F52" s="157"/>
      <c r="G52" s="152"/>
      <c r="H52" s="323">
        <v>41594</v>
      </c>
      <c r="I52" s="152"/>
      <c r="J52" s="154"/>
      <c r="K52" s="154" t="s">
        <v>1727</v>
      </c>
      <c r="L52" s="227">
        <v>37782.980000000003</v>
      </c>
      <c r="M52" s="157" t="s">
        <v>1700</v>
      </c>
      <c r="N52" s="152">
        <f t="shared" ref="N52:N53" si="21">+N51-I52-L52</f>
        <v>25142.270962009476</v>
      </c>
      <c r="O52" s="152">
        <f t="shared" si="20"/>
        <v>505380.3409620095</v>
      </c>
    </row>
    <row r="53" spans="1:15" x14ac:dyDescent="0.15">
      <c r="A53" s="154"/>
      <c r="B53" s="151"/>
      <c r="C53" s="152"/>
      <c r="D53" s="323">
        <v>41595</v>
      </c>
      <c r="E53" s="155" t="s">
        <v>72</v>
      </c>
      <c r="F53" s="157" t="s">
        <v>1704</v>
      </c>
      <c r="G53" s="152">
        <v>131991.505</v>
      </c>
      <c r="H53" s="323">
        <v>41595</v>
      </c>
      <c r="I53" s="152">
        <v>1263.6400000000001</v>
      </c>
      <c r="J53" s="157" t="s">
        <v>1700</v>
      </c>
      <c r="K53" s="154" t="s">
        <v>1727</v>
      </c>
      <c r="L53" s="227">
        <v>9775.9500000000007</v>
      </c>
      <c r="M53" s="157" t="s">
        <v>1700</v>
      </c>
      <c r="N53" s="152">
        <f t="shared" si="21"/>
        <v>14102.680962009475</v>
      </c>
      <c r="O53" s="152">
        <f t="shared" si="20"/>
        <v>626332.25596200954</v>
      </c>
    </row>
    <row r="54" spans="1:15" x14ac:dyDescent="0.15">
      <c r="A54" s="154"/>
      <c r="B54" s="151"/>
      <c r="C54" s="152"/>
      <c r="D54" s="323"/>
      <c r="E54" s="155"/>
      <c r="F54" s="157"/>
      <c r="G54" s="152"/>
      <c r="H54" s="323">
        <v>41595</v>
      </c>
      <c r="I54" s="152"/>
      <c r="J54" s="154"/>
      <c r="K54" s="154" t="s">
        <v>1727</v>
      </c>
      <c r="L54" s="227">
        <v>626.32000000000005</v>
      </c>
      <c r="M54" s="157" t="s">
        <v>1700</v>
      </c>
      <c r="N54" s="152">
        <f t="shared" si="8"/>
        <v>13476.360962009476</v>
      </c>
      <c r="O54" s="152">
        <f t="shared" si="9"/>
        <v>625705.93596200959</v>
      </c>
    </row>
    <row r="55" spans="1:15" x14ac:dyDescent="0.15">
      <c r="A55" s="154"/>
      <c r="B55" s="151"/>
      <c r="C55" s="152"/>
      <c r="D55" s="323"/>
      <c r="E55" s="155"/>
      <c r="F55" s="157"/>
      <c r="G55" s="152"/>
      <c r="H55" s="323">
        <v>41595</v>
      </c>
      <c r="I55" s="152"/>
      <c r="J55" s="154"/>
      <c r="K55" s="154" t="s">
        <v>1727</v>
      </c>
      <c r="L55" s="227">
        <v>13476.360962009476</v>
      </c>
      <c r="M55" s="157" t="s">
        <v>1700</v>
      </c>
      <c r="N55" s="152">
        <f t="shared" si="8"/>
        <v>0</v>
      </c>
      <c r="O55" s="152">
        <f t="shared" si="9"/>
        <v>612229.57500000007</v>
      </c>
    </row>
    <row r="56" spans="1:15" x14ac:dyDescent="0.15">
      <c r="A56" s="154"/>
      <c r="B56" s="151"/>
      <c r="C56" s="152"/>
      <c r="D56" s="323"/>
      <c r="E56" s="155"/>
      <c r="F56" s="157"/>
      <c r="G56" s="152"/>
      <c r="H56" s="323">
        <v>41595</v>
      </c>
      <c r="I56" s="152"/>
      <c r="J56" s="154"/>
      <c r="K56" s="154" t="s">
        <v>1728</v>
      </c>
      <c r="L56" s="227">
        <v>61271.509037990501</v>
      </c>
      <c r="M56" s="157" t="s">
        <v>1701</v>
      </c>
      <c r="N56" s="152">
        <f>G38+G39+N55-I56-L56</f>
        <v>67535.054962009497</v>
      </c>
      <c r="O56" s="152">
        <f t="shared" ref="O56:O57" si="22">O55+G56-I56-L56</f>
        <v>550958.0659620096</v>
      </c>
    </row>
    <row r="57" spans="1:15" x14ac:dyDescent="0.15">
      <c r="A57" s="154"/>
      <c r="B57" s="151"/>
      <c r="C57" s="152"/>
      <c r="D57" s="323">
        <v>41596</v>
      </c>
      <c r="E57" s="155" t="s">
        <v>72</v>
      </c>
      <c r="F57" s="157" t="s">
        <v>1704</v>
      </c>
      <c r="G57" s="152">
        <v>43949.921999999999</v>
      </c>
      <c r="H57" s="323">
        <v>41596</v>
      </c>
      <c r="I57" s="152"/>
      <c r="J57" s="154"/>
      <c r="K57" s="154" t="s">
        <v>1728</v>
      </c>
      <c r="L57" s="227">
        <v>14014.19</v>
      </c>
      <c r="M57" s="157" t="s">
        <v>1701</v>
      </c>
      <c r="N57" s="152">
        <f t="shared" ref="N57" si="23">+N56-I57-L57</f>
        <v>53520.864962009495</v>
      </c>
      <c r="O57" s="152">
        <f t="shared" si="22"/>
        <v>580893.79796200967</v>
      </c>
    </row>
    <row r="58" spans="1:15" x14ac:dyDescent="0.15">
      <c r="A58" s="154"/>
      <c r="B58" s="151"/>
      <c r="C58" s="152"/>
      <c r="D58" s="323"/>
      <c r="E58" s="155"/>
      <c r="F58" s="157"/>
      <c r="G58" s="152"/>
      <c r="H58" s="323">
        <v>41596</v>
      </c>
      <c r="I58" s="152"/>
      <c r="J58" s="154"/>
      <c r="K58" s="154" t="s">
        <v>1728</v>
      </c>
      <c r="L58" s="227">
        <v>4056.11</v>
      </c>
      <c r="M58" s="157" t="s">
        <v>1701</v>
      </c>
      <c r="N58" s="152">
        <f t="shared" si="8"/>
        <v>49464.754962009494</v>
      </c>
      <c r="O58" s="152">
        <f t="shared" si="9"/>
        <v>576837.68796200969</v>
      </c>
    </row>
    <row r="59" spans="1:15" x14ac:dyDescent="0.15">
      <c r="A59" s="154"/>
      <c r="B59" s="151"/>
      <c r="C59" s="152"/>
      <c r="D59" s="323"/>
      <c r="E59" s="155"/>
      <c r="F59" s="157"/>
      <c r="G59" s="152"/>
      <c r="H59" s="323">
        <v>41596</v>
      </c>
      <c r="I59" s="152"/>
      <c r="J59" s="157"/>
      <c r="K59" s="154" t="s">
        <v>1728</v>
      </c>
      <c r="L59" s="227">
        <v>943.71</v>
      </c>
      <c r="M59" s="157" t="s">
        <v>1701</v>
      </c>
      <c r="N59" s="152">
        <f t="shared" si="8"/>
        <v>48521.044962009495</v>
      </c>
      <c r="O59" s="152">
        <f t="shared" si="9"/>
        <v>575893.97796200973</v>
      </c>
    </row>
    <row r="60" spans="1:15" x14ac:dyDescent="0.15">
      <c r="A60" s="154"/>
      <c r="B60" s="151"/>
      <c r="C60" s="152"/>
      <c r="D60" s="323">
        <v>41597</v>
      </c>
      <c r="E60" s="155" t="s">
        <v>72</v>
      </c>
      <c r="F60" s="157" t="s">
        <v>1704</v>
      </c>
      <c r="G60" s="152">
        <v>33134.515000002015</v>
      </c>
      <c r="H60" s="323">
        <v>41597</v>
      </c>
      <c r="I60" s="152"/>
      <c r="J60" s="154"/>
      <c r="K60" s="154" t="s">
        <v>1728</v>
      </c>
      <c r="L60" s="227">
        <v>35770</v>
      </c>
      <c r="M60" s="157" t="s">
        <v>1701</v>
      </c>
      <c r="N60" s="152">
        <f t="shared" si="8"/>
        <v>12751.044962009495</v>
      </c>
      <c r="O60" s="152">
        <f t="shared" si="9"/>
        <v>573258.49296201172</v>
      </c>
    </row>
    <row r="61" spans="1:15" x14ac:dyDescent="0.15">
      <c r="A61" s="154"/>
      <c r="B61" s="151"/>
      <c r="C61" s="152"/>
      <c r="D61" s="323">
        <v>41597</v>
      </c>
      <c r="E61" s="155" t="s">
        <v>72</v>
      </c>
      <c r="F61" s="157" t="s">
        <v>1705</v>
      </c>
      <c r="G61" s="152">
        <v>10861.733999997999</v>
      </c>
      <c r="H61" s="323">
        <v>41597</v>
      </c>
      <c r="I61" s="152"/>
      <c r="J61" s="154"/>
      <c r="K61" s="154"/>
      <c r="L61" s="227"/>
      <c r="M61" s="154"/>
      <c r="N61" s="152">
        <f t="shared" si="8"/>
        <v>12751.044962009495</v>
      </c>
      <c r="O61" s="152">
        <f t="shared" si="9"/>
        <v>584120.22696200968</v>
      </c>
    </row>
    <row r="62" spans="1:15" x14ac:dyDescent="0.15">
      <c r="A62" s="154"/>
      <c r="B62" s="151"/>
      <c r="C62" s="152"/>
      <c r="D62" s="323">
        <v>41598</v>
      </c>
      <c r="E62" s="155" t="s">
        <v>72</v>
      </c>
      <c r="F62" s="157" t="s">
        <v>1705</v>
      </c>
      <c r="G62" s="152">
        <v>88049.072</v>
      </c>
      <c r="H62" s="323">
        <v>41598</v>
      </c>
      <c r="I62" s="152">
        <v>586.82000000000005</v>
      </c>
      <c r="J62" s="157" t="s">
        <v>1701</v>
      </c>
      <c r="K62" s="154" t="s">
        <v>1728</v>
      </c>
      <c r="L62" s="227">
        <v>12164.224962009495</v>
      </c>
      <c r="M62" s="157" t="s">
        <v>1701</v>
      </c>
      <c r="N62" s="152">
        <f t="shared" ref="N62:N95" si="24">+N61-I62-L62</f>
        <v>0</v>
      </c>
      <c r="O62" s="152">
        <f t="shared" ref="O62:O95" si="25">O61+G62-I62-L62</f>
        <v>659418.25400000031</v>
      </c>
    </row>
    <row r="63" spans="1:15" x14ac:dyDescent="0.15">
      <c r="A63" s="154"/>
      <c r="B63" s="151"/>
      <c r="C63" s="152"/>
      <c r="D63" s="323"/>
      <c r="E63" s="155"/>
      <c r="F63" s="157"/>
      <c r="G63" s="152"/>
      <c r="H63" s="323">
        <v>41598</v>
      </c>
      <c r="I63" s="152"/>
      <c r="J63" s="157"/>
      <c r="K63" s="154" t="s">
        <v>1728</v>
      </c>
      <c r="L63" s="152">
        <v>43889.754999999997</v>
      </c>
      <c r="M63" s="157" t="s">
        <v>1702</v>
      </c>
      <c r="N63" s="152">
        <f>G41+N62-I63-L63</f>
        <v>0</v>
      </c>
      <c r="O63" s="152">
        <f t="shared" si="25"/>
        <v>615528.4990000003</v>
      </c>
    </row>
    <row r="64" spans="1:15" x14ac:dyDescent="0.15">
      <c r="A64" s="154"/>
      <c r="B64" s="151"/>
      <c r="C64" s="152"/>
      <c r="D64" s="323"/>
      <c r="E64" s="155"/>
      <c r="F64" s="154"/>
      <c r="G64" s="152"/>
      <c r="H64" s="323">
        <v>41598</v>
      </c>
      <c r="I64" s="152"/>
      <c r="J64" s="157"/>
      <c r="K64" s="154" t="s">
        <v>1728</v>
      </c>
      <c r="L64" s="227">
        <v>23484.630037990501</v>
      </c>
      <c r="M64" s="157" t="s">
        <v>1703</v>
      </c>
      <c r="N64" s="152">
        <f>G42+G46+G47+G48+N63-I64-L64</f>
        <v>284057.12096200947</v>
      </c>
      <c r="O64" s="152">
        <f t="shared" si="25"/>
        <v>592043.86896200979</v>
      </c>
    </row>
    <row r="65" spans="1:15" x14ac:dyDescent="0.15">
      <c r="A65" s="154"/>
      <c r="B65" s="151"/>
      <c r="C65" s="152"/>
      <c r="D65" s="323"/>
      <c r="E65" s="155"/>
      <c r="F65" s="154"/>
      <c r="G65" s="152"/>
      <c r="H65" s="323">
        <v>41598</v>
      </c>
      <c r="I65" s="152"/>
      <c r="J65" s="157"/>
      <c r="K65" s="154" t="s">
        <v>1728</v>
      </c>
      <c r="L65" s="227">
        <v>79848.95</v>
      </c>
      <c r="M65" s="157" t="s">
        <v>1703</v>
      </c>
      <c r="N65" s="152">
        <f t="shared" si="24"/>
        <v>204208.17096200946</v>
      </c>
      <c r="O65" s="152">
        <f t="shared" si="25"/>
        <v>512194.91896200977</v>
      </c>
    </row>
    <row r="66" spans="1:15" x14ac:dyDescent="0.15">
      <c r="A66" s="154"/>
      <c r="B66" s="151"/>
      <c r="C66" s="152"/>
      <c r="D66" s="323">
        <v>41599</v>
      </c>
      <c r="E66" s="155" t="s">
        <v>72</v>
      </c>
      <c r="F66" s="157" t="s">
        <v>1705</v>
      </c>
      <c r="G66" s="152">
        <v>46943.696000001932</v>
      </c>
      <c r="H66" s="323">
        <v>41599</v>
      </c>
      <c r="I66" s="152">
        <v>650.33000000000004</v>
      </c>
      <c r="J66" s="157" t="s">
        <v>1703</v>
      </c>
      <c r="K66" s="154" t="s">
        <v>1728</v>
      </c>
      <c r="L66" s="227">
        <v>11796.1</v>
      </c>
      <c r="M66" s="157" t="s">
        <v>1703</v>
      </c>
      <c r="N66" s="152">
        <f t="shared" si="24"/>
        <v>191761.74096200947</v>
      </c>
      <c r="O66" s="152">
        <f t="shared" si="25"/>
        <v>546692.18496201176</v>
      </c>
    </row>
    <row r="67" spans="1:15" x14ac:dyDescent="0.15">
      <c r="A67" s="154"/>
      <c r="B67" s="151"/>
      <c r="C67" s="152"/>
      <c r="D67" s="323">
        <v>41599</v>
      </c>
      <c r="E67" s="155" t="s">
        <v>72</v>
      </c>
      <c r="F67" s="157" t="s">
        <v>1706</v>
      </c>
      <c r="G67" s="152">
        <v>41205.969999998102</v>
      </c>
      <c r="H67" s="323">
        <v>41599</v>
      </c>
      <c r="I67" s="152"/>
      <c r="J67" s="157"/>
      <c r="K67" s="154" t="s">
        <v>1728</v>
      </c>
      <c r="L67" s="227">
        <v>80039.63</v>
      </c>
      <c r="M67" s="157" t="s">
        <v>1703</v>
      </c>
      <c r="N67" s="152">
        <f t="shared" si="24"/>
        <v>111722.11096200946</v>
      </c>
      <c r="O67" s="152">
        <f t="shared" si="25"/>
        <v>507858.52496200986</v>
      </c>
    </row>
    <row r="68" spans="1:15" x14ac:dyDescent="0.15">
      <c r="A68" s="154"/>
      <c r="B68" s="151"/>
      <c r="C68" s="152"/>
      <c r="D68" s="323"/>
      <c r="E68" s="155"/>
      <c r="F68" s="157"/>
      <c r="G68" s="152"/>
      <c r="H68" s="323">
        <v>41599</v>
      </c>
      <c r="I68" s="152"/>
      <c r="J68" s="154"/>
      <c r="K68" s="154" t="s">
        <v>1728</v>
      </c>
      <c r="L68" s="227">
        <v>36439.019999999997</v>
      </c>
      <c r="M68" s="157" t="s">
        <v>1703</v>
      </c>
      <c r="N68" s="152">
        <f t="shared" si="24"/>
        <v>75283.090962009475</v>
      </c>
      <c r="O68" s="152">
        <f t="shared" si="25"/>
        <v>471419.50496200984</v>
      </c>
    </row>
    <row r="69" spans="1:15" x14ac:dyDescent="0.15">
      <c r="A69" s="154"/>
      <c r="B69" s="151"/>
      <c r="C69" s="152"/>
      <c r="D69" s="323"/>
      <c r="E69" s="155"/>
      <c r="F69" s="157"/>
      <c r="G69" s="152"/>
      <c r="H69" s="323">
        <v>41599</v>
      </c>
      <c r="I69" s="152"/>
      <c r="J69" s="154"/>
      <c r="K69" s="154" t="s">
        <v>1728</v>
      </c>
      <c r="L69" s="227">
        <v>36738.620000000003</v>
      </c>
      <c r="M69" s="157" t="s">
        <v>1703</v>
      </c>
      <c r="N69" s="152">
        <f t="shared" si="24"/>
        <v>38544.470962009473</v>
      </c>
      <c r="O69" s="152">
        <f t="shared" si="25"/>
        <v>434680.88496200985</v>
      </c>
    </row>
    <row r="70" spans="1:15" x14ac:dyDescent="0.15">
      <c r="A70" s="154"/>
      <c r="B70" s="151"/>
      <c r="C70" s="152"/>
      <c r="D70" s="323">
        <v>41600</v>
      </c>
      <c r="E70" s="155" t="s">
        <v>72</v>
      </c>
      <c r="F70" s="157" t="s">
        <v>1706</v>
      </c>
      <c r="G70" s="152">
        <v>44063.470999999998</v>
      </c>
      <c r="H70" s="323">
        <v>41600</v>
      </c>
      <c r="I70" s="152"/>
      <c r="J70" s="157"/>
      <c r="K70" s="154"/>
      <c r="L70" s="227"/>
      <c r="M70" s="157"/>
      <c r="N70" s="152">
        <f t="shared" si="24"/>
        <v>38544.470962009473</v>
      </c>
      <c r="O70" s="152">
        <f t="shared" si="25"/>
        <v>478744.35596200987</v>
      </c>
    </row>
    <row r="71" spans="1:15" x14ac:dyDescent="0.15">
      <c r="A71" s="154"/>
      <c r="B71" s="151"/>
      <c r="C71" s="152"/>
      <c r="D71" s="323">
        <v>41600</v>
      </c>
      <c r="E71" s="155" t="s">
        <v>72</v>
      </c>
      <c r="F71" s="157" t="s">
        <v>1707</v>
      </c>
      <c r="G71" s="152">
        <v>88120.161999999997</v>
      </c>
      <c r="H71" s="323">
        <v>41600</v>
      </c>
      <c r="I71" s="152"/>
      <c r="J71" s="157"/>
      <c r="K71" s="154"/>
      <c r="L71" s="227"/>
      <c r="M71" s="154"/>
      <c r="N71" s="152">
        <f>+N70-I71-L71</f>
        <v>38544.470962009473</v>
      </c>
      <c r="O71" s="152">
        <f>O70+G71-I71-L71</f>
        <v>566864.51796200988</v>
      </c>
    </row>
    <row r="72" spans="1:15" x14ac:dyDescent="0.15">
      <c r="A72" s="154"/>
      <c r="B72" s="151"/>
      <c r="C72" s="152"/>
      <c r="D72" s="323">
        <v>41601</v>
      </c>
      <c r="E72" s="155" t="s">
        <v>72</v>
      </c>
      <c r="F72" s="157" t="s">
        <v>1707</v>
      </c>
      <c r="G72" s="152">
        <v>132307.10700000002</v>
      </c>
      <c r="H72" s="323">
        <v>41601</v>
      </c>
      <c r="I72" s="152">
        <v>38544.470962009473</v>
      </c>
      <c r="J72" s="157" t="s">
        <v>1703</v>
      </c>
      <c r="K72" s="154"/>
      <c r="L72" s="227"/>
      <c r="M72" s="157"/>
      <c r="N72" s="152">
        <f t="shared" si="24"/>
        <v>0</v>
      </c>
      <c r="O72" s="152">
        <f t="shared" si="25"/>
        <v>660627.15400000045</v>
      </c>
    </row>
    <row r="73" spans="1:15" x14ac:dyDescent="0.15">
      <c r="A73" s="154"/>
      <c r="B73" s="151"/>
      <c r="C73" s="152"/>
      <c r="D73" s="323"/>
      <c r="E73" s="155"/>
      <c r="F73" s="157"/>
      <c r="G73" s="152"/>
      <c r="H73" s="323">
        <v>41601</v>
      </c>
      <c r="I73" s="152">
        <v>14167.089037990499</v>
      </c>
      <c r="J73" s="157" t="s">
        <v>1704</v>
      </c>
      <c r="K73" s="154" t="s">
        <v>1728</v>
      </c>
      <c r="L73" s="227">
        <v>11935.36</v>
      </c>
      <c r="M73" s="157" t="s">
        <v>1704</v>
      </c>
      <c r="N73" s="152">
        <f>G53+G57+G60+N72-I73-L73</f>
        <v>182973.49296201154</v>
      </c>
      <c r="O73" s="152">
        <f t="shared" si="25"/>
        <v>634524.70496200991</v>
      </c>
    </row>
    <row r="74" spans="1:15" x14ac:dyDescent="0.15">
      <c r="A74" s="154"/>
      <c r="B74" s="151"/>
      <c r="C74" s="152"/>
      <c r="D74" s="323"/>
      <c r="E74" s="155"/>
      <c r="F74" s="157"/>
      <c r="G74" s="152"/>
      <c r="H74" s="323">
        <v>41601</v>
      </c>
      <c r="I74" s="152"/>
      <c r="J74" s="157"/>
      <c r="K74" s="154" t="s">
        <v>1728</v>
      </c>
      <c r="L74" s="227">
        <v>14530.87</v>
      </c>
      <c r="M74" s="157" t="s">
        <v>1704</v>
      </c>
      <c r="N74" s="152">
        <f t="shared" si="24"/>
        <v>168442.62296201155</v>
      </c>
      <c r="O74" s="152">
        <f t="shared" si="25"/>
        <v>619993.83496200992</v>
      </c>
    </row>
    <row r="75" spans="1:15" x14ac:dyDescent="0.15">
      <c r="A75" s="154"/>
      <c r="B75" s="151"/>
      <c r="C75" s="152"/>
      <c r="D75" s="323"/>
      <c r="E75" s="155"/>
      <c r="F75" s="157"/>
      <c r="G75" s="152"/>
      <c r="H75" s="323">
        <v>41601</v>
      </c>
      <c r="I75" s="152"/>
      <c r="J75" s="157"/>
      <c r="K75" s="154" t="s">
        <v>1728</v>
      </c>
      <c r="L75" s="227">
        <v>69801.3</v>
      </c>
      <c r="M75" s="157" t="s">
        <v>1704</v>
      </c>
      <c r="N75" s="152">
        <f t="shared" si="24"/>
        <v>98641.322962011545</v>
      </c>
      <c r="O75" s="152">
        <f t="shared" si="25"/>
        <v>550192.53496200987</v>
      </c>
    </row>
    <row r="76" spans="1:15" x14ac:dyDescent="0.15">
      <c r="A76" s="154"/>
      <c r="B76" s="151"/>
      <c r="C76" s="152"/>
      <c r="D76" s="323"/>
      <c r="E76" s="155"/>
      <c r="F76" s="157"/>
      <c r="G76" s="152"/>
      <c r="H76" s="323">
        <v>41601</v>
      </c>
      <c r="I76" s="152"/>
      <c r="J76" s="157"/>
      <c r="K76" s="154" t="s">
        <v>1728</v>
      </c>
      <c r="L76" s="227">
        <v>70860.55</v>
      </c>
      <c r="M76" s="157" t="s">
        <v>1704</v>
      </c>
      <c r="N76" s="152">
        <f t="shared" si="24"/>
        <v>27780.772962011542</v>
      </c>
      <c r="O76" s="152">
        <f t="shared" si="25"/>
        <v>479331.98496200988</v>
      </c>
    </row>
    <row r="77" spans="1:15" x14ac:dyDescent="0.15">
      <c r="A77" s="154"/>
      <c r="B77" s="151"/>
      <c r="C77" s="152"/>
      <c r="D77" s="323">
        <v>41602</v>
      </c>
      <c r="E77" s="155" t="s">
        <v>72</v>
      </c>
      <c r="F77" s="157" t="s">
        <v>1707</v>
      </c>
      <c r="G77" s="152">
        <v>44115.494999999937</v>
      </c>
      <c r="H77" s="323">
        <v>41602</v>
      </c>
      <c r="I77" s="152"/>
      <c r="J77" s="157"/>
      <c r="K77" s="154" t="s">
        <v>1728</v>
      </c>
      <c r="L77" s="227">
        <v>27780.772962011542</v>
      </c>
      <c r="M77" s="157" t="s">
        <v>1704</v>
      </c>
      <c r="N77" s="152">
        <f t="shared" si="24"/>
        <v>0</v>
      </c>
      <c r="O77" s="152">
        <f t="shared" si="25"/>
        <v>495666.70699999831</v>
      </c>
    </row>
    <row r="78" spans="1:15" x14ac:dyDescent="0.15">
      <c r="A78" s="154"/>
      <c r="B78" s="151"/>
      <c r="C78" s="152"/>
      <c r="D78" s="323">
        <v>41602</v>
      </c>
      <c r="E78" s="155" t="s">
        <v>72</v>
      </c>
      <c r="F78" s="157" t="s">
        <v>1708</v>
      </c>
      <c r="G78" s="152">
        <v>88108.818000000101</v>
      </c>
      <c r="H78" s="323">
        <v>41602</v>
      </c>
      <c r="I78" s="152"/>
      <c r="J78" s="157"/>
      <c r="K78" s="154" t="s">
        <v>1727</v>
      </c>
      <c r="L78" s="227">
        <v>39724.4370379885</v>
      </c>
      <c r="M78" s="157" t="s">
        <v>1705</v>
      </c>
      <c r="N78" s="152">
        <f>G61+G62+G66+N77-I78-L78</f>
        <v>106130.06496201141</v>
      </c>
      <c r="O78" s="152">
        <f t="shared" si="25"/>
        <v>544051.08796200994</v>
      </c>
    </row>
    <row r="79" spans="1:15" x14ac:dyDescent="0.15">
      <c r="A79" s="154"/>
      <c r="B79" s="151"/>
      <c r="C79" s="152"/>
      <c r="D79" s="323">
        <v>41603</v>
      </c>
      <c r="E79" s="155" t="s">
        <v>72</v>
      </c>
      <c r="F79" s="157" t="s">
        <v>1708</v>
      </c>
      <c r="G79" s="152">
        <v>88096.875</v>
      </c>
      <c r="H79" s="323">
        <v>41603</v>
      </c>
      <c r="I79" s="152">
        <v>283</v>
      </c>
      <c r="J79" s="157" t="s">
        <v>1705</v>
      </c>
      <c r="K79" s="154" t="s">
        <v>1727</v>
      </c>
      <c r="L79" s="227">
        <v>32440</v>
      </c>
      <c r="M79" s="157" t="s">
        <v>1705</v>
      </c>
      <c r="N79" s="152">
        <f t="shared" si="24"/>
        <v>73407.064962011413</v>
      </c>
      <c r="O79" s="152">
        <f t="shared" si="25"/>
        <v>599424.96296200994</v>
      </c>
    </row>
    <row r="80" spans="1:15" x14ac:dyDescent="0.15">
      <c r="A80" s="154"/>
      <c r="B80" s="151"/>
      <c r="C80" s="152"/>
      <c r="D80" s="323">
        <v>41604</v>
      </c>
      <c r="E80" s="155" t="s">
        <v>72</v>
      </c>
      <c r="F80" s="157" t="s">
        <v>1708</v>
      </c>
      <c r="G80" s="152">
        <v>44053.531999999999</v>
      </c>
      <c r="H80" s="323">
        <v>41604</v>
      </c>
      <c r="I80" s="152"/>
      <c r="J80" s="154"/>
      <c r="K80" s="154" t="s">
        <v>1727</v>
      </c>
      <c r="L80" s="227">
        <v>11848.19</v>
      </c>
      <c r="M80" s="157" t="s">
        <v>1705</v>
      </c>
      <c r="N80" s="152">
        <f t="shared" si="24"/>
        <v>61558.87496201141</v>
      </c>
      <c r="O80" s="152">
        <f t="shared" si="25"/>
        <v>631630.30496201001</v>
      </c>
    </row>
    <row r="81" spans="1:15" x14ac:dyDescent="0.15">
      <c r="A81" s="154"/>
      <c r="B81" s="151"/>
      <c r="C81" s="152"/>
      <c r="D81" s="323"/>
      <c r="E81" s="155"/>
      <c r="F81" s="157"/>
      <c r="G81" s="152"/>
      <c r="H81" s="323">
        <v>41604</v>
      </c>
      <c r="I81" s="152"/>
      <c r="J81" s="157"/>
      <c r="K81" s="154" t="s">
        <v>1727</v>
      </c>
      <c r="L81" s="227">
        <v>506.82</v>
      </c>
      <c r="M81" s="157" t="s">
        <v>1705</v>
      </c>
      <c r="N81" s="152">
        <f t="shared" si="24"/>
        <v>61052.054962011411</v>
      </c>
      <c r="O81" s="152">
        <f t="shared" si="25"/>
        <v>631123.48496201006</v>
      </c>
    </row>
    <row r="82" spans="1:15" x14ac:dyDescent="0.15">
      <c r="A82" s="154"/>
      <c r="B82" s="151"/>
      <c r="C82" s="152"/>
      <c r="D82" s="323"/>
      <c r="E82" s="155"/>
      <c r="F82" s="157"/>
      <c r="G82" s="152"/>
      <c r="H82" s="323">
        <v>41604</v>
      </c>
      <c r="I82" s="152"/>
      <c r="J82" s="157"/>
      <c r="K82" s="154" t="s">
        <v>1727</v>
      </c>
      <c r="L82" s="227">
        <v>36170.300000000003</v>
      </c>
      <c r="M82" s="157" t="s">
        <v>1705</v>
      </c>
      <c r="N82" s="152">
        <f t="shared" si="24"/>
        <v>24881.754962011408</v>
      </c>
      <c r="O82" s="152">
        <f t="shared" si="25"/>
        <v>594953.18496201001</v>
      </c>
    </row>
    <row r="83" spans="1:15" x14ac:dyDescent="0.15">
      <c r="A83" s="154"/>
      <c r="B83" s="151"/>
      <c r="C83" s="152"/>
      <c r="D83" s="323">
        <v>41605</v>
      </c>
      <c r="E83" s="155" t="s">
        <v>72</v>
      </c>
      <c r="F83" s="157" t="s">
        <v>1708</v>
      </c>
      <c r="G83" s="152">
        <v>88026.57</v>
      </c>
      <c r="H83" s="323">
        <v>41605</v>
      </c>
      <c r="I83" s="152"/>
      <c r="J83" s="154"/>
      <c r="K83" s="154" t="s">
        <v>1727</v>
      </c>
      <c r="L83" s="227">
        <v>24881.754962011408</v>
      </c>
      <c r="M83" s="157" t="s">
        <v>1705</v>
      </c>
      <c r="N83" s="152">
        <f t="shared" si="24"/>
        <v>0</v>
      </c>
      <c r="O83" s="152">
        <f t="shared" si="25"/>
        <v>658097.99999999872</v>
      </c>
    </row>
    <row r="84" spans="1:15" x14ac:dyDescent="0.15">
      <c r="A84" s="154"/>
      <c r="B84" s="151"/>
      <c r="C84" s="152"/>
      <c r="D84" s="323"/>
      <c r="E84" s="155"/>
      <c r="F84" s="157"/>
      <c r="G84" s="152"/>
      <c r="H84" s="323">
        <v>41605</v>
      </c>
      <c r="I84" s="152"/>
      <c r="J84" s="154"/>
      <c r="K84" s="154" t="s">
        <v>1727</v>
      </c>
      <c r="L84" s="227">
        <v>50991.125037988597</v>
      </c>
      <c r="M84" s="157" t="s">
        <v>1706</v>
      </c>
      <c r="N84" s="152">
        <f>G67+G70+N83-I84-L84</f>
        <v>34278.315962009503</v>
      </c>
      <c r="O84" s="152">
        <f t="shared" si="25"/>
        <v>607106.87496201007</v>
      </c>
    </row>
    <row r="85" spans="1:15" x14ac:dyDescent="0.15">
      <c r="A85" s="154"/>
      <c r="B85" s="151"/>
      <c r="C85" s="152"/>
      <c r="D85" s="323"/>
      <c r="E85" s="155"/>
      <c r="F85" s="157"/>
      <c r="G85" s="152"/>
      <c r="H85" s="323">
        <v>41605</v>
      </c>
      <c r="I85" s="152"/>
      <c r="J85" s="154"/>
      <c r="K85" s="154" t="s">
        <v>1727</v>
      </c>
      <c r="L85" s="227">
        <v>34278.315962009503</v>
      </c>
      <c r="M85" s="157" t="s">
        <v>1706</v>
      </c>
      <c r="N85" s="152">
        <f t="shared" si="24"/>
        <v>0</v>
      </c>
      <c r="O85" s="152">
        <f t="shared" si="25"/>
        <v>572828.55900000059</v>
      </c>
    </row>
    <row r="86" spans="1:15" x14ac:dyDescent="0.15">
      <c r="A86" s="154"/>
      <c r="B86" s="151"/>
      <c r="C86" s="152"/>
      <c r="D86" s="323"/>
      <c r="E86" s="155"/>
      <c r="F86" s="157"/>
      <c r="G86" s="152"/>
      <c r="H86" s="323">
        <v>41605</v>
      </c>
      <c r="I86" s="152"/>
      <c r="J86" s="154"/>
      <c r="K86" s="154" t="s">
        <v>1727</v>
      </c>
      <c r="L86" s="227">
        <v>37337.674037990502</v>
      </c>
      <c r="M86" s="157" t="s">
        <v>1707</v>
      </c>
      <c r="N86" s="152">
        <f>G71+G72+G77+N85-I86-L86</f>
        <v>227205.08996200946</v>
      </c>
      <c r="O86" s="152">
        <f t="shared" si="25"/>
        <v>535490.88496201008</v>
      </c>
    </row>
    <row r="87" spans="1:15" x14ac:dyDescent="0.15">
      <c r="A87" s="154"/>
      <c r="B87" s="151"/>
      <c r="C87" s="152"/>
      <c r="D87" s="323"/>
      <c r="E87" s="155"/>
      <c r="F87" s="157"/>
      <c r="G87" s="152"/>
      <c r="H87" s="323">
        <v>41605</v>
      </c>
      <c r="I87" s="152"/>
      <c r="J87" s="157"/>
      <c r="K87" s="154" t="s">
        <v>1727</v>
      </c>
      <c r="L87" s="227">
        <v>34898.879999999997</v>
      </c>
      <c r="M87" s="157" t="s">
        <v>1707</v>
      </c>
      <c r="N87" s="152">
        <f t="shared" si="24"/>
        <v>192306.20996200945</v>
      </c>
      <c r="O87" s="152">
        <f t="shared" si="25"/>
        <v>500592.00496201008</v>
      </c>
    </row>
    <row r="88" spans="1:15" x14ac:dyDescent="0.15">
      <c r="A88" s="154"/>
      <c r="B88" s="151"/>
      <c r="C88" s="152"/>
      <c r="D88" s="323">
        <v>41606</v>
      </c>
      <c r="E88" s="155" t="s">
        <v>72</v>
      </c>
      <c r="F88" s="157" t="s">
        <v>1708</v>
      </c>
      <c r="G88" s="152">
        <v>44000.737999999896</v>
      </c>
      <c r="H88" s="323">
        <v>41606</v>
      </c>
      <c r="I88" s="152">
        <v>936.52</v>
      </c>
      <c r="J88" s="157" t="s">
        <v>1707</v>
      </c>
      <c r="K88" s="154" t="s">
        <v>1727</v>
      </c>
      <c r="L88" s="227">
        <v>14868.08</v>
      </c>
      <c r="M88" s="157" t="s">
        <v>1707</v>
      </c>
      <c r="N88" s="152">
        <f t="shared" si="24"/>
        <v>176501.60996200948</v>
      </c>
      <c r="O88" s="152">
        <f t="shared" si="25"/>
        <v>528788.14296201</v>
      </c>
    </row>
    <row r="89" spans="1:15" x14ac:dyDescent="0.15">
      <c r="A89" s="154"/>
      <c r="B89" s="151"/>
      <c r="C89" s="152"/>
      <c r="D89" s="323">
        <v>41606</v>
      </c>
      <c r="E89" s="155" t="s">
        <v>72</v>
      </c>
      <c r="F89" s="157" t="s">
        <v>1709</v>
      </c>
      <c r="G89" s="152">
        <v>88032.072000000102</v>
      </c>
      <c r="H89" s="323">
        <v>41606</v>
      </c>
      <c r="I89" s="152"/>
      <c r="J89" s="154"/>
      <c r="K89" s="154" t="s">
        <v>1727</v>
      </c>
      <c r="L89" s="227">
        <v>79628.97</v>
      </c>
      <c r="M89" s="157" t="s">
        <v>1707</v>
      </c>
      <c r="N89" s="152">
        <f t="shared" si="24"/>
        <v>96872.639962009474</v>
      </c>
      <c r="O89" s="152">
        <f t="shared" si="25"/>
        <v>537191.24496201007</v>
      </c>
    </row>
    <row r="90" spans="1:15" x14ac:dyDescent="0.15">
      <c r="A90" s="154"/>
      <c r="B90" s="151"/>
      <c r="C90" s="152"/>
      <c r="D90" s="323">
        <v>41607</v>
      </c>
      <c r="E90" s="155" t="s">
        <v>72</v>
      </c>
      <c r="F90" s="157" t="s">
        <v>1709</v>
      </c>
      <c r="G90" s="152">
        <v>132097.56100000002</v>
      </c>
      <c r="H90" s="323">
        <v>41607</v>
      </c>
      <c r="I90" s="152"/>
      <c r="J90" s="157"/>
      <c r="K90" s="154" t="s">
        <v>1727</v>
      </c>
      <c r="L90" s="227">
        <v>9632.6</v>
      </c>
      <c r="M90" s="157" t="s">
        <v>1707</v>
      </c>
      <c r="N90" s="152">
        <f t="shared" si="24"/>
        <v>87240.039962009469</v>
      </c>
      <c r="O90" s="152">
        <f t="shared" si="25"/>
        <v>659656.20596201008</v>
      </c>
    </row>
    <row r="91" spans="1:15" x14ac:dyDescent="0.15">
      <c r="A91" s="154"/>
      <c r="B91" s="151"/>
      <c r="C91" s="151"/>
      <c r="D91" s="323"/>
      <c r="E91" s="155"/>
      <c r="F91" s="157"/>
      <c r="G91" s="152"/>
      <c r="H91" s="323">
        <v>41607</v>
      </c>
      <c r="I91" s="152"/>
      <c r="J91" s="157"/>
      <c r="K91" s="154" t="s">
        <v>1727</v>
      </c>
      <c r="L91" s="227">
        <v>38051.629999999997</v>
      </c>
      <c r="M91" s="157" t="s">
        <v>1707</v>
      </c>
      <c r="N91" s="152">
        <f t="shared" si="24"/>
        <v>49188.409962009471</v>
      </c>
      <c r="O91" s="152">
        <f t="shared" si="25"/>
        <v>621604.57596201007</v>
      </c>
    </row>
    <row r="92" spans="1:15" x14ac:dyDescent="0.15">
      <c r="A92" s="154"/>
      <c r="B92" s="151"/>
      <c r="C92" s="151"/>
      <c r="D92" s="323">
        <v>41608</v>
      </c>
      <c r="E92" s="155" t="s">
        <v>72</v>
      </c>
      <c r="F92" s="157" t="s">
        <v>1709</v>
      </c>
      <c r="G92" s="152">
        <v>44029.732999999862</v>
      </c>
      <c r="H92" s="323">
        <v>41608</v>
      </c>
      <c r="I92" s="152"/>
      <c r="J92" s="154"/>
      <c r="K92" s="154" t="s">
        <v>1727</v>
      </c>
      <c r="L92" s="227">
        <v>49188.409962009471</v>
      </c>
      <c r="M92" s="157" t="s">
        <v>1707</v>
      </c>
      <c r="N92" s="152">
        <f t="shared" si="24"/>
        <v>0</v>
      </c>
      <c r="O92" s="152">
        <f t="shared" si="25"/>
        <v>616445.89900000044</v>
      </c>
    </row>
    <row r="93" spans="1:15" x14ac:dyDescent="0.15">
      <c r="A93" s="154"/>
      <c r="B93" s="151"/>
      <c r="C93" s="151"/>
      <c r="D93" s="323">
        <v>41608</v>
      </c>
      <c r="E93" s="155" t="s">
        <v>72</v>
      </c>
      <c r="F93" s="157" t="s">
        <v>1710</v>
      </c>
      <c r="G93" s="152">
        <v>88060.238000000201</v>
      </c>
      <c r="H93" s="323">
        <v>41608</v>
      </c>
      <c r="I93" s="152"/>
      <c r="J93" s="154"/>
      <c r="K93" s="154" t="s">
        <v>1727</v>
      </c>
      <c r="L93" s="227">
        <v>32909.570037990503</v>
      </c>
      <c r="M93" s="157" t="s">
        <v>1708</v>
      </c>
      <c r="N93" s="152">
        <f>G78+G79+G80+G83+G88+N92-I93-L93</f>
        <v>319376.96296200948</v>
      </c>
      <c r="O93" s="152">
        <f t="shared" si="25"/>
        <v>671596.56696201023</v>
      </c>
    </row>
    <row r="94" spans="1:15" x14ac:dyDescent="0.15">
      <c r="A94" s="154"/>
      <c r="B94" s="151"/>
      <c r="C94" s="151"/>
      <c r="D94" s="323"/>
      <c r="E94" s="155"/>
      <c r="F94" s="157"/>
      <c r="G94" s="152"/>
      <c r="H94" s="323">
        <v>41608</v>
      </c>
      <c r="I94" s="152"/>
      <c r="J94" s="154"/>
      <c r="K94" s="154" t="s">
        <v>1727</v>
      </c>
      <c r="L94" s="227">
        <v>73098.399999999994</v>
      </c>
      <c r="M94" s="157" t="s">
        <v>1708</v>
      </c>
      <c r="N94" s="152">
        <f t="shared" si="24"/>
        <v>246278.56296200948</v>
      </c>
      <c r="O94" s="152">
        <f t="shared" si="25"/>
        <v>598498.1669620102</v>
      </c>
    </row>
    <row r="95" spans="1:15" x14ac:dyDescent="0.15">
      <c r="A95" s="154"/>
      <c r="B95" s="151"/>
      <c r="C95" s="151"/>
      <c r="D95" s="323"/>
      <c r="E95" s="154"/>
      <c r="F95" s="291"/>
      <c r="G95" s="152"/>
      <c r="H95" s="323">
        <v>41608</v>
      </c>
      <c r="I95" s="152"/>
      <c r="J95" s="157"/>
      <c r="K95" s="154" t="s">
        <v>1727</v>
      </c>
      <c r="L95" s="227">
        <v>760.85</v>
      </c>
      <c r="M95" s="157" t="s">
        <v>1708</v>
      </c>
      <c r="N95" s="152">
        <f t="shared" si="24"/>
        <v>245517.71296200948</v>
      </c>
      <c r="O95" s="152">
        <f t="shared" si="25"/>
        <v>597737.31696201023</v>
      </c>
    </row>
    <row r="96" spans="1:15" hidden="1" x14ac:dyDescent="0.15">
      <c r="A96" s="154"/>
      <c r="B96" s="151"/>
      <c r="C96" s="151"/>
      <c r="D96" s="323"/>
      <c r="E96" s="154"/>
      <c r="F96" s="157"/>
      <c r="G96" s="152"/>
      <c r="H96" s="323"/>
      <c r="I96" s="152"/>
      <c r="J96" s="157"/>
      <c r="K96" s="154"/>
      <c r="L96" s="227"/>
      <c r="M96" s="157"/>
      <c r="N96" s="152">
        <f t="shared" ref="N96:N101" si="26">+N95-I96-L96</f>
        <v>245517.71296200948</v>
      </c>
      <c r="O96" s="152">
        <f t="shared" ref="O96:O101" si="27">O95+G96-I96-L96</f>
        <v>597737.31696201023</v>
      </c>
    </row>
    <row r="97" spans="1:15" hidden="1" x14ac:dyDescent="0.15">
      <c r="A97" s="154"/>
      <c r="B97" s="151"/>
      <c r="C97" s="151"/>
      <c r="D97" s="323"/>
      <c r="E97" s="154"/>
      <c r="F97" s="157"/>
      <c r="G97" s="152"/>
      <c r="H97" s="323"/>
      <c r="I97" s="152"/>
      <c r="J97" s="154"/>
      <c r="K97" s="154"/>
      <c r="L97" s="227"/>
      <c r="M97" s="157"/>
      <c r="N97" s="152">
        <f t="shared" si="26"/>
        <v>245517.71296200948</v>
      </c>
      <c r="O97" s="152">
        <f t="shared" si="27"/>
        <v>597737.31696201023</v>
      </c>
    </row>
    <row r="98" spans="1:15" hidden="1" x14ac:dyDescent="0.15">
      <c r="A98" s="154"/>
      <c r="B98" s="151"/>
      <c r="C98" s="151"/>
      <c r="D98" s="323"/>
      <c r="E98" s="155"/>
      <c r="F98" s="157"/>
      <c r="G98" s="152"/>
      <c r="H98" s="323"/>
      <c r="I98" s="152"/>
      <c r="J98" s="154"/>
      <c r="K98" s="154"/>
      <c r="L98" s="227"/>
      <c r="M98" s="157"/>
      <c r="N98" s="152">
        <f t="shared" si="26"/>
        <v>245517.71296200948</v>
      </c>
      <c r="O98" s="152">
        <f t="shared" si="27"/>
        <v>597737.31696201023</v>
      </c>
    </row>
    <row r="99" spans="1:15" hidden="1" x14ac:dyDescent="0.15">
      <c r="A99" s="154"/>
      <c r="B99" s="151"/>
      <c r="C99" s="151"/>
      <c r="D99" s="323"/>
      <c r="E99" s="154"/>
      <c r="F99" s="160"/>
      <c r="G99" s="152"/>
      <c r="H99" s="323"/>
      <c r="I99" s="152"/>
      <c r="J99" s="157"/>
      <c r="K99" s="154"/>
      <c r="L99" s="227"/>
      <c r="M99" s="157"/>
      <c r="N99" s="152">
        <f t="shared" si="26"/>
        <v>245517.71296200948</v>
      </c>
      <c r="O99" s="152">
        <f t="shared" si="27"/>
        <v>597737.31696201023</v>
      </c>
    </row>
    <row r="100" spans="1:15" hidden="1" x14ac:dyDescent="0.15">
      <c r="A100" s="154"/>
      <c r="B100" s="151"/>
      <c r="C100" s="151"/>
      <c r="D100" s="323"/>
      <c r="E100" s="154"/>
      <c r="F100" s="160"/>
      <c r="G100" s="152"/>
      <c r="H100" s="323"/>
      <c r="I100" s="152"/>
      <c r="J100" s="150"/>
      <c r="K100" s="154"/>
      <c r="L100" s="227"/>
      <c r="M100" s="157"/>
      <c r="N100" s="152">
        <f t="shared" si="26"/>
        <v>245517.71296200948</v>
      </c>
      <c r="O100" s="152">
        <f t="shared" si="27"/>
        <v>597737.31696201023</v>
      </c>
    </row>
    <row r="101" spans="1:15" x14ac:dyDescent="0.15">
      <c r="A101" s="173"/>
      <c r="B101" s="173"/>
      <c r="C101" s="174"/>
      <c r="D101" s="323"/>
      <c r="E101" s="173"/>
      <c r="F101" s="173"/>
      <c r="G101" s="174"/>
      <c r="H101" s="323"/>
      <c r="I101" s="174"/>
      <c r="J101" s="173"/>
      <c r="K101" s="154"/>
      <c r="L101" s="228"/>
      <c r="M101" s="173"/>
      <c r="N101" s="152">
        <f t="shared" si="26"/>
        <v>245517.71296200948</v>
      </c>
      <c r="O101" s="152">
        <f t="shared" si="27"/>
        <v>597737.31696201023</v>
      </c>
    </row>
    <row r="102" spans="1:15" x14ac:dyDescent="0.15">
      <c r="A102" s="177"/>
      <c r="B102" s="177"/>
      <c r="C102" s="178">
        <f>SUM(C7:C100)</f>
        <v>487722.77056200948</v>
      </c>
      <c r="D102" s="177"/>
      <c r="E102" s="177"/>
      <c r="F102" s="177"/>
      <c r="G102" s="178">
        <f>SUM(G7:G101)</f>
        <v>2434497.4020000002</v>
      </c>
      <c r="H102" s="179"/>
      <c r="I102" s="178">
        <f>SUM(I7:I101)</f>
        <v>86957.705599999987</v>
      </c>
      <c r="J102" s="177"/>
      <c r="K102" s="177"/>
      <c r="L102" s="229">
        <f>SUM(L9:L101)</f>
        <v>2237525.1500000004</v>
      </c>
      <c r="M102" s="177"/>
      <c r="N102" s="180"/>
      <c r="O102" s="181">
        <f>C102+G102-I102-L102</f>
        <v>597737.3169620093</v>
      </c>
    </row>
    <row r="103" spans="1:15" x14ac:dyDescent="0.15">
      <c r="A103" s="182"/>
      <c r="B103" s="465"/>
      <c r="C103" s="465"/>
      <c r="D103" s="465"/>
      <c r="E103" s="183"/>
      <c r="F103" s="284"/>
      <c r="G103" s="185"/>
      <c r="H103" s="186"/>
      <c r="I103" s="187"/>
      <c r="J103" s="188"/>
      <c r="K103" s="189" t="s">
        <v>139</v>
      </c>
      <c r="L103" s="190">
        <f>+L102+I102</f>
        <v>2324482.8556000004</v>
      </c>
      <c r="M103" s="197"/>
      <c r="N103" s="230">
        <f>+N101</f>
        <v>245517.71296200948</v>
      </c>
      <c r="O103" s="195" t="s">
        <v>1708</v>
      </c>
    </row>
    <row r="104" spans="1:15" x14ac:dyDescent="0.15">
      <c r="A104" s="193"/>
      <c r="B104" s="470"/>
      <c r="C104" s="470"/>
      <c r="D104" s="470"/>
      <c r="E104" s="183"/>
      <c r="F104" s="324"/>
      <c r="G104" s="219"/>
      <c r="H104" s="186"/>
      <c r="I104" s="187"/>
      <c r="J104" s="210"/>
      <c r="K104" s="210"/>
      <c r="N104" s="230">
        <f>+G89+G90+G92</f>
        <v>264159.36599999998</v>
      </c>
      <c r="O104" s="195" t="s">
        <v>1709</v>
      </c>
    </row>
    <row r="105" spans="1:15" x14ac:dyDescent="0.15">
      <c r="A105" s="193" t="s">
        <v>1685</v>
      </c>
      <c r="B105" s="326" t="s">
        <v>1691</v>
      </c>
      <c r="E105" s="183" t="s">
        <v>55</v>
      </c>
      <c r="F105" s="324">
        <v>2657897.39</v>
      </c>
      <c r="G105" s="219" t="s">
        <v>56</v>
      </c>
      <c r="H105" s="186">
        <v>41557</v>
      </c>
      <c r="I105" s="187" t="s">
        <v>71</v>
      </c>
      <c r="J105" s="210">
        <v>57934.255462009518</v>
      </c>
      <c r="K105" s="297"/>
      <c r="N105" s="230">
        <f>+G93</f>
        <v>88060.238000000201</v>
      </c>
      <c r="O105" s="195" t="s">
        <v>1710</v>
      </c>
    </row>
    <row r="106" spans="1:15" x14ac:dyDescent="0.15">
      <c r="A106" s="193" t="s">
        <v>1686</v>
      </c>
      <c r="B106" s="326" t="s">
        <v>1711</v>
      </c>
      <c r="E106" s="183" t="s">
        <v>55</v>
      </c>
      <c r="F106" s="324">
        <v>2879782.46</v>
      </c>
      <c r="G106" s="219" t="s">
        <v>56</v>
      </c>
      <c r="H106" s="186">
        <v>41562</v>
      </c>
      <c r="I106" s="187" t="s">
        <v>71</v>
      </c>
      <c r="J106" s="210">
        <v>39004.36</v>
      </c>
      <c r="K106" s="333"/>
      <c r="N106" s="230"/>
      <c r="O106" s="195"/>
    </row>
    <row r="107" spans="1:15" x14ac:dyDescent="0.15">
      <c r="A107" s="193" t="s">
        <v>1687</v>
      </c>
      <c r="B107" s="326" t="s">
        <v>1712</v>
      </c>
      <c r="E107" s="183" t="s">
        <v>55</v>
      </c>
      <c r="F107" s="325">
        <v>634726.06000000006</v>
      </c>
      <c r="G107" s="219" t="s">
        <v>56</v>
      </c>
      <c r="H107" s="186">
        <v>41572</v>
      </c>
      <c r="I107" s="187" t="s">
        <v>71</v>
      </c>
      <c r="J107" s="210">
        <v>175199.09649999999</v>
      </c>
      <c r="N107" s="230"/>
      <c r="O107" s="195"/>
    </row>
    <row r="108" spans="1:15" x14ac:dyDescent="0.15">
      <c r="A108" s="193" t="s">
        <v>1688</v>
      </c>
      <c r="B108" s="326" t="s">
        <v>1713</v>
      </c>
      <c r="E108" s="183" t="s">
        <v>55</v>
      </c>
      <c r="F108" s="328">
        <v>557404.78</v>
      </c>
      <c r="G108" s="219" t="s">
        <v>56</v>
      </c>
      <c r="H108" s="186">
        <v>41575</v>
      </c>
      <c r="I108" s="187" t="s">
        <v>71</v>
      </c>
      <c r="J108" s="210">
        <v>90588.524000000005</v>
      </c>
      <c r="K108" s="333"/>
      <c r="N108" s="230"/>
      <c r="O108" s="195"/>
    </row>
    <row r="109" spans="1:15" x14ac:dyDescent="0.15">
      <c r="A109" s="193" t="s">
        <v>1689</v>
      </c>
      <c r="B109" s="326" t="s">
        <v>1714</v>
      </c>
      <c r="E109" s="183" t="s">
        <v>55</v>
      </c>
      <c r="F109" s="328">
        <v>2114180.75</v>
      </c>
      <c r="G109" s="219" t="s">
        <v>56</v>
      </c>
      <c r="H109" s="186">
        <v>41577</v>
      </c>
      <c r="I109" s="187" t="s">
        <v>71</v>
      </c>
      <c r="J109" s="210">
        <v>96986.718999999997</v>
      </c>
      <c r="N109" s="230"/>
      <c r="O109" s="195"/>
    </row>
    <row r="110" spans="1:15" x14ac:dyDescent="0.15">
      <c r="A110" s="193" t="s">
        <v>1697</v>
      </c>
      <c r="B110" s="326" t="s">
        <v>1715</v>
      </c>
      <c r="E110" s="183" t="s">
        <v>55</v>
      </c>
      <c r="F110" s="328">
        <v>559254.6</v>
      </c>
      <c r="G110" s="219" t="s">
        <v>56</v>
      </c>
      <c r="H110" s="186">
        <v>41583</v>
      </c>
      <c r="I110" s="187" t="s">
        <v>71</v>
      </c>
      <c r="J110" s="210">
        <v>82916.603000000003</v>
      </c>
      <c r="N110" s="206" t="s">
        <v>33</v>
      </c>
      <c r="O110" s="207">
        <f>SUM(N103:N109)</f>
        <v>597737.31696200965</v>
      </c>
    </row>
    <row r="111" spans="1:15" x14ac:dyDescent="0.15">
      <c r="A111" s="193" t="s">
        <v>1699</v>
      </c>
      <c r="B111" s="326" t="s">
        <v>1716</v>
      </c>
      <c r="E111" s="183" t="s">
        <v>55</v>
      </c>
      <c r="F111" s="328">
        <v>3081706.1</v>
      </c>
      <c r="G111" s="219" t="s">
        <v>56</v>
      </c>
      <c r="H111" s="186">
        <v>41589</v>
      </c>
      <c r="I111" s="187" t="s">
        <v>71</v>
      </c>
      <c r="J111" s="210">
        <v>130563.16399999998</v>
      </c>
      <c r="K111" s="297"/>
      <c r="O111" s="132">
        <f>+O102-O110</f>
        <v>0</v>
      </c>
    </row>
    <row r="112" spans="1:15" s="132" customFormat="1" x14ac:dyDescent="0.15">
      <c r="A112" s="193" t="s">
        <v>1700</v>
      </c>
      <c r="B112" s="326" t="s">
        <v>1717</v>
      </c>
      <c r="D112" s="133"/>
      <c r="E112" s="183" t="s">
        <v>55</v>
      </c>
      <c r="F112" s="328">
        <v>3057913.06</v>
      </c>
      <c r="G112" s="219" t="s">
        <v>56</v>
      </c>
      <c r="H112" s="186">
        <v>41592</v>
      </c>
      <c r="I112" s="187" t="s">
        <v>71</v>
      </c>
      <c r="J112" s="210">
        <v>130499.177</v>
      </c>
      <c r="K112" s="333"/>
      <c r="M112" s="134"/>
    </row>
    <row r="113" spans="1:13" s="132" customFormat="1" x14ac:dyDescent="0.15">
      <c r="A113" s="193" t="s">
        <v>1705</v>
      </c>
      <c r="B113" s="326" t="s">
        <v>1718</v>
      </c>
      <c r="D113" s="133"/>
      <c r="E113" s="183" t="s">
        <v>55</v>
      </c>
      <c r="F113" s="328">
        <v>444622.01</v>
      </c>
      <c r="G113" s="219" t="s">
        <v>56</v>
      </c>
      <c r="H113" s="186">
        <v>41600</v>
      </c>
      <c r="I113" s="187" t="s">
        <v>71</v>
      </c>
      <c r="J113" s="210">
        <v>145571.50199999992</v>
      </c>
      <c r="K113" s="133"/>
      <c r="M113" s="134"/>
    </row>
    <row r="114" spans="1:13" s="132" customFormat="1" x14ac:dyDescent="0.15">
      <c r="A114" s="193" t="s">
        <v>1706</v>
      </c>
      <c r="B114" s="326" t="s">
        <v>1719</v>
      </c>
      <c r="D114" s="133"/>
      <c r="E114" s="183" t="s">
        <v>55</v>
      </c>
      <c r="F114" s="328">
        <v>593604.46</v>
      </c>
      <c r="G114" s="219" t="s">
        <v>56</v>
      </c>
      <c r="H114" s="186">
        <v>41604</v>
      </c>
      <c r="I114" s="187" t="s">
        <v>71</v>
      </c>
      <c r="J114" s="210">
        <v>85269.4409999981</v>
      </c>
      <c r="K114" s="133"/>
      <c r="M114" s="134"/>
    </row>
    <row r="115" spans="1:13" s="132" customFormat="1" x14ac:dyDescent="0.15">
      <c r="A115" s="193" t="s">
        <v>1707</v>
      </c>
      <c r="B115" s="326" t="s">
        <v>1720</v>
      </c>
      <c r="D115" s="133"/>
      <c r="E115" s="183" t="s">
        <v>55</v>
      </c>
      <c r="F115" s="328">
        <v>6565009.1600000001</v>
      </c>
      <c r="G115" s="219" t="s">
        <v>56</v>
      </c>
      <c r="H115" s="186">
        <v>41606</v>
      </c>
      <c r="I115" s="187" t="s">
        <v>71</v>
      </c>
      <c r="J115" s="210">
        <v>263606.24400000001</v>
      </c>
      <c r="K115" s="333"/>
      <c r="M115" s="134"/>
    </row>
    <row r="116" spans="1:13" s="132" customFormat="1" x14ac:dyDescent="0.15">
      <c r="A116" s="193" t="s">
        <v>1708</v>
      </c>
      <c r="B116" s="326" t="s">
        <v>1721</v>
      </c>
      <c r="D116" s="133"/>
      <c r="E116" s="183" t="s">
        <v>55</v>
      </c>
      <c r="F116" s="328">
        <v>2927930.6</v>
      </c>
      <c r="G116" s="219" t="s">
        <v>56</v>
      </c>
      <c r="H116" s="186">
        <v>41610</v>
      </c>
      <c r="I116" s="187" t="s">
        <v>71</v>
      </c>
      <c r="J116" s="210">
        <v>106768.8200379905</v>
      </c>
      <c r="K116" s="133"/>
      <c r="M116" s="134"/>
    </row>
    <row r="117" spans="1:13" s="132" customFormat="1" ht="12" thickBot="1" x14ac:dyDescent="0.2">
      <c r="A117" s="133"/>
      <c r="B117" s="326"/>
      <c r="C117" s="326"/>
      <c r="D117" s="326"/>
      <c r="E117" s="183"/>
      <c r="F117" s="327"/>
      <c r="G117" s="219"/>
      <c r="H117" s="186"/>
      <c r="I117" s="217" t="s">
        <v>856</v>
      </c>
      <c r="J117" s="211">
        <f>SUM(J105:J116)</f>
        <v>1404907.9059999981</v>
      </c>
      <c r="K117" s="133"/>
      <c r="M117" s="134"/>
    </row>
    <row r="118" spans="1:13" s="132" customFormat="1" ht="12" thickTop="1" x14ac:dyDescent="0.15">
      <c r="A118" s="133" t="s">
        <v>1702</v>
      </c>
      <c r="B118" s="131" t="s">
        <v>1726</v>
      </c>
      <c r="D118" s="133"/>
      <c r="E118" s="183" t="s">
        <v>55</v>
      </c>
      <c r="F118" s="328">
        <v>20782630.23</v>
      </c>
      <c r="G118" s="219" t="s">
        <v>56</v>
      </c>
      <c r="H118" s="186">
        <v>41583</v>
      </c>
      <c r="I118" s="187" t="s">
        <v>71</v>
      </c>
      <c r="J118" s="210">
        <v>43889.754999999997</v>
      </c>
      <c r="K118" s="133"/>
      <c r="M118" s="134"/>
    </row>
    <row r="119" spans="1:13" s="132" customFormat="1" x14ac:dyDescent="0.15">
      <c r="A119" s="133" t="s">
        <v>1698</v>
      </c>
      <c r="B119" s="131" t="s">
        <v>1722</v>
      </c>
      <c r="D119" s="133"/>
      <c r="E119" s="183" t="s">
        <v>55</v>
      </c>
      <c r="F119" s="329">
        <v>25489081.620000001</v>
      </c>
      <c r="G119" s="219" t="s">
        <v>56</v>
      </c>
      <c r="H119" s="186">
        <v>41586</v>
      </c>
      <c r="I119" s="187" t="s">
        <v>71</v>
      </c>
      <c r="J119" s="210">
        <v>197251.94199999998</v>
      </c>
      <c r="K119" s="133"/>
      <c r="M119" s="134"/>
    </row>
    <row r="120" spans="1:13" s="132" customFormat="1" x14ac:dyDescent="0.15">
      <c r="A120" s="133" t="s">
        <v>1701</v>
      </c>
      <c r="B120" s="131" t="s">
        <v>1723</v>
      </c>
      <c r="D120" s="133"/>
      <c r="E120" s="183" t="s">
        <v>55</v>
      </c>
      <c r="F120" s="329">
        <v>32444510.579999998</v>
      </c>
      <c r="G120" s="219" t="s">
        <v>56</v>
      </c>
      <c r="H120" s="186">
        <v>41596</v>
      </c>
      <c r="I120" s="187" t="s">
        <v>71</v>
      </c>
      <c r="J120" s="210">
        <v>128219.74400000001</v>
      </c>
      <c r="K120" s="133"/>
      <c r="M120" s="134"/>
    </row>
    <row r="121" spans="1:13" s="132" customFormat="1" x14ac:dyDescent="0.15">
      <c r="A121" s="133" t="s">
        <v>1703</v>
      </c>
      <c r="B121" s="131" t="s">
        <v>1724</v>
      </c>
      <c r="D121" s="133"/>
      <c r="E121" s="183" t="s">
        <v>55</v>
      </c>
      <c r="F121" s="329">
        <v>109474785.15000001</v>
      </c>
      <c r="G121" s="219" t="s">
        <v>56</v>
      </c>
      <c r="H121" s="186">
        <v>41597</v>
      </c>
      <c r="I121" s="187" t="s">
        <v>71</v>
      </c>
      <c r="J121" s="210">
        <v>268346.95003799052</v>
      </c>
      <c r="K121" s="133"/>
      <c r="M121" s="134"/>
    </row>
    <row r="122" spans="1:13" s="132" customFormat="1" x14ac:dyDescent="0.15">
      <c r="A122" s="133" t="s">
        <v>1704</v>
      </c>
      <c r="B122" s="131" t="s">
        <v>1725</v>
      </c>
      <c r="D122" s="133"/>
      <c r="E122" s="183" t="s">
        <v>55</v>
      </c>
      <c r="F122" s="329">
        <v>21635518.050000001</v>
      </c>
      <c r="G122" s="219" t="s">
        <v>56</v>
      </c>
      <c r="H122" s="186">
        <v>41598</v>
      </c>
      <c r="I122" s="187" t="s">
        <v>71</v>
      </c>
      <c r="J122" s="210">
        <v>194908.85296201156</v>
      </c>
      <c r="K122" s="133"/>
      <c r="M122" s="134"/>
    </row>
    <row r="123" spans="1:13" s="132" customFormat="1" ht="12" thickBot="1" x14ac:dyDescent="0.2">
      <c r="A123" s="193"/>
      <c r="B123" s="210"/>
      <c r="C123" s="221"/>
      <c r="D123" s="237"/>
      <c r="E123" s="235"/>
      <c r="F123" s="235"/>
      <c r="H123" s="133"/>
      <c r="I123" s="218" t="s">
        <v>106</v>
      </c>
      <c r="J123" s="212">
        <f>SUM(J118:J122)</f>
        <v>832617.24400000216</v>
      </c>
      <c r="K123" s="133"/>
      <c r="M123" s="134"/>
    </row>
    <row r="124" spans="1:13" s="132" customFormat="1" ht="12" thickTop="1" x14ac:dyDescent="0.15">
      <c r="A124" s="193"/>
      <c r="B124" s="210"/>
      <c r="C124" s="221"/>
      <c r="D124" s="237"/>
      <c r="E124" s="235"/>
      <c r="F124" s="235"/>
      <c r="H124" s="133"/>
      <c r="J124" s="205"/>
      <c r="K124" s="133"/>
      <c r="M124" s="134"/>
    </row>
    <row r="125" spans="1:13" s="132" customFormat="1" x14ac:dyDescent="0.15">
      <c r="A125" s="133"/>
      <c r="B125" s="133" t="s">
        <v>9</v>
      </c>
      <c r="C125" s="220" t="s">
        <v>729</v>
      </c>
      <c r="D125" s="220" t="s">
        <v>850</v>
      </c>
      <c r="E125" s="133" t="s">
        <v>570</v>
      </c>
      <c r="F125" s="133" t="s">
        <v>571</v>
      </c>
      <c r="G125" s="133" t="s">
        <v>16</v>
      </c>
      <c r="H125" s="134"/>
      <c r="I125" s="134"/>
      <c r="J125" s="205"/>
      <c r="K125" s="133"/>
      <c r="M125" s="134"/>
    </row>
    <row r="126" spans="1:13" s="132" customFormat="1" x14ac:dyDescent="0.15">
      <c r="A126" s="193" t="s">
        <v>1685</v>
      </c>
      <c r="B126" s="210">
        <v>57934</v>
      </c>
      <c r="C126" s="221">
        <v>24.111899999999999</v>
      </c>
      <c r="D126" s="237">
        <f t="shared" ref="D126:D128" si="28">+B126*C126</f>
        <v>1396898.8145999999</v>
      </c>
      <c r="E126" s="235">
        <f t="shared" ref="E126:E128" si="29">+D126*0.01</f>
        <v>13968.988146</v>
      </c>
      <c r="F126" s="235">
        <f t="shared" ref="F126:F128" si="30">+E126*0.1</f>
        <v>1396.8988146000002</v>
      </c>
      <c r="G126" s="236">
        <f t="shared" ref="G126:G137" si="31">SUM(E126:F126)</f>
        <v>15365.886960600001</v>
      </c>
      <c r="H126" s="134"/>
      <c r="I126" s="134"/>
      <c r="J126" s="134"/>
      <c r="K126" s="133"/>
      <c r="M126" s="134"/>
    </row>
    <row r="127" spans="1:13" s="132" customFormat="1" x14ac:dyDescent="0.15">
      <c r="A127" s="193" t="s">
        <v>1686</v>
      </c>
      <c r="B127" s="210">
        <v>39004</v>
      </c>
      <c r="C127" s="221">
        <v>24.310099999999998</v>
      </c>
      <c r="D127" s="237">
        <f t="shared" si="28"/>
        <v>948191.14039999992</v>
      </c>
      <c r="E127" s="235">
        <f t="shared" si="29"/>
        <v>9481.9114039999986</v>
      </c>
      <c r="F127" s="235">
        <f t="shared" si="30"/>
        <v>948.19114039999988</v>
      </c>
      <c r="G127" s="236">
        <f t="shared" si="31"/>
        <v>10430.102544399999</v>
      </c>
      <c r="H127" s="133"/>
      <c r="J127" s="134"/>
      <c r="K127" s="133"/>
      <c r="M127" s="134"/>
    </row>
    <row r="128" spans="1:13" s="132" customFormat="1" x14ac:dyDescent="0.15">
      <c r="A128" s="193" t="s">
        <v>1687</v>
      </c>
      <c r="B128" s="210">
        <v>175199</v>
      </c>
      <c r="C128" s="221">
        <v>24.7043</v>
      </c>
      <c r="D128" s="237">
        <f t="shared" si="28"/>
        <v>4328168.6557</v>
      </c>
      <c r="E128" s="235">
        <f t="shared" si="29"/>
        <v>43281.686557000001</v>
      </c>
      <c r="F128" s="235">
        <f t="shared" si="30"/>
        <v>4328.1686557000003</v>
      </c>
      <c r="G128" s="236">
        <f t="shared" si="31"/>
        <v>47609.8552127</v>
      </c>
      <c r="H128" s="133"/>
      <c r="J128" s="134"/>
      <c r="K128" s="133"/>
      <c r="M128" s="134"/>
    </row>
    <row r="129" spans="1:15" s="133" customFormat="1" x14ac:dyDescent="0.15">
      <c r="A129" s="193" t="s">
        <v>1688</v>
      </c>
      <c r="B129" s="210">
        <v>90589</v>
      </c>
      <c r="C129" s="221">
        <v>24.497199999999999</v>
      </c>
      <c r="D129" s="237">
        <f t="shared" ref="D129:D131" si="32">+B129*C129</f>
        <v>2219176.8508000001</v>
      </c>
      <c r="E129" s="235">
        <f t="shared" ref="E129:E131" si="33">+D129*0.01</f>
        <v>22191.768508000001</v>
      </c>
      <c r="F129" s="235">
        <f t="shared" ref="F129:F131" si="34">+E129*0.1</f>
        <v>2219.1768508</v>
      </c>
      <c r="G129" s="236">
        <f t="shared" si="31"/>
        <v>24410.9453588</v>
      </c>
      <c r="H129" s="134"/>
      <c r="I129" s="134"/>
      <c r="J129" s="134"/>
      <c r="L129" s="132"/>
      <c r="M129" s="134"/>
      <c r="N129" s="132"/>
      <c r="O129" s="132"/>
    </row>
    <row r="130" spans="1:15" s="133" customFormat="1" x14ac:dyDescent="0.15">
      <c r="A130" s="193" t="s">
        <v>1689</v>
      </c>
      <c r="B130" s="210">
        <v>96987</v>
      </c>
      <c r="C130" s="221">
        <v>24.438500000000001</v>
      </c>
      <c r="D130" s="237">
        <f t="shared" si="32"/>
        <v>2370216.7995000002</v>
      </c>
      <c r="E130" s="235">
        <f t="shared" si="33"/>
        <v>23702.167995000003</v>
      </c>
      <c r="F130" s="235">
        <f t="shared" si="34"/>
        <v>2370.2167995000004</v>
      </c>
      <c r="G130" s="236">
        <f t="shared" si="31"/>
        <v>26072.384794500005</v>
      </c>
      <c r="I130" s="132"/>
      <c r="J130" s="134"/>
      <c r="L130" s="132"/>
      <c r="M130" s="134"/>
      <c r="N130" s="132"/>
      <c r="O130" s="132"/>
    </row>
    <row r="131" spans="1:15" s="133" customFormat="1" x14ac:dyDescent="0.15">
      <c r="A131" s="193" t="s">
        <v>1697</v>
      </c>
      <c r="B131" s="210">
        <v>82917</v>
      </c>
      <c r="C131" s="221">
        <v>24.001300000000001</v>
      </c>
      <c r="D131" s="237">
        <f t="shared" si="32"/>
        <v>1990115.7921</v>
      </c>
      <c r="E131" s="235">
        <f t="shared" si="33"/>
        <v>19901.157921000002</v>
      </c>
      <c r="F131" s="235">
        <f t="shared" si="34"/>
        <v>1990.1157921000004</v>
      </c>
      <c r="G131" s="236">
        <f t="shared" si="31"/>
        <v>21891.273713100003</v>
      </c>
      <c r="I131" s="132"/>
      <c r="J131" s="134"/>
      <c r="L131" s="132"/>
      <c r="M131" s="134"/>
      <c r="N131" s="132"/>
      <c r="O131" s="132"/>
    </row>
    <row r="132" spans="1:15" s="133" customFormat="1" x14ac:dyDescent="0.15">
      <c r="A132" s="193" t="s">
        <v>1699</v>
      </c>
      <c r="B132" s="210">
        <v>130563</v>
      </c>
      <c r="C132" s="221">
        <v>24.376999999999999</v>
      </c>
      <c r="D132" s="237">
        <f t="shared" ref="D132:D137" si="35">+B132*C132</f>
        <v>3182734.2509999997</v>
      </c>
      <c r="E132" s="235">
        <f t="shared" ref="E132:E137" si="36">+D132*0.01</f>
        <v>31827.342509999999</v>
      </c>
      <c r="F132" s="235">
        <f t="shared" ref="F132:F137" si="37">+E132*0.1</f>
        <v>3182.7342509999999</v>
      </c>
      <c r="G132" s="236">
        <f t="shared" si="31"/>
        <v>35010.076760999997</v>
      </c>
      <c r="H132" s="134"/>
      <c r="I132" s="134"/>
      <c r="J132" s="134"/>
      <c r="L132" s="132"/>
      <c r="M132" s="134"/>
      <c r="N132" s="132"/>
      <c r="O132" s="132"/>
    </row>
    <row r="133" spans="1:15" s="133" customFormat="1" x14ac:dyDescent="0.15">
      <c r="A133" s="193" t="s">
        <v>1700</v>
      </c>
      <c r="B133" s="210">
        <v>130499</v>
      </c>
      <c r="C133" s="221">
        <v>24.245999999999999</v>
      </c>
      <c r="D133" s="237">
        <f t="shared" si="35"/>
        <v>3164078.7539999997</v>
      </c>
      <c r="E133" s="235">
        <f t="shared" si="36"/>
        <v>31640.787539999998</v>
      </c>
      <c r="F133" s="235">
        <f t="shared" si="37"/>
        <v>3164.0787540000001</v>
      </c>
      <c r="G133" s="236">
        <f t="shared" si="31"/>
        <v>34804.866293999999</v>
      </c>
      <c r="I133" s="132"/>
      <c r="J133" s="134"/>
      <c r="L133" s="132"/>
      <c r="M133" s="134"/>
      <c r="N133" s="132"/>
      <c r="O133" s="132"/>
    </row>
    <row r="134" spans="1:15" s="133" customFormat="1" x14ac:dyDescent="0.15">
      <c r="A134" s="193" t="s">
        <v>1705</v>
      </c>
      <c r="B134" s="210">
        <v>145572</v>
      </c>
      <c r="C134" s="221">
        <v>24.170500000000001</v>
      </c>
      <c r="D134" s="237">
        <f t="shared" si="35"/>
        <v>3518548.0260000001</v>
      </c>
      <c r="E134" s="235">
        <f t="shared" si="36"/>
        <v>35185.480260000004</v>
      </c>
      <c r="F134" s="235">
        <f t="shared" si="37"/>
        <v>3518.5480260000004</v>
      </c>
      <c r="G134" s="236">
        <f t="shared" si="31"/>
        <v>38704.028286000001</v>
      </c>
      <c r="I134" s="132"/>
      <c r="J134" s="134"/>
      <c r="L134" s="132"/>
      <c r="M134" s="134"/>
      <c r="N134" s="132"/>
      <c r="O134" s="132"/>
    </row>
    <row r="135" spans="1:15" x14ac:dyDescent="0.15">
      <c r="A135" s="193" t="s">
        <v>1706</v>
      </c>
      <c r="B135" s="210">
        <v>85269</v>
      </c>
      <c r="C135" s="221">
        <v>24.4255</v>
      </c>
      <c r="D135" s="237">
        <f t="shared" si="35"/>
        <v>2082737.9594999999</v>
      </c>
      <c r="E135" s="235">
        <f t="shared" si="36"/>
        <v>20827.379594999999</v>
      </c>
      <c r="F135" s="235">
        <f t="shared" si="37"/>
        <v>2082.7379594999998</v>
      </c>
      <c r="G135" s="236">
        <f t="shared" si="31"/>
        <v>22910.117554499997</v>
      </c>
      <c r="H135" s="134"/>
      <c r="I135" s="134"/>
    </row>
    <row r="136" spans="1:15" s="132" customFormat="1" x14ac:dyDescent="0.15">
      <c r="A136" s="193" t="s">
        <v>1707</v>
      </c>
      <c r="B136" s="210">
        <v>263606</v>
      </c>
      <c r="C136" s="221">
        <v>24.448899999999998</v>
      </c>
      <c r="D136" s="237">
        <f t="shared" si="35"/>
        <v>6444876.7333999993</v>
      </c>
      <c r="E136" s="235">
        <f t="shared" si="36"/>
        <v>64448.767333999996</v>
      </c>
      <c r="F136" s="235">
        <f t="shared" si="37"/>
        <v>6444.8767334000004</v>
      </c>
      <c r="G136" s="236">
        <f t="shared" si="31"/>
        <v>70893.64406739999</v>
      </c>
      <c r="H136" s="133"/>
      <c r="J136" s="134"/>
      <c r="K136" s="133"/>
      <c r="M136" s="134"/>
    </row>
    <row r="137" spans="1:15" x14ac:dyDescent="0.15">
      <c r="A137" s="193" t="s">
        <v>1708</v>
      </c>
      <c r="B137" s="210">
        <v>106769</v>
      </c>
      <c r="C137" s="221">
        <v>24.762699999999999</v>
      </c>
      <c r="D137" s="237">
        <f t="shared" si="35"/>
        <v>2643888.7163</v>
      </c>
      <c r="E137" s="235">
        <f t="shared" si="36"/>
        <v>26438.887162999999</v>
      </c>
      <c r="F137" s="235">
        <f t="shared" si="37"/>
        <v>2643.8887162999999</v>
      </c>
      <c r="G137" s="236">
        <f t="shared" si="31"/>
        <v>29082.775879299999</v>
      </c>
    </row>
    <row r="138" spans="1:15" ht="12" thickBot="1" x14ac:dyDescent="0.2">
      <c r="A138" s="133"/>
      <c r="B138" s="211">
        <f>SUM(B126:B137)</f>
        <v>1404908</v>
      </c>
      <c r="C138" s="221"/>
      <c r="D138" s="237"/>
      <c r="E138" s="242">
        <f>SUM(E126:E137)</f>
        <v>342896.32493299997</v>
      </c>
      <c r="F138" s="242">
        <f t="shared" ref="F138:G138" si="38">SUM(F126:F137)</f>
        <v>34289.6324933</v>
      </c>
      <c r="G138" s="242">
        <f t="shared" si="38"/>
        <v>377185.95742629998</v>
      </c>
      <c r="H138" s="134"/>
      <c r="I138" s="134"/>
    </row>
    <row r="139" spans="1:15" ht="12" thickTop="1" x14ac:dyDescent="0.15">
      <c r="A139" s="133" t="s">
        <v>1702</v>
      </c>
      <c r="B139" s="210">
        <v>43890</v>
      </c>
      <c r="C139" s="221">
        <v>24.156500000000001</v>
      </c>
      <c r="D139" s="237">
        <f t="shared" ref="D139" si="39">+B139*C139</f>
        <v>1060228.7850000001</v>
      </c>
      <c r="E139" s="235">
        <f t="shared" ref="E139" si="40">+D139*0.01</f>
        <v>10602.287850000002</v>
      </c>
      <c r="F139" s="235">
        <f t="shared" ref="F139" si="41">+E139*0.1</f>
        <v>1060.2287850000002</v>
      </c>
      <c r="G139" s="236">
        <f>SUM(E139:F139)</f>
        <v>11662.516635000004</v>
      </c>
    </row>
    <row r="140" spans="1:15" x14ac:dyDescent="0.15">
      <c r="A140" s="133" t="s">
        <v>1698</v>
      </c>
      <c r="B140" s="210">
        <v>197252</v>
      </c>
      <c r="C140" s="221">
        <v>24.364100000000001</v>
      </c>
      <c r="D140" s="237">
        <f t="shared" ref="D140" si="42">+B140*C140</f>
        <v>4805867.4532000003</v>
      </c>
      <c r="E140" s="235">
        <f t="shared" ref="E140" si="43">+D140*0.01</f>
        <v>48058.674532000005</v>
      </c>
      <c r="F140" s="235">
        <f t="shared" ref="F140" si="44">+E140*0.1</f>
        <v>4805.8674532000005</v>
      </c>
      <c r="G140" s="236">
        <f>SUM(E140:F140)</f>
        <v>52864.541985200005</v>
      </c>
    </row>
    <row r="141" spans="1:15" x14ac:dyDescent="0.15">
      <c r="A141" s="133" t="s">
        <v>1701</v>
      </c>
      <c r="B141" s="210">
        <v>128220</v>
      </c>
      <c r="C141" s="221">
        <v>24.007200000000001</v>
      </c>
      <c r="D141" s="237">
        <f t="shared" ref="D141" si="45">+B141*C141</f>
        <v>3078203.1840000004</v>
      </c>
      <c r="E141" s="235">
        <f t="shared" ref="E141" si="46">+D141*0.01</f>
        <v>30782.031840000003</v>
      </c>
      <c r="F141" s="235">
        <f t="shared" ref="F141" si="47">+E141*0.1</f>
        <v>3078.2031840000004</v>
      </c>
      <c r="G141" s="236">
        <f>SUM(E141:F141)</f>
        <v>33860.235024000001</v>
      </c>
    </row>
    <row r="142" spans="1:15" x14ac:dyDescent="0.15">
      <c r="A142" s="133" t="s">
        <v>1703</v>
      </c>
      <c r="B142" s="210">
        <v>268347</v>
      </c>
      <c r="C142" s="221">
        <v>24.0197</v>
      </c>
      <c r="D142" s="237">
        <f t="shared" ref="D142:D143" si="48">+B142*C142</f>
        <v>6445614.4358999999</v>
      </c>
      <c r="E142" s="235">
        <f t="shared" ref="E142:E143" si="49">+D142*0.01</f>
        <v>64456.144358999998</v>
      </c>
      <c r="F142" s="235">
        <f t="shared" ref="F142:F143" si="50">+E142*0.1</f>
        <v>6445.6144359</v>
      </c>
      <c r="G142" s="236">
        <f>SUM(E142:F142)</f>
        <v>70901.758794900001</v>
      </c>
    </row>
    <row r="143" spans="1:15" x14ac:dyDescent="0.15">
      <c r="A143" s="133" t="s">
        <v>1704</v>
      </c>
      <c r="B143" s="210">
        <v>194909</v>
      </c>
      <c r="C143" s="221">
        <v>24.259</v>
      </c>
      <c r="D143" s="237">
        <f t="shared" si="48"/>
        <v>4728297.4309999999</v>
      </c>
      <c r="E143" s="235">
        <f t="shared" si="49"/>
        <v>47282.974309999998</v>
      </c>
      <c r="F143" s="235">
        <f t="shared" si="50"/>
        <v>4728.297431</v>
      </c>
      <c r="G143" s="236">
        <f>SUM(E143:F143)</f>
        <v>52011.271740999997</v>
      </c>
    </row>
    <row r="144" spans="1:15" ht="12" thickBot="1" x14ac:dyDescent="0.2">
      <c r="A144" s="133"/>
      <c r="B144" s="211">
        <f>SUM(B139:B143)</f>
        <v>832618</v>
      </c>
      <c r="C144" s="221"/>
      <c r="D144" s="237"/>
      <c r="E144" s="242">
        <f>SUM(E139:E143)</f>
        <v>201182.112891</v>
      </c>
      <c r="F144" s="242">
        <f t="shared" ref="F144:G144" si="51">SUM(F139:F143)</f>
        <v>20118.2112891</v>
      </c>
      <c r="G144" s="242">
        <f t="shared" si="51"/>
        <v>221300.32418010003</v>
      </c>
    </row>
    <row r="145" spans="2:2" ht="12" thickTop="1" x14ac:dyDescent="0.15">
      <c r="B145" s="231"/>
    </row>
  </sheetData>
  <mergeCells count="8">
    <mergeCell ref="B103:D103"/>
    <mergeCell ref="B104:D10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95"/>
  <sheetViews>
    <sheetView topLeftCell="E1" zoomScale="130" zoomScaleNormal="130" workbookViewId="0">
      <pane ySplit="6" topLeftCell="A46" activePane="bottomLeft" state="frozen"/>
      <selection pane="bottomLeft" activeCell="O61" sqref="O61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5" style="134" bestFit="1" customWidth="1"/>
    <col min="7" max="7" width="11.85546875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1684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1670</v>
      </c>
      <c r="B7" s="146"/>
      <c r="C7" s="147">
        <v>97788.699562009511</v>
      </c>
      <c r="D7" s="323"/>
      <c r="E7" s="149"/>
      <c r="F7" s="149"/>
      <c r="G7" s="147"/>
      <c r="H7" s="323"/>
      <c r="I7" s="147"/>
      <c r="J7" s="149"/>
      <c r="K7" s="149"/>
      <c r="L7" s="226"/>
      <c r="M7" s="149"/>
      <c r="N7" s="226">
        <f>+C7</f>
        <v>97788.699562009511</v>
      </c>
      <c r="O7" s="147">
        <f>+C61</f>
        <v>293774.97556200949</v>
      </c>
    </row>
    <row r="8" spans="1:15" x14ac:dyDescent="0.15">
      <c r="A8" s="154" t="s">
        <v>1677</v>
      </c>
      <c r="B8" s="151"/>
      <c r="C8" s="152">
        <v>77961.712</v>
      </c>
      <c r="D8" s="323"/>
      <c r="E8" s="154"/>
      <c r="F8" s="154"/>
      <c r="G8" s="152"/>
      <c r="H8" s="323"/>
      <c r="I8" s="152"/>
      <c r="J8" s="154"/>
      <c r="K8" s="156"/>
      <c r="L8" s="227"/>
      <c r="M8" s="154"/>
      <c r="N8" s="227">
        <f>+N7-I8-L8</f>
        <v>97788.699562009511</v>
      </c>
      <c r="O8" s="152">
        <f t="shared" ref="O8:O60" si="0">O7+G8-I8-L8</f>
        <v>293774.97556200949</v>
      </c>
    </row>
    <row r="9" spans="1:15" x14ac:dyDescent="0.15">
      <c r="A9" s="157" t="s">
        <v>1678</v>
      </c>
      <c r="B9" s="151"/>
      <c r="C9" s="152">
        <v>118024.56400000001</v>
      </c>
      <c r="D9" s="323"/>
      <c r="E9" s="154"/>
      <c r="F9" s="154"/>
      <c r="G9" s="152"/>
      <c r="H9" s="323"/>
      <c r="I9" s="152"/>
      <c r="J9" s="154"/>
      <c r="K9" s="156"/>
      <c r="L9" s="227"/>
      <c r="M9" s="154"/>
      <c r="N9" s="227">
        <f t="shared" ref="N9:N60" si="1">+N8-I9-L9</f>
        <v>97788.699562009511</v>
      </c>
      <c r="O9" s="152">
        <f t="shared" si="0"/>
        <v>293774.97556200949</v>
      </c>
    </row>
    <row r="10" spans="1:15" x14ac:dyDescent="0.15">
      <c r="A10" s="154"/>
      <c r="B10" s="151"/>
      <c r="C10" s="152"/>
      <c r="D10" s="323"/>
      <c r="E10" s="154"/>
      <c r="F10" s="154"/>
      <c r="G10" s="152"/>
      <c r="H10" s="323">
        <v>41548</v>
      </c>
      <c r="I10" s="152">
        <v>1635.34</v>
      </c>
      <c r="J10" s="154" t="s">
        <v>1670</v>
      </c>
      <c r="K10" s="154" t="s">
        <v>1694</v>
      </c>
      <c r="L10" s="227">
        <v>15056.53</v>
      </c>
      <c r="M10" s="157" t="s">
        <v>1670</v>
      </c>
      <c r="N10" s="227">
        <f t="shared" si="1"/>
        <v>81096.829562009516</v>
      </c>
      <c r="O10" s="152">
        <f t="shared" si="0"/>
        <v>277083.10556200944</v>
      </c>
    </row>
    <row r="11" spans="1:15" x14ac:dyDescent="0.15">
      <c r="A11" s="154"/>
      <c r="B11" s="151"/>
      <c r="C11" s="152"/>
      <c r="D11" s="323"/>
      <c r="E11" s="154"/>
      <c r="F11" s="157"/>
      <c r="G11" s="152"/>
      <c r="H11" s="323">
        <v>41548</v>
      </c>
      <c r="I11" s="152"/>
      <c r="J11" s="154"/>
      <c r="K11" s="154" t="s">
        <v>1694</v>
      </c>
      <c r="L11" s="227">
        <v>9880.94</v>
      </c>
      <c r="M11" s="157" t="s">
        <v>1670</v>
      </c>
      <c r="N11" s="227">
        <f t="shared" si="1"/>
        <v>71215.889562009514</v>
      </c>
      <c r="O11" s="152">
        <f t="shared" si="0"/>
        <v>267202.16556200944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>
        <v>41548</v>
      </c>
      <c r="I12" s="152"/>
      <c r="J12" s="154"/>
      <c r="K12" s="154" t="s">
        <v>1694</v>
      </c>
      <c r="L12" s="227">
        <v>7039.56</v>
      </c>
      <c r="M12" s="154" t="s">
        <v>1670</v>
      </c>
      <c r="N12" s="227">
        <f t="shared" si="1"/>
        <v>64176.329562009516</v>
      </c>
      <c r="O12" s="152">
        <f t="shared" si="0"/>
        <v>260162.60556200944</v>
      </c>
    </row>
    <row r="13" spans="1:15" x14ac:dyDescent="0.15">
      <c r="A13" s="154"/>
      <c r="B13" s="151"/>
      <c r="C13" s="152"/>
      <c r="D13" s="323"/>
      <c r="E13" s="155"/>
      <c r="F13" s="157"/>
      <c r="G13" s="152"/>
      <c r="H13" s="323">
        <v>41548</v>
      </c>
      <c r="I13" s="152"/>
      <c r="J13" s="154"/>
      <c r="K13" s="154" t="s">
        <v>1694</v>
      </c>
      <c r="L13" s="227">
        <v>7890.18</v>
      </c>
      <c r="M13" s="154" t="s">
        <v>1670</v>
      </c>
      <c r="N13" s="227">
        <f t="shared" si="1"/>
        <v>56286.149562009516</v>
      </c>
      <c r="O13" s="152">
        <f t="shared" si="0"/>
        <v>252272.42556200945</v>
      </c>
    </row>
    <row r="14" spans="1:15" x14ac:dyDescent="0.15">
      <c r="A14" s="154"/>
      <c r="B14" s="151"/>
      <c r="C14" s="152"/>
      <c r="D14" s="323"/>
      <c r="E14" s="155"/>
      <c r="F14" s="157"/>
      <c r="G14" s="152"/>
      <c r="H14" s="323">
        <v>41549</v>
      </c>
      <c r="I14" s="152">
        <v>3016</v>
      </c>
      <c r="J14" s="154" t="s">
        <v>1670</v>
      </c>
      <c r="K14" s="154"/>
      <c r="L14" s="227"/>
      <c r="M14" s="154"/>
      <c r="N14" s="227">
        <f t="shared" si="1"/>
        <v>53270.149562009516</v>
      </c>
      <c r="O14" s="152">
        <f t="shared" si="0"/>
        <v>249256.42556200945</v>
      </c>
    </row>
    <row r="15" spans="1:15" x14ac:dyDescent="0.15">
      <c r="A15" s="154"/>
      <c r="B15" s="151"/>
      <c r="C15" s="152"/>
      <c r="D15" s="323"/>
      <c r="E15" s="155"/>
      <c r="F15" s="157"/>
      <c r="G15" s="152"/>
      <c r="H15" s="323">
        <v>41550</v>
      </c>
      <c r="I15" s="152">
        <v>831.75</v>
      </c>
      <c r="J15" s="154" t="s">
        <v>1670</v>
      </c>
      <c r="K15" s="154" t="s">
        <v>1694</v>
      </c>
      <c r="L15" s="227">
        <v>616.80999999999995</v>
      </c>
      <c r="M15" s="154" t="s">
        <v>1670</v>
      </c>
      <c r="N15" s="227">
        <f t="shared" si="1"/>
        <v>51821.589562009518</v>
      </c>
      <c r="O15" s="152">
        <f t="shared" si="0"/>
        <v>247807.86556200945</v>
      </c>
    </row>
    <row r="16" spans="1:15" x14ac:dyDescent="0.15">
      <c r="A16" s="154"/>
      <c r="B16" s="151"/>
      <c r="C16" s="152"/>
      <c r="D16" s="323"/>
      <c r="E16" s="155"/>
      <c r="F16" s="157"/>
      <c r="G16" s="152"/>
      <c r="H16" s="323">
        <v>41550</v>
      </c>
      <c r="I16" s="152"/>
      <c r="J16" s="154"/>
      <c r="K16" s="154" t="s">
        <v>1694</v>
      </c>
      <c r="L16" s="227">
        <v>1264.6199999999999</v>
      </c>
      <c r="M16" s="154" t="s">
        <v>1670</v>
      </c>
      <c r="N16" s="227">
        <f t="shared" si="1"/>
        <v>50556.969562009515</v>
      </c>
      <c r="O16" s="152">
        <f t="shared" si="0"/>
        <v>246543.24556200946</v>
      </c>
    </row>
    <row r="17" spans="1:15" x14ac:dyDescent="0.15">
      <c r="A17" s="154"/>
      <c r="B17" s="151"/>
      <c r="C17" s="152"/>
      <c r="D17" s="323"/>
      <c r="E17" s="155"/>
      <c r="F17" s="157"/>
      <c r="G17" s="152"/>
      <c r="H17" s="323">
        <v>41551</v>
      </c>
      <c r="I17" s="152">
        <v>463.28</v>
      </c>
      <c r="J17" s="154" t="s">
        <v>1670</v>
      </c>
      <c r="K17" s="154" t="s">
        <v>1694</v>
      </c>
      <c r="L17" s="227">
        <v>35941.85</v>
      </c>
      <c r="M17" s="154" t="s">
        <v>1670</v>
      </c>
      <c r="N17" s="227">
        <f t="shared" si="1"/>
        <v>14151.839562009518</v>
      </c>
      <c r="O17" s="152">
        <f t="shared" si="0"/>
        <v>210138.11556200945</v>
      </c>
    </row>
    <row r="18" spans="1:15" x14ac:dyDescent="0.15">
      <c r="A18" s="154"/>
      <c r="B18" s="151"/>
      <c r="C18" s="152"/>
      <c r="D18" s="323"/>
      <c r="E18" s="155"/>
      <c r="F18" s="157"/>
      <c r="G18" s="152"/>
      <c r="H18" s="323">
        <v>41552</v>
      </c>
      <c r="I18" s="152"/>
      <c r="J18" s="154"/>
      <c r="K18" s="154" t="s">
        <v>1694</v>
      </c>
      <c r="L18" s="227">
        <v>13318.84</v>
      </c>
      <c r="M18" s="154" t="s">
        <v>1670</v>
      </c>
      <c r="N18" s="227">
        <f t="shared" si="1"/>
        <v>832.99956200951783</v>
      </c>
      <c r="O18" s="152">
        <f t="shared" si="0"/>
        <v>196819.27556200945</v>
      </c>
    </row>
    <row r="19" spans="1:15" x14ac:dyDescent="0.15">
      <c r="A19" s="154"/>
      <c r="B19" s="151"/>
      <c r="C19" s="152"/>
      <c r="D19" s="323"/>
      <c r="E19" s="155"/>
      <c r="F19" s="157"/>
      <c r="G19" s="152"/>
      <c r="H19" s="323">
        <v>41553</v>
      </c>
      <c r="I19" s="152"/>
      <c r="J19" s="154"/>
      <c r="K19" s="154" t="s">
        <v>1694</v>
      </c>
      <c r="L19" s="227">
        <v>832.99956200951783</v>
      </c>
      <c r="M19" s="154" t="s">
        <v>1670</v>
      </c>
      <c r="N19" s="227">
        <f t="shared" si="1"/>
        <v>0</v>
      </c>
      <c r="O19" s="152">
        <f t="shared" si="0"/>
        <v>195986.27599999993</v>
      </c>
    </row>
    <row r="20" spans="1:15" x14ac:dyDescent="0.15">
      <c r="A20" s="154"/>
      <c r="B20" s="151"/>
      <c r="C20" s="152"/>
      <c r="D20" s="323"/>
      <c r="E20" s="155"/>
      <c r="F20" s="157"/>
      <c r="G20" s="152"/>
      <c r="H20" s="323">
        <v>41553</v>
      </c>
      <c r="I20" s="152"/>
      <c r="J20" s="154"/>
      <c r="K20" s="154" t="s">
        <v>1693</v>
      </c>
      <c r="L20" s="227">
        <v>10232.9204379905</v>
      </c>
      <c r="M20" s="154" t="s">
        <v>1677</v>
      </c>
      <c r="N20" s="227">
        <f>C8+N19-I20-L20</f>
        <v>67728.791562009501</v>
      </c>
      <c r="O20" s="152">
        <f t="shared" si="0"/>
        <v>185753.35556200941</v>
      </c>
    </row>
    <row r="21" spans="1:15" x14ac:dyDescent="0.15">
      <c r="A21" s="154"/>
      <c r="B21" s="151"/>
      <c r="C21" s="152"/>
      <c r="D21" s="323"/>
      <c r="E21" s="155"/>
      <c r="F21" s="157"/>
      <c r="G21" s="152"/>
      <c r="H21" s="323">
        <v>41553</v>
      </c>
      <c r="I21" s="152"/>
      <c r="J21" s="154"/>
      <c r="K21" s="154" t="s">
        <v>1693</v>
      </c>
      <c r="L21" s="227">
        <v>7774.59</v>
      </c>
      <c r="M21" s="154" t="s">
        <v>1677</v>
      </c>
      <c r="N21" s="227">
        <f t="shared" si="1"/>
        <v>59954.201562009504</v>
      </c>
      <c r="O21" s="152">
        <f t="shared" si="0"/>
        <v>177978.76556200942</v>
      </c>
    </row>
    <row r="22" spans="1:15" x14ac:dyDescent="0.15">
      <c r="A22" s="154"/>
      <c r="B22" s="151"/>
      <c r="C22" s="152"/>
      <c r="D22" s="323"/>
      <c r="E22" s="155"/>
      <c r="F22" s="157"/>
      <c r="G22" s="152"/>
      <c r="H22" s="323">
        <v>41553</v>
      </c>
      <c r="I22" s="152"/>
      <c r="J22" s="154"/>
      <c r="K22" s="154" t="s">
        <v>1693</v>
      </c>
      <c r="L22" s="227">
        <v>6897.17</v>
      </c>
      <c r="M22" s="154" t="s">
        <v>1677</v>
      </c>
      <c r="N22" s="227">
        <f t="shared" si="1"/>
        <v>53057.031562009506</v>
      </c>
      <c r="O22" s="152">
        <f t="shared" si="0"/>
        <v>171081.5955620094</v>
      </c>
    </row>
    <row r="23" spans="1:15" x14ac:dyDescent="0.15">
      <c r="A23" s="154"/>
      <c r="B23" s="151"/>
      <c r="C23" s="152"/>
      <c r="D23" s="323"/>
      <c r="E23" s="155"/>
      <c r="F23" s="157"/>
      <c r="G23" s="152"/>
      <c r="H23" s="323">
        <v>41553</v>
      </c>
      <c r="I23" s="152"/>
      <c r="J23" s="154"/>
      <c r="K23" s="154" t="s">
        <v>1693</v>
      </c>
      <c r="L23" s="227">
        <v>1062.08</v>
      </c>
      <c r="M23" s="154" t="s">
        <v>1677</v>
      </c>
      <c r="N23" s="227">
        <f t="shared" si="1"/>
        <v>51994.951562009504</v>
      </c>
      <c r="O23" s="152">
        <f t="shared" si="0"/>
        <v>170019.51556200942</v>
      </c>
    </row>
    <row r="24" spans="1:15" x14ac:dyDescent="0.15">
      <c r="A24" s="154"/>
      <c r="B24" s="151"/>
      <c r="C24" s="152"/>
      <c r="D24" s="323"/>
      <c r="E24" s="155"/>
      <c r="F24" s="157"/>
      <c r="G24" s="152"/>
      <c r="H24" s="323">
        <v>41554</v>
      </c>
      <c r="I24" s="152"/>
      <c r="J24" s="154"/>
      <c r="K24" s="154" t="s">
        <v>1693</v>
      </c>
      <c r="L24" s="227">
        <v>567.46</v>
      </c>
      <c r="M24" s="154" t="s">
        <v>1677</v>
      </c>
      <c r="N24" s="227">
        <f t="shared" si="1"/>
        <v>51427.491562009505</v>
      </c>
      <c r="O24" s="152">
        <f t="shared" si="0"/>
        <v>169452.05556200942</v>
      </c>
    </row>
    <row r="25" spans="1:15" x14ac:dyDescent="0.15">
      <c r="A25" s="154"/>
      <c r="B25" s="151"/>
      <c r="C25" s="152"/>
      <c r="D25" s="323"/>
      <c r="E25" s="155"/>
      <c r="F25" s="157"/>
      <c r="G25" s="152"/>
      <c r="H25" s="323">
        <v>41554</v>
      </c>
      <c r="I25" s="152"/>
      <c r="J25" s="154"/>
      <c r="K25" s="154" t="s">
        <v>1693</v>
      </c>
      <c r="L25" s="227">
        <v>900.73</v>
      </c>
      <c r="M25" s="154" t="s">
        <v>1677</v>
      </c>
      <c r="N25" s="227">
        <f t="shared" si="1"/>
        <v>50526.761562009502</v>
      </c>
      <c r="O25" s="152">
        <f t="shared" si="0"/>
        <v>168551.32556200941</v>
      </c>
    </row>
    <row r="26" spans="1:15" x14ac:dyDescent="0.15">
      <c r="A26" s="154"/>
      <c r="B26" s="151"/>
      <c r="C26" s="152"/>
      <c r="D26" s="323"/>
      <c r="E26" s="155"/>
      <c r="F26" s="157"/>
      <c r="G26" s="152"/>
      <c r="H26" s="323">
        <v>41555</v>
      </c>
      <c r="I26" s="152">
        <v>4177</v>
      </c>
      <c r="J26" s="154" t="s">
        <v>1677</v>
      </c>
      <c r="K26" s="154"/>
      <c r="L26" s="227"/>
      <c r="M26" s="154"/>
      <c r="N26" s="227">
        <f t="shared" si="1"/>
        <v>46349.761562009502</v>
      </c>
      <c r="O26" s="152">
        <f t="shared" si="0"/>
        <v>164374.32556200941</v>
      </c>
    </row>
    <row r="27" spans="1:15" x14ac:dyDescent="0.15">
      <c r="A27" s="154"/>
      <c r="B27" s="151"/>
      <c r="C27" s="152"/>
      <c r="D27" s="323">
        <v>41556</v>
      </c>
      <c r="E27" s="155"/>
      <c r="F27" s="157" t="s">
        <v>1685</v>
      </c>
      <c r="G27" s="152">
        <v>116127.23000000001</v>
      </c>
      <c r="H27" s="323">
        <v>41556</v>
      </c>
      <c r="I27" s="152"/>
      <c r="J27" s="157"/>
      <c r="K27" s="154" t="s">
        <v>1693</v>
      </c>
      <c r="L27" s="227">
        <v>493.8</v>
      </c>
      <c r="M27" s="154" t="s">
        <v>1677</v>
      </c>
      <c r="N27" s="227">
        <f t="shared" si="1"/>
        <v>45855.961562009499</v>
      </c>
      <c r="O27" s="152">
        <f t="shared" si="0"/>
        <v>280007.75556200946</v>
      </c>
    </row>
    <row r="28" spans="1:15" x14ac:dyDescent="0.15">
      <c r="A28" s="154"/>
      <c r="B28" s="151"/>
      <c r="C28" s="152"/>
      <c r="D28" s="323"/>
      <c r="E28" s="155"/>
      <c r="F28" s="157"/>
      <c r="G28" s="152"/>
      <c r="H28" s="323">
        <v>41557</v>
      </c>
      <c r="I28" s="152">
        <v>2593.71</v>
      </c>
      <c r="J28" s="154" t="s">
        <v>1677</v>
      </c>
      <c r="K28" s="154"/>
      <c r="L28" s="227"/>
      <c r="M28" s="154"/>
      <c r="N28" s="227">
        <f t="shared" si="1"/>
        <v>43262.2515620095</v>
      </c>
      <c r="O28" s="152">
        <f t="shared" si="0"/>
        <v>277414.04556200944</v>
      </c>
    </row>
    <row r="29" spans="1:15" x14ac:dyDescent="0.15">
      <c r="A29" s="154"/>
      <c r="B29" s="151"/>
      <c r="C29" s="152"/>
      <c r="D29" s="323"/>
      <c r="E29" s="155"/>
      <c r="F29" s="154"/>
      <c r="G29" s="152"/>
      <c r="H29" s="323">
        <v>41558</v>
      </c>
      <c r="I29" s="152">
        <v>954</v>
      </c>
      <c r="J29" s="154" t="s">
        <v>1677</v>
      </c>
      <c r="K29" s="154"/>
      <c r="L29" s="227"/>
      <c r="M29" s="157"/>
      <c r="N29" s="227">
        <f t="shared" si="1"/>
        <v>42308.2515620095</v>
      </c>
      <c r="O29" s="152">
        <f t="shared" si="0"/>
        <v>276460.04556200944</v>
      </c>
    </row>
    <row r="30" spans="1:15" x14ac:dyDescent="0.15">
      <c r="A30" s="154"/>
      <c r="B30" s="151"/>
      <c r="C30" s="152"/>
      <c r="D30" s="323"/>
      <c r="E30" s="155"/>
      <c r="F30" s="154"/>
      <c r="G30" s="152"/>
      <c r="H30" s="323">
        <v>41559</v>
      </c>
      <c r="I30" s="152"/>
      <c r="J30" s="157"/>
      <c r="K30" s="154" t="s">
        <v>1693</v>
      </c>
      <c r="L30" s="227">
        <v>2977.41</v>
      </c>
      <c r="M30" s="154" t="s">
        <v>1677</v>
      </c>
      <c r="N30" s="227">
        <f t="shared" si="1"/>
        <v>39330.841562009504</v>
      </c>
      <c r="O30" s="152">
        <f t="shared" si="0"/>
        <v>273482.63556200947</v>
      </c>
    </row>
    <row r="31" spans="1:15" x14ac:dyDescent="0.15">
      <c r="A31" s="154"/>
      <c r="B31" s="151"/>
      <c r="C31" s="152"/>
      <c r="D31" s="323">
        <v>41560</v>
      </c>
      <c r="E31" s="155"/>
      <c r="F31" s="157" t="s">
        <v>1686</v>
      </c>
      <c r="G31" s="152">
        <v>39004.36</v>
      </c>
      <c r="H31" s="323">
        <v>41560</v>
      </c>
      <c r="I31" s="152"/>
      <c r="J31" s="157"/>
      <c r="K31" s="154"/>
      <c r="L31" s="227"/>
      <c r="M31" s="157"/>
      <c r="N31" s="227">
        <f t="shared" si="1"/>
        <v>39330.841562009504</v>
      </c>
      <c r="O31" s="152">
        <f t="shared" si="0"/>
        <v>312486.99556200946</v>
      </c>
    </row>
    <row r="32" spans="1:15" x14ac:dyDescent="0.15">
      <c r="A32" s="154"/>
      <c r="B32" s="151"/>
      <c r="C32" s="152"/>
      <c r="D32" s="323"/>
      <c r="E32" s="155"/>
      <c r="F32" s="157"/>
      <c r="G32" s="152"/>
      <c r="H32" s="323">
        <v>41561</v>
      </c>
      <c r="I32" s="152">
        <v>508</v>
      </c>
      <c r="J32" s="154" t="s">
        <v>1677</v>
      </c>
      <c r="K32" s="154"/>
      <c r="L32" s="227"/>
      <c r="M32" s="157"/>
      <c r="N32" s="227">
        <f t="shared" si="1"/>
        <v>38822.841562009504</v>
      </c>
      <c r="O32" s="152">
        <f t="shared" si="0"/>
        <v>311978.99556200946</v>
      </c>
    </row>
    <row r="33" spans="1:15" x14ac:dyDescent="0.15">
      <c r="A33" s="154"/>
      <c r="B33" s="151"/>
      <c r="C33" s="152"/>
      <c r="D33" s="323"/>
      <c r="E33" s="155"/>
      <c r="F33" s="157"/>
      <c r="G33" s="152"/>
      <c r="H33" s="323">
        <v>41563</v>
      </c>
      <c r="I33" s="152">
        <v>1059.3900000000001</v>
      </c>
      <c r="J33" s="154" t="s">
        <v>1677</v>
      </c>
      <c r="K33" s="154"/>
      <c r="L33" s="227"/>
      <c r="M33" s="157"/>
      <c r="N33" s="227">
        <f t="shared" si="1"/>
        <v>37763.451562009504</v>
      </c>
      <c r="O33" s="152">
        <f t="shared" si="0"/>
        <v>310919.60556200944</v>
      </c>
    </row>
    <row r="34" spans="1:15" x14ac:dyDescent="0.15">
      <c r="A34" s="154"/>
      <c r="B34" s="151"/>
      <c r="C34" s="152"/>
      <c r="D34" s="323"/>
      <c r="E34" s="155"/>
      <c r="F34" s="157"/>
      <c r="G34" s="152"/>
      <c r="H34" s="323">
        <v>41565</v>
      </c>
      <c r="I34" s="152"/>
      <c r="J34" s="157"/>
      <c r="K34" s="154" t="s">
        <v>1693</v>
      </c>
      <c r="L34" s="227">
        <v>527</v>
      </c>
      <c r="M34" s="154" t="s">
        <v>1677</v>
      </c>
      <c r="N34" s="227">
        <f t="shared" si="1"/>
        <v>37236.451562009504</v>
      </c>
      <c r="O34" s="152">
        <f t="shared" si="0"/>
        <v>310392.60556200944</v>
      </c>
    </row>
    <row r="35" spans="1:15" x14ac:dyDescent="0.15">
      <c r="A35" s="154"/>
      <c r="B35" s="151"/>
      <c r="C35" s="152"/>
      <c r="D35" s="323"/>
      <c r="E35" s="155"/>
      <c r="F35" s="157"/>
      <c r="G35" s="152"/>
      <c r="H35" s="323">
        <v>41565</v>
      </c>
      <c r="I35" s="152"/>
      <c r="J35" s="154"/>
      <c r="K35" s="154" t="s">
        <v>1693</v>
      </c>
      <c r="L35" s="227">
        <v>571</v>
      </c>
      <c r="M35" s="154" t="s">
        <v>1677</v>
      </c>
      <c r="N35" s="227">
        <f t="shared" si="1"/>
        <v>36665.451562009504</v>
      </c>
      <c r="O35" s="152">
        <f t="shared" si="0"/>
        <v>309821.60556200944</v>
      </c>
    </row>
    <row r="36" spans="1:15" x14ac:dyDescent="0.15">
      <c r="A36" s="154"/>
      <c r="B36" s="151"/>
      <c r="C36" s="152"/>
      <c r="D36" s="323"/>
      <c r="E36" s="155"/>
      <c r="F36" s="157"/>
      <c r="G36" s="152"/>
      <c r="H36" s="323">
        <v>41565</v>
      </c>
      <c r="I36" s="152"/>
      <c r="J36" s="157"/>
      <c r="K36" s="154" t="s">
        <v>1693</v>
      </c>
      <c r="L36" s="227">
        <v>405</v>
      </c>
      <c r="M36" s="154" t="s">
        <v>1677</v>
      </c>
      <c r="N36" s="227">
        <f t="shared" si="1"/>
        <v>36260.451562009504</v>
      </c>
      <c r="O36" s="152">
        <f t="shared" si="0"/>
        <v>309416.60556200944</v>
      </c>
    </row>
    <row r="37" spans="1:15" x14ac:dyDescent="0.15">
      <c r="A37" s="154"/>
      <c r="B37" s="151"/>
      <c r="C37" s="152"/>
      <c r="D37" s="323"/>
      <c r="E37" s="155"/>
      <c r="F37" s="157"/>
      <c r="G37" s="152"/>
      <c r="H37" s="323">
        <v>41565</v>
      </c>
      <c r="I37" s="152"/>
      <c r="J37" s="154"/>
      <c r="K37" s="154" t="s">
        <v>1693</v>
      </c>
      <c r="L37" s="227">
        <v>726</v>
      </c>
      <c r="M37" s="154" t="s">
        <v>1677</v>
      </c>
      <c r="N37" s="227">
        <f t="shared" si="1"/>
        <v>35534.451562009504</v>
      </c>
      <c r="O37" s="152">
        <f t="shared" si="0"/>
        <v>308690.60556200944</v>
      </c>
    </row>
    <row r="38" spans="1:15" x14ac:dyDescent="0.15">
      <c r="A38" s="154"/>
      <c r="B38" s="151"/>
      <c r="C38" s="152"/>
      <c r="D38" s="323"/>
      <c r="E38" s="155"/>
      <c r="F38" s="157"/>
      <c r="G38" s="152"/>
      <c r="H38" s="323">
        <v>41565</v>
      </c>
      <c r="I38" s="152"/>
      <c r="J38" s="157"/>
      <c r="K38" s="154" t="s">
        <v>1693</v>
      </c>
      <c r="L38" s="227">
        <v>494</v>
      </c>
      <c r="M38" s="154" t="s">
        <v>1677</v>
      </c>
      <c r="N38" s="227">
        <f t="shared" si="1"/>
        <v>35040.451562009504</v>
      </c>
      <c r="O38" s="152">
        <f t="shared" si="0"/>
        <v>308196.60556200944</v>
      </c>
    </row>
    <row r="39" spans="1:15" x14ac:dyDescent="0.15">
      <c r="A39" s="154"/>
      <c r="B39" s="151"/>
      <c r="C39" s="152"/>
      <c r="D39" s="323">
        <v>41566</v>
      </c>
      <c r="E39" s="155"/>
      <c r="F39" s="157" t="s">
        <v>1687</v>
      </c>
      <c r="G39" s="152">
        <v>19003.258999999998</v>
      </c>
      <c r="H39" s="323">
        <v>41566</v>
      </c>
      <c r="I39" s="152">
        <v>514.1</v>
      </c>
      <c r="J39" s="154" t="s">
        <v>1677</v>
      </c>
      <c r="K39" s="154" t="s">
        <v>1693</v>
      </c>
      <c r="L39" s="227">
        <v>1774.44</v>
      </c>
      <c r="M39" s="154" t="s">
        <v>1677</v>
      </c>
      <c r="N39" s="227">
        <f t="shared" si="1"/>
        <v>32751.911562009507</v>
      </c>
      <c r="O39" s="152">
        <f t="shared" si="0"/>
        <v>324911.32456200948</v>
      </c>
    </row>
    <row r="40" spans="1:15" x14ac:dyDescent="0.15">
      <c r="A40" s="154"/>
      <c r="B40" s="151"/>
      <c r="C40" s="152"/>
      <c r="D40" s="323">
        <v>41567</v>
      </c>
      <c r="E40" s="155"/>
      <c r="F40" s="157" t="s">
        <v>1687</v>
      </c>
      <c r="G40" s="152">
        <v>135079.503</v>
      </c>
      <c r="H40" s="323">
        <v>41567</v>
      </c>
      <c r="I40" s="152">
        <v>1922.44</v>
      </c>
      <c r="J40" s="154" t="s">
        <v>1677</v>
      </c>
      <c r="K40" s="154"/>
      <c r="L40" s="227"/>
      <c r="M40" s="157"/>
      <c r="N40" s="227">
        <f t="shared" si="1"/>
        <v>30829.471562009508</v>
      </c>
      <c r="O40" s="152">
        <f t="shared" si="0"/>
        <v>458068.38756200945</v>
      </c>
    </row>
    <row r="41" spans="1:15" x14ac:dyDescent="0.15">
      <c r="A41" s="154"/>
      <c r="B41" s="151"/>
      <c r="C41" s="152"/>
      <c r="D41" s="323">
        <v>41568</v>
      </c>
      <c r="E41" s="155"/>
      <c r="F41" s="157" t="s">
        <v>1687</v>
      </c>
      <c r="G41" s="152">
        <v>37937.240000000005</v>
      </c>
      <c r="H41" s="323">
        <v>41568</v>
      </c>
      <c r="I41" s="152">
        <v>879.25</v>
      </c>
      <c r="J41" s="154" t="s">
        <v>1677</v>
      </c>
      <c r="K41" s="154"/>
      <c r="L41" s="227"/>
      <c r="M41" s="157"/>
      <c r="N41" s="227">
        <f t="shared" si="1"/>
        <v>29950.221562009508</v>
      </c>
      <c r="O41" s="152">
        <f t="shared" si="0"/>
        <v>495126.37756200944</v>
      </c>
    </row>
    <row r="42" spans="1:15" x14ac:dyDescent="0.15">
      <c r="A42" s="154"/>
      <c r="B42" s="151"/>
      <c r="C42" s="152"/>
      <c r="D42" s="323"/>
      <c r="E42" s="155"/>
      <c r="F42" s="157"/>
      <c r="G42" s="152"/>
      <c r="H42" s="323">
        <v>41569</v>
      </c>
      <c r="I42" s="152">
        <v>2235.8999999999996</v>
      </c>
      <c r="J42" s="154" t="s">
        <v>1677</v>
      </c>
      <c r="K42" s="154" t="s">
        <v>1693</v>
      </c>
      <c r="L42" s="227">
        <v>3978.44</v>
      </c>
      <c r="M42" s="154" t="s">
        <v>1677</v>
      </c>
      <c r="N42" s="227">
        <f t="shared" si="1"/>
        <v>23735.881562009508</v>
      </c>
      <c r="O42" s="152">
        <f t="shared" si="0"/>
        <v>488912.03756200941</v>
      </c>
    </row>
    <row r="43" spans="1:15" x14ac:dyDescent="0.15">
      <c r="A43" s="154"/>
      <c r="B43" s="151"/>
      <c r="C43" s="152"/>
      <c r="D43" s="323">
        <v>41571</v>
      </c>
      <c r="E43" s="155"/>
      <c r="F43" s="157" t="s">
        <v>1688</v>
      </c>
      <c r="G43" s="152">
        <v>96983.763999999996</v>
      </c>
      <c r="H43" s="323">
        <v>41571</v>
      </c>
      <c r="I43" s="152"/>
      <c r="J43" s="157"/>
      <c r="K43" s="154"/>
      <c r="L43" s="227"/>
      <c r="M43" s="157"/>
      <c r="N43" s="227">
        <f t="shared" si="1"/>
        <v>23735.881562009508</v>
      </c>
      <c r="O43" s="152">
        <f t="shared" si="0"/>
        <v>585895.80156200938</v>
      </c>
    </row>
    <row r="44" spans="1:15" x14ac:dyDescent="0.15">
      <c r="A44" s="154"/>
      <c r="B44" s="151"/>
      <c r="C44" s="152"/>
      <c r="D44" s="323"/>
      <c r="E44" s="155"/>
      <c r="F44" s="157"/>
      <c r="G44" s="152"/>
      <c r="H44" s="323">
        <v>41572</v>
      </c>
      <c r="I44" s="152">
        <v>1870.08</v>
      </c>
      <c r="J44" s="154" t="s">
        <v>1677</v>
      </c>
      <c r="K44" s="154"/>
      <c r="L44" s="227"/>
      <c r="M44" s="157"/>
      <c r="N44" s="227">
        <f t="shared" si="1"/>
        <v>21865.80156200951</v>
      </c>
      <c r="O44" s="152">
        <f t="shared" si="0"/>
        <v>584025.72156200942</v>
      </c>
    </row>
    <row r="45" spans="1:15" x14ac:dyDescent="0.15">
      <c r="A45" s="154"/>
      <c r="B45" s="151"/>
      <c r="C45" s="152"/>
      <c r="D45" s="323"/>
      <c r="E45" s="155"/>
      <c r="F45" s="157"/>
      <c r="G45" s="152"/>
      <c r="H45" s="323">
        <v>41573</v>
      </c>
      <c r="I45" s="152"/>
      <c r="J45" s="157"/>
      <c r="K45" s="154" t="s">
        <v>1693</v>
      </c>
      <c r="L45" s="227">
        <v>21865.80156200951</v>
      </c>
      <c r="M45" s="154" t="s">
        <v>1677</v>
      </c>
      <c r="N45" s="227">
        <f t="shared" si="1"/>
        <v>0</v>
      </c>
      <c r="O45" s="152">
        <f t="shared" si="0"/>
        <v>562159.91999999993</v>
      </c>
    </row>
    <row r="46" spans="1:15" x14ac:dyDescent="0.15">
      <c r="A46" s="154"/>
      <c r="B46" s="151"/>
      <c r="C46" s="152"/>
      <c r="D46" s="323"/>
      <c r="E46" s="155"/>
      <c r="F46" s="157"/>
      <c r="G46" s="152"/>
      <c r="H46" s="323">
        <v>41573</v>
      </c>
      <c r="I46" s="152"/>
      <c r="J46" s="157"/>
      <c r="K46" s="154" t="s">
        <v>1694</v>
      </c>
      <c r="L46" s="227">
        <v>38955.018437990497</v>
      </c>
      <c r="M46" s="157" t="s">
        <v>1678</v>
      </c>
      <c r="N46" s="227">
        <f>C9+N45-I46-L46</f>
        <v>79069.545562009516</v>
      </c>
      <c r="O46" s="152">
        <f t="shared" si="0"/>
        <v>523204.90156200941</v>
      </c>
    </row>
    <row r="47" spans="1:15" x14ac:dyDescent="0.15">
      <c r="A47" s="154"/>
      <c r="B47" s="151"/>
      <c r="C47" s="152"/>
      <c r="D47" s="323"/>
      <c r="E47" s="155"/>
      <c r="F47" s="157"/>
      <c r="G47" s="152"/>
      <c r="H47" s="323">
        <v>41574</v>
      </c>
      <c r="I47" s="152">
        <v>4005.6500000000005</v>
      </c>
      <c r="J47" s="157" t="s">
        <v>1678</v>
      </c>
      <c r="K47" s="154" t="s">
        <v>1694</v>
      </c>
      <c r="L47" s="227">
        <v>61011.8</v>
      </c>
      <c r="M47" s="157" t="s">
        <v>1678</v>
      </c>
      <c r="N47" s="227">
        <f t="shared" si="1"/>
        <v>14052.095562009519</v>
      </c>
      <c r="O47" s="152">
        <f t="shared" si="0"/>
        <v>458187.4515620094</v>
      </c>
    </row>
    <row r="48" spans="1:15" x14ac:dyDescent="0.15">
      <c r="A48" s="154"/>
      <c r="B48" s="151"/>
      <c r="C48" s="152"/>
      <c r="D48" s="323"/>
      <c r="E48" s="155"/>
      <c r="F48" s="157"/>
      <c r="G48" s="152"/>
      <c r="H48" s="323">
        <v>41574</v>
      </c>
      <c r="I48" s="152"/>
      <c r="J48" s="157"/>
      <c r="K48" s="154" t="s">
        <v>1694</v>
      </c>
      <c r="L48" s="227">
        <v>445.23</v>
      </c>
      <c r="M48" s="157" t="s">
        <v>1678</v>
      </c>
      <c r="N48" s="227">
        <f t="shared" si="1"/>
        <v>13606.86556200952</v>
      </c>
      <c r="O48" s="152">
        <f t="shared" si="0"/>
        <v>457742.22156200942</v>
      </c>
    </row>
    <row r="49" spans="1:15" x14ac:dyDescent="0.15">
      <c r="A49" s="154"/>
      <c r="B49" s="151"/>
      <c r="C49" s="152"/>
      <c r="D49" s="323">
        <v>41575</v>
      </c>
      <c r="E49" s="155"/>
      <c r="F49" s="157" t="s">
        <v>1689</v>
      </c>
      <c r="G49" s="152">
        <v>96986.718999999997</v>
      </c>
      <c r="H49" s="323">
        <v>41575</v>
      </c>
      <c r="I49" s="152"/>
      <c r="J49" s="154"/>
      <c r="K49" s="154" t="s">
        <v>1694</v>
      </c>
      <c r="L49" s="227">
        <v>691.7</v>
      </c>
      <c r="M49" s="157" t="s">
        <v>1678</v>
      </c>
      <c r="N49" s="227">
        <f t="shared" si="1"/>
        <v>12915.165562009519</v>
      </c>
      <c r="O49" s="152">
        <f t="shared" si="0"/>
        <v>554037.24056200951</v>
      </c>
    </row>
    <row r="50" spans="1:15" x14ac:dyDescent="0.15">
      <c r="A50" s="154"/>
      <c r="B50" s="151"/>
      <c r="C50" s="151"/>
      <c r="D50" s="323"/>
      <c r="E50" s="155"/>
      <c r="F50" s="157"/>
      <c r="G50" s="152"/>
      <c r="H50" s="323">
        <v>41576</v>
      </c>
      <c r="I50" s="152"/>
      <c r="J50" s="154"/>
      <c r="K50" s="154" t="s">
        <v>1694</v>
      </c>
      <c r="L50" s="227">
        <v>5728.49</v>
      </c>
      <c r="M50" s="157" t="s">
        <v>1678</v>
      </c>
      <c r="N50" s="227">
        <f t="shared" si="1"/>
        <v>7186.6755620095191</v>
      </c>
      <c r="O50" s="152">
        <f t="shared" si="0"/>
        <v>548308.75056200952</v>
      </c>
    </row>
    <row r="51" spans="1:15" x14ac:dyDescent="0.15">
      <c r="A51" s="154"/>
      <c r="B51" s="151"/>
      <c r="C51" s="151"/>
      <c r="D51" s="323"/>
      <c r="E51" s="155"/>
      <c r="F51" s="157"/>
      <c r="G51" s="152"/>
      <c r="H51" s="323">
        <v>41577</v>
      </c>
      <c r="I51" s="152"/>
      <c r="J51" s="154"/>
      <c r="K51" s="154" t="s">
        <v>1694</v>
      </c>
      <c r="L51" s="227">
        <v>7186.6755620095191</v>
      </c>
      <c r="M51" s="157" t="s">
        <v>1678</v>
      </c>
      <c r="N51" s="227">
        <f t="shared" si="1"/>
        <v>0</v>
      </c>
      <c r="O51" s="152">
        <f t="shared" si="0"/>
        <v>541122.07499999995</v>
      </c>
    </row>
    <row r="52" spans="1:15" x14ac:dyDescent="0.15">
      <c r="A52" s="154"/>
      <c r="B52" s="151"/>
      <c r="C52" s="151"/>
      <c r="D52" s="323"/>
      <c r="E52" s="155"/>
      <c r="F52" s="157"/>
      <c r="G52" s="152"/>
      <c r="H52" s="323">
        <v>41577</v>
      </c>
      <c r="I52" s="152"/>
      <c r="J52" s="154"/>
      <c r="K52" s="154" t="s">
        <v>1694</v>
      </c>
      <c r="L52" s="227">
        <v>52546.304437990497</v>
      </c>
      <c r="M52" s="157" t="s">
        <v>1685</v>
      </c>
      <c r="N52" s="227">
        <f>G27+N51-I52-L52</f>
        <v>63580.925562009514</v>
      </c>
      <c r="O52" s="152">
        <f t="shared" si="0"/>
        <v>488575.77056200948</v>
      </c>
    </row>
    <row r="53" spans="1:15" x14ac:dyDescent="0.15">
      <c r="A53" s="154"/>
      <c r="B53" s="151"/>
      <c r="C53" s="151"/>
      <c r="D53" s="323"/>
      <c r="E53" s="155"/>
      <c r="F53" s="157"/>
      <c r="G53" s="152"/>
      <c r="H53" s="323">
        <v>41578</v>
      </c>
      <c r="I53" s="152"/>
      <c r="J53" s="157"/>
      <c r="K53" s="154" t="s">
        <v>1694</v>
      </c>
      <c r="L53" s="227">
        <v>853</v>
      </c>
      <c r="M53" s="157" t="s">
        <v>1685</v>
      </c>
      <c r="N53" s="227">
        <f t="shared" si="1"/>
        <v>62727.925562009514</v>
      </c>
      <c r="O53" s="152">
        <f t="shared" si="0"/>
        <v>487722.77056200948</v>
      </c>
    </row>
    <row r="54" spans="1:15" hidden="1" x14ac:dyDescent="0.15">
      <c r="A54" s="154"/>
      <c r="B54" s="151"/>
      <c r="C54" s="151"/>
      <c r="D54" s="323"/>
      <c r="E54" s="155"/>
      <c r="F54" s="157"/>
      <c r="G54" s="152"/>
      <c r="H54" s="323"/>
      <c r="I54" s="152"/>
      <c r="J54" s="154"/>
      <c r="K54" s="154"/>
      <c r="L54" s="227"/>
      <c r="M54" s="157"/>
      <c r="N54" s="227">
        <f t="shared" si="1"/>
        <v>62727.925562009514</v>
      </c>
      <c r="O54" s="152">
        <f t="shared" si="0"/>
        <v>487722.77056200948</v>
      </c>
    </row>
    <row r="55" spans="1:15" hidden="1" x14ac:dyDescent="0.15">
      <c r="A55" s="154"/>
      <c r="B55" s="151"/>
      <c r="C55" s="151"/>
      <c r="D55" s="323"/>
      <c r="E55" s="154"/>
      <c r="F55" s="291"/>
      <c r="G55" s="152"/>
      <c r="H55" s="323"/>
      <c r="I55" s="152"/>
      <c r="J55" s="291"/>
      <c r="K55" s="154"/>
      <c r="L55" s="227"/>
      <c r="M55" s="157"/>
      <c r="N55" s="227">
        <f t="shared" si="1"/>
        <v>62727.925562009514</v>
      </c>
      <c r="O55" s="152">
        <f t="shared" si="0"/>
        <v>487722.77056200948</v>
      </c>
    </row>
    <row r="56" spans="1:15" hidden="1" x14ac:dyDescent="0.15">
      <c r="A56" s="154"/>
      <c r="B56" s="151"/>
      <c r="C56" s="151"/>
      <c r="D56" s="323"/>
      <c r="E56" s="154"/>
      <c r="F56" s="291"/>
      <c r="G56" s="152"/>
      <c r="H56" s="323"/>
      <c r="I56" s="152"/>
      <c r="J56" s="157"/>
      <c r="K56" s="154"/>
      <c r="L56" s="227"/>
      <c r="M56" s="157"/>
      <c r="N56" s="227">
        <f t="shared" si="1"/>
        <v>62727.925562009514</v>
      </c>
      <c r="O56" s="152">
        <f t="shared" si="0"/>
        <v>487722.77056200948</v>
      </c>
    </row>
    <row r="57" spans="1:15" hidden="1" x14ac:dyDescent="0.15">
      <c r="A57" s="154"/>
      <c r="B57" s="151"/>
      <c r="C57" s="151"/>
      <c r="D57" s="323"/>
      <c r="E57" s="154"/>
      <c r="F57" s="157"/>
      <c r="G57" s="152"/>
      <c r="H57" s="323"/>
      <c r="I57" s="152"/>
      <c r="J57" s="154"/>
      <c r="K57" s="154"/>
      <c r="L57" s="227"/>
      <c r="M57" s="157"/>
      <c r="N57" s="227">
        <f t="shared" si="1"/>
        <v>62727.925562009514</v>
      </c>
      <c r="O57" s="152">
        <f t="shared" si="0"/>
        <v>487722.77056200948</v>
      </c>
    </row>
    <row r="58" spans="1:15" hidden="1" x14ac:dyDescent="0.15">
      <c r="A58" s="154"/>
      <c r="B58" s="151"/>
      <c r="C58" s="151"/>
      <c r="D58" s="323"/>
      <c r="E58" s="155"/>
      <c r="F58" s="157"/>
      <c r="G58" s="152"/>
      <c r="H58" s="323"/>
      <c r="I58" s="152"/>
      <c r="J58" s="157"/>
      <c r="K58" s="154"/>
      <c r="L58" s="227"/>
      <c r="M58" s="157"/>
      <c r="N58" s="227">
        <f t="shared" si="1"/>
        <v>62727.925562009514</v>
      </c>
      <c r="O58" s="152">
        <f t="shared" si="0"/>
        <v>487722.77056200948</v>
      </c>
    </row>
    <row r="59" spans="1:15" hidden="1" x14ac:dyDescent="0.15">
      <c r="A59" s="154"/>
      <c r="B59" s="151"/>
      <c r="C59" s="151"/>
      <c r="D59" s="323"/>
      <c r="E59" s="154"/>
      <c r="F59" s="160"/>
      <c r="G59" s="152"/>
      <c r="H59" s="323"/>
      <c r="I59" s="152"/>
      <c r="J59" s="150"/>
      <c r="K59" s="154"/>
      <c r="L59" s="227"/>
      <c r="M59" s="157"/>
      <c r="N59" s="227">
        <f t="shared" si="1"/>
        <v>62727.925562009514</v>
      </c>
      <c r="O59" s="152">
        <f t="shared" si="0"/>
        <v>487722.77056200948</v>
      </c>
    </row>
    <row r="60" spans="1:15" x14ac:dyDescent="0.15">
      <c r="A60" s="173"/>
      <c r="B60" s="173"/>
      <c r="C60" s="174"/>
      <c r="D60" s="323"/>
      <c r="E60" s="173"/>
      <c r="F60" s="173"/>
      <c r="G60" s="174"/>
      <c r="H60" s="323"/>
      <c r="I60" s="174"/>
      <c r="J60" s="173"/>
      <c r="K60" s="154"/>
      <c r="L60" s="228"/>
      <c r="M60" s="173"/>
      <c r="N60" s="227">
        <f t="shared" si="1"/>
        <v>62727.925562009514</v>
      </c>
      <c r="O60" s="152">
        <f t="shared" si="0"/>
        <v>487722.77056200948</v>
      </c>
    </row>
    <row r="61" spans="1:15" x14ac:dyDescent="0.15">
      <c r="A61" s="177"/>
      <c r="B61" s="177"/>
      <c r="C61" s="178">
        <f>SUM(C7:C59)</f>
        <v>293774.97556200949</v>
      </c>
      <c r="D61" s="177"/>
      <c r="E61" s="177"/>
      <c r="F61" s="177"/>
      <c r="G61" s="178">
        <f>SUM(G7:G59)</f>
        <v>541122.07500000007</v>
      </c>
      <c r="H61" s="179"/>
      <c r="I61" s="178">
        <f>SUM(I7:I59)</f>
        <v>26665.89</v>
      </c>
      <c r="J61" s="177"/>
      <c r="K61" s="177"/>
      <c r="L61" s="229">
        <f>SUM(L9:L59)</f>
        <v>320508.39000000007</v>
      </c>
      <c r="M61" s="177"/>
      <c r="N61" s="180"/>
      <c r="O61" s="181">
        <f>C61+G61-I61-L61</f>
        <v>487722.77056200948</v>
      </c>
    </row>
    <row r="62" spans="1:15" x14ac:dyDescent="0.15">
      <c r="A62" s="182"/>
      <c r="B62" s="465"/>
      <c r="C62" s="465"/>
      <c r="D62" s="465"/>
      <c r="E62" s="183"/>
      <c r="F62" s="284"/>
      <c r="G62" s="185"/>
      <c r="H62" s="186"/>
      <c r="I62" s="187"/>
      <c r="J62" s="188"/>
      <c r="K62" s="189" t="s">
        <v>139</v>
      </c>
      <c r="L62" s="190">
        <f>+L61+I61</f>
        <v>347174.28000000009</v>
      </c>
      <c r="M62" s="197"/>
      <c r="N62" s="230">
        <f>+N60</f>
        <v>62727.925562009514</v>
      </c>
      <c r="O62" s="195" t="s">
        <v>1685</v>
      </c>
    </row>
    <row r="63" spans="1:15" x14ac:dyDescent="0.15">
      <c r="A63" s="193"/>
      <c r="B63" s="470"/>
      <c r="C63" s="470"/>
      <c r="D63" s="470"/>
      <c r="E63" s="183"/>
      <c r="F63" s="328"/>
      <c r="G63" s="219"/>
      <c r="H63" s="186"/>
      <c r="I63" s="187"/>
      <c r="J63" s="210"/>
      <c r="K63" s="210"/>
      <c r="N63" s="230">
        <v>39004.36</v>
      </c>
      <c r="O63" s="195" t="s">
        <v>1686</v>
      </c>
    </row>
    <row r="64" spans="1:15" x14ac:dyDescent="0.15">
      <c r="A64" s="193" t="s">
        <v>1670</v>
      </c>
      <c r="B64" s="326" t="s">
        <v>1683</v>
      </c>
      <c r="E64" s="183" t="s">
        <v>55</v>
      </c>
      <c r="F64" s="328">
        <v>1917958.37</v>
      </c>
      <c r="G64" s="219" t="s">
        <v>56</v>
      </c>
      <c r="H64" s="186">
        <v>41512</v>
      </c>
      <c r="I64" s="187" t="s">
        <v>71</v>
      </c>
      <c r="J64" s="210">
        <v>91842.329562009516</v>
      </c>
      <c r="K64" s="210"/>
      <c r="N64" s="230">
        <v>192020.00199999998</v>
      </c>
      <c r="O64" s="195" t="s">
        <v>1687</v>
      </c>
    </row>
    <row r="65" spans="1:15" x14ac:dyDescent="0.15">
      <c r="A65" s="193" t="s">
        <v>1678</v>
      </c>
      <c r="B65" s="326" t="s">
        <v>1690</v>
      </c>
      <c r="E65" s="183" t="s">
        <v>55</v>
      </c>
      <c r="F65" s="328">
        <v>355391.1</v>
      </c>
      <c r="G65" s="219" t="s">
        <v>56</v>
      </c>
      <c r="H65" s="186">
        <v>41537</v>
      </c>
      <c r="I65" s="187" t="s">
        <v>71</v>
      </c>
      <c r="J65" s="210">
        <v>114018.91400000002</v>
      </c>
      <c r="K65" s="210"/>
      <c r="N65" s="230">
        <v>96983.763999999996</v>
      </c>
      <c r="O65" s="195" t="s">
        <v>1688</v>
      </c>
    </row>
    <row r="66" spans="1:15" x14ac:dyDescent="0.15">
      <c r="A66" s="193" t="s">
        <v>1685</v>
      </c>
      <c r="B66" s="326" t="s">
        <v>1691</v>
      </c>
      <c r="E66" s="183" t="s">
        <v>55</v>
      </c>
      <c r="F66" s="328">
        <v>2657897.39</v>
      </c>
      <c r="G66" s="219" t="s">
        <v>56</v>
      </c>
      <c r="H66" s="186">
        <v>41557</v>
      </c>
      <c r="I66" s="187" t="s">
        <v>71</v>
      </c>
      <c r="J66" s="210">
        <v>53399.304437990497</v>
      </c>
      <c r="K66" s="210"/>
      <c r="N66" s="230">
        <v>96986.718999999997</v>
      </c>
      <c r="O66" s="195" t="s">
        <v>1689</v>
      </c>
    </row>
    <row r="67" spans="1:15" ht="12" thickBot="1" x14ac:dyDescent="0.2">
      <c r="A67" s="133"/>
      <c r="B67" s="326"/>
      <c r="C67" s="326"/>
      <c r="D67" s="326"/>
      <c r="E67" s="183"/>
      <c r="F67" s="327"/>
      <c r="G67" s="219"/>
      <c r="H67" s="186"/>
      <c r="I67" s="217" t="s">
        <v>856</v>
      </c>
      <c r="J67" s="211">
        <f>SUM(J64:J66)</f>
        <v>259260.54800000004</v>
      </c>
      <c r="K67" s="210"/>
      <c r="N67" s="230"/>
      <c r="O67" s="195"/>
    </row>
    <row r="68" spans="1:15" ht="12" thickTop="1" x14ac:dyDescent="0.15">
      <c r="A68" s="133" t="s">
        <v>1677</v>
      </c>
      <c r="B68" s="131" t="s">
        <v>1692</v>
      </c>
      <c r="E68" s="183" t="s">
        <v>55</v>
      </c>
      <c r="F68" s="328">
        <v>17045725.579999998</v>
      </c>
      <c r="G68" s="219" t="s">
        <v>56</v>
      </c>
      <c r="H68" s="186">
        <v>41527</v>
      </c>
      <c r="I68" s="187" t="s">
        <v>71</v>
      </c>
      <c r="J68" s="210">
        <v>61247.842000000019</v>
      </c>
      <c r="K68" s="210"/>
      <c r="N68" s="230"/>
      <c r="O68" s="195"/>
    </row>
    <row r="69" spans="1:15" ht="12" thickBot="1" x14ac:dyDescent="0.2">
      <c r="A69" s="193"/>
      <c r="B69" s="210"/>
      <c r="C69" s="221"/>
      <c r="D69" s="237"/>
      <c r="E69" s="235"/>
      <c r="F69" s="235"/>
      <c r="I69" s="218" t="s">
        <v>106</v>
      </c>
      <c r="J69" s="212">
        <f>SUM(J68)</f>
        <v>61247.842000000019</v>
      </c>
      <c r="N69" s="206" t="s">
        <v>33</v>
      </c>
      <c r="O69" s="207">
        <f>SUM(N62:N68)</f>
        <v>487722.77056200948</v>
      </c>
    </row>
    <row r="70" spans="1:15" ht="12" thickTop="1" x14ac:dyDescent="0.15">
      <c r="A70" s="193"/>
      <c r="B70" s="210"/>
      <c r="C70" s="221"/>
      <c r="D70" s="237"/>
      <c r="E70" s="235"/>
      <c r="F70" s="235"/>
      <c r="J70" s="205"/>
      <c r="O70" s="132">
        <f>+O61-O69</f>
        <v>0</v>
      </c>
    </row>
    <row r="71" spans="1:15" s="132" customFormat="1" x14ac:dyDescent="0.15">
      <c r="A71" s="133"/>
      <c r="B71" s="133" t="s">
        <v>9</v>
      </c>
      <c r="C71" s="220" t="s">
        <v>729</v>
      </c>
      <c r="D71" s="220" t="s">
        <v>850</v>
      </c>
      <c r="E71" s="133" t="s">
        <v>570</v>
      </c>
      <c r="F71" s="133" t="s">
        <v>571</v>
      </c>
      <c r="G71" s="133" t="s">
        <v>16</v>
      </c>
      <c r="H71" s="134"/>
      <c r="I71" s="134"/>
      <c r="J71" s="205"/>
      <c r="K71" s="133"/>
      <c r="M71" s="134"/>
    </row>
    <row r="72" spans="1:15" s="132" customFormat="1" x14ac:dyDescent="0.15">
      <c r="A72" s="193" t="s">
        <v>1670</v>
      </c>
      <c r="B72" s="210">
        <v>91842</v>
      </c>
      <c r="C72" s="221">
        <v>24.722799999999999</v>
      </c>
      <c r="D72" s="237">
        <f t="shared" ref="D72:D74" si="2">+B72*C72</f>
        <v>2270591.3975999998</v>
      </c>
      <c r="E72" s="235">
        <f t="shared" ref="E72:E74" si="3">+D72*0.01</f>
        <v>22705.913976</v>
      </c>
      <c r="F72" s="235">
        <f t="shared" ref="F72:F74" si="4">+E72*0.1</f>
        <v>2270.5913976000002</v>
      </c>
      <c r="G72" s="236">
        <f>SUM(E72:F72)</f>
        <v>24976.505373600001</v>
      </c>
      <c r="H72" s="134"/>
      <c r="I72" s="134"/>
      <c r="J72" s="134"/>
      <c r="K72" s="133"/>
      <c r="M72" s="134"/>
    </row>
    <row r="73" spans="1:15" s="132" customFormat="1" x14ac:dyDescent="0.15">
      <c r="A73" s="193" t="s">
        <v>1678</v>
      </c>
      <c r="B73" s="210">
        <v>114019</v>
      </c>
      <c r="C73" s="221">
        <v>25.501799999999999</v>
      </c>
      <c r="D73" s="237">
        <f t="shared" si="2"/>
        <v>2907689.7341999998</v>
      </c>
      <c r="E73" s="235">
        <f t="shared" si="3"/>
        <v>29076.897342</v>
      </c>
      <c r="F73" s="235">
        <f t="shared" si="4"/>
        <v>2907.6897342000002</v>
      </c>
      <c r="G73" s="236">
        <f>SUM(E73:F73)</f>
        <v>31984.587076200001</v>
      </c>
      <c r="H73" s="133"/>
      <c r="J73" s="134"/>
      <c r="K73" s="133"/>
      <c r="M73" s="134"/>
    </row>
    <row r="74" spans="1:15" s="132" customFormat="1" x14ac:dyDescent="0.15">
      <c r="A74" s="193" t="s">
        <v>1685</v>
      </c>
      <c r="B74" s="210">
        <v>53399</v>
      </c>
      <c r="C74" s="221">
        <v>24.111899999999999</v>
      </c>
      <c r="D74" s="237">
        <f t="shared" si="2"/>
        <v>1287551.3480999998</v>
      </c>
      <c r="E74" s="235">
        <f t="shared" si="3"/>
        <v>12875.513480999998</v>
      </c>
      <c r="F74" s="235">
        <f t="shared" si="4"/>
        <v>1287.5513480999998</v>
      </c>
      <c r="G74" s="236">
        <f>SUM(E74:F74)</f>
        <v>14163.064829099998</v>
      </c>
      <c r="H74" s="133"/>
      <c r="J74" s="134"/>
      <c r="K74" s="133"/>
      <c r="M74" s="134"/>
    </row>
    <row r="75" spans="1:15" s="132" customFormat="1" ht="12" thickBot="1" x14ac:dyDescent="0.2">
      <c r="A75" s="133"/>
      <c r="B75" s="211">
        <f>SUM(B72:B74)</f>
        <v>259260</v>
      </c>
      <c r="C75" s="221"/>
      <c r="D75" s="237"/>
      <c r="E75" s="242">
        <f>SUM(E72:E74)</f>
        <v>64658.324798999995</v>
      </c>
      <c r="F75" s="242">
        <f t="shared" ref="F75:G75" si="5">SUM(F72:F74)</f>
        <v>6465.8324799000002</v>
      </c>
      <c r="G75" s="242">
        <f t="shared" si="5"/>
        <v>71124.157278900006</v>
      </c>
      <c r="H75" s="134"/>
      <c r="I75" s="134"/>
      <c r="J75" s="134"/>
      <c r="K75" s="133"/>
      <c r="M75" s="134"/>
    </row>
    <row r="76" spans="1:15" s="132" customFormat="1" ht="12" thickTop="1" x14ac:dyDescent="0.15">
      <c r="A76" s="133" t="s">
        <v>1677</v>
      </c>
      <c r="B76" s="210">
        <v>61248</v>
      </c>
      <c r="C76" s="221">
        <v>26.069199999999999</v>
      </c>
      <c r="D76" s="237">
        <f t="shared" ref="D76" si="6">+B76*C76</f>
        <v>1596686.3615999999</v>
      </c>
      <c r="E76" s="235">
        <f t="shared" ref="E76" si="7">+D76*0.01</f>
        <v>15966.863616000001</v>
      </c>
      <c r="F76" s="235">
        <f t="shared" ref="F76" si="8">+E76*0.1</f>
        <v>1596.6863616000001</v>
      </c>
      <c r="G76" s="236">
        <f>SUM(E76:F76)</f>
        <v>17563.5499776</v>
      </c>
      <c r="H76" s="133"/>
      <c r="J76" s="134"/>
      <c r="K76" s="133"/>
      <c r="M76" s="134"/>
    </row>
    <row r="77" spans="1:15" s="132" customFormat="1" ht="12" thickBot="1" x14ac:dyDescent="0.2">
      <c r="A77" s="133"/>
      <c r="B77" s="211">
        <f>SUM(B76)</f>
        <v>61248</v>
      </c>
      <c r="C77" s="221"/>
      <c r="D77" s="237"/>
      <c r="E77" s="242">
        <f>SUM(E76)</f>
        <v>15966.863616000001</v>
      </c>
      <c r="F77" s="242">
        <f t="shared" ref="F77:G77" si="9">SUM(F76)</f>
        <v>1596.6863616000001</v>
      </c>
      <c r="G77" s="242">
        <f t="shared" si="9"/>
        <v>17563.5499776</v>
      </c>
      <c r="H77" s="133"/>
      <c r="J77" s="134"/>
      <c r="K77" s="133"/>
      <c r="M77" s="134"/>
    </row>
    <row r="78" spans="1:15" s="132" customFormat="1" ht="12" thickTop="1" x14ac:dyDescent="0.15">
      <c r="A78" s="134"/>
      <c r="B78" s="231"/>
      <c r="D78" s="133"/>
      <c r="E78" s="133"/>
      <c r="F78" s="134"/>
      <c r="H78" s="133"/>
      <c r="J78" s="134"/>
      <c r="K78" s="133"/>
      <c r="M78" s="134"/>
    </row>
    <row r="79" spans="1:15" s="132" customFormat="1" x14ac:dyDescent="0.15">
      <c r="A79" s="134"/>
      <c r="B79" s="131"/>
      <c r="D79" s="133"/>
      <c r="E79" s="133"/>
      <c r="F79" s="134"/>
      <c r="H79" s="133"/>
      <c r="J79" s="134"/>
      <c r="K79" s="133"/>
      <c r="M79" s="134"/>
    </row>
    <row r="80" spans="1:15" s="132" customFormat="1" x14ac:dyDescent="0.15">
      <c r="A80" s="134"/>
      <c r="B80" s="131"/>
      <c r="D80" s="133"/>
      <c r="E80" s="133"/>
      <c r="F80" s="134"/>
      <c r="H80" s="133"/>
      <c r="J80" s="134"/>
      <c r="K80" s="133"/>
      <c r="M80" s="134"/>
    </row>
    <row r="81" spans="1:15" s="132" customFormat="1" x14ac:dyDescent="0.15">
      <c r="A81" s="134"/>
      <c r="B81" s="131"/>
      <c r="D81" s="133"/>
      <c r="E81" s="133"/>
      <c r="F81" s="134"/>
      <c r="H81" s="133"/>
      <c r="J81" s="134"/>
      <c r="K81" s="133"/>
      <c r="M81" s="134"/>
    </row>
    <row r="82" spans="1:15" s="132" customFormat="1" x14ac:dyDescent="0.15">
      <c r="A82" s="134"/>
      <c r="B82" s="131"/>
      <c r="D82" s="133"/>
      <c r="E82" s="133"/>
      <c r="F82" s="134"/>
      <c r="H82" s="133"/>
      <c r="J82" s="134"/>
      <c r="K82" s="133"/>
      <c r="M82" s="134"/>
    </row>
    <row r="83" spans="1:15" s="132" customFormat="1" x14ac:dyDescent="0.15">
      <c r="A83" s="134"/>
      <c r="B83" s="131"/>
      <c r="D83" s="133"/>
      <c r="E83" s="133"/>
      <c r="F83" s="134"/>
      <c r="H83" s="133"/>
      <c r="J83" s="134"/>
      <c r="K83" s="133"/>
      <c r="M83" s="134"/>
    </row>
    <row r="84" spans="1:15" s="132" customFormat="1" x14ac:dyDescent="0.15">
      <c r="A84" s="134"/>
      <c r="B84" s="131"/>
      <c r="D84" s="133"/>
      <c r="E84" s="133"/>
      <c r="F84" s="134"/>
      <c r="H84" s="133"/>
      <c r="J84" s="134"/>
      <c r="K84" s="133"/>
      <c r="M84" s="134"/>
    </row>
    <row r="85" spans="1:15" s="132" customFormat="1" x14ac:dyDescent="0.15">
      <c r="A85" s="134"/>
      <c r="B85" s="131"/>
      <c r="D85" s="133"/>
      <c r="E85" s="133"/>
      <c r="F85" s="134"/>
      <c r="H85" s="133"/>
      <c r="J85" s="134"/>
      <c r="K85" s="133"/>
      <c r="M85" s="134"/>
    </row>
    <row r="86" spans="1:15" s="132" customFormat="1" x14ac:dyDescent="0.15">
      <c r="A86" s="134"/>
      <c r="B86" s="131"/>
      <c r="D86" s="133"/>
      <c r="E86" s="133"/>
      <c r="F86" s="134"/>
      <c r="H86" s="133"/>
      <c r="J86" s="134"/>
      <c r="K86" s="133"/>
      <c r="M86" s="134"/>
    </row>
    <row r="87" spans="1:15" s="132" customFormat="1" x14ac:dyDescent="0.15">
      <c r="A87" s="134"/>
      <c r="B87" s="131"/>
      <c r="D87" s="133"/>
      <c r="E87" s="133"/>
      <c r="F87" s="134"/>
      <c r="H87" s="133"/>
      <c r="J87" s="134"/>
      <c r="K87" s="133"/>
      <c r="M87" s="134"/>
    </row>
    <row r="88" spans="1:15" s="133" customFormat="1" x14ac:dyDescent="0.15">
      <c r="A88" s="134"/>
      <c r="B88" s="131"/>
      <c r="C88" s="132"/>
      <c r="F88" s="134"/>
      <c r="G88" s="132"/>
      <c r="I88" s="132"/>
      <c r="J88" s="134"/>
      <c r="L88" s="132"/>
      <c r="M88" s="134"/>
      <c r="N88" s="132"/>
      <c r="O88" s="132"/>
    </row>
    <row r="89" spans="1:15" s="133" customFormat="1" x14ac:dyDescent="0.15">
      <c r="A89" s="134"/>
      <c r="B89" s="131"/>
      <c r="C89" s="132"/>
      <c r="F89" s="134"/>
      <c r="G89" s="132"/>
      <c r="I89" s="132"/>
      <c r="J89" s="134"/>
      <c r="L89" s="132"/>
      <c r="M89" s="134"/>
      <c r="N89" s="132"/>
      <c r="O89" s="132"/>
    </row>
    <row r="90" spans="1:15" s="133" customFormat="1" x14ac:dyDescent="0.15">
      <c r="A90" s="134"/>
      <c r="B90" s="131"/>
      <c r="C90" s="132"/>
      <c r="F90" s="134"/>
      <c r="G90" s="132"/>
      <c r="I90" s="132"/>
      <c r="J90" s="134"/>
      <c r="L90" s="132"/>
      <c r="M90" s="134"/>
      <c r="N90" s="132"/>
      <c r="O90" s="132"/>
    </row>
    <row r="91" spans="1:15" s="133" customFormat="1" x14ac:dyDescent="0.15">
      <c r="A91" s="134"/>
      <c r="B91" s="131"/>
      <c r="C91" s="132"/>
      <c r="F91" s="134"/>
      <c r="G91" s="132"/>
      <c r="I91" s="132"/>
      <c r="J91" s="134"/>
      <c r="L91" s="132"/>
      <c r="M91" s="134"/>
      <c r="N91" s="132"/>
      <c r="O91" s="132"/>
    </row>
    <row r="92" spans="1:15" s="133" customFormat="1" x14ac:dyDescent="0.15">
      <c r="A92" s="134"/>
      <c r="B92" s="131"/>
      <c r="C92" s="132"/>
      <c r="F92" s="134"/>
      <c r="G92" s="132"/>
      <c r="I92" s="132"/>
      <c r="J92" s="134"/>
      <c r="L92" s="132"/>
      <c r="M92" s="134"/>
      <c r="N92" s="132"/>
      <c r="O92" s="132"/>
    </row>
    <row r="93" spans="1:15" s="133" customFormat="1" x14ac:dyDescent="0.15">
      <c r="A93" s="134"/>
      <c r="B93" s="131"/>
      <c r="C93" s="132"/>
      <c r="F93" s="134"/>
      <c r="G93" s="132"/>
      <c r="I93" s="132"/>
      <c r="J93" s="134"/>
      <c r="L93" s="132"/>
      <c r="M93" s="134"/>
      <c r="N93" s="132"/>
      <c r="O93" s="132"/>
    </row>
    <row r="95" spans="1:15" s="132" customFormat="1" x14ac:dyDescent="0.15">
      <c r="A95" s="134"/>
      <c r="B95" s="131"/>
      <c r="D95" s="133"/>
      <c r="E95" s="133"/>
      <c r="F95" s="134"/>
      <c r="H95" s="133"/>
      <c r="J95" s="134"/>
      <c r="K95" s="133"/>
      <c r="M95" s="134"/>
    </row>
  </sheetData>
  <mergeCells count="8">
    <mergeCell ref="B62:D62"/>
    <mergeCell ref="B63:D6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95"/>
  <sheetViews>
    <sheetView topLeftCell="D1" zoomScale="130" zoomScaleNormal="130" workbookViewId="0">
      <pane ySplit="6" topLeftCell="A19" activePane="bottomLeft" state="frozen"/>
      <selection pane="bottomLeft" activeCell="D76" sqref="D76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5" style="134" bestFit="1" customWidth="1"/>
    <col min="7" max="7" width="11.85546875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1679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1648</v>
      </c>
      <c r="B7" s="146"/>
      <c r="C7" s="147">
        <v>58279.363062009492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58279.363062009492</v>
      </c>
      <c r="O7" s="147">
        <f>+C61</f>
        <v>244278.0080620095</v>
      </c>
    </row>
    <row r="8" spans="1:15" x14ac:dyDescent="0.15">
      <c r="A8" s="154" t="s">
        <v>1647</v>
      </c>
      <c r="B8" s="151"/>
      <c r="C8" s="152">
        <v>59078.8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58279.363062009492</v>
      </c>
      <c r="O8" s="152">
        <f t="shared" ref="O8" si="0">O7+G8-I8-L8</f>
        <v>244278.0080620095</v>
      </c>
    </row>
    <row r="9" spans="1:15" x14ac:dyDescent="0.15">
      <c r="A9" s="157" t="s">
        <v>1670</v>
      </c>
      <c r="B9" s="151"/>
      <c r="C9" s="152">
        <v>126919.845</v>
      </c>
      <c r="D9" s="154"/>
      <c r="E9" s="154"/>
      <c r="F9" s="154"/>
      <c r="G9" s="152"/>
      <c r="H9" s="154"/>
      <c r="I9" s="152"/>
      <c r="J9" s="154"/>
      <c r="K9" s="154"/>
      <c r="L9" s="227"/>
      <c r="M9" s="157"/>
      <c r="N9" s="227">
        <f t="shared" ref="N9:N60" si="1">+N8-I9-L9</f>
        <v>58279.363062009492</v>
      </c>
      <c r="O9" s="152">
        <f t="shared" ref="O9:O60" si="2">O8+G9-I9-L9</f>
        <v>244278.0080620095</v>
      </c>
    </row>
    <row r="10" spans="1:15" x14ac:dyDescent="0.15">
      <c r="A10" s="154"/>
      <c r="B10" s="151"/>
      <c r="C10" s="152"/>
      <c r="D10" s="155"/>
      <c r="E10" s="154"/>
      <c r="F10" s="157"/>
      <c r="G10" s="152"/>
      <c r="H10" s="155"/>
      <c r="I10" s="152"/>
      <c r="J10" s="154"/>
      <c r="K10" s="154"/>
      <c r="L10" s="227"/>
      <c r="M10" s="157"/>
      <c r="N10" s="227">
        <f t="shared" si="1"/>
        <v>58279.363062009492</v>
      </c>
      <c r="O10" s="152">
        <f t="shared" si="2"/>
        <v>244278.0080620095</v>
      </c>
    </row>
    <row r="11" spans="1:15" x14ac:dyDescent="0.15">
      <c r="A11" s="154"/>
      <c r="B11" s="151"/>
      <c r="C11" s="152"/>
      <c r="D11" s="155"/>
      <c r="E11" s="154"/>
      <c r="F11" s="157"/>
      <c r="G11" s="152"/>
      <c r="H11" s="323">
        <v>41518</v>
      </c>
      <c r="I11" s="152">
        <v>641.61</v>
      </c>
      <c r="J11" s="154" t="s">
        <v>1648</v>
      </c>
      <c r="K11" s="154" t="s">
        <v>1680</v>
      </c>
      <c r="L11" s="227">
        <v>10317.719999999999</v>
      </c>
      <c r="M11" s="154" t="s">
        <v>1648</v>
      </c>
      <c r="N11" s="227">
        <f t="shared" si="1"/>
        <v>47320.03306200949</v>
      </c>
      <c r="O11" s="152">
        <f t="shared" si="2"/>
        <v>233318.67806200951</v>
      </c>
    </row>
    <row r="12" spans="1:15" x14ac:dyDescent="0.15">
      <c r="A12" s="154"/>
      <c r="B12" s="151"/>
      <c r="C12" s="152"/>
      <c r="D12" s="155"/>
      <c r="E12" s="155"/>
      <c r="F12" s="157"/>
      <c r="G12" s="152"/>
      <c r="H12" s="323">
        <v>41522</v>
      </c>
      <c r="I12" s="152"/>
      <c r="J12" s="154"/>
      <c r="K12" s="154" t="s">
        <v>1680</v>
      </c>
      <c r="L12" s="227">
        <v>715</v>
      </c>
      <c r="M12" s="154" t="s">
        <v>1648</v>
      </c>
      <c r="N12" s="227">
        <f t="shared" si="1"/>
        <v>46605.03306200949</v>
      </c>
      <c r="O12" s="152">
        <f t="shared" si="2"/>
        <v>232603.67806200951</v>
      </c>
    </row>
    <row r="13" spans="1:15" x14ac:dyDescent="0.15">
      <c r="A13" s="154"/>
      <c r="B13" s="151"/>
      <c r="C13" s="152"/>
      <c r="D13" s="155"/>
      <c r="E13" s="155"/>
      <c r="F13" s="157"/>
      <c r="G13" s="152"/>
      <c r="H13" s="323">
        <v>41522</v>
      </c>
      <c r="I13" s="152"/>
      <c r="J13" s="154"/>
      <c r="K13" s="154" t="s">
        <v>1680</v>
      </c>
      <c r="L13" s="227">
        <v>1182</v>
      </c>
      <c r="M13" s="154" t="s">
        <v>1648</v>
      </c>
      <c r="N13" s="227">
        <f t="shared" si="1"/>
        <v>45423.03306200949</v>
      </c>
      <c r="O13" s="152">
        <f t="shared" si="2"/>
        <v>231421.67806200951</v>
      </c>
    </row>
    <row r="14" spans="1:15" x14ac:dyDescent="0.15">
      <c r="A14" s="154"/>
      <c r="B14" s="151"/>
      <c r="C14" s="152"/>
      <c r="D14" s="155"/>
      <c r="E14" s="155"/>
      <c r="F14" s="157"/>
      <c r="G14" s="152"/>
      <c r="H14" s="323">
        <v>41523</v>
      </c>
      <c r="I14" s="152"/>
      <c r="J14" s="154"/>
      <c r="K14" s="154" t="s">
        <v>1680</v>
      </c>
      <c r="L14" s="227">
        <v>32753.41</v>
      </c>
      <c r="M14" s="154" t="s">
        <v>1648</v>
      </c>
      <c r="N14" s="227">
        <f t="shared" si="1"/>
        <v>12669.62306200949</v>
      </c>
      <c r="O14" s="152">
        <f t="shared" si="2"/>
        <v>198668.26806200951</v>
      </c>
    </row>
    <row r="15" spans="1:15" x14ac:dyDescent="0.15">
      <c r="A15" s="154"/>
      <c r="B15" s="151"/>
      <c r="C15" s="152"/>
      <c r="D15" s="323">
        <v>41524</v>
      </c>
      <c r="E15" s="155" t="s">
        <v>72</v>
      </c>
      <c r="F15" s="157" t="s">
        <v>1677</v>
      </c>
      <c r="G15" s="152">
        <v>77961.712</v>
      </c>
      <c r="H15" s="323">
        <v>41524</v>
      </c>
      <c r="I15" s="152"/>
      <c r="J15" s="154"/>
      <c r="K15" s="154" t="s">
        <v>1680</v>
      </c>
      <c r="L15" s="227">
        <v>9858</v>
      </c>
      <c r="M15" s="154" t="s">
        <v>1648</v>
      </c>
      <c r="N15" s="227">
        <f t="shared" si="1"/>
        <v>2811.6230620094902</v>
      </c>
      <c r="O15" s="152">
        <f t="shared" si="2"/>
        <v>266771.98006200953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323">
        <v>41525</v>
      </c>
      <c r="I16" s="152">
        <v>2811.6230620094902</v>
      </c>
      <c r="J16" s="154" t="s">
        <v>1648</v>
      </c>
      <c r="K16" s="154"/>
      <c r="L16" s="227"/>
      <c r="M16" s="154"/>
      <c r="N16" s="227">
        <f t="shared" si="1"/>
        <v>0</v>
      </c>
      <c r="O16" s="152">
        <f t="shared" si="2"/>
        <v>263960.35700000002</v>
      </c>
    </row>
    <row r="17" spans="1:15" x14ac:dyDescent="0.15">
      <c r="A17" s="154"/>
      <c r="B17" s="151"/>
      <c r="C17" s="152"/>
      <c r="D17" s="155"/>
      <c r="E17" s="155"/>
      <c r="F17" s="157"/>
      <c r="G17" s="152"/>
      <c r="H17" s="323">
        <v>41525</v>
      </c>
      <c r="I17" s="152">
        <v>774.37693799050999</v>
      </c>
      <c r="J17" s="154" t="s">
        <v>1647</v>
      </c>
      <c r="K17" s="154" t="s">
        <v>1681</v>
      </c>
      <c r="L17" s="227">
        <v>326.64</v>
      </c>
      <c r="M17" s="154" t="s">
        <v>1647</v>
      </c>
      <c r="N17" s="316">
        <f>C8+N16-I17-L17</f>
        <v>57977.78306200949</v>
      </c>
      <c r="O17" s="152">
        <f t="shared" si="2"/>
        <v>262859.34006200952</v>
      </c>
    </row>
    <row r="18" spans="1:15" x14ac:dyDescent="0.15">
      <c r="A18" s="154"/>
      <c r="B18" s="151"/>
      <c r="C18" s="152"/>
      <c r="D18" s="155"/>
      <c r="E18" s="155"/>
      <c r="F18" s="157"/>
      <c r="G18" s="152"/>
      <c r="H18" s="323">
        <v>41526</v>
      </c>
      <c r="I18" s="152">
        <v>1162.3785</v>
      </c>
      <c r="J18" s="154" t="s">
        <v>1647</v>
      </c>
      <c r="K18" s="154"/>
      <c r="L18" s="227"/>
      <c r="M18" s="154"/>
      <c r="N18" s="227">
        <f t="shared" si="1"/>
        <v>56815.404562009491</v>
      </c>
      <c r="O18" s="152">
        <f t="shared" si="2"/>
        <v>261696.96156200953</v>
      </c>
    </row>
    <row r="19" spans="1:15" x14ac:dyDescent="0.15">
      <c r="A19" s="154"/>
      <c r="B19" s="151"/>
      <c r="C19" s="152"/>
      <c r="D19" s="155"/>
      <c r="E19" s="155"/>
      <c r="F19" s="157"/>
      <c r="G19" s="152"/>
      <c r="H19" s="323">
        <v>41528</v>
      </c>
      <c r="I19" s="152">
        <v>46391.509999999995</v>
      </c>
      <c r="J19" s="154" t="s">
        <v>1647</v>
      </c>
      <c r="K19" s="154" t="s">
        <v>1681</v>
      </c>
      <c r="L19" s="227">
        <v>669.34</v>
      </c>
      <c r="M19" s="154" t="s">
        <v>1647</v>
      </c>
      <c r="N19" s="227">
        <f t="shared" si="1"/>
        <v>9754.5545620094963</v>
      </c>
      <c r="O19" s="152">
        <f t="shared" si="2"/>
        <v>214636.11156200952</v>
      </c>
    </row>
    <row r="20" spans="1:15" x14ac:dyDescent="0.15">
      <c r="A20" s="154"/>
      <c r="B20" s="151"/>
      <c r="C20" s="152"/>
      <c r="D20" s="155"/>
      <c r="E20" s="155"/>
      <c r="F20" s="157"/>
      <c r="G20" s="152"/>
      <c r="H20" s="323">
        <v>41529</v>
      </c>
      <c r="I20" s="152">
        <v>497.81</v>
      </c>
      <c r="J20" s="154" t="s">
        <v>1647</v>
      </c>
      <c r="K20" s="154"/>
      <c r="L20" s="227"/>
      <c r="M20" s="154"/>
      <c r="N20" s="227">
        <f t="shared" si="1"/>
        <v>9256.7445620094968</v>
      </c>
      <c r="O20" s="152">
        <f t="shared" si="2"/>
        <v>214138.30156200952</v>
      </c>
    </row>
    <row r="21" spans="1:15" x14ac:dyDescent="0.15">
      <c r="A21" s="154"/>
      <c r="B21" s="151"/>
      <c r="C21" s="152"/>
      <c r="D21" s="155"/>
      <c r="E21" s="155"/>
      <c r="F21" s="157"/>
      <c r="G21" s="152"/>
      <c r="H21" s="323">
        <v>41530</v>
      </c>
      <c r="I21" s="152"/>
      <c r="J21" s="154"/>
      <c r="K21" s="154" t="s">
        <v>1681</v>
      </c>
      <c r="L21" s="227">
        <v>9256.7445620094968</v>
      </c>
      <c r="M21" s="154" t="s">
        <v>1647</v>
      </c>
      <c r="N21" s="227">
        <f t="shared" si="1"/>
        <v>0</v>
      </c>
      <c r="O21" s="152">
        <f t="shared" si="2"/>
        <v>204881.55700000003</v>
      </c>
    </row>
    <row r="22" spans="1:15" x14ac:dyDescent="0.15">
      <c r="A22" s="154"/>
      <c r="B22" s="151"/>
      <c r="C22" s="152"/>
      <c r="D22" s="155"/>
      <c r="E22" s="155"/>
      <c r="F22" s="157"/>
      <c r="G22" s="152"/>
      <c r="H22" s="323">
        <v>41530</v>
      </c>
      <c r="I22" s="152"/>
      <c r="J22" s="154"/>
      <c r="K22" s="154" t="s">
        <v>1681</v>
      </c>
      <c r="L22" s="227">
        <v>1130.3254379904999</v>
      </c>
      <c r="M22" s="157" t="s">
        <v>1670</v>
      </c>
      <c r="N22" s="316">
        <f>C9+N21-I22-L22</f>
        <v>125789.5195620095</v>
      </c>
      <c r="O22" s="152">
        <f t="shared" si="2"/>
        <v>203751.23156200952</v>
      </c>
    </row>
    <row r="23" spans="1:15" x14ac:dyDescent="0.15">
      <c r="A23" s="154"/>
      <c r="B23" s="151"/>
      <c r="C23" s="152"/>
      <c r="D23" s="155"/>
      <c r="E23" s="155"/>
      <c r="F23" s="157"/>
      <c r="G23" s="152"/>
      <c r="H23" s="323">
        <v>41531</v>
      </c>
      <c r="I23" s="152"/>
      <c r="J23" s="154"/>
      <c r="K23" s="154" t="s">
        <v>1681</v>
      </c>
      <c r="L23" s="227">
        <v>293.91000000000003</v>
      </c>
      <c r="M23" s="157" t="s">
        <v>1670</v>
      </c>
      <c r="N23" s="227">
        <f t="shared" si="1"/>
        <v>125495.6095620095</v>
      </c>
      <c r="O23" s="152">
        <f t="shared" si="2"/>
        <v>203457.32156200951</v>
      </c>
    </row>
    <row r="24" spans="1:15" x14ac:dyDescent="0.15">
      <c r="A24" s="154"/>
      <c r="B24" s="151"/>
      <c r="C24" s="152"/>
      <c r="D24" s="155"/>
      <c r="E24" s="155"/>
      <c r="F24" s="157"/>
      <c r="G24" s="152"/>
      <c r="H24" s="323">
        <v>41533</v>
      </c>
      <c r="I24" s="152">
        <v>1973.2</v>
      </c>
      <c r="J24" s="157" t="s">
        <v>1670</v>
      </c>
      <c r="K24" s="154"/>
      <c r="L24" s="227"/>
      <c r="M24" s="154"/>
      <c r="N24" s="227">
        <f t="shared" si="1"/>
        <v>123522.4095620095</v>
      </c>
      <c r="O24" s="152">
        <f t="shared" si="2"/>
        <v>201484.1215620095</v>
      </c>
    </row>
    <row r="25" spans="1:15" x14ac:dyDescent="0.15">
      <c r="A25" s="154"/>
      <c r="B25" s="151"/>
      <c r="C25" s="152"/>
      <c r="D25" s="155"/>
      <c r="E25" s="155"/>
      <c r="F25" s="157"/>
      <c r="G25" s="152"/>
      <c r="H25" s="323">
        <v>41534</v>
      </c>
      <c r="I25" s="152">
        <v>1497</v>
      </c>
      <c r="J25" s="157" t="s">
        <v>1670</v>
      </c>
      <c r="K25" s="154"/>
      <c r="L25" s="227"/>
      <c r="M25" s="154"/>
      <c r="N25" s="227">
        <f t="shared" si="1"/>
        <v>122025.4095620095</v>
      </c>
      <c r="O25" s="152">
        <f t="shared" si="2"/>
        <v>199987.1215620095</v>
      </c>
    </row>
    <row r="26" spans="1:15" x14ac:dyDescent="0.15">
      <c r="A26" s="154"/>
      <c r="B26" s="151"/>
      <c r="C26" s="152"/>
      <c r="D26" s="155"/>
      <c r="E26" s="155"/>
      <c r="F26" s="157"/>
      <c r="G26" s="152"/>
      <c r="H26" s="323">
        <v>41535</v>
      </c>
      <c r="I26" s="152">
        <v>984</v>
      </c>
      <c r="J26" s="157" t="s">
        <v>1670</v>
      </c>
      <c r="K26" s="154"/>
      <c r="L26" s="227"/>
      <c r="M26" s="154"/>
      <c r="N26" s="227">
        <f t="shared" si="1"/>
        <v>121041.4095620095</v>
      </c>
      <c r="O26" s="152">
        <f t="shared" si="2"/>
        <v>199003.1215620095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323">
        <v>41536</v>
      </c>
      <c r="I27" s="152">
        <v>469.48</v>
      </c>
      <c r="J27" s="157" t="s">
        <v>1670</v>
      </c>
      <c r="K27" s="154" t="s">
        <v>1681</v>
      </c>
      <c r="L27" s="227">
        <v>9487.4</v>
      </c>
      <c r="M27" s="157" t="s">
        <v>1670</v>
      </c>
      <c r="N27" s="227">
        <f t="shared" si="1"/>
        <v>111084.52956200951</v>
      </c>
      <c r="O27" s="152">
        <f t="shared" si="2"/>
        <v>189046.2415620095</v>
      </c>
    </row>
    <row r="28" spans="1:15" x14ac:dyDescent="0.15">
      <c r="A28" s="154"/>
      <c r="B28" s="151"/>
      <c r="C28" s="152"/>
      <c r="D28" s="323">
        <v>41537</v>
      </c>
      <c r="E28" s="155" t="s">
        <v>72</v>
      </c>
      <c r="F28" s="154" t="s">
        <v>1678</v>
      </c>
      <c r="G28" s="152">
        <v>59021.321000000004</v>
      </c>
      <c r="H28" s="323">
        <v>41537</v>
      </c>
      <c r="I28" s="152">
        <v>1470</v>
      </c>
      <c r="J28" s="157" t="s">
        <v>1670</v>
      </c>
      <c r="K28" s="154"/>
      <c r="L28" s="227"/>
      <c r="M28" s="154"/>
      <c r="N28" s="227">
        <f t="shared" si="1"/>
        <v>109614.52956200951</v>
      </c>
      <c r="O28" s="152">
        <f t="shared" si="2"/>
        <v>246597.56256200949</v>
      </c>
    </row>
    <row r="29" spans="1:15" x14ac:dyDescent="0.15">
      <c r="A29" s="154"/>
      <c r="B29" s="151"/>
      <c r="C29" s="152"/>
      <c r="D29" s="323">
        <v>41538</v>
      </c>
      <c r="E29" s="155" t="s">
        <v>72</v>
      </c>
      <c r="F29" s="154" t="s">
        <v>1678</v>
      </c>
      <c r="G29" s="152">
        <v>59003.243000000002</v>
      </c>
      <c r="H29" s="323">
        <v>41538</v>
      </c>
      <c r="I29" s="152"/>
      <c r="J29" s="157"/>
      <c r="K29" s="154"/>
      <c r="L29" s="227"/>
      <c r="M29" s="157"/>
      <c r="N29" s="227">
        <f t="shared" si="1"/>
        <v>109614.52956200951</v>
      </c>
      <c r="O29" s="152">
        <f t="shared" si="2"/>
        <v>305600.80556200951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323">
        <v>41542</v>
      </c>
      <c r="I30" s="152"/>
      <c r="J30" s="157"/>
      <c r="K30" s="154" t="s">
        <v>1681</v>
      </c>
      <c r="L30" s="227">
        <v>10328.459999999999</v>
      </c>
      <c r="M30" s="157" t="s">
        <v>1670</v>
      </c>
      <c r="N30" s="227">
        <f t="shared" si="1"/>
        <v>99286.069562009507</v>
      </c>
      <c r="O30" s="152">
        <f t="shared" si="2"/>
        <v>295272.34556200949</v>
      </c>
    </row>
    <row r="31" spans="1:15" x14ac:dyDescent="0.15">
      <c r="A31" s="154"/>
      <c r="B31" s="151"/>
      <c r="C31" s="152"/>
      <c r="D31" s="155"/>
      <c r="E31" s="155"/>
      <c r="F31" s="157"/>
      <c r="G31" s="152"/>
      <c r="H31" s="323">
        <v>41545</v>
      </c>
      <c r="I31" s="152">
        <v>261</v>
      </c>
      <c r="J31" s="157" t="s">
        <v>1670</v>
      </c>
      <c r="K31" s="154"/>
      <c r="L31" s="227"/>
      <c r="M31" s="154"/>
      <c r="N31" s="227">
        <f t="shared" si="1"/>
        <v>99025.069562009507</v>
      </c>
      <c r="O31" s="152">
        <f t="shared" si="2"/>
        <v>295011.34556200949</v>
      </c>
    </row>
    <row r="32" spans="1:15" x14ac:dyDescent="0.15">
      <c r="A32" s="154"/>
      <c r="B32" s="151"/>
      <c r="C32" s="152"/>
      <c r="D32" s="155"/>
      <c r="E32" s="155"/>
      <c r="F32" s="157"/>
      <c r="G32" s="152"/>
      <c r="H32" s="323">
        <v>41546</v>
      </c>
      <c r="I32" s="152"/>
      <c r="J32" s="154"/>
      <c r="K32" s="154" t="s">
        <v>1681</v>
      </c>
      <c r="L32" s="227">
        <v>1236.3699999999999</v>
      </c>
      <c r="M32" s="157" t="s">
        <v>1670</v>
      </c>
      <c r="N32" s="227">
        <f t="shared" si="1"/>
        <v>97788.699562009511</v>
      </c>
      <c r="O32" s="152">
        <f t="shared" si="2"/>
        <v>293774.97556200949</v>
      </c>
    </row>
    <row r="33" spans="1:15" hidden="1" x14ac:dyDescent="0.15">
      <c r="A33" s="154"/>
      <c r="B33" s="151"/>
      <c r="C33" s="152"/>
      <c r="D33" s="155"/>
      <c r="E33" s="155"/>
      <c r="F33" s="157"/>
      <c r="G33" s="152"/>
      <c r="H33" s="155"/>
      <c r="I33" s="152"/>
      <c r="J33" s="157"/>
      <c r="K33" s="154"/>
      <c r="L33" s="227"/>
      <c r="M33" s="157"/>
      <c r="N33" s="227">
        <f t="shared" si="1"/>
        <v>97788.699562009511</v>
      </c>
      <c r="O33" s="152">
        <f t="shared" si="2"/>
        <v>293774.97556200949</v>
      </c>
    </row>
    <row r="34" spans="1:15" hidden="1" x14ac:dyDescent="0.15">
      <c r="A34" s="154"/>
      <c r="B34" s="151"/>
      <c r="C34" s="152"/>
      <c r="D34" s="155"/>
      <c r="E34" s="155"/>
      <c r="F34" s="157"/>
      <c r="G34" s="152"/>
      <c r="H34" s="155"/>
      <c r="I34" s="152"/>
      <c r="J34" s="154"/>
      <c r="K34" s="154"/>
      <c r="L34" s="227"/>
      <c r="M34" s="157"/>
      <c r="N34" s="227">
        <f t="shared" si="1"/>
        <v>97788.699562009511</v>
      </c>
      <c r="O34" s="152">
        <f t="shared" si="2"/>
        <v>293774.97556200949</v>
      </c>
    </row>
    <row r="35" spans="1:15" hidden="1" x14ac:dyDescent="0.15">
      <c r="A35" s="154"/>
      <c r="B35" s="151"/>
      <c r="C35" s="152"/>
      <c r="D35" s="155"/>
      <c r="E35" s="155"/>
      <c r="F35" s="157"/>
      <c r="G35" s="152"/>
      <c r="H35" s="155"/>
      <c r="I35" s="152"/>
      <c r="J35" s="157"/>
      <c r="K35" s="154"/>
      <c r="L35" s="227"/>
      <c r="M35" s="157"/>
      <c r="N35" s="227">
        <f t="shared" si="1"/>
        <v>97788.699562009511</v>
      </c>
      <c r="O35" s="152">
        <f t="shared" si="2"/>
        <v>293774.97556200949</v>
      </c>
    </row>
    <row r="36" spans="1:15" hidden="1" x14ac:dyDescent="0.15">
      <c r="A36" s="154"/>
      <c r="B36" s="151"/>
      <c r="C36" s="152"/>
      <c r="D36" s="155"/>
      <c r="E36" s="155"/>
      <c r="F36" s="157"/>
      <c r="G36" s="152"/>
      <c r="H36" s="155"/>
      <c r="I36" s="152"/>
      <c r="J36" s="157"/>
      <c r="K36" s="154"/>
      <c r="L36" s="227"/>
      <c r="M36" s="157"/>
      <c r="N36" s="227">
        <f t="shared" si="1"/>
        <v>97788.699562009511</v>
      </c>
      <c r="O36" s="152">
        <f t="shared" si="2"/>
        <v>293774.97556200949</v>
      </c>
    </row>
    <row r="37" spans="1:15" hidden="1" x14ac:dyDescent="0.15">
      <c r="A37" s="154"/>
      <c r="B37" s="151"/>
      <c r="C37" s="152"/>
      <c r="D37" s="155"/>
      <c r="E37" s="155"/>
      <c r="F37" s="157"/>
      <c r="G37" s="152"/>
      <c r="H37" s="155"/>
      <c r="I37" s="152"/>
      <c r="J37" s="157"/>
      <c r="K37" s="154"/>
      <c r="L37" s="227"/>
      <c r="M37" s="157"/>
      <c r="N37" s="227">
        <f t="shared" si="1"/>
        <v>97788.699562009511</v>
      </c>
      <c r="O37" s="152">
        <f t="shared" si="2"/>
        <v>293774.97556200949</v>
      </c>
    </row>
    <row r="38" spans="1:15" hidden="1" x14ac:dyDescent="0.15">
      <c r="A38" s="154"/>
      <c r="B38" s="151"/>
      <c r="C38" s="152"/>
      <c r="D38" s="155"/>
      <c r="E38" s="155"/>
      <c r="F38" s="157"/>
      <c r="G38" s="152"/>
      <c r="H38" s="155"/>
      <c r="I38" s="152"/>
      <c r="J38" s="154"/>
      <c r="K38" s="154"/>
      <c r="L38" s="227"/>
      <c r="M38" s="157"/>
      <c r="N38" s="227">
        <f t="shared" si="1"/>
        <v>97788.699562009511</v>
      </c>
      <c r="O38" s="152">
        <f t="shared" si="2"/>
        <v>293774.97556200949</v>
      </c>
    </row>
    <row r="39" spans="1:15" hidden="1" x14ac:dyDescent="0.15">
      <c r="A39" s="154"/>
      <c r="B39" s="151"/>
      <c r="C39" s="152"/>
      <c r="D39" s="155"/>
      <c r="E39" s="155"/>
      <c r="F39" s="157"/>
      <c r="G39" s="152"/>
      <c r="H39" s="155"/>
      <c r="I39" s="152"/>
      <c r="J39" s="154"/>
      <c r="K39" s="154"/>
      <c r="L39" s="227"/>
      <c r="M39" s="157"/>
      <c r="N39" s="227">
        <f t="shared" si="1"/>
        <v>97788.699562009511</v>
      </c>
      <c r="O39" s="152">
        <f t="shared" si="2"/>
        <v>293774.97556200949</v>
      </c>
    </row>
    <row r="40" spans="1:15" hidden="1" x14ac:dyDescent="0.15">
      <c r="A40" s="154"/>
      <c r="B40" s="151"/>
      <c r="C40" s="152"/>
      <c r="D40" s="155"/>
      <c r="E40" s="155"/>
      <c r="F40" s="157"/>
      <c r="G40" s="152"/>
      <c r="H40" s="155"/>
      <c r="I40" s="152"/>
      <c r="J40" s="157"/>
      <c r="K40" s="154"/>
      <c r="L40" s="227"/>
      <c r="M40" s="157"/>
      <c r="N40" s="227">
        <f t="shared" si="1"/>
        <v>97788.699562009511</v>
      </c>
      <c r="O40" s="152">
        <f t="shared" si="2"/>
        <v>293774.97556200949</v>
      </c>
    </row>
    <row r="41" spans="1:15" hidden="1" x14ac:dyDescent="0.15">
      <c r="A41" s="154"/>
      <c r="B41" s="151"/>
      <c r="C41" s="152"/>
      <c r="D41" s="155"/>
      <c r="E41" s="155"/>
      <c r="F41" s="157"/>
      <c r="G41" s="152"/>
      <c r="H41" s="155"/>
      <c r="I41" s="152"/>
      <c r="J41" s="157"/>
      <c r="K41" s="154"/>
      <c r="L41" s="227"/>
      <c r="M41" s="157"/>
      <c r="N41" s="227">
        <f t="shared" si="1"/>
        <v>97788.699562009511</v>
      </c>
      <c r="O41" s="152">
        <f t="shared" si="2"/>
        <v>293774.97556200949</v>
      </c>
    </row>
    <row r="42" spans="1:15" hidden="1" x14ac:dyDescent="0.15">
      <c r="A42" s="154"/>
      <c r="B42" s="151"/>
      <c r="C42" s="152"/>
      <c r="D42" s="155"/>
      <c r="E42" s="155"/>
      <c r="F42" s="157"/>
      <c r="G42" s="152"/>
      <c r="H42" s="155"/>
      <c r="I42" s="152"/>
      <c r="J42" s="157"/>
      <c r="K42" s="154"/>
      <c r="L42" s="227"/>
      <c r="M42" s="157"/>
      <c r="N42" s="227">
        <f t="shared" si="1"/>
        <v>97788.699562009511</v>
      </c>
      <c r="O42" s="152">
        <f t="shared" si="2"/>
        <v>293774.97556200949</v>
      </c>
    </row>
    <row r="43" spans="1:15" hidden="1" x14ac:dyDescent="0.15">
      <c r="A43" s="154"/>
      <c r="B43" s="151"/>
      <c r="C43" s="152"/>
      <c r="D43" s="155"/>
      <c r="E43" s="155"/>
      <c r="F43" s="157"/>
      <c r="G43" s="152"/>
      <c r="H43" s="155"/>
      <c r="I43" s="152"/>
      <c r="J43" s="157"/>
      <c r="K43" s="154"/>
      <c r="L43" s="227"/>
      <c r="M43" s="157"/>
      <c r="N43" s="227">
        <f t="shared" si="1"/>
        <v>97788.699562009511</v>
      </c>
      <c r="O43" s="152">
        <f t="shared" si="2"/>
        <v>293774.97556200949</v>
      </c>
    </row>
    <row r="44" spans="1:15" hidden="1" x14ac:dyDescent="0.15">
      <c r="A44" s="154"/>
      <c r="B44" s="151"/>
      <c r="C44" s="152"/>
      <c r="D44" s="155"/>
      <c r="E44" s="155"/>
      <c r="F44" s="157"/>
      <c r="G44" s="152"/>
      <c r="H44" s="155"/>
      <c r="I44" s="152"/>
      <c r="J44" s="154"/>
      <c r="K44" s="154"/>
      <c r="L44" s="227"/>
      <c r="M44" s="157"/>
      <c r="N44" s="227">
        <f t="shared" si="1"/>
        <v>97788.699562009511</v>
      </c>
      <c r="O44" s="152">
        <f t="shared" si="2"/>
        <v>293774.97556200949</v>
      </c>
    </row>
    <row r="45" spans="1:15" hidden="1" x14ac:dyDescent="0.15">
      <c r="A45" s="154"/>
      <c r="B45" s="151"/>
      <c r="C45" s="152"/>
      <c r="D45" s="155"/>
      <c r="E45" s="155"/>
      <c r="F45" s="157"/>
      <c r="G45" s="152"/>
      <c r="H45" s="155"/>
      <c r="I45" s="152"/>
      <c r="J45" s="154"/>
      <c r="K45" s="154"/>
      <c r="L45" s="227"/>
      <c r="M45" s="157"/>
      <c r="N45" s="227">
        <f t="shared" si="1"/>
        <v>97788.699562009511</v>
      </c>
      <c r="O45" s="152">
        <f t="shared" si="2"/>
        <v>293774.97556200949</v>
      </c>
    </row>
    <row r="46" spans="1:15" hidden="1" x14ac:dyDescent="0.15">
      <c r="A46" s="154"/>
      <c r="B46" s="151"/>
      <c r="C46" s="152"/>
      <c r="D46" s="155"/>
      <c r="E46" s="155"/>
      <c r="F46" s="157"/>
      <c r="G46" s="152"/>
      <c r="H46" s="155"/>
      <c r="I46" s="152"/>
      <c r="J46" s="154"/>
      <c r="K46" s="154"/>
      <c r="L46" s="227"/>
      <c r="M46" s="157"/>
      <c r="N46" s="227">
        <f t="shared" si="1"/>
        <v>97788.699562009511</v>
      </c>
      <c r="O46" s="152">
        <f t="shared" si="2"/>
        <v>293774.97556200949</v>
      </c>
    </row>
    <row r="47" spans="1:15" hidden="1" x14ac:dyDescent="0.15">
      <c r="A47" s="154"/>
      <c r="B47" s="151"/>
      <c r="C47" s="152"/>
      <c r="D47" s="155"/>
      <c r="E47" s="155"/>
      <c r="F47" s="157"/>
      <c r="G47" s="152"/>
      <c r="H47" s="155"/>
      <c r="I47" s="152"/>
      <c r="J47" s="157"/>
      <c r="K47" s="154"/>
      <c r="L47" s="227"/>
      <c r="M47" s="157"/>
      <c r="N47" s="227">
        <f t="shared" si="1"/>
        <v>97788.699562009511</v>
      </c>
      <c r="O47" s="152">
        <f t="shared" si="2"/>
        <v>293774.97556200949</v>
      </c>
    </row>
    <row r="48" spans="1:15" hidden="1" x14ac:dyDescent="0.15">
      <c r="A48" s="154"/>
      <c r="B48" s="151"/>
      <c r="C48" s="152"/>
      <c r="D48" s="155"/>
      <c r="E48" s="155"/>
      <c r="F48" s="157"/>
      <c r="G48" s="152"/>
      <c r="H48" s="155"/>
      <c r="I48" s="152"/>
      <c r="J48" s="154"/>
      <c r="K48" s="154"/>
      <c r="L48" s="227"/>
      <c r="M48" s="157"/>
      <c r="N48" s="227">
        <f t="shared" si="1"/>
        <v>97788.699562009511</v>
      </c>
      <c r="O48" s="152">
        <f t="shared" si="2"/>
        <v>293774.97556200949</v>
      </c>
    </row>
    <row r="49" spans="1:15" hidden="1" x14ac:dyDescent="0.15">
      <c r="A49" s="154"/>
      <c r="B49" s="151"/>
      <c r="C49" s="152"/>
      <c r="D49" s="155"/>
      <c r="E49" s="155"/>
      <c r="F49" s="157"/>
      <c r="G49" s="152"/>
      <c r="H49" s="155"/>
      <c r="I49" s="152"/>
      <c r="J49" s="157"/>
      <c r="K49" s="154"/>
      <c r="L49" s="227"/>
      <c r="M49" s="157"/>
      <c r="N49" s="227">
        <f t="shared" si="1"/>
        <v>97788.699562009511</v>
      </c>
      <c r="O49" s="152">
        <f t="shared" si="2"/>
        <v>293774.97556200949</v>
      </c>
    </row>
    <row r="50" spans="1:15" hidden="1" x14ac:dyDescent="0.15">
      <c r="A50" s="154"/>
      <c r="B50" s="151"/>
      <c r="C50" s="151"/>
      <c r="D50" s="155"/>
      <c r="E50" s="155"/>
      <c r="F50" s="157"/>
      <c r="G50" s="152"/>
      <c r="H50" s="155"/>
      <c r="I50" s="152"/>
      <c r="J50" s="154"/>
      <c r="K50" s="154"/>
      <c r="L50" s="227"/>
      <c r="M50" s="157"/>
      <c r="N50" s="227">
        <f t="shared" si="1"/>
        <v>97788.699562009511</v>
      </c>
      <c r="O50" s="152">
        <f t="shared" si="2"/>
        <v>293774.97556200949</v>
      </c>
    </row>
    <row r="51" spans="1:15" hidden="1" x14ac:dyDescent="0.15">
      <c r="A51" s="154"/>
      <c r="B51" s="151"/>
      <c r="C51" s="151"/>
      <c r="D51" s="155"/>
      <c r="E51" s="155"/>
      <c r="F51" s="157"/>
      <c r="G51" s="152"/>
      <c r="H51" s="155"/>
      <c r="I51" s="152"/>
      <c r="J51" s="154"/>
      <c r="K51" s="154"/>
      <c r="L51" s="227"/>
      <c r="M51" s="157"/>
      <c r="N51" s="227">
        <f t="shared" si="1"/>
        <v>97788.699562009511</v>
      </c>
      <c r="O51" s="152">
        <f t="shared" si="2"/>
        <v>293774.97556200949</v>
      </c>
    </row>
    <row r="52" spans="1:15" hidden="1" x14ac:dyDescent="0.15">
      <c r="A52" s="154"/>
      <c r="B52" s="151"/>
      <c r="C52" s="151"/>
      <c r="D52" s="155"/>
      <c r="E52" s="155"/>
      <c r="F52" s="157"/>
      <c r="G52" s="152"/>
      <c r="H52" s="155"/>
      <c r="I52" s="152"/>
      <c r="J52" s="154"/>
      <c r="K52" s="154"/>
      <c r="L52" s="227"/>
      <c r="M52" s="157"/>
      <c r="N52" s="227">
        <f t="shared" si="1"/>
        <v>97788.699562009511</v>
      </c>
      <c r="O52" s="152">
        <f t="shared" si="2"/>
        <v>293774.97556200949</v>
      </c>
    </row>
    <row r="53" spans="1:15" hidden="1" x14ac:dyDescent="0.15">
      <c r="A53" s="154"/>
      <c r="B53" s="151"/>
      <c r="C53" s="151"/>
      <c r="D53" s="155"/>
      <c r="E53" s="155"/>
      <c r="F53" s="157"/>
      <c r="G53" s="152"/>
      <c r="H53" s="155"/>
      <c r="I53" s="152"/>
      <c r="J53" s="154"/>
      <c r="K53" s="154"/>
      <c r="L53" s="227"/>
      <c r="M53" s="157"/>
      <c r="N53" s="227">
        <f t="shared" si="1"/>
        <v>97788.699562009511</v>
      </c>
      <c r="O53" s="152">
        <f t="shared" si="2"/>
        <v>293774.97556200949</v>
      </c>
    </row>
    <row r="54" spans="1:15" hidden="1" x14ac:dyDescent="0.15">
      <c r="A54" s="154"/>
      <c r="B54" s="151"/>
      <c r="C54" s="151"/>
      <c r="D54" s="155"/>
      <c r="E54" s="155"/>
      <c r="F54" s="157"/>
      <c r="G54" s="152"/>
      <c r="H54" s="155"/>
      <c r="I54" s="152"/>
      <c r="J54" s="154"/>
      <c r="K54" s="154"/>
      <c r="L54" s="227"/>
      <c r="M54" s="157"/>
      <c r="N54" s="227">
        <f t="shared" si="1"/>
        <v>97788.699562009511</v>
      </c>
      <c r="O54" s="152">
        <f t="shared" si="2"/>
        <v>293774.97556200949</v>
      </c>
    </row>
    <row r="55" spans="1:15" hidden="1" x14ac:dyDescent="0.15">
      <c r="A55" s="154"/>
      <c r="B55" s="151"/>
      <c r="C55" s="151"/>
      <c r="D55" s="155"/>
      <c r="E55" s="154"/>
      <c r="F55" s="291"/>
      <c r="G55" s="152"/>
      <c r="H55" s="155"/>
      <c r="I55" s="152"/>
      <c r="J55" s="291"/>
      <c r="K55" s="154"/>
      <c r="L55" s="227"/>
      <c r="M55" s="157"/>
      <c r="N55" s="227">
        <f t="shared" si="1"/>
        <v>97788.699562009511</v>
      </c>
      <c r="O55" s="152">
        <f t="shared" si="2"/>
        <v>293774.97556200949</v>
      </c>
    </row>
    <row r="56" spans="1:15" hidden="1" x14ac:dyDescent="0.15">
      <c r="A56" s="154"/>
      <c r="B56" s="151"/>
      <c r="C56" s="151"/>
      <c r="D56" s="155"/>
      <c r="E56" s="154"/>
      <c r="F56" s="291"/>
      <c r="G56" s="152"/>
      <c r="H56" s="155"/>
      <c r="I56" s="152"/>
      <c r="J56" s="157"/>
      <c r="K56" s="154"/>
      <c r="L56" s="227"/>
      <c r="M56" s="157"/>
      <c r="N56" s="227">
        <f t="shared" si="1"/>
        <v>97788.699562009511</v>
      </c>
      <c r="O56" s="152">
        <f t="shared" si="2"/>
        <v>293774.97556200949</v>
      </c>
    </row>
    <row r="57" spans="1:15" hidden="1" x14ac:dyDescent="0.15">
      <c r="A57" s="154"/>
      <c r="B57" s="151"/>
      <c r="C57" s="151"/>
      <c r="D57" s="152"/>
      <c r="E57" s="154"/>
      <c r="F57" s="157"/>
      <c r="G57" s="152"/>
      <c r="H57" s="155"/>
      <c r="I57" s="152"/>
      <c r="J57" s="154"/>
      <c r="K57" s="154"/>
      <c r="L57" s="227"/>
      <c r="M57" s="157"/>
      <c r="N57" s="227">
        <f t="shared" si="1"/>
        <v>97788.699562009511</v>
      </c>
      <c r="O57" s="152">
        <f t="shared" si="2"/>
        <v>293774.97556200949</v>
      </c>
    </row>
    <row r="58" spans="1:15" hidden="1" x14ac:dyDescent="0.15">
      <c r="A58" s="154"/>
      <c r="B58" s="151"/>
      <c r="C58" s="151"/>
      <c r="D58" s="152"/>
      <c r="E58" s="155"/>
      <c r="F58" s="157"/>
      <c r="G58" s="152"/>
      <c r="H58" s="155"/>
      <c r="I58" s="152"/>
      <c r="J58" s="157"/>
      <c r="K58" s="154"/>
      <c r="L58" s="227"/>
      <c r="M58" s="157"/>
      <c r="N58" s="227">
        <f t="shared" si="1"/>
        <v>97788.699562009511</v>
      </c>
      <c r="O58" s="152">
        <f t="shared" si="2"/>
        <v>293774.97556200949</v>
      </c>
    </row>
    <row r="59" spans="1:15" hidden="1" x14ac:dyDescent="0.15">
      <c r="A59" s="154"/>
      <c r="B59" s="151"/>
      <c r="C59" s="151"/>
      <c r="D59" s="152"/>
      <c r="E59" s="154"/>
      <c r="F59" s="160"/>
      <c r="G59" s="152"/>
      <c r="H59" s="155"/>
      <c r="I59" s="152"/>
      <c r="J59" s="150"/>
      <c r="K59" s="154"/>
      <c r="L59" s="227"/>
      <c r="M59" s="157"/>
      <c r="N59" s="227">
        <f t="shared" si="1"/>
        <v>97788.699562009511</v>
      </c>
      <c r="O59" s="152">
        <f t="shared" si="2"/>
        <v>293774.97556200949</v>
      </c>
    </row>
    <row r="60" spans="1:15" x14ac:dyDescent="0.15">
      <c r="A60" s="173"/>
      <c r="B60" s="173"/>
      <c r="C60" s="174"/>
      <c r="D60" s="175"/>
      <c r="E60" s="173"/>
      <c r="F60" s="173"/>
      <c r="G60" s="174"/>
      <c r="H60" s="175"/>
      <c r="I60" s="174"/>
      <c r="J60" s="173"/>
      <c r="K60" s="154"/>
      <c r="L60" s="228"/>
      <c r="M60" s="173"/>
      <c r="N60" s="227">
        <f t="shared" si="1"/>
        <v>97788.699562009511</v>
      </c>
      <c r="O60" s="152">
        <f t="shared" si="2"/>
        <v>293774.97556200949</v>
      </c>
    </row>
    <row r="61" spans="1:15" x14ac:dyDescent="0.15">
      <c r="A61" s="177"/>
      <c r="B61" s="177"/>
      <c r="C61" s="178">
        <f>SUM(C7:C59)</f>
        <v>244278.0080620095</v>
      </c>
      <c r="D61" s="177"/>
      <c r="E61" s="177"/>
      <c r="F61" s="177"/>
      <c r="G61" s="178">
        <f>SUM(G7:G59)</f>
        <v>195986.27600000001</v>
      </c>
      <c r="H61" s="179"/>
      <c r="I61" s="178">
        <f>SUM(I7:I59)</f>
        <v>58933.988499999992</v>
      </c>
      <c r="J61" s="177"/>
      <c r="K61" s="177"/>
      <c r="L61" s="229">
        <f>SUM(L9:L59)</f>
        <v>87555.319999999978</v>
      </c>
      <c r="M61" s="177"/>
      <c r="N61" s="180"/>
      <c r="O61" s="181">
        <f>C61+G61-I61-L61</f>
        <v>293774.97556200961</v>
      </c>
    </row>
    <row r="62" spans="1:15" x14ac:dyDescent="0.15">
      <c r="A62" s="182"/>
      <c r="B62" s="465"/>
      <c r="C62" s="465"/>
      <c r="D62" s="465"/>
      <c r="E62" s="183"/>
      <c r="F62" s="284"/>
      <c r="G62" s="185"/>
      <c r="H62" s="186"/>
      <c r="I62" s="187"/>
      <c r="J62" s="188"/>
      <c r="K62" s="189" t="s">
        <v>139</v>
      </c>
      <c r="L62" s="190">
        <f>+L61+I61</f>
        <v>146489.30849999998</v>
      </c>
      <c r="M62" s="197"/>
      <c r="N62" s="230">
        <f>+N60</f>
        <v>97788.699562009511</v>
      </c>
      <c r="O62" s="195" t="s">
        <v>1670</v>
      </c>
    </row>
    <row r="63" spans="1:15" x14ac:dyDescent="0.15">
      <c r="A63" s="193"/>
      <c r="B63" s="470"/>
      <c r="C63" s="470"/>
      <c r="D63" s="470"/>
      <c r="E63" s="183"/>
      <c r="F63" s="322"/>
      <c r="G63" s="219"/>
      <c r="H63" s="186"/>
      <c r="I63" s="187"/>
      <c r="J63" s="210"/>
      <c r="K63" s="210"/>
      <c r="N63" s="230">
        <f>+G15</f>
        <v>77961.712</v>
      </c>
      <c r="O63" s="195" t="str">
        <f>+F15</f>
        <v>TOP 310813</v>
      </c>
    </row>
    <row r="64" spans="1:15" x14ac:dyDescent="0.15">
      <c r="A64" s="193" t="s">
        <v>1647</v>
      </c>
      <c r="B64" s="320" t="s">
        <v>1682</v>
      </c>
      <c r="E64" s="183" t="s">
        <v>55</v>
      </c>
      <c r="F64" s="322">
        <v>1981643.16</v>
      </c>
      <c r="G64" s="219" t="s">
        <v>56</v>
      </c>
      <c r="H64" s="186">
        <v>41491</v>
      </c>
      <c r="I64" s="187" t="s">
        <v>71</v>
      </c>
      <c r="J64" s="210">
        <v>10252.724562009496</v>
      </c>
      <c r="K64" s="210"/>
      <c r="N64" s="230">
        <f>+G28+G29</f>
        <v>118024.56400000001</v>
      </c>
      <c r="O64" s="195" t="str">
        <f>+F28</f>
        <v>GC 100913</v>
      </c>
    </row>
    <row r="65" spans="1:15" x14ac:dyDescent="0.15">
      <c r="A65" s="193" t="s">
        <v>1670</v>
      </c>
      <c r="B65" s="320" t="s">
        <v>1683</v>
      </c>
      <c r="E65" s="183" t="s">
        <v>55</v>
      </c>
      <c r="F65" s="322">
        <v>1917958.37</v>
      </c>
      <c r="G65" s="219" t="s">
        <v>56</v>
      </c>
      <c r="H65" s="186">
        <v>41512</v>
      </c>
      <c r="I65" s="187" t="s">
        <v>71</v>
      </c>
      <c r="J65" s="210">
        <v>22476.465437990497</v>
      </c>
      <c r="K65" s="210"/>
      <c r="N65" s="230"/>
      <c r="O65" s="195"/>
    </row>
    <row r="66" spans="1:15" ht="12" thickBot="1" x14ac:dyDescent="0.2">
      <c r="A66" s="133"/>
      <c r="B66" s="320"/>
      <c r="C66" s="320"/>
      <c r="D66" s="320"/>
      <c r="E66" s="183"/>
      <c r="F66" s="321"/>
      <c r="G66" s="219"/>
      <c r="H66" s="186"/>
      <c r="I66" s="217" t="s">
        <v>856</v>
      </c>
      <c r="J66" s="211">
        <f>SUM(J64:J65)</f>
        <v>32729.189999999995</v>
      </c>
      <c r="K66" s="210"/>
      <c r="N66" s="230"/>
      <c r="O66" s="195"/>
    </row>
    <row r="67" spans="1:15" ht="12" thickTop="1" x14ac:dyDescent="0.15">
      <c r="A67" s="193" t="s">
        <v>1648</v>
      </c>
      <c r="B67" s="320" t="s">
        <v>1673</v>
      </c>
      <c r="E67" s="183" t="s">
        <v>55</v>
      </c>
      <c r="F67" s="322">
        <v>122329597.34999999</v>
      </c>
      <c r="G67" s="219" t="s">
        <v>56</v>
      </c>
      <c r="H67" s="186">
        <v>41450</v>
      </c>
      <c r="I67" s="187" t="s">
        <v>71</v>
      </c>
      <c r="J67" s="210">
        <v>54826.13</v>
      </c>
      <c r="K67" s="210"/>
      <c r="N67" s="230"/>
      <c r="O67" s="195"/>
    </row>
    <row r="68" spans="1:15" ht="12" thickBot="1" x14ac:dyDescent="0.2">
      <c r="A68" s="133"/>
      <c r="B68" s="320"/>
      <c r="C68" s="320"/>
      <c r="D68" s="320"/>
      <c r="E68" s="183"/>
      <c r="F68" s="321"/>
      <c r="G68" s="219"/>
      <c r="H68" s="186"/>
      <c r="I68" s="217" t="s">
        <v>689</v>
      </c>
      <c r="J68" s="211">
        <f>SUM(J67)</f>
        <v>54826.13</v>
      </c>
      <c r="K68" s="210"/>
      <c r="N68" s="230"/>
      <c r="O68" s="195"/>
    </row>
    <row r="69" spans="1:15" ht="12" thickTop="1" x14ac:dyDescent="0.15">
      <c r="A69" s="193"/>
      <c r="B69" s="210"/>
      <c r="C69" s="221"/>
      <c r="D69" s="237"/>
      <c r="E69" s="235"/>
      <c r="F69" s="235"/>
      <c r="J69" s="205"/>
      <c r="N69" s="206" t="s">
        <v>33</v>
      </c>
      <c r="O69" s="207">
        <f>SUM(N62:N68)</f>
        <v>293774.97556200949</v>
      </c>
    </row>
    <row r="70" spans="1:15" x14ac:dyDescent="0.15">
      <c r="A70" s="133"/>
      <c r="B70" s="133" t="s">
        <v>9</v>
      </c>
      <c r="C70" s="220" t="s">
        <v>729</v>
      </c>
      <c r="D70" s="220" t="s">
        <v>850</v>
      </c>
      <c r="E70" s="133" t="s">
        <v>570</v>
      </c>
      <c r="F70" s="133" t="s">
        <v>571</v>
      </c>
      <c r="G70" s="133" t="s">
        <v>16</v>
      </c>
      <c r="H70" s="134"/>
      <c r="I70" s="134"/>
      <c r="J70" s="205"/>
      <c r="O70" s="132">
        <f>+O61-O69</f>
        <v>0</v>
      </c>
    </row>
    <row r="71" spans="1:15" s="132" customFormat="1" x14ac:dyDescent="0.15">
      <c r="A71" s="193" t="s">
        <v>1647</v>
      </c>
      <c r="B71" s="210">
        <v>10253</v>
      </c>
      <c r="C71" s="221">
        <v>24.0307</v>
      </c>
      <c r="D71" s="237">
        <f t="shared" ref="D71" si="3">+B71*C71</f>
        <v>246386.7671</v>
      </c>
      <c r="E71" s="235">
        <f t="shared" ref="E71" si="4">+D71*0.01</f>
        <v>2463.867671</v>
      </c>
      <c r="F71" s="235">
        <f t="shared" ref="F71" si="5">+E71*0.1</f>
        <v>246.38676710000001</v>
      </c>
      <c r="G71" s="236">
        <f>SUM(E71:F71)</f>
        <v>2710.2544380999998</v>
      </c>
      <c r="H71" s="134"/>
      <c r="I71" s="134"/>
      <c r="J71" s="134"/>
      <c r="K71" s="133"/>
      <c r="M71" s="134"/>
    </row>
    <row r="72" spans="1:15" s="132" customFormat="1" x14ac:dyDescent="0.15">
      <c r="A72" s="193" t="s">
        <v>1670</v>
      </c>
      <c r="B72" s="210">
        <v>22476</v>
      </c>
      <c r="C72" s="221">
        <v>24.722799999999999</v>
      </c>
      <c r="D72" s="237">
        <f t="shared" ref="D72" si="6">+B72*C72</f>
        <v>555669.65280000004</v>
      </c>
      <c r="E72" s="235">
        <f t="shared" ref="E72" si="7">+D72*0.01</f>
        <v>5556.6965280000004</v>
      </c>
      <c r="F72" s="235">
        <f t="shared" ref="F72" si="8">+E72*0.1</f>
        <v>555.66965280000011</v>
      </c>
      <c r="G72" s="236">
        <f>SUM(E72:F72)</f>
        <v>6112.3661808000006</v>
      </c>
      <c r="H72" s="133"/>
      <c r="J72" s="134"/>
      <c r="K72" s="133"/>
      <c r="M72" s="134"/>
    </row>
    <row r="73" spans="1:15" s="132" customFormat="1" ht="12" thickBot="1" x14ac:dyDescent="0.2">
      <c r="A73" s="133"/>
      <c r="B73" s="211">
        <f>SUM(B71:B72)</f>
        <v>32729</v>
      </c>
      <c r="C73" s="221"/>
      <c r="D73" s="237"/>
      <c r="E73" s="242">
        <f>SUM(E71:E72)</f>
        <v>8020.5641990000004</v>
      </c>
      <c r="F73" s="242">
        <f t="shared" ref="F73:G73" si="9">SUM(F71:F72)</f>
        <v>802.05641990000015</v>
      </c>
      <c r="G73" s="242">
        <f t="shared" si="9"/>
        <v>8822.6206189000004</v>
      </c>
      <c r="H73" s="134"/>
      <c r="I73" s="134"/>
      <c r="J73" s="134"/>
      <c r="K73" s="133"/>
      <c r="M73" s="134"/>
    </row>
    <row r="74" spans="1:15" s="132" customFormat="1" ht="12" thickTop="1" x14ac:dyDescent="0.15">
      <c r="A74" s="193" t="s">
        <v>1648</v>
      </c>
      <c r="B74" s="210">
        <v>54826</v>
      </c>
      <c r="C74" s="221">
        <v>23.147400000000001</v>
      </c>
      <c r="D74" s="237">
        <f t="shared" ref="D74" si="10">+B74*C74</f>
        <v>1269079.3524</v>
      </c>
      <c r="E74" s="235">
        <f t="shared" ref="E74" si="11">+D74*0.01</f>
        <v>12690.793524000001</v>
      </c>
      <c r="F74" s="235">
        <f t="shared" ref="F74" si="12">+E74*0.1</f>
        <v>1269.0793524000001</v>
      </c>
      <c r="G74" s="236">
        <f>SUM(E74:F74)</f>
        <v>13959.872876400001</v>
      </c>
      <c r="H74" s="133"/>
      <c r="J74" s="134"/>
      <c r="K74" s="133"/>
      <c r="M74" s="134"/>
    </row>
    <row r="75" spans="1:15" s="132" customFormat="1" ht="12" thickBot="1" x14ac:dyDescent="0.2">
      <c r="A75" s="133"/>
      <c r="B75" s="211">
        <f>SUM(B74)</f>
        <v>54826</v>
      </c>
      <c r="C75" s="221"/>
      <c r="D75" s="237"/>
      <c r="E75" s="242">
        <f>SUM(E74)</f>
        <v>12690.793524000001</v>
      </c>
      <c r="F75" s="242">
        <f t="shared" ref="F75:G75" si="13">SUM(F74)</f>
        <v>1269.0793524000001</v>
      </c>
      <c r="G75" s="242">
        <f t="shared" si="13"/>
        <v>13959.872876400001</v>
      </c>
      <c r="H75" s="133"/>
      <c r="J75" s="134"/>
      <c r="K75" s="133"/>
      <c r="M75" s="134"/>
    </row>
    <row r="76" spans="1:15" s="132" customFormat="1" ht="12" thickTop="1" x14ac:dyDescent="0.15">
      <c r="A76" s="134"/>
      <c r="B76" s="231"/>
      <c r="D76" s="133"/>
      <c r="E76" s="133"/>
      <c r="F76" s="134"/>
      <c r="H76" s="133"/>
      <c r="J76" s="134"/>
      <c r="K76" s="133"/>
      <c r="M76" s="134"/>
    </row>
    <row r="77" spans="1:15" s="132" customFormat="1" x14ac:dyDescent="0.15">
      <c r="A77" s="134"/>
      <c r="B77" s="131"/>
      <c r="D77" s="133"/>
      <c r="E77" s="133"/>
      <c r="F77" s="134"/>
      <c r="H77" s="133"/>
      <c r="J77" s="134"/>
      <c r="K77" s="133"/>
      <c r="M77" s="134"/>
    </row>
    <row r="78" spans="1:15" s="132" customFormat="1" x14ac:dyDescent="0.15">
      <c r="A78" s="134"/>
      <c r="B78" s="131"/>
      <c r="D78" s="133"/>
      <c r="E78" s="133"/>
      <c r="F78" s="134"/>
      <c r="H78" s="133"/>
      <c r="J78" s="134"/>
      <c r="K78" s="133"/>
      <c r="M78" s="134"/>
    </row>
    <row r="79" spans="1:15" s="132" customFormat="1" x14ac:dyDescent="0.15">
      <c r="A79" s="134"/>
      <c r="B79" s="131"/>
      <c r="D79" s="133"/>
      <c r="E79" s="133"/>
      <c r="F79" s="134"/>
      <c r="H79" s="133"/>
      <c r="J79" s="134"/>
      <c r="K79" s="133"/>
      <c r="M79" s="134"/>
    </row>
    <row r="80" spans="1:15" s="132" customFormat="1" x14ac:dyDescent="0.15">
      <c r="A80" s="134"/>
      <c r="B80" s="131"/>
      <c r="D80" s="133"/>
      <c r="E80" s="133"/>
      <c r="F80" s="134"/>
      <c r="H80" s="133"/>
      <c r="J80" s="134"/>
      <c r="K80" s="133"/>
      <c r="M80" s="134"/>
    </row>
    <row r="81" spans="1:15" s="132" customFormat="1" x14ac:dyDescent="0.15">
      <c r="A81" s="134"/>
      <c r="B81" s="131"/>
      <c r="D81" s="133"/>
      <c r="E81" s="133"/>
      <c r="F81" s="134"/>
      <c r="H81" s="133"/>
      <c r="J81" s="134"/>
      <c r="K81" s="133"/>
      <c r="M81" s="134"/>
    </row>
    <row r="82" spans="1:15" s="132" customFormat="1" x14ac:dyDescent="0.15">
      <c r="A82" s="134"/>
      <c r="B82" s="131"/>
      <c r="D82" s="133"/>
      <c r="E82" s="133"/>
      <c r="F82" s="134"/>
      <c r="H82" s="133"/>
      <c r="J82" s="134"/>
      <c r="K82" s="133"/>
      <c r="M82" s="134"/>
    </row>
    <row r="83" spans="1:15" s="132" customFormat="1" x14ac:dyDescent="0.15">
      <c r="A83" s="134"/>
      <c r="B83" s="131"/>
      <c r="D83" s="133"/>
      <c r="E83" s="133"/>
      <c r="F83" s="134"/>
      <c r="H83" s="133"/>
      <c r="J83" s="134"/>
      <c r="K83" s="133"/>
      <c r="M83" s="134"/>
    </row>
    <row r="84" spans="1:15" s="132" customFormat="1" x14ac:dyDescent="0.15">
      <c r="A84" s="134"/>
      <c r="B84" s="131"/>
      <c r="D84" s="133"/>
      <c r="E84" s="133"/>
      <c r="F84" s="134"/>
      <c r="H84" s="133"/>
      <c r="J84" s="134"/>
      <c r="K84" s="133"/>
      <c r="M84" s="134"/>
    </row>
    <row r="85" spans="1:15" s="132" customFormat="1" x14ac:dyDescent="0.15">
      <c r="A85" s="134"/>
      <c r="B85" s="131"/>
      <c r="D85" s="133"/>
      <c r="E85" s="133"/>
      <c r="F85" s="134"/>
      <c r="H85" s="133"/>
      <c r="J85" s="134"/>
      <c r="K85" s="133"/>
      <c r="M85" s="134"/>
    </row>
    <row r="86" spans="1:15" s="132" customFormat="1" x14ac:dyDescent="0.15">
      <c r="A86" s="134"/>
      <c r="B86" s="131"/>
      <c r="D86" s="133"/>
      <c r="E86" s="133"/>
      <c r="F86" s="134"/>
      <c r="H86" s="133"/>
      <c r="J86" s="134"/>
      <c r="K86" s="133"/>
      <c r="M86" s="134"/>
    </row>
    <row r="87" spans="1:15" s="132" customFormat="1" x14ac:dyDescent="0.15">
      <c r="A87" s="134"/>
      <c r="B87" s="131"/>
      <c r="D87" s="133"/>
      <c r="E87" s="133"/>
      <c r="F87" s="134"/>
      <c r="H87" s="133"/>
      <c r="J87" s="134"/>
      <c r="K87" s="133"/>
      <c r="M87" s="134"/>
    </row>
    <row r="88" spans="1:15" s="133" customFormat="1" x14ac:dyDescent="0.15">
      <c r="A88" s="134"/>
      <c r="B88" s="131"/>
      <c r="C88" s="132"/>
      <c r="F88" s="134"/>
      <c r="G88" s="132"/>
      <c r="I88" s="132"/>
      <c r="J88" s="134"/>
      <c r="L88" s="132"/>
      <c r="M88" s="134"/>
      <c r="N88" s="132"/>
      <c r="O88" s="132"/>
    </row>
    <row r="89" spans="1:15" s="133" customFormat="1" x14ac:dyDescent="0.15">
      <c r="A89" s="134"/>
      <c r="B89" s="131"/>
      <c r="C89" s="132"/>
      <c r="F89" s="134"/>
      <c r="G89" s="132"/>
      <c r="I89" s="132"/>
      <c r="J89" s="134"/>
      <c r="L89" s="132"/>
      <c r="M89" s="134"/>
      <c r="N89" s="132"/>
      <c r="O89" s="132"/>
    </row>
    <row r="90" spans="1:15" s="133" customFormat="1" x14ac:dyDescent="0.15">
      <c r="A90" s="134"/>
      <c r="B90" s="131"/>
      <c r="C90" s="132"/>
      <c r="F90" s="134"/>
      <c r="G90" s="132"/>
      <c r="I90" s="132"/>
      <c r="J90" s="134"/>
      <c r="L90" s="132"/>
      <c r="M90" s="134"/>
      <c r="N90" s="132"/>
      <c r="O90" s="132"/>
    </row>
    <row r="91" spans="1:15" s="133" customFormat="1" x14ac:dyDescent="0.15">
      <c r="A91" s="134"/>
      <c r="B91" s="131"/>
      <c r="C91" s="132"/>
      <c r="F91" s="134"/>
      <c r="G91" s="132"/>
      <c r="I91" s="132"/>
      <c r="J91" s="134"/>
      <c r="L91" s="132"/>
      <c r="M91" s="134"/>
      <c r="N91" s="132"/>
      <c r="O91" s="132"/>
    </row>
    <row r="92" spans="1:15" s="133" customFormat="1" x14ac:dyDescent="0.15">
      <c r="A92" s="134"/>
      <c r="B92" s="131"/>
      <c r="C92" s="132"/>
      <c r="F92" s="134"/>
      <c r="G92" s="132"/>
      <c r="I92" s="132"/>
      <c r="J92" s="134"/>
      <c r="L92" s="132"/>
      <c r="M92" s="134"/>
      <c r="N92" s="132"/>
      <c r="O92" s="132"/>
    </row>
    <row r="93" spans="1:15" s="133" customFormat="1" x14ac:dyDescent="0.15">
      <c r="A93" s="134"/>
      <c r="B93" s="131"/>
      <c r="C93" s="132"/>
      <c r="F93" s="134"/>
      <c r="G93" s="132"/>
      <c r="I93" s="132"/>
      <c r="J93" s="134"/>
      <c r="L93" s="132"/>
      <c r="M93" s="134"/>
      <c r="N93" s="132"/>
      <c r="O93" s="132"/>
    </row>
    <row r="95" spans="1:15" s="132" customFormat="1" x14ac:dyDescent="0.15">
      <c r="A95" s="134"/>
      <c r="B95" s="131"/>
      <c r="D95" s="133"/>
      <c r="E95" s="133"/>
      <c r="F95" s="134"/>
      <c r="H95" s="133"/>
      <c r="J95" s="134"/>
      <c r="K95" s="133"/>
      <c r="M95" s="134"/>
    </row>
  </sheetData>
  <mergeCells count="8">
    <mergeCell ref="B62:D62"/>
    <mergeCell ref="B63:D6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95"/>
  <sheetViews>
    <sheetView zoomScale="130" zoomScaleNormal="130" workbookViewId="0">
      <pane ySplit="6" topLeftCell="A28" activePane="bottomLeft" state="frozen"/>
      <selection pane="bottomLeft" activeCell="J68" sqref="A68:J69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5" style="134" bestFit="1" customWidth="1"/>
    <col min="7" max="7" width="11.85546875" style="132" bestFit="1" customWidth="1"/>
    <col min="8" max="8" width="9.570312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710937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1671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1622</v>
      </c>
      <c r="B7" s="146"/>
      <c r="C7" s="147">
        <v>40358.376062009906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40358.376062009906</v>
      </c>
      <c r="O7" s="147">
        <f>+C61</f>
        <v>209348.63306200953</v>
      </c>
    </row>
    <row r="8" spans="1:15" x14ac:dyDescent="0.15">
      <c r="A8" s="154" t="s">
        <v>1623</v>
      </c>
      <c r="B8" s="151"/>
      <c r="C8" s="152">
        <v>21127.154999999599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40358.376062009906</v>
      </c>
      <c r="O8" s="152">
        <f t="shared" ref="O8:O9" si="0">O7+G8-I8-L8</f>
        <v>209348.63306200953</v>
      </c>
    </row>
    <row r="9" spans="1:15" x14ac:dyDescent="0.15">
      <c r="A9" s="157" t="s">
        <v>1648</v>
      </c>
      <c r="B9" s="151"/>
      <c r="C9" s="152">
        <v>88784.301999999996</v>
      </c>
      <c r="D9" s="154"/>
      <c r="E9" s="154"/>
      <c r="F9" s="154"/>
      <c r="G9" s="152"/>
      <c r="H9" s="154"/>
      <c r="I9" s="152"/>
      <c r="J9" s="154"/>
      <c r="K9" s="154"/>
      <c r="L9" s="227"/>
      <c r="M9" s="157"/>
      <c r="N9" s="227">
        <f t="shared" ref="N9" si="1">+N8-I9-L9</f>
        <v>40358.376062009906</v>
      </c>
      <c r="O9" s="152">
        <f t="shared" si="0"/>
        <v>209348.63306200953</v>
      </c>
    </row>
    <row r="10" spans="1:15" x14ac:dyDescent="0.15">
      <c r="A10" s="154" t="s">
        <v>1647</v>
      </c>
      <c r="B10" s="151"/>
      <c r="C10" s="152">
        <v>59078.8</v>
      </c>
      <c r="D10" s="155"/>
      <c r="E10" s="154"/>
      <c r="F10" s="157"/>
      <c r="G10" s="152"/>
      <c r="H10" s="155"/>
      <c r="I10" s="152"/>
      <c r="J10" s="154"/>
      <c r="K10" s="154"/>
      <c r="L10" s="227"/>
      <c r="M10" s="157"/>
      <c r="N10" s="227">
        <f t="shared" ref="N10:N60" si="2">+N9-I10-L10</f>
        <v>40358.376062009906</v>
      </c>
      <c r="O10" s="152">
        <f t="shared" ref="O10:O60" si="3">O9+G10-I10-L10</f>
        <v>209348.63306200953</v>
      </c>
    </row>
    <row r="11" spans="1:15" x14ac:dyDescent="0.15">
      <c r="A11" s="154"/>
      <c r="B11" s="151"/>
      <c r="C11" s="152"/>
      <c r="D11" s="155"/>
      <c r="E11" s="154"/>
      <c r="F11" s="157"/>
      <c r="G11" s="152"/>
      <c r="H11" s="155"/>
      <c r="I11" s="152"/>
      <c r="J11" s="154"/>
      <c r="K11" s="154"/>
      <c r="L11" s="227"/>
      <c r="M11" s="154"/>
      <c r="N11" s="227">
        <f t="shared" si="2"/>
        <v>40358.376062009906</v>
      </c>
      <c r="O11" s="152">
        <f t="shared" si="3"/>
        <v>209348.63306200953</v>
      </c>
    </row>
    <row r="12" spans="1:15" x14ac:dyDescent="0.15">
      <c r="A12" s="154"/>
      <c r="B12" s="151"/>
      <c r="C12" s="152"/>
      <c r="D12" s="155"/>
      <c r="E12" s="155"/>
      <c r="F12" s="157"/>
      <c r="G12" s="152"/>
      <c r="H12" s="155" t="s">
        <v>1652</v>
      </c>
      <c r="I12" s="152">
        <v>1349</v>
      </c>
      <c r="J12" s="154" t="s">
        <v>1622</v>
      </c>
      <c r="K12" s="154"/>
      <c r="L12" s="227"/>
      <c r="M12" s="154"/>
      <c r="N12" s="227">
        <f t="shared" si="2"/>
        <v>39009.376062009906</v>
      </c>
      <c r="O12" s="152">
        <f t="shared" si="3"/>
        <v>207999.63306200953</v>
      </c>
    </row>
    <row r="13" spans="1:15" x14ac:dyDescent="0.15">
      <c r="A13" s="154"/>
      <c r="B13" s="151"/>
      <c r="C13" s="152"/>
      <c r="D13" s="155"/>
      <c r="E13" s="155"/>
      <c r="F13" s="157"/>
      <c r="G13" s="152"/>
      <c r="H13" s="155" t="s">
        <v>1653</v>
      </c>
      <c r="I13" s="152">
        <v>1119.6600000000001</v>
      </c>
      <c r="J13" s="154" t="s">
        <v>1622</v>
      </c>
      <c r="K13" s="154" t="s">
        <v>1674</v>
      </c>
      <c r="L13" s="227">
        <v>9040.58</v>
      </c>
      <c r="M13" s="154" t="s">
        <v>1622</v>
      </c>
      <c r="N13" s="227">
        <f t="shared" si="2"/>
        <v>28849.1360620099</v>
      </c>
      <c r="O13" s="152">
        <f t="shared" si="3"/>
        <v>197839.39306200953</v>
      </c>
    </row>
    <row r="14" spans="1:15" x14ac:dyDescent="0.15">
      <c r="A14" s="154"/>
      <c r="B14" s="151"/>
      <c r="C14" s="152"/>
      <c r="D14" s="155"/>
      <c r="E14" s="155"/>
      <c r="F14" s="157"/>
      <c r="G14" s="152"/>
      <c r="H14" s="155" t="s">
        <v>1653</v>
      </c>
      <c r="I14" s="152"/>
      <c r="J14" s="154"/>
      <c r="K14" s="154" t="s">
        <v>1674</v>
      </c>
      <c r="L14" s="227">
        <v>644.33000000000004</v>
      </c>
      <c r="M14" s="154" t="s">
        <v>1622</v>
      </c>
      <c r="N14" s="227">
        <f t="shared" si="2"/>
        <v>28204.806062009899</v>
      </c>
      <c r="O14" s="152">
        <f t="shared" si="3"/>
        <v>197195.06306200955</v>
      </c>
    </row>
    <row r="15" spans="1:15" x14ac:dyDescent="0.15">
      <c r="A15" s="154"/>
      <c r="B15" s="151"/>
      <c r="C15" s="152"/>
      <c r="D15" s="155"/>
      <c r="E15" s="155"/>
      <c r="F15" s="157"/>
      <c r="G15" s="152"/>
      <c r="H15" s="155" t="s">
        <v>1654</v>
      </c>
      <c r="I15" s="152">
        <v>613</v>
      </c>
      <c r="J15" s="154" t="s">
        <v>1622</v>
      </c>
      <c r="K15" s="154"/>
      <c r="L15" s="227"/>
      <c r="M15" s="154"/>
      <c r="N15" s="227">
        <f t="shared" si="2"/>
        <v>27591.806062009899</v>
      </c>
      <c r="O15" s="152">
        <f t="shared" si="3"/>
        <v>196582.06306200955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155" t="s">
        <v>1655</v>
      </c>
      <c r="I16" s="152"/>
      <c r="J16" s="154"/>
      <c r="K16" s="154" t="s">
        <v>1674</v>
      </c>
      <c r="L16" s="227">
        <v>9920.98</v>
      </c>
      <c r="M16" s="154" t="s">
        <v>1622</v>
      </c>
      <c r="N16" s="227">
        <f t="shared" si="2"/>
        <v>17670.826062009899</v>
      </c>
      <c r="O16" s="152">
        <f t="shared" si="3"/>
        <v>186661.08306200954</v>
      </c>
    </row>
    <row r="17" spans="1:15" x14ac:dyDescent="0.15">
      <c r="A17" s="154"/>
      <c r="B17" s="151"/>
      <c r="C17" s="152"/>
      <c r="D17" s="155"/>
      <c r="E17" s="155"/>
      <c r="F17" s="157"/>
      <c r="G17" s="152"/>
      <c r="H17" s="155" t="s">
        <v>1656</v>
      </c>
      <c r="I17" s="152"/>
      <c r="J17" s="154"/>
      <c r="K17" s="154" t="s">
        <v>1674</v>
      </c>
      <c r="L17" s="227">
        <v>270.14</v>
      </c>
      <c r="M17" s="154" t="s">
        <v>1622</v>
      </c>
      <c r="N17" s="227">
        <f t="shared" si="2"/>
        <v>17400.6860620099</v>
      </c>
      <c r="O17" s="152">
        <f t="shared" si="3"/>
        <v>186390.94306200952</v>
      </c>
    </row>
    <row r="18" spans="1:15" x14ac:dyDescent="0.15">
      <c r="A18" s="154"/>
      <c r="B18" s="151"/>
      <c r="C18" s="152"/>
      <c r="D18" s="155"/>
      <c r="E18" s="155"/>
      <c r="F18" s="157"/>
      <c r="G18" s="152"/>
      <c r="H18" s="155" t="s">
        <v>1657</v>
      </c>
      <c r="I18" s="152">
        <v>628.67999999999995</v>
      </c>
      <c r="J18" s="154" t="s">
        <v>1622</v>
      </c>
      <c r="K18" s="154" t="s">
        <v>1674</v>
      </c>
      <c r="L18" s="227">
        <v>10453.36</v>
      </c>
      <c r="M18" s="154" t="s">
        <v>1622</v>
      </c>
      <c r="N18" s="227">
        <f t="shared" si="2"/>
        <v>6318.6460620098987</v>
      </c>
      <c r="O18" s="152">
        <f t="shared" si="3"/>
        <v>175308.90306200954</v>
      </c>
    </row>
    <row r="19" spans="1:15" x14ac:dyDescent="0.15">
      <c r="A19" s="154"/>
      <c r="B19" s="151"/>
      <c r="C19" s="152"/>
      <c r="D19" s="155"/>
      <c r="E19" s="155"/>
      <c r="F19" s="157"/>
      <c r="G19" s="152"/>
      <c r="H19" s="155" t="s">
        <v>1658</v>
      </c>
      <c r="I19" s="152">
        <v>2041.25</v>
      </c>
      <c r="J19" s="154" t="s">
        <v>1622</v>
      </c>
      <c r="K19" s="154" t="s">
        <v>1674</v>
      </c>
      <c r="L19" s="227">
        <v>995.61</v>
      </c>
      <c r="M19" s="154" t="s">
        <v>1622</v>
      </c>
      <c r="N19" s="227">
        <f t="shared" si="2"/>
        <v>3281.7860620098986</v>
      </c>
      <c r="O19" s="152">
        <f t="shared" si="3"/>
        <v>172272.04306200956</v>
      </c>
    </row>
    <row r="20" spans="1:15" x14ac:dyDescent="0.15">
      <c r="A20" s="154"/>
      <c r="B20" s="151"/>
      <c r="C20" s="152"/>
      <c r="D20" s="155"/>
      <c r="E20" s="155"/>
      <c r="F20" s="157"/>
      <c r="G20" s="152"/>
      <c r="H20" s="155" t="s">
        <v>1659</v>
      </c>
      <c r="I20" s="152">
        <v>1703.04</v>
      </c>
      <c r="J20" s="154" t="s">
        <v>1622</v>
      </c>
      <c r="K20" s="154"/>
      <c r="L20" s="227"/>
      <c r="M20" s="154"/>
      <c r="N20" s="227">
        <f t="shared" si="2"/>
        <v>1578.7460620098987</v>
      </c>
      <c r="O20" s="152">
        <f t="shared" si="3"/>
        <v>170569.00306200955</v>
      </c>
    </row>
    <row r="21" spans="1:15" x14ac:dyDescent="0.15">
      <c r="A21" s="154"/>
      <c r="B21" s="151"/>
      <c r="C21" s="152"/>
      <c r="D21" s="155"/>
      <c r="E21" s="155"/>
      <c r="F21" s="157"/>
      <c r="G21" s="152"/>
      <c r="H21" s="155" t="s">
        <v>1660</v>
      </c>
      <c r="I21" s="152">
        <v>1578.7460620098987</v>
      </c>
      <c r="J21" s="154" t="s">
        <v>1622</v>
      </c>
      <c r="K21" s="154"/>
      <c r="L21" s="227"/>
      <c r="M21" s="154"/>
      <c r="N21" s="227">
        <f t="shared" si="2"/>
        <v>0</v>
      </c>
      <c r="O21" s="152">
        <f t="shared" si="3"/>
        <v>168990.25699999966</v>
      </c>
    </row>
    <row r="22" spans="1:15" x14ac:dyDescent="0.15">
      <c r="A22" s="154"/>
      <c r="B22" s="151"/>
      <c r="C22" s="152"/>
      <c r="D22" s="155"/>
      <c r="E22" s="155"/>
      <c r="F22" s="157"/>
      <c r="G22" s="152"/>
      <c r="H22" s="155" t="s">
        <v>1660</v>
      </c>
      <c r="I22" s="152">
        <v>3225.0039379901</v>
      </c>
      <c r="J22" s="154" t="s">
        <v>1623</v>
      </c>
      <c r="K22" s="154"/>
      <c r="L22" s="227"/>
      <c r="M22" s="154"/>
      <c r="N22" s="316">
        <f>C8+N21-I22-L22</f>
        <v>17902.1510620095</v>
      </c>
      <c r="O22" s="152">
        <f t="shared" si="3"/>
        <v>165765.25306200955</v>
      </c>
    </row>
    <row r="23" spans="1:15" x14ac:dyDescent="0.15">
      <c r="A23" s="154"/>
      <c r="B23" s="151"/>
      <c r="C23" s="152"/>
      <c r="D23" s="155"/>
      <c r="E23" s="155"/>
      <c r="F23" s="157"/>
      <c r="G23" s="152"/>
      <c r="H23" s="155" t="s">
        <v>1661</v>
      </c>
      <c r="I23" s="152">
        <v>4575</v>
      </c>
      <c r="J23" s="154" t="s">
        <v>1623</v>
      </c>
      <c r="K23" s="154" t="s">
        <v>1675</v>
      </c>
      <c r="L23" s="227">
        <v>1478</v>
      </c>
      <c r="M23" s="154" t="s">
        <v>1623</v>
      </c>
      <c r="N23" s="227">
        <f t="shared" si="2"/>
        <v>11849.1510620095</v>
      </c>
      <c r="O23" s="152">
        <f t="shared" si="3"/>
        <v>159712.25306200955</v>
      </c>
    </row>
    <row r="24" spans="1:15" x14ac:dyDescent="0.15">
      <c r="A24" s="154"/>
      <c r="B24" s="151"/>
      <c r="C24" s="152"/>
      <c r="D24" s="155"/>
      <c r="E24" s="155"/>
      <c r="F24" s="157"/>
      <c r="G24" s="152"/>
      <c r="H24" s="155" t="s">
        <v>1662</v>
      </c>
      <c r="I24" s="152">
        <v>2092</v>
      </c>
      <c r="J24" s="154" t="s">
        <v>1623</v>
      </c>
      <c r="K24" s="154"/>
      <c r="L24" s="227"/>
      <c r="M24" s="154"/>
      <c r="N24" s="227">
        <f t="shared" si="2"/>
        <v>9757.1510620094996</v>
      </c>
      <c r="O24" s="152">
        <f t="shared" si="3"/>
        <v>157620.25306200955</v>
      </c>
    </row>
    <row r="25" spans="1:15" x14ac:dyDescent="0.15">
      <c r="A25" s="154"/>
      <c r="B25" s="151"/>
      <c r="C25" s="152"/>
      <c r="D25" s="155"/>
      <c r="E25" s="155"/>
      <c r="F25" s="157"/>
      <c r="G25" s="152"/>
      <c r="H25" s="155" t="s">
        <v>1663</v>
      </c>
      <c r="I25" s="152"/>
      <c r="J25" s="157"/>
      <c r="K25" s="154" t="s">
        <v>1675</v>
      </c>
      <c r="L25" s="227">
        <v>9459.06</v>
      </c>
      <c r="M25" s="154" t="s">
        <v>1623</v>
      </c>
      <c r="N25" s="227">
        <f t="shared" si="2"/>
        <v>298.09106200950009</v>
      </c>
      <c r="O25" s="152">
        <f t="shared" si="3"/>
        <v>148161.19306200955</v>
      </c>
    </row>
    <row r="26" spans="1:15" x14ac:dyDescent="0.15">
      <c r="A26" s="154"/>
      <c r="B26" s="151"/>
      <c r="C26" s="152"/>
      <c r="D26" s="155"/>
      <c r="E26" s="155"/>
      <c r="F26" s="157"/>
      <c r="G26" s="152"/>
      <c r="H26" s="155" t="s">
        <v>1664</v>
      </c>
      <c r="I26" s="152">
        <v>298.09106200950009</v>
      </c>
      <c r="J26" s="154" t="s">
        <v>1623</v>
      </c>
      <c r="K26" s="154"/>
      <c r="L26" s="227"/>
      <c r="M26" s="154"/>
      <c r="N26" s="227">
        <f t="shared" si="2"/>
        <v>0</v>
      </c>
      <c r="O26" s="152">
        <f t="shared" si="3"/>
        <v>147863.10200000004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1664</v>
      </c>
      <c r="I27" s="152">
        <v>7019.4089379904999</v>
      </c>
      <c r="J27" s="157" t="s">
        <v>1648</v>
      </c>
      <c r="K27" s="154" t="s">
        <v>1676</v>
      </c>
      <c r="L27" s="227">
        <v>730.22</v>
      </c>
      <c r="M27" s="157" t="s">
        <v>1648</v>
      </c>
      <c r="N27" s="316">
        <f>C9+N26-I27-L27</f>
        <v>81034.67306200949</v>
      </c>
      <c r="O27" s="152">
        <f t="shared" si="3"/>
        <v>140113.47306200955</v>
      </c>
    </row>
    <row r="28" spans="1:15" x14ac:dyDescent="0.15">
      <c r="A28" s="154"/>
      <c r="B28" s="151"/>
      <c r="C28" s="152"/>
      <c r="D28" s="155" t="s">
        <v>1669</v>
      </c>
      <c r="E28" s="155" t="s">
        <v>72</v>
      </c>
      <c r="F28" s="154" t="s">
        <v>1670</v>
      </c>
      <c r="G28" s="152">
        <v>62985.17</v>
      </c>
      <c r="H28" s="155" t="s">
        <v>1669</v>
      </c>
      <c r="I28" s="152"/>
      <c r="J28" s="154"/>
      <c r="K28" s="154"/>
      <c r="L28" s="227"/>
      <c r="M28" s="154"/>
      <c r="N28" s="227">
        <f t="shared" si="2"/>
        <v>81034.67306200949</v>
      </c>
      <c r="O28" s="152">
        <f t="shared" si="3"/>
        <v>203098.64306200953</v>
      </c>
    </row>
    <row r="29" spans="1:15" x14ac:dyDescent="0.15">
      <c r="A29" s="154"/>
      <c r="B29" s="151"/>
      <c r="C29" s="152"/>
      <c r="D29" s="155" t="s">
        <v>1665</v>
      </c>
      <c r="E29" s="155" t="s">
        <v>72</v>
      </c>
      <c r="F29" s="154" t="s">
        <v>1670</v>
      </c>
      <c r="G29" s="152">
        <v>63934.675000000003</v>
      </c>
      <c r="H29" s="155" t="s">
        <v>1665</v>
      </c>
      <c r="I29" s="152"/>
      <c r="J29" s="154"/>
      <c r="K29" s="154" t="s">
        <v>1676</v>
      </c>
      <c r="L29" s="227">
        <v>9940</v>
      </c>
      <c r="M29" s="157" t="s">
        <v>1648</v>
      </c>
      <c r="N29" s="227">
        <f t="shared" si="2"/>
        <v>71094.67306200949</v>
      </c>
      <c r="O29" s="152">
        <f t="shared" si="3"/>
        <v>257093.31806200952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155" t="s">
        <v>1666</v>
      </c>
      <c r="I30" s="152"/>
      <c r="J30" s="157"/>
      <c r="K30" s="154" t="s">
        <v>1676</v>
      </c>
      <c r="L30" s="227">
        <v>950</v>
      </c>
      <c r="M30" s="157" t="s">
        <v>1648</v>
      </c>
      <c r="N30" s="227">
        <f t="shared" si="2"/>
        <v>70144.67306200949</v>
      </c>
      <c r="O30" s="152">
        <f t="shared" si="3"/>
        <v>256143.31806200952</v>
      </c>
    </row>
    <row r="31" spans="1:15" x14ac:dyDescent="0.15">
      <c r="A31" s="154"/>
      <c r="B31" s="151"/>
      <c r="C31" s="152"/>
      <c r="D31" s="155"/>
      <c r="E31" s="155"/>
      <c r="F31" s="157"/>
      <c r="G31" s="152"/>
      <c r="H31" s="155" t="s">
        <v>1667</v>
      </c>
      <c r="I31" s="152">
        <v>1093</v>
      </c>
      <c r="J31" s="157" t="s">
        <v>1648</v>
      </c>
      <c r="K31" s="154" t="s">
        <v>1676</v>
      </c>
      <c r="L31" s="227">
        <v>9671</v>
      </c>
      <c r="M31" s="157" t="s">
        <v>1648</v>
      </c>
      <c r="N31" s="227">
        <f t="shared" si="2"/>
        <v>59380.67306200949</v>
      </c>
      <c r="O31" s="152">
        <f t="shared" si="3"/>
        <v>245379.31806200952</v>
      </c>
    </row>
    <row r="32" spans="1:15" x14ac:dyDescent="0.15">
      <c r="A32" s="154"/>
      <c r="B32" s="151"/>
      <c r="C32" s="152"/>
      <c r="D32" s="155"/>
      <c r="E32" s="155"/>
      <c r="F32" s="157"/>
      <c r="G32" s="152"/>
      <c r="H32" s="155" t="s">
        <v>1667</v>
      </c>
      <c r="I32" s="152"/>
      <c r="J32" s="154"/>
      <c r="K32" s="154" t="s">
        <v>1676</v>
      </c>
      <c r="L32" s="227">
        <v>487</v>
      </c>
      <c r="M32" s="157" t="s">
        <v>1648</v>
      </c>
      <c r="N32" s="227">
        <f t="shared" si="2"/>
        <v>58893.67306200949</v>
      </c>
      <c r="O32" s="152">
        <f t="shared" si="3"/>
        <v>244892.31806200952</v>
      </c>
    </row>
    <row r="33" spans="1:15" x14ac:dyDescent="0.15">
      <c r="A33" s="154"/>
      <c r="B33" s="151"/>
      <c r="C33" s="152"/>
      <c r="D33" s="155"/>
      <c r="E33" s="155"/>
      <c r="F33" s="157"/>
      <c r="G33" s="152"/>
      <c r="H33" s="155" t="s">
        <v>1668</v>
      </c>
      <c r="I33" s="152">
        <v>614.30999999999995</v>
      </c>
      <c r="J33" s="157" t="s">
        <v>1648</v>
      </c>
      <c r="K33" s="154"/>
      <c r="L33" s="227"/>
      <c r="M33" s="154"/>
      <c r="N33" s="227">
        <f t="shared" si="2"/>
        <v>58279.363062009492</v>
      </c>
      <c r="O33" s="152">
        <f t="shared" si="3"/>
        <v>244278.00806200953</v>
      </c>
    </row>
    <row r="34" spans="1:15" hidden="1" x14ac:dyDescent="0.15">
      <c r="A34" s="154"/>
      <c r="B34" s="151"/>
      <c r="C34" s="152"/>
      <c r="D34" s="155"/>
      <c r="E34" s="155"/>
      <c r="F34" s="157"/>
      <c r="G34" s="152"/>
      <c r="H34" s="155"/>
      <c r="I34" s="152"/>
      <c r="J34" s="157"/>
      <c r="K34" s="154"/>
      <c r="L34" s="227"/>
      <c r="M34" s="157"/>
      <c r="N34" s="227">
        <f t="shared" si="2"/>
        <v>58279.363062009492</v>
      </c>
      <c r="O34" s="152">
        <f t="shared" si="3"/>
        <v>244278.00806200953</v>
      </c>
    </row>
    <row r="35" spans="1:15" hidden="1" x14ac:dyDescent="0.15">
      <c r="A35" s="154"/>
      <c r="B35" s="151"/>
      <c r="C35" s="152"/>
      <c r="D35" s="155"/>
      <c r="E35" s="155"/>
      <c r="F35" s="157"/>
      <c r="G35" s="152"/>
      <c r="H35" s="155"/>
      <c r="I35" s="152"/>
      <c r="J35" s="157"/>
      <c r="K35" s="154"/>
      <c r="L35" s="227"/>
      <c r="M35" s="157"/>
      <c r="N35" s="227">
        <f t="shared" si="2"/>
        <v>58279.363062009492</v>
      </c>
      <c r="O35" s="152">
        <f t="shared" si="3"/>
        <v>244278.00806200953</v>
      </c>
    </row>
    <row r="36" spans="1:15" hidden="1" x14ac:dyDescent="0.15">
      <c r="A36" s="154"/>
      <c r="B36" s="151"/>
      <c r="C36" s="152"/>
      <c r="D36" s="155"/>
      <c r="E36" s="155"/>
      <c r="F36" s="157"/>
      <c r="G36" s="152"/>
      <c r="H36" s="155"/>
      <c r="I36" s="152"/>
      <c r="J36" s="157"/>
      <c r="K36" s="154"/>
      <c r="L36" s="227"/>
      <c r="M36" s="157"/>
      <c r="N36" s="227">
        <f t="shared" si="2"/>
        <v>58279.363062009492</v>
      </c>
      <c r="O36" s="152">
        <f t="shared" si="3"/>
        <v>244278.00806200953</v>
      </c>
    </row>
    <row r="37" spans="1:15" hidden="1" x14ac:dyDescent="0.15">
      <c r="A37" s="154"/>
      <c r="B37" s="151"/>
      <c r="C37" s="152"/>
      <c r="D37" s="155"/>
      <c r="E37" s="155"/>
      <c r="F37" s="157"/>
      <c r="G37" s="152"/>
      <c r="H37" s="155"/>
      <c r="I37" s="152"/>
      <c r="J37" s="157"/>
      <c r="K37" s="154"/>
      <c r="L37" s="227"/>
      <c r="M37" s="157"/>
      <c r="N37" s="227">
        <f t="shared" si="2"/>
        <v>58279.363062009492</v>
      </c>
      <c r="O37" s="152">
        <f t="shared" si="3"/>
        <v>244278.00806200953</v>
      </c>
    </row>
    <row r="38" spans="1:15" hidden="1" x14ac:dyDescent="0.15">
      <c r="A38" s="154"/>
      <c r="B38" s="151"/>
      <c r="C38" s="152"/>
      <c r="D38" s="155"/>
      <c r="E38" s="155"/>
      <c r="F38" s="157"/>
      <c r="G38" s="152"/>
      <c r="H38" s="155"/>
      <c r="I38" s="152"/>
      <c r="J38" s="154"/>
      <c r="K38" s="154"/>
      <c r="L38" s="227"/>
      <c r="M38" s="157"/>
      <c r="N38" s="227">
        <f t="shared" si="2"/>
        <v>58279.363062009492</v>
      </c>
      <c r="O38" s="152">
        <f t="shared" si="3"/>
        <v>244278.00806200953</v>
      </c>
    </row>
    <row r="39" spans="1:15" hidden="1" x14ac:dyDescent="0.15">
      <c r="A39" s="154"/>
      <c r="B39" s="151"/>
      <c r="C39" s="152"/>
      <c r="D39" s="155"/>
      <c r="E39" s="155"/>
      <c r="F39" s="157"/>
      <c r="G39" s="152"/>
      <c r="H39" s="155"/>
      <c r="I39" s="152"/>
      <c r="J39" s="154"/>
      <c r="K39" s="154"/>
      <c r="L39" s="227"/>
      <c r="M39" s="157"/>
      <c r="N39" s="227">
        <f t="shared" si="2"/>
        <v>58279.363062009492</v>
      </c>
      <c r="O39" s="152">
        <f t="shared" si="3"/>
        <v>244278.00806200953</v>
      </c>
    </row>
    <row r="40" spans="1:15" hidden="1" x14ac:dyDescent="0.15">
      <c r="A40" s="154"/>
      <c r="B40" s="151"/>
      <c r="C40" s="152"/>
      <c r="D40" s="155"/>
      <c r="E40" s="155"/>
      <c r="F40" s="157"/>
      <c r="G40" s="152"/>
      <c r="H40" s="155"/>
      <c r="I40" s="152"/>
      <c r="J40" s="157"/>
      <c r="K40" s="154"/>
      <c r="L40" s="227"/>
      <c r="M40" s="157"/>
      <c r="N40" s="227">
        <f t="shared" si="2"/>
        <v>58279.363062009492</v>
      </c>
      <c r="O40" s="152">
        <f t="shared" si="3"/>
        <v>244278.00806200953</v>
      </c>
    </row>
    <row r="41" spans="1:15" hidden="1" x14ac:dyDescent="0.15">
      <c r="A41" s="154"/>
      <c r="B41" s="151"/>
      <c r="C41" s="152"/>
      <c r="D41" s="155"/>
      <c r="E41" s="155"/>
      <c r="F41" s="157"/>
      <c r="G41" s="152"/>
      <c r="H41" s="155"/>
      <c r="I41" s="152"/>
      <c r="J41" s="157"/>
      <c r="K41" s="154"/>
      <c r="L41" s="227"/>
      <c r="M41" s="157"/>
      <c r="N41" s="227">
        <f t="shared" si="2"/>
        <v>58279.363062009492</v>
      </c>
      <c r="O41" s="152">
        <f t="shared" si="3"/>
        <v>244278.00806200953</v>
      </c>
    </row>
    <row r="42" spans="1:15" hidden="1" x14ac:dyDescent="0.15">
      <c r="A42" s="154"/>
      <c r="B42" s="151"/>
      <c r="C42" s="152"/>
      <c r="D42" s="155"/>
      <c r="E42" s="155"/>
      <c r="F42" s="157"/>
      <c r="G42" s="152"/>
      <c r="H42" s="155"/>
      <c r="I42" s="152"/>
      <c r="J42" s="157"/>
      <c r="K42" s="154"/>
      <c r="L42" s="227"/>
      <c r="M42" s="157"/>
      <c r="N42" s="227">
        <f t="shared" si="2"/>
        <v>58279.363062009492</v>
      </c>
      <c r="O42" s="152">
        <f t="shared" si="3"/>
        <v>244278.00806200953</v>
      </c>
    </row>
    <row r="43" spans="1:15" hidden="1" x14ac:dyDescent="0.15">
      <c r="A43" s="154"/>
      <c r="B43" s="151"/>
      <c r="C43" s="152"/>
      <c r="D43" s="155"/>
      <c r="E43" s="155"/>
      <c r="F43" s="157"/>
      <c r="G43" s="152"/>
      <c r="H43" s="155"/>
      <c r="I43" s="152"/>
      <c r="J43" s="157"/>
      <c r="K43" s="154"/>
      <c r="L43" s="227"/>
      <c r="M43" s="157"/>
      <c r="N43" s="227">
        <f t="shared" si="2"/>
        <v>58279.363062009492</v>
      </c>
      <c r="O43" s="152">
        <f t="shared" si="3"/>
        <v>244278.00806200953</v>
      </c>
    </row>
    <row r="44" spans="1:15" hidden="1" x14ac:dyDescent="0.15">
      <c r="A44" s="154"/>
      <c r="B44" s="151"/>
      <c r="C44" s="152"/>
      <c r="D44" s="155"/>
      <c r="E44" s="155"/>
      <c r="F44" s="157"/>
      <c r="G44" s="152"/>
      <c r="H44" s="155"/>
      <c r="I44" s="152"/>
      <c r="J44" s="154"/>
      <c r="K44" s="154"/>
      <c r="L44" s="227"/>
      <c r="M44" s="157"/>
      <c r="N44" s="227">
        <f t="shared" si="2"/>
        <v>58279.363062009492</v>
      </c>
      <c r="O44" s="152">
        <f t="shared" si="3"/>
        <v>244278.00806200953</v>
      </c>
    </row>
    <row r="45" spans="1:15" hidden="1" x14ac:dyDescent="0.15">
      <c r="A45" s="154"/>
      <c r="B45" s="151"/>
      <c r="C45" s="152"/>
      <c r="D45" s="155"/>
      <c r="E45" s="155"/>
      <c r="F45" s="157"/>
      <c r="G45" s="152"/>
      <c r="H45" s="155"/>
      <c r="I45" s="152"/>
      <c r="J45" s="154"/>
      <c r="K45" s="154"/>
      <c r="L45" s="227"/>
      <c r="M45" s="157"/>
      <c r="N45" s="227">
        <f t="shared" si="2"/>
        <v>58279.363062009492</v>
      </c>
      <c r="O45" s="152">
        <f t="shared" si="3"/>
        <v>244278.00806200953</v>
      </c>
    </row>
    <row r="46" spans="1:15" hidden="1" x14ac:dyDescent="0.15">
      <c r="A46" s="154"/>
      <c r="B46" s="151"/>
      <c r="C46" s="152"/>
      <c r="D46" s="155"/>
      <c r="E46" s="155"/>
      <c r="F46" s="157"/>
      <c r="G46" s="152"/>
      <c r="H46" s="155"/>
      <c r="I46" s="152"/>
      <c r="J46" s="154"/>
      <c r="K46" s="154"/>
      <c r="L46" s="227"/>
      <c r="M46" s="157"/>
      <c r="N46" s="227">
        <f t="shared" si="2"/>
        <v>58279.363062009492</v>
      </c>
      <c r="O46" s="152">
        <f t="shared" si="3"/>
        <v>244278.00806200953</v>
      </c>
    </row>
    <row r="47" spans="1:15" hidden="1" x14ac:dyDescent="0.15">
      <c r="A47" s="154"/>
      <c r="B47" s="151"/>
      <c r="C47" s="152"/>
      <c r="D47" s="155"/>
      <c r="E47" s="155"/>
      <c r="F47" s="157"/>
      <c r="G47" s="152"/>
      <c r="H47" s="155"/>
      <c r="I47" s="152"/>
      <c r="J47" s="157"/>
      <c r="K47" s="154"/>
      <c r="L47" s="227"/>
      <c r="M47" s="157"/>
      <c r="N47" s="227">
        <f t="shared" si="2"/>
        <v>58279.363062009492</v>
      </c>
      <c r="O47" s="152">
        <f t="shared" si="3"/>
        <v>244278.00806200953</v>
      </c>
    </row>
    <row r="48" spans="1:15" hidden="1" x14ac:dyDescent="0.15">
      <c r="A48" s="154"/>
      <c r="B48" s="151"/>
      <c r="C48" s="152"/>
      <c r="D48" s="155"/>
      <c r="E48" s="155"/>
      <c r="F48" s="157"/>
      <c r="G48" s="152"/>
      <c r="H48" s="155"/>
      <c r="I48" s="152"/>
      <c r="J48" s="154"/>
      <c r="K48" s="154"/>
      <c r="L48" s="227"/>
      <c r="M48" s="157"/>
      <c r="N48" s="227">
        <f t="shared" si="2"/>
        <v>58279.363062009492</v>
      </c>
      <c r="O48" s="152">
        <f t="shared" si="3"/>
        <v>244278.00806200953</v>
      </c>
    </row>
    <row r="49" spans="1:15" hidden="1" x14ac:dyDescent="0.15">
      <c r="A49" s="154"/>
      <c r="B49" s="151"/>
      <c r="C49" s="152"/>
      <c r="D49" s="155"/>
      <c r="E49" s="155"/>
      <c r="F49" s="157"/>
      <c r="G49" s="152"/>
      <c r="H49" s="155"/>
      <c r="I49" s="152"/>
      <c r="J49" s="157"/>
      <c r="K49" s="154"/>
      <c r="L49" s="227"/>
      <c r="M49" s="157"/>
      <c r="N49" s="227">
        <f t="shared" si="2"/>
        <v>58279.363062009492</v>
      </c>
      <c r="O49" s="152">
        <f t="shared" si="3"/>
        <v>244278.00806200953</v>
      </c>
    </row>
    <row r="50" spans="1:15" hidden="1" x14ac:dyDescent="0.15">
      <c r="A50" s="154"/>
      <c r="B50" s="151"/>
      <c r="C50" s="151"/>
      <c r="D50" s="155"/>
      <c r="E50" s="155"/>
      <c r="F50" s="157"/>
      <c r="G50" s="152"/>
      <c r="H50" s="155"/>
      <c r="I50" s="152"/>
      <c r="J50" s="154"/>
      <c r="K50" s="154"/>
      <c r="L50" s="227"/>
      <c r="M50" s="157"/>
      <c r="N50" s="227">
        <f t="shared" si="2"/>
        <v>58279.363062009492</v>
      </c>
      <c r="O50" s="152">
        <f t="shared" si="3"/>
        <v>244278.00806200953</v>
      </c>
    </row>
    <row r="51" spans="1:15" hidden="1" x14ac:dyDescent="0.15">
      <c r="A51" s="154"/>
      <c r="B51" s="151"/>
      <c r="C51" s="151"/>
      <c r="D51" s="155"/>
      <c r="E51" s="155"/>
      <c r="F51" s="157"/>
      <c r="G51" s="152"/>
      <c r="H51" s="155"/>
      <c r="I51" s="152"/>
      <c r="J51" s="154"/>
      <c r="K51" s="154"/>
      <c r="L51" s="227"/>
      <c r="M51" s="157"/>
      <c r="N51" s="227">
        <f t="shared" si="2"/>
        <v>58279.363062009492</v>
      </c>
      <c r="O51" s="152">
        <f t="shared" si="3"/>
        <v>244278.00806200953</v>
      </c>
    </row>
    <row r="52" spans="1:15" hidden="1" x14ac:dyDescent="0.15">
      <c r="A52" s="154"/>
      <c r="B52" s="151"/>
      <c r="C52" s="151"/>
      <c r="D52" s="155"/>
      <c r="E52" s="155"/>
      <c r="F52" s="157"/>
      <c r="G52" s="152"/>
      <c r="H52" s="155"/>
      <c r="I52" s="152"/>
      <c r="J52" s="154"/>
      <c r="K52" s="154"/>
      <c r="L52" s="227"/>
      <c r="M52" s="157"/>
      <c r="N52" s="227">
        <f t="shared" si="2"/>
        <v>58279.363062009492</v>
      </c>
      <c r="O52" s="152">
        <f t="shared" si="3"/>
        <v>244278.00806200953</v>
      </c>
    </row>
    <row r="53" spans="1:15" hidden="1" x14ac:dyDescent="0.15">
      <c r="A53" s="154"/>
      <c r="B53" s="151"/>
      <c r="C53" s="151"/>
      <c r="D53" s="155"/>
      <c r="E53" s="155"/>
      <c r="F53" s="157"/>
      <c r="G53" s="152"/>
      <c r="H53" s="155"/>
      <c r="I53" s="152"/>
      <c r="J53" s="154"/>
      <c r="K53" s="154"/>
      <c r="L53" s="227"/>
      <c r="M53" s="157"/>
      <c r="N53" s="227">
        <f t="shared" si="2"/>
        <v>58279.363062009492</v>
      </c>
      <c r="O53" s="152">
        <f t="shared" si="3"/>
        <v>244278.00806200953</v>
      </c>
    </row>
    <row r="54" spans="1:15" hidden="1" x14ac:dyDescent="0.15">
      <c r="A54" s="154"/>
      <c r="B54" s="151"/>
      <c r="C54" s="151"/>
      <c r="D54" s="155"/>
      <c r="E54" s="155"/>
      <c r="F54" s="157"/>
      <c r="G54" s="152"/>
      <c r="H54" s="155"/>
      <c r="I54" s="152"/>
      <c r="J54" s="154"/>
      <c r="K54" s="154"/>
      <c r="L54" s="227"/>
      <c r="M54" s="157"/>
      <c r="N54" s="227">
        <f t="shared" si="2"/>
        <v>58279.363062009492</v>
      </c>
      <c r="O54" s="152">
        <f t="shared" si="3"/>
        <v>244278.00806200953</v>
      </c>
    </row>
    <row r="55" spans="1:15" hidden="1" x14ac:dyDescent="0.15">
      <c r="A55" s="154"/>
      <c r="B55" s="151"/>
      <c r="C55" s="151"/>
      <c r="D55" s="155"/>
      <c r="E55" s="154"/>
      <c r="F55" s="291"/>
      <c r="G55" s="152"/>
      <c r="H55" s="155"/>
      <c r="I55" s="152"/>
      <c r="J55" s="291"/>
      <c r="K55" s="154"/>
      <c r="L55" s="227"/>
      <c r="M55" s="157"/>
      <c r="N55" s="227">
        <f t="shared" si="2"/>
        <v>58279.363062009492</v>
      </c>
      <c r="O55" s="152">
        <f t="shared" si="3"/>
        <v>244278.00806200953</v>
      </c>
    </row>
    <row r="56" spans="1:15" hidden="1" x14ac:dyDescent="0.15">
      <c r="A56" s="154"/>
      <c r="B56" s="151"/>
      <c r="C56" s="151"/>
      <c r="D56" s="155"/>
      <c r="E56" s="154"/>
      <c r="F56" s="291"/>
      <c r="G56" s="152"/>
      <c r="H56" s="155"/>
      <c r="I56" s="152"/>
      <c r="J56" s="157"/>
      <c r="K56" s="154"/>
      <c r="L56" s="227"/>
      <c r="M56" s="157"/>
      <c r="N56" s="227">
        <f t="shared" si="2"/>
        <v>58279.363062009492</v>
      </c>
      <c r="O56" s="152">
        <f t="shared" si="3"/>
        <v>244278.00806200953</v>
      </c>
    </row>
    <row r="57" spans="1:15" hidden="1" x14ac:dyDescent="0.15">
      <c r="A57" s="154"/>
      <c r="B57" s="151"/>
      <c r="C57" s="151"/>
      <c r="D57" s="152"/>
      <c r="E57" s="154"/>
      <c r="F57" s="157"/>
      <c r="G57" s="152"/>
      <c r="H57" s="155"/>
      <c r="I57" s="152"/>
      <c r="J57" s="154"/>
      <c r="K57" s="154"/>
      <c r="L57" s="227"/>
      <c r="M57" s="157"/>
      <c r="N57" s="227">
        <f t="shared" si="2"/>
        <v>58279.363062009492</v>
      </c>
      <c r="O57" s="152">
        <f t="shared" si="3"/>
        <v>244278.00806200953</v>
      </c>
    </row>
    <row r="58" spans="1:15" hidden="1" x14ac:dyDescent="0.15">
      <c r="A58" s="154"/>
      <c r="B58" s="151"/>
      <c r="C58" s="151"/>
      <c r="D58" s="152"/>
      <c r="E58" s="155"/>
      <c r="F58" s="157"/>
      <c r="G58" s="152"/>
      <c r="H58" s="155"/>
      <c r="I58" s="152"/>
      <c r="J58" s="157"/>
      <c r="K58" s="154"/>
      <c r="L58" s="227"/>
      <c r="M58" s="157"/>
      <c r="N58" s="227">
        <f t="shared" si="2"/>
        <v>58279.363062009492</v>
      </c>
      <c r="O58" s="152">
        <f t="shared" si="3"/>
        <v>244278.00806200953</v>
      </c>
    </row>
    <row r="59" spans="1:15" hidden="1" x14ac:dyDescent="0.15">
      <c r="A59" s="154"/>
      <c r="B59" s="151"/>
      <c r="C59" s="151"/>
      <c r="D59" s="152"/>
      <c r="E59" s="154"/>
      <c r="F59" s="160"/>
      <c r="G59" s="152"/>
      <c r="H59" s="155"/>
      <c r="I59" s="152"/>
      <c r="J59" s="150"/>
      <c r="K59" s="154"/>
      <c r="L59" s="227"/>
      <c r="M59" s="157"/>
      <c r="N59" s="227">
        <f t="shared" si="2"/>
        <v>58279.363062009492</v>
      </c>
      <c r="O59" s="152">
        <f t="shared" si="3"/>
        <v>244278.00806200953</v>
      </c>
    </row>
    <row r="60" spans="1:15" x14ac:dyDescent="0.15">
      <c r="A60" s="173"/>
      <c r="B60" s="173"/>
      <c r="C60" s="174"/>
      <c r="D60" s="175"/>
      <c r="E60" s="173"/>
      <c r="F60" s="173"/>
      <c r="G60" s="174"/>
      <c r="H60" s="175"/>
      <c r="I60" s="174"/>
      <c r="J60" s="173"/>
      <c r="K60" s="154"/>
      <c r="L60" s="228"/>
      <c r="M60" s="173"/>
      <c r="N60" s="227">
        <f t="shared" si="2"/>
        <v>58279.363062009492</v>
      </c>
      <c r="O60" s="152">
        <f t="shared" si="3"/>
        <v>244278.00806200953</v>
      </c>
    </row>
    <row r="61" spans="1:15" x14ac:dyDescent="0.15">
      <c r="A61" s="177"/>
      <c r="B61" s="177"/>
      <c r="C61" s="178">
        <f>SUM(C7:C59)</f>
        <v>209348.63306200953</v>
      </c>
      <c r="D61" s="177"/>
      <c r="E61" s="177"/>
      <c r="F61" s="177"/>
      <c r="G61" s="178">
        <f>SUM(G7:G59)</f>
        <v>126919.845</v>
      </c>
      <c r="H61" s="179"/>
      <c r="I61" s="178">
        <f>SUM(I7:I59)</f>
        <v>27950.19</v>
      </c>
      <c r="J61" s="177"/>
      <c r="K61" s="177"/>
      <c r="L61" s="229">
        <f>SUM(L9:L59)</f>
        <v>64040.28</v>
      </c>
      <c r="M61" s="177"/>
      <c r="N61" s="180"/>
      <c r="O61" s="181">
        <f>C61+G61-I61-L61</f>
        <v>244278.00806200955</v>
      </c>
    </row>
    <row r="62" spans="1:15" x14ac:dyDescent="0.15">
      <c r="A62" s="182"/>
      <c r="B62" s="465"/>
      <c r="C62" s="465"/>
      <c r="D62" s="465"/>
      <c r="E62" s="183"/>
      <c r="F62" s="284"/>
      <c r="G62" s="185"/>
      <c r="H62" s="186"/>
      <c r="I62" s="187"/>
      <c r="J62" s="188"/>
      <c r="K62" s="189" t="s">
        <v>139</v>
      </c>
      <c r="L62" s="190">
        <f>+L61+I61</f>
        <v>91990.47</v>
      </c>
      <c r="M62" s="197"/>
      <c r="N62" s="230">
        <f>+N60</f>
        <v>58279.363062009492</v>
      </c>
      <c r="O62" s="195" t="s">
        <v>1648</v>
      </c>
    </row>
    <row r="63" spans="1:15" x14ac:dyDescent="0.15">
      <c r="A63" s="193"/>
      <c r="B63" s="470"/>
      <c r="C63" s="470"/>
      <c r="D63" s="470"/>
      <c r="E63" s="183"/>
      <c r="F63" s="319"/>
      <c r="G63" s="219"/>
      <c r="H63" s="186"/>
      <c r="I63" s="187"/>
      <c r="J63" s="210"/>
      <c r="K63" s="210"/>
      <c r="N63" s="230">
        <v>59078.8</v>
      </c>
      <c r="O63" s="195" t="s">
        <v>1647</v>
      </c>
    </row>
    <row r="64" spans="1:15" x14ac:dyDescent="0.15">
      <c r="A64" s="193" t="s">
        <v>1622</v>
      </c>
      <c r="B64" s="317" t="s">
        <v>1649</v>
      </c>
      <c r="E64" s="183" t="s">
        <v>55</v>
      </c>
      <c r="F64" s="319">
        <v>68531.22</v>
      </c>
      <c r="G64" s="219" t="s">
        <v>56</v>
      </c>
      <c r="H64" s="186">
        <v>41442</v>
      </c>
      <c r="I64" s="187" t="s">
        <v>71</v>
      </c>
      <c r="J64" s="210">
        <v>31325</v>
      </c>
      <c r="K64" s="210"/>
      <c r="N64" s="230">
        <f>+G28+G29</f>
        <v>126919.845</v>
      </c>
      <c r="O64" s="195" t="s">
        <v>1670</v>
      </c>
    </row>
    <row r="65" spans="1:15" ht="12" thickBot="1" x14ac:dyDescent="0.2">
      <c r="A65" s="133"/>
      <c r="B65" s="317"/>
      <c r="C65" s="317"/>
      <c r="D65" s="317"/>
      <c r="E65" s="183"/>
      <c r="F65" s="318"/>
      <c r="G65" s="219"/>
      <c r="H65" s="186"/>
      <c r="I65" s="217" t="s">
        <v>856</v>
      </c>
      <c r="J65" s="211">
        <f>SUM(J64)</f>
        <v>31325</v>
      </c>
      <c r="K65" s="210"/>
      <c r="N65" s="230"/>
      <c r="O65" s="195"/>
    </row>
    <row r="66" spans="1:15" ht="12" thickTop="1" x14ac:dyDescent="0.15">
      <c r="A66" s="193" t="s">
        <v>1648</v>
      </c>
      <c r="B66" s="317" t="s">
        <v>1673</v>
      </c>
      <c r="E66" s="183" t="s">
        <v>55</v>
      </c>
      <c r="F66" s="319">
        <v>122329597.34999999</v>
      </c>
      <c r="G66" s="219" t="s">
        <v>56</v>
      </c>
      <c r="H66" s="186">
        <v>41450</v>
      </c>
      <c r="I66" s="187" t="s">
        <v>71</v>
      </c>
      <c r="J66" s="210">
        <v>21778.22</v>
      </c>
      <c r="K66" s="210"/>
      <c r="N66" s="230"/>
      <c r="O66" s="195"/>
    </row>
    <row r="67" spans="1:15" ht="12" thickBot="1" x14ac:dyDescent="0.2">
      <c r="A67" s="133"/>
      <c r="B67" s="317"/>
      <c r="C67" s="317"/>
      <c r="D67" s="317"/>
      <c r="E67" s="183"/>
      <c r="F67" s="318"/>
      <c r="G67" s="219"/>
      <c r="H67" s="186"/>
      <c r="I67" s="217" t="s">
        <v>689</v>
      </c>
      <c r="J67" s="211">
        <f>SUM(J66)</f>
        <v>21778.22</v>
      </c>
      <c r="K67" s="210"/>
      <c r="N67" s="230"/>
      <c r="O67" s="195"/>
    </row>
    <row r="68" spans="1:15" ht="12" thickTop="1" x14ac:dyDescent="0.15">
      <c r="A68" s="133" t="s">
        <v>1623</v>
      </c>
      <c r="B68" s="131" t="s">
        <v>1672</v>
      </c>
      <c r="E68" s="183" t="s">
        <v>55</v>
      </c>
      <c r="F68" s="319">
        <v>58166452.030000001</v>
      </c>
      <c r="G68" s="219" t="s">
        <v>56</v>
      </c>
      <c r="H68" s="186">
        <v>41404</v>
      </c>
      <c r="I68" s="187" t="s">
        <v>71</v>
      </c>
      <c r="J68" s="210">
        <v>10937.06</v>
      </c>
      <c r="K68" s="210"/>
      <c r="N68" s="230"/>
      <c r="O68" s="195"/>
    </row>
    <row r="69" spans="1:15" ht="12" thickBot="1" x14ac:dyDescent="0.2">
      <c r="A69" s="193"/>
      <c r="B69" s="210"/>
      <c r="C69" s="221"/>
      <c r="D69" s="237"/>
      <c r="E69" s="235"/>
      <c r="F69" s="235"/>
      <c r="I69" s="218" t="s">
        <v>106</v>
      </c>
      <c r="J69" s="212">
        <f>SUM(J68)</f>
        <v>10937.06</v>
      </c>
      <c r="N69" s="206" t="s">
        <v>33</v>
      </c>
      <c r="O69" s="207">
        <f>SUM(N62:N68)</f>
        <v>244278.0080620095</v>
      </c>
    </row>
    <row r="70" spans="1:15" ht="12" thickTop="1" x14ac:dyDescent="0.15">
      <c r="A70" s="193"/>
      <c r="B70" s="210"/>
      <c r="C70" s="221"/>
      <c r="D70" s="237"/>
      <c r="E70" s="235"/>
      <c r="F70" s="235"/>
      <c r="J70" s="205"/>
      <c r="O70" s="132">
        <f>+O61-O69</f>
        <v>0</v>
      </c>
    </row>
    <row r="71" spans="1:15" s="132" customFormat="1" x14ac:dyDescent="0.15">
      <c r="A71" s="133"/>
      <c r="B71" s="133" t="s">
        <v>9</v>
      </c>
      <c r="C71" s="220" t="s">
        <v>729</v>
      </c>
      <c r="D71" s="220" t="s">
        <v>850</v>
      </c>
      <c r="E71" s="133" t="s">
        <v>570</v>
      </c>
      <c r="F71" s="133" t="s">
        <v>571</v>
      </c>
      <c r="G71" s="133" t="s">
        <v>16</v>
      </c>
      <c r="H71" s="134"/>
      <c r="I71" s="134"/>
      <c r="J71" s="205"/>
      <c r="K71" s="133"/>
      <c r="M71" s="134"/>
    </row>
    <row r="72" spans="1:15" s="132" customFormat="1" x14ac:dyDescent="0.15">
      <c r="A72" s="193" t="s">
        <v>1622</v>
      </c>
      <c r="B72" s="210">
        <v>31325</v>
      </c>
      <c r="C72" s="221">
        <v>22.510300000000001</v>
      </c>
      <c r="D72" s="237">
        <f t="shared" ref="D72" si="4">+B72*C72</f>
        <v>705135.14750000008</v>
      </c>
      <c r="E72" s="235">
        <f t="shared" ref="E72" si="5">+D72*0.01</f>
        <v>7051.3514750000013</v>
      </c>
      <c r="F72" s="235">
        <f t="shared" ref="F72" si="6">+E72*0.1</f>
        <v>705.13514750000013</v>
      </c>
      <c r="G72" s="236">
        <f>SUM(E72:F72)</f>
        <v>7756.4866225000014</v>
      </c>
      <c r="H72" s="134"/>
      <c r="I72" s="134"/>
      <c r="J72" s="134"/>
      <c r="K72" s="133"/>
      <c r="M72" s="134"/>
    </row>
    <row r="73" spans="1:15" s="132" customFormat="1" ht="12" thickBot="1" x14ac:dyDescent="0.2">
      <c r="A73" s="133"/>
      <c r="B73" s="211">
        <f>SUM(B72)</f>
        <v>31325</v>
      </c>
      <c r="C73" s="221"/>
      <c r="D73" s="237"/>
      <c r="E73" s="242">
        <f>SUM(E72)</f>
        <v>7051.3514750000013</v>
      </c>
      <c r="F73" s="242">
        <f t="shared" ref="F73:G73" si="7">SUM(F72)</f>
        <v>705.13514750000013</v>
      </c>
      <c r="G73" s="242">
        <f t="shared" si="7"/>
        <v>7756.4866225000014</v>
      </c>
      <c r="H73" s="133"/>
      <c r="J73" s="134"/>
      <c r="K73" s="133"/>
      <c r="M73" s="134"/>
    </row>
    <row r="74" spans="1:15" s="132" customFormat="1" ht="12" thickTop="1" x14ac:dyDescent="0.15">
      <c r="A74" s="193" t="s">
        <v>1648</v>
      </c>
      <c r="B74" s="210">
        <v>21778</v>
      </c>
      <c r="C74" s="221">
        <v>23.147400000000001</v>
      </c>
      <c r="D74" s="237">
        <f t="shared" ref="D74" si="8">+B74*C74</f>
        <v>504104.0772</v>
      </c>
      <c r="E74" s="235">
        <f t="shared" ref="E74" si="9">+D74*0.01</f>
        <v>5041.0407720000003</v>
      </c>
      <c r="F74" s="235">
        <f t="shared" ref="F74" si="10">+E74*0.1</f>
        <v>504.10407720000006</v>
      </c>
      <c r="G74" s="236">
        <f>SUM(E74:F74)</f>
        <v>5545.1448492</v>
      </c>
      <c r="H74" s="134"/>
      <c r="I74" s="134"/>
      <c r="J74" s="134"/>
      <c r="K74" s="133"/>
      <c r="M74" s="134"/>
    </row>
    <row r="75" spans="1:15" s="132" customFormat="1" ht="12" thickBot="1" x14ac:dyDescent="0.2">
      <c r="A75" s="133"/>
      <c r="B75" s="211">
        <f>SUM(B74)</f>
        <v>21778</v>
      </c>
      <c r="C75" s="221"/>
      <c r="D75" s="237"/>
      <c r="E75" s="242">
        <f>SUM(E74)</f>
        <v>5041.0407720000003</v>
      </c>
      <c r="F75" s="242">
        <f t="shared" ref="F75:G75" si="11">SUM(F74)</f>
        <v>504.10407720000006</v>
      </c>
      <c r="G75" s="242">
        <f t="shared" si="11"/>
        <v>5545.1448492</v>
      </c>
      <c r="H75" s="133"/>
      <c r="J75" s="134"/>
      <c r="K75" s="133"/>
      <c r="M75" s="134"/>
    </row>
    <row r="76" spans="1:15" s="132" customFormat="1" ht="12" thickTop="1" x14ac:dyDescent="0.15">
      <c r="A76" s="133" t="s">
        <v>1623</v>
      </c>
      <c r="B76" s="210">
        <v>10937</v>
      </c>
      <c r="C76" s="221">
        <v>21.360900000000001</v>
      </c>
      <c r="D76" s="237">
        <f t="shared" ref="D76" si="12">+B76*C76</f>
        <v>233624.16330000001</v>
      </c>
      <c r="E76" s="235">
        <f t="shared" ref="E76" si="13">+D76*0.01</f>
        <v>2336.2416330000001</v>
      </c>
      <c r="F76" s="235">
        <f t="shared" ref="F76" si="14">+E76*0.1</f>
        <v>233.62416330000002</v>
      </c>
      <c r="G76" s="236">
        <f t="shared" ref="G76" si="15">SUM(E76:F76)</f>
        <v>2569.8657963000001</v>
      </c>
      <c r="H76" s="133"/>
      <c r="J76" s="134"/>
      <c r="K76" s="133"/>
      <c r="M76" s="134"/>
    </row>
    <row r="77" spans="1:15" s="132" customFormat="1" ht="12" thickBot="1" x14ac:dyDescent="0.2">
      <c r="A77" s="133"/>
      <c r="B77" s="211">
        <f>SUM(B76)</f>
        <v>10937</v>
      </c>
      <c r="C77" s="221"/>
      <c r="D77" s="237"/>
      <c r="E77" s="242">
        <f>SUM(E76)</f>
        <v>2336.2416330000001</v>
      </c>
      <c r="F77" s="242">
        <f t="shared" ref="F77:G77" si="16">SUM(F76)</f>
        <v>233.62416330000002</v>
      </c>
      <c r="G77" s="242">
        <f t="shared" si="16"/>
        <v>2569.8657963000001</v>
      </c>
      <c r="H77" s="133"/>
      <c r="J77" s="134"/>
      <c r="K77" s="133"/>
      <c r="M77" s="134"/>
    </row>
    <row r="78" spans="1:15" s="132" customFormat="1" ht="12" thickTop="1" x14ac:dyDescent="0.15">
      <c r="A78" s="134"/>
      <c r="B78" s="131"/>
      <c r="D78" s="133"/>
      <c r="E78" s="133"/>
      <c r="F78" s="134"/>
      <c r="H78" s="133"/>
      <c r="J78" s="134"/>
      <c r="K78" s="133"/>
      <c r="M78" s="134"/>
    </row>
    <row r="79" spans="1:15" s="132" customFormat="1" x14ac:dyDescent="0.15">
      <c r="A79" s="134"/>
      <c r="B79" s="231"/>
      <c r="D79" s="133"/>
      <c r="E79" s="133"/>
      <c r="F79" s="134"/>
      <c r="H79" s="133"/>
      <c r="J79" s="134"/>
      <c r="K79" s="133"/>
      <c r="M79" s="134"/>
    </row>
    <row r="80" spans="1:15" s="132" customFormat="1" x14ac:dyDescent="0.15">
      <c r="A80" s="134"/>
      <c r="B80" s="131"/>
      <c r="D80" s="133"/>
      <c r="E80" s="133"/>
      <c r="F80" s="134"/>
      <c r="H80" s="133"/>
      <c r="J80" s="134"/>
      <c r="K80" s="133"/>
      <c r="M80" s="134"/>
    </row>
    <row r="81" spans="1:15" s="132" customFormat="1" x14ac:dyDescent="0.15">
      <c r="A81" s="134"/>
      <c r="B81" s="131"/>
      <c r="D81" s="133"/>
      <c r="E81" s="133"/>
      <c r="F81" s="134"/>
      <c r="H81" s="133"/>
      <c r="J81" s="134"/>
      <c r="K81" s="133"/>
      <c r="M81" s="134"/>
    </row>
    <row r="82" spans="1:15" s="132" customFormat="1" x14ac:dyDescent="0.15">
      <c r="A82" s="134"/>
      <c r="B82" s="131"/>
      <c r="D82" s="133"/>
      <c r="E82" s="133"/>
      <c r="F82" s="134"/>
      <c r="H82" s="133"/>
      <c r="J82" s="134"/>
      <c r="K82" s="133"/>
      <c r="M82" s="134"/>
    </row>
    <row r="83" spans="1:15" s="132" customFormat="1" x14ac:dyDescent="0.15">
      <c r="A83" s="134"/>
      <c r="B83" s="131"/>
      <c r="D83" s="133"/>
      <c r="E83" s="133"/>
      <c r="F83" s="134"/>
      <c r="H83" s="133"/>
      <c r="J83" s="134"/>
      <c r="K83" s="133"/>
      <c r="M83" s="134"/>
    </row>
    <row r="84" spans="1:15" s="132" customFormat="1" x14ac:dyDescent="0.15">
      <c r="A84" s="134"/>
      <c r="B84" s="131"/>
      <c r="D84" s="133"/>
      <c r="E84" s="133"/>
      <c r="F84" s="134"/>
      <c r="H84" s="133"/>
      <c r="J84" s="134"/>
      <c r="K84" s="133"/>
      <c r="M84" s="134"/>
    </row>
    <row r="85" spans="1:15" s="132" customFormat="1" x14ac:dyDescent="0.15">
      <c r="A85" s="134"/>
      <c r="B85" s="131"/>
      <c r="D85" s="133"/>
      <c r="E85" s="133"/>
      <c r="F85" s="134"/>
      <c r="H85" s="133"/>
      <c r="J85" s="134"/>
      <c r="K85" s="133"/>
      <c r="M85" s="134"/>
    </row>
    <row r="86" spans="1:15" s="132" customFormat="1" x14ac:dyDescent="0.15">
      <c r="A86" s="134"/>
      <c r="B86" s="131"/>
      <c r="D86" s="133"/>
      <c r="E86" s="133"/>
      <c r="F86" s="134"/>
      <c r="H86" s="133"/>
      <c r="J86" s="134"/>
      <c r="K86" s="133"/>
      <c r="M86" s="134"/>
    </row>
    <row r="87" spans="1:15" s="132" customFormat="1" x14ac:dyDescent="0.15">
      <c r="A87" s="134"/>
      <c r="B87" s="131"/>
      <c r="D87" s="133"/>
      <c r="E87" s="133"/>
      <c r="F87" s="134"/>
      <c r="H87" s="133"/>
      <c r="J87" s="134"/>
      <c r="K87" s="133"/>
      <c r="M87" s="134"/>
    </row>
    <row r="88" spans="1:15" s="133" customFormat="1" x14ac:dyDescent="0.15">
      <c r="A88" s="134"/>
      <c r="B88" s="131"/>
      <c r="C88" s="132"/>
      <c r="F88" s="134"/>
      <c r="G88" s="132"/>
      <c r="I88" s="132"/>
      <c r="J88" s="134"/>
      <c r="L88" s="132"/>
      <c r="M88" s="134"/>
      <c r="N88" s="132"/>
      <c r="O88" s="132"/>
    </row>
    <row r="89" spans="1:15" s="133" customFormat="1" x14ac:dyDescent="0.15">
      <c r="A89" s="134"/>
      <c r="B89" s="131"/>
      <c r="C89" s="132"/>
      <c r="F89" s="134"/>
      <c r="G89" s="132"/>
      <c r="I89" s="132"/>
      <c r="J89" s="134"/>
      <c r="L89" s="132"/>
      <c r="M89" s="134"/>
      <c r="N89" s="132"/>
      <c r="O89" s="132"/>
    </row>
    <row r="90" spans="1:15" s="133" customFormat="1" x14ac:dyDescent="0.15">
      <c r="A90" s="134"/>
      <c r="B90" s="131"/>
      <c r="C90" s="132"/>
      <c r="F90" s="134"/>
      <c r="G90" s="132"/>
      <c r="I90" s="132"/>
      <c r="J90" s="134"/>
      <c r="L90" s="132"/>
      <c r="M90" s="134"/>
      <c r="N90" s="132"/>
      <c r="O90" s="132"/>
    </row>
    <row r="91" spans="1:15" s="133" customFormat="1" x14ac:dyDescent="0.15">
      <c r="A91" s="134"/>
      <c r="B91" s="131"/>
      <c r="C91" s="132"/>
      <c r="F91" s="134"/>
      <c r="G91" s="132"/>
      <c r="I91" s="132"/>
      <c r="J91" s="134"/>
      <c r="L91" s="132"/>
      <c r="M91" s="134"/>
      <c r="N91" s="132"/>
      <c r="O91" s="132"/>
    </row>
    <row r="92" spans="1:15" s="133" customFormat="1" x14ac:dyDescent="0.15">
      <c r="A92" s="134"/>
      <c r="B92" s="131"/>
      <c r="C92" s="132"/>
      <c r="F92" s="134"/>
      <c r="G92" s="132"/>
      <c r="I92" s="132"/>
      <c r="J92" s="134"/>
      <c r="L92" s="132"/>
      <c r="M92" s="134"/>
      <c r="N92" s="132"/>
      <c r="O92" s="132"/>
    </row>
    <row r="93" spans="1:15" s="133" customFormat="1" x14ac:dyDescent="0.15">
      <c r="A93" s="134"/>
      <c r="B93" s="131"/>
      <c r="C93" s="132"/>
      <c r="F93" s="134"/>
      <c r="G93" s="132"/>
      <c r="I93" s="132"/>
      <c r="J93" s="134"/>
      <c r="L93" s="132"/>
      <c r="M93" s="134"/>
      <c r="N93" s="132"/>
      <c r="O93" s="132"/>
    </row>
    <row r="95" spans="1:15" s="132" customFormat="1" x14ac:dyDescent="0.15">
      <c r="A95" s="134"/>
      <c r="B95" s="131"/>
      <c r="D95" s="133"/>
      <c r="E95" s="133"/>
      <c r="F95" s="134"/>
      <c r="H95" s="133"/>
      <c r="J95" s="134"/>
      <c r="K95" s="133"/>
      <c r="M95" s="134"/>
    </row>
  </sheetData>
  <mergeCells count="8">
    <mergeCell ref="B62:D62"/>
    <mergeCell ref="B63:D6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95"/>
  <sheetViews>
    <sheetView topLeftCell="E1" zoomScale="130" zoomScaleNormal="130" workbookViewId="0">
      <pane ySplit="6" topLeftCell="A35" activePane="bottomLeft" state="frozen"/>
      <selection pane="bottomLeft" activeCell="M62" sqref="M62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1628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1601</v>
      </c>
      <c r="B7" s="146"/>
      <c r="C7" s="147">
        <v>21634.61696200951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21634.61696200951</v>
      </c>
      <c r="O7" s="147">
        <f>+C61</f>
        <v>234175.94096200948</v>
      </c>
    </row>
    <row r="8" spans="1:15" x14ac:dyDescent="0.15">
      <c r="A8" s="154" t="s">
        <v>1575</v>
      </c>
      <c r="B8" s="151"/>
      <c r="C8" s="152">
        <v>43787.285000000003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21634.61696200951</v>
      </c>
      <c r="O8" s="152">
        <f t="shared" ref="O8" si="0">O7+G8-I8-L8</f>
        <v>234175.94096200948</v>
      </c>
    </row>
    <row r="9" spans="1:15" x14ac:dyDescent="0.15">
      <c r="A9" s="157" t="s">
        <v>1622</v>
      </c>
      <c r="B9" s="151"/>
      <c r="C9" s="152">
        <v>58842.582000000373</v>
      </c>
      <c r="D9" s="154"/>
      <c r="E9" s="154"/>
      <c r="F9" s="154"/>
      <c r="G9" s="152"/>
      <c r="H9" s="154"/>
      <c r="I9" s="152"/>
      <c r="J9" s="154"/>
      <c r="K9" s="154"/>
      <c r="L9" s="227"/>
      <c r="M9" s="157"/>
      <c r="N9" s="227">
        <f t="shared" ref="N9:N60" si="1">+N8-I9-L9</f>
        <v>21634.61696200951</v>
      </c>
      <c r="O9" s="152">
        <f t="shared" ref="O9:O60" si="2">O8+G9-I9-L9</f>
        <v>234175.94096200948</v>
      </c>
    </row>
    <row r="10" spans="1:15" x14ac:dyDescent="0.15">
      <c r="A10" s="154" t="s">
        <v>1623</v>
      </c>
      <c r="B10" s="151"/>
      <c r="C10" s="152">
        <v>21127.154999999599</v>
      </c>
      <c r="D10" s="155"/>
      <c r="E10" s="154"/>
      <c r="F10" s="157"/>
      <c r="G10" s="152"/>
      <c r="H10" s="155"/>
      <c r="I10" s="152"/>
      <c r="J10" s="154"/>
      <c r="K10" s="154"/>
      <c r="L10" s="227"/>
      <c r="M10" s="157"/>
      <c r="N10" s="227">
        <f t="shared" si="1"/>
        <v>21634.61696200951</v>
      </c>
      <c r="O10" s="152">
        <f t="shared" si="2"/>
        <v>234175.94096200948</v>
      </c>
    </row>
    <row r="11" spans="1:15" x14ac:dyDescent="0.15">
      <c r="A11" s="154" t="s">
        <v>1648</v>
      </c>
      <c r="B11" s="151"/>
      <c r="C11" s="152">
        <v>88784.301999999996</v>
      </c>
      <c r="D11" s="155"/>
      <c r="E11" s="154"/>
      <c r="F11" s="157"/>
      <c r="G11" s="152"/>
      <c r="H11" s="155"/>
      <c r="I11" s="152"/>
      <c r="J11" s="154"/>
      <c r="K11" s="154"/>
      <c r="L11" s="227"/>
      <c r="M11" s="157"/>
      <c r="N11" s="227">
        <f t="shared" si="1"/>
        <v>21634.61696200951</v>
      </c>
      <c r="O11" s="152">
        <f t="shared" si="2"/>
        <v>234175.94096200948</v>
      </c>
    </row>
    <row r="12" spans="1:15" x14ac:dyDescent="0.15">
      <c r="A12" s="154"/>
      <c r="B12" s="151"/>
      <c r="C12" s="152"/>
      <c r="D12" s="155"/>
      <c r="E12" s="155"/>
      <c r="F12" s="157"/>
      <c r="G12" s="152"/>
      <c r="H12" s="155"/>
      <c r="I12" s="152"/>
      <c r="J12" s="154"/>
      <c r="K12" s="154"/>
      <c r="L12" s="227"/>
      <c r="M12" s="157"/>
      <c r="N12" s="227">
        <f t="shared" si="1"/>
        <v>21634.61696200951</v>
      </c>
      <c r="O12" s="152">
        <f t="shared" si="2"/>
        <v>234175.94096200948</v>
      </c>
    </row>
    <row r="13" spans="1:15" x14ac:dyDescent="0.15">
      <c r="A13" s="154"/>
      <c r="B13" s="151"/>
      <c r="C13" s="152"/>
      <c r="D13" s="155"/>
      <c r="E13" s="155"/>
      <c r="F13" s="157"/>
      <c r="G13" s="152"/>
      <c r="H13" s="155" t="s">
        <v>1629</v>
      </c>
      <c r="I13" s="152">
        <v>3828.83</v>
      </c>
      <c r="J13" s="154" t="s">
        <v>1601</v>
      </c>
      <c r="K13" s="154"/>
      <c r="L13" s="227"/>
      <c r="M13" s="157"/>
      <c r="N13" s="227">
        <f t="shared" si="1"/>
        <v>17805.786962009508</v>
      </c>
      <c r="O13" s="152">
        <f t="shared" si="2"/>
        <v>230347.11096200949</v>
      </c>
    </row>
    <row r="14" spans="1:15" x14ac:dyDescent="0.15">
      <c r="A14" s="154"/>
      <c r="B14" s="151"/>
      <c r="C14" s="152"/>
      <c r="D14" s="155"/>
      <c r="E14" s="155"/>
      <c r="F14" s="157"/>
      <c r="G14" s="152"/>
      <c r="H14" s="155" t="s">
        <v>1630</v>
      </c>
      <c r="I14" s="152">
        <v>1645.5</v>
      </c>
      <c r="J14" s="154" t="s">
        <v>1601</v>
      </c>
      <c r="K14" s="154"/>
      <c r="L14" s="227"/>
      <c r="M14" s="154"/>
      <c r="N14" s="227">
        <f t="shared" si="1"/>
        <v>16160.286962009508</v>
      </c>
      <c r="O14" s="152">
        <f t="shared" si="2"/>
        <v>228701.61096200949</v>
      </c>
    </row>
    <row r="15" spans="1:15" x14ac:dyDescent="0.15">
      <c r="A15" s="154"/>
      <c r="B15" s="151"/>
      <c r="C15" s="152"/>
      <c r="D15" s="155"/>
      <c r="E15" s="155"/>
      <c r="F15" s="157"/>
      <c r="G15" s="152"/>
      <c r="H15" s="155" t="s">
        <v>1631</v>
      </c>
      <c r="I15" s="152">
        <v>902.27</v>
      </c>
      <c r="J15" s="154" t="s">
        <v>1601</v>
      </c>
      <c r="K15" s="154"/>
      <c r="L15" s="227"/>
      <c r="M15" s="154"/>
      <c r="N15" s="227">
        <f t="shared" si="1"/>
        <v>15258.016962009508</v>
      </c>
      <c r="O15" s="152">
        <f t="shared" si="2"/>
        <v>227799.3409620095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155" t="s">
        <v>1632</v>
      </c>
      <c r="I16" s="152"/>
      <c r="J16" s="154"/>
      <c r="K16" s="154" t="s">
        <v>1651</v>
      </c>
      <c r="L16" s="227">
        <v>3443</v>
      </c>
      <c r="M16" s="154" t="s">
        <v>1601</v>
      </c>
      <c r="N16" s="227">
        <f t="shared" si="1"/>
        <v>11815.016962009508</v>
      </c>
      <c r="O16" s="152">
        <f t="shared" si="2"/>
        <v>224356.3409620095</v>
      </c>
    </row>
    <row r="17" spans="1:15" x14ac:dyDescent="0.15">
      <c r="A17" s="154"/>
      <c r="B17" s="151"/>
      <c r="C17" s="152"/>
      <c r="D17" s="155"/>
      <c r="E17" s="155"/>
      <c r="F17" s="157"/>
      <c r="G17" s="152"/>
      <c r="H17" s="155" t="s">
        <v>1633</v>
      </c>
      <c r="I17" s="152"/>
      <c r="J17" s="154"/>
      <c r="K17" s="154" t="s">
        <v>1651</v>
      </c>
      <c r="L17" s="227">
        <v>9705.82</v>
      </c>
      <c r="M17" s="154" t="s">
        <v>1601</v>
      </c>
      <c r="N17" s="227">
        <f t="shared" si="1"/>
        <v>2109.1969620095078</v>
      </c>
      <c r="O17" s="152">
        <f t="shared" si="2"/>
        <v>214650.5209620095</v>
      </c>
    </row>
    <row r="18" spans="1:15" x14ac:dyDescent="0.15">
      <c r="A18" s="154"/>
      <c r="B18" s="151"/>
      <c r="C18" s="152"/>
      <c r="D18" s="155"/>
      <c r="E18" s="155"/>
      <c r="F18" s="157"/>
      <c r="G18" s="152"/>
      <c r="H18" s="155" t="s">
        <v>1633</v>
      </c>
      <c r="I18" s="152"/>
      <c r="J18" s="154"/>
      <c r="K18" s="154" t="s">
        <v>1651</v>
      </c>
      <c r="L18" s="227">
        <v>1161.29</v>
      </c>
      <c r="M18" s="154" t="s">
        <v>1601</v>
      </c>
      <c r="N18" s="227">
        <f t="shared" si="1"/>
        <v>947.90696200950788</v>
      </c>
      <c r="O18" s="152">
        <f t="shared" si="2"/>
        <v>213489.23096200949</v>
      </c>
    </row>
    <row r="19" spans="1:15" x14ac:dyDescent="0.15">
      <c r="A19" s="154"/>
      <c r="B19" s="151"/>
      <c r="C19" s="152"/>
      <c r="D19" s="155"/>
      <c r="E19" s="155"/>
      <c r="F19" s="157"/>
      <c r="G19" s="152"/>
      <c r="H19" s="155" t="s">
        <v>1634</v>
      </c>
      <c r="I19" s="152">
        <v>947.90696200950788</v>
      </c>
      <c r="J19" s="154" t="s">
        <v>1601</v>
      </c>
      <c r="K19" s="154"/>
      <c r="L19" s="227"/>
      <c r="M19" s="154"/>
      <c r="N19" s="227">
        <f t="shared" si="1"/>
        <v>0</v>
      </c>
      <c r="O19" s="152">
        <f t="shared" si="2"/>
        <v>212541.32399999999</v>
      </c>
    </row>
    <row r="20" spans="1:15" x14ac:dyDescent="0.15">
      <c r="A20" s="154"/>
      <c r="B20" s="151"/>
      <c r="C20" s="152"/>
      <c r="D20" s="155"/>
      <c r="E20" s="155"/>
      <c r="F20" s="157"/>
      <c r="G20" s="152"/>
      <c r="H20" s="155" t="s">
        <v>1634</v>
      </c>
      <c r="I20" s="152">
        <v>303.46303799049201</v>
      </c>
      <c r="J20" s="154" t="s">
        <v>1575</v>
      </c>
      <c r="K20" s="154"/>
      <c r="L20" s="227"/>
      <c r="M20" s="154"/>
      <c r="N20" s="316">
        <f>C8+N19-I20-L20</f>
        <v>43483.821962009511</v>
      </c>
      <c r="O20" s="152">
        <f t="shared" si="2"/>
        <v>212237.86096200949</v>
      </c>
    </row>
    <row r="21" spans="1:15" x14ac:dyDescent="0.15">
      <c r="A21" s="154"/>
      <c r="B21" s="151"/>
      <c r="C21" s="152"/>
      <c r="D21" s="155"/>
      <c r="E21" s="155"/>
      <c r="F21" s="157"/>
      <c r="G21" s="152"/>
      <c r="H21" s="155" t="s">
        <v>1635</v>
      </c>
      <c r="I21" s="152">
        <v>914.28</v>
      </c>
      <c r="J21" s="154" t="s">
        <v>1575</v>
      </c>
      <c r="K21" s="154"/>
      <c r="L21" s="227"/>
      <c r="M21" s="154"/>
      <c r="N21" s="227">
        <f t="shared" si="1"/>
        <v>42569.541962009513</v>
      </c>
      <c r="O21" s="152">
        <f t="shared" si="2"/>
        <v>211323.5809620095</v>
      </c>
    </row>
    <row r="22" spans="1:15" x14ac:dyDescent="0.15">
      <c r="A22" s="154"/>
      <c r="B22" s="151"/>
      <c r="C22" s="152"/>
      <c r="D22" s="155"/>
      <c r="E22" s="155"/>
      <c r="F22" s="157"/>
      <c r="G22" s="152"/>
      <c r="H22" s="155" t="s">
        <v>1636</v>
      </c>
      <c r="I22" s="152"/>
      <c r="J22" s="154"/>
      <c r="K22" s="154" t="s">
        <v>1651</v>
      </c>
      <c r="L22" s="227">
        <v>661.2</v>
      </c>
      <c r="M22" s="154" t="s">
        <v>1575</v>
      </c>
      <c r="N22" s="227">
        <f t="shared" si="1"/>
        <v>41908.341962009516</v>
      </c>
      <c r="O22" s="152">
        <f t="shared" si="2"/>
        <v>210662.38096200948</v>
      </c>
    </row>
    <row r="23" spans="1:15" x14ac:dyDescent="0.15">
      <c r="A23" s="154"/>
      <c r="B23" s="151"/>
      <c r="C23" s="152"/>
      <c r="D23" s="155"/>
      <c r="E23" s="155"/>
      <c r="F23" s="157"/>
      <c r="G23" s="152"/>
      <c r="H23" s="155" t="s">
        <v>1637</v>
      </c>
      <c r="I23" s="152"/>
      <c r="J23" s="157"/>
      <c r="K23" s="154" t="s">
        <v>1651</v>
      </c>
      <c r="L23" s="227">
        <v>9806.99</v>
      </c>
      <c r="M23" s="154" t="s">
        <v>1575</v>
      </c>
      <c r="N23" s="227">
        <f t="shared" si="1"/>
        <v>32101.351962009518</v>
      </c>
      <c r="O23" s="152">
        <f t="shared" si="2"/>
        <v>200855.39096200949</v>
      </c>
    </row>
    <row r="24" spans="1:15" x14ac:dyDescent="0.15">
      <c r="A24" s="154"/>
      <c r="B24" s="151"/>
      <c r="C24" s="152"/>
      <c r="D24" s="155"/>
      <c r="E24" s="155"/>
      <c r="F24" s="157"/>
      <c r="G24" s="152"/>
      <c r="H24" s="155" t="s">
        <v>1638</v>
      </c>
      <c r="I24" s="152">
        <v>1975.8</v>
      </c>
      <c r="J24" s="154" t="s">
        <v>1575</v>
      </c>
      <c r="K24" s="154" t="s">
        <v>1651</v>
      </c>
      <c r="L24" s="227">
        <v>399.76</v>
      </c>
      <c r="M24" s="154" t="s">
        <v>1575</v>
      </c>
      <c r="N24" s="227">
        <f t="shared" si="1"/>
        <v>29725.79196200952</v>
      </c>
      <c r="O24" s="152">
        <f t="shared" si="2"/>
        <v>198479.8309620095</v>
      </c>
    </row>
    <row r="25" spans="1:15" x14ac:dyDescent="0.15">
      <c r="A25" s="154"/>
      <c r="B25" s="151"/>
      <c r="C25" s="152"/>
      <c r="D25" s="155"/>
      <c r="E25" s="155"/>
      <c r="F25" s="157"/>
      <c r="G25" s="152"/>
      <c r="H25" s="155" t="s">
        <v>1639</v>
      </c>
      <c r="I25" s="152"/>
      <c r="J25" s="154"/>
      <c r="K25" s="154" t="s">
        <v>1651</v>
      </c>
      <c r="L25" s="227">
        <v>10357.1</v>
      </c>
      <c r="M25" s="154" t="s">
        <v>1575</v>
      </c>
      <c r="N25" s="227">
        <f t="shared" si="1"/>
        <v>19368.691962009521</v>
      </c>
      <c r="O25" s="152">
        <f t="shared" si="2"/>
        <v>188122.73096200949</v>
      </c>
    </row>
    <row r="26" spans="1:15" x14ac:dyDescent="0.15">
      <c r="A26" s="154"/>
      <c r="B26" s="151"/>
      <c r="C26" s="152"/>
      <c r="D26" s="155"/>
      <c r="E26" s="155"/>
      <c r="F26" s="157"/>
      <c r="G26" s="152"/>
      <c r="H26" s="155" t="s">
        <v>1639</v>
      </c>
      <c r="I26" s="152"/>
      <c r="J26" s="157"/>
      <c r="K26" s="154" t="s">
        <v>1651</v>
      </c>
      <c r="L26" s="227">
        <v>695.44</v>
      </c>
      <c r="M26" s="154" t="s">
        <v>1575</v>
      </c>
      <c r="N26" s="227">
        <f t="shared" si="1"/>
        <v>18673.251962009523</v>
      </c>
      <c r="O26" s="152">
        <f t="shared" si="2"/>
        <v>187427.29096200949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1640</v>
      </c>
      <c r="I27" s="152">
        <v>1189.03</v>
      </c>
      <c r="J27" s="154" t="s">
        <v>1575</v>
      </c>
      <c r="K27" s="154"/>
      <c r="L27" s="227"/>
      <c r="M27" s="154"/>
      <c r="N27" s="227">
        <f t="shared" si="1"/>
        <v>17484.221962009524</v>
      </c>
      <c r="O27" s="152">
        <f t="shared" si="2"/>
        <v>186238.26096200949</v>
      </c>
    </row>
    <row r="28" spans="1:15" x14ac:dyDescent="0.15">
      <c r="A28" s="154"/>
      <c r="B28" s="151"/>
      <c r="C28" s="152"/>
      <c r="D28" s="155"/>
      <c r="E28" s="155"/>
      <c r="F28" s="157"/>
      <c r="G28" s="152"/>
      <c r="H28" s="155" t="s">
        <v>1641</v>
      </c>
      <c r="I28" s="152">
        <v>507.58789999999999</v>
      </c>
      <c r="J28" s="154" t="s">
        <v>1575</v>
      </c>
      <c r="K28" s="154"/>
      <c r="L28" s="227"/>
      <c r="M28" s="154"/>
      <c r="N28" s="227">
        <f t="shared" si="1"/>
        <v>16976.634062009525</v>
      </c>
      <c r="O28" s="152">
        <f t="shared" si="2"/>
        <v>185730.67306200947</v>
      </c>
    </row>
    <row r="29" spans="1:15" x14ac:dyDescent="0.15">
      <c r="A29" s="154"/>
      <c r="B29" s="151"/>
      <c r="C29" s="152"/>
      <c r="D29" s="155"/>
      <c r="E29" s="155"/>
      <c r="F29" s="157"/>
      <c r="G29" s="152"/>
      <c r="H29" s="155" t="s">
        <v>1642</v>
      </c>
      <c r="I29" s="152">
        <v>1700.34</v>
      </c>
      <c r="J29" s="154" t="s">
        <v>1575</v>
      </c>
      <c r="K29" s="154" t="s">
        <v>1651</v>
      </c>
      <c r="L29" s="227">
        <v>3007.56</v>
      </c>
      <c r="M29" s="154" t="s">
        <v>1575</v>
      </c>
      <c r="N29" s="227">
        <f t="shared" si="1"/>
        <v>12268.734062009526</v>
      </c>
      <c r="O29" s="152">
        <f t="shared" si="2"/>
        <v>181022.77306200948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155" t="s">
        <v>1643</v>
      </c>
      <c r="I30" s="152"/>
      <c r="J30" s="157"/>
      <c r="K30" s="154" t="s">
        <v>1651</v>
      </c>
      <c r="L30" s="227">
        <v>10256.08</v>
      </c>
      <c r="M30" s="154" t="s">
        <v>1575</v>
      </c>
      <c r="N30" s="227">
        <f t="shared" si="1"/>
        <v>2012.6540620095257</v>
      </c>
      <c r="O30" s="152">
        <f t="shared" si="2"/>
        <v>170766.69306200949</v>
      </c>
    </row>
    <row r="31" spans="1:15" x14ac:dyDescent="0.15">
      <c r="A31" s="154"/>
      <c r="B31" s="151"/>
      <c r="C31" s="152"/>
      <c r="D31" s="155"/>
      <c r="E31" s="155"/>
      <c r="F31" s="157"/>
      <c r="G31" s="152"/>
      <c r="H31" s="155" t="s">
        <v>1643</v>
      </c>
      <c r="I31" s="152"/>
      <c r="J31" s="154"/>
      <c r="K31" s="154" t="s">
        <v>1651</v>
      </c>
      <c r="L31" s="227">
        <v>2012.6540620095257</v>
      </c>
      <c r="M31" s="154" t="s">
        <v>1575</v>
      </c>
      <c r="N31" s="227">
        <f t="shared" si="1"/>
        <v>0</v>
      </c>
      <c r="O31" s="152">
        <f t="shared" si="2"/>
        <v>168754.03899999996</v>
      </c>
    </row>
    <row r="32" spans="1:15" x14ac:dyDescent="0.15">
      <c r="A32" s="154"/>
      <c r="B32" s="151"/>
      <c r="C32" s="152"/>
      <c r="D32" s="155"/>
      <c r="E32" s="155"/>
      <c r="F32" s="157"/>
      <c r="G32" s="152"/>
      <c r="H32" s="155" t="s">
        <v>1643</v>
      </c>
      <c r="I32" s="152"/>
      <c r="J32" s="154"/>
      <c r="K32" s="154" t="s">
        <v>1650</v>
      </c>
      <c r="L32" s="227">
        <v>6480.06593799047</v>
      </c>
      <c r="M32" s="157" t="s">
        <v>1622</v>
      </c>
      <c r="N32" s="316">
        <f>C9+N31-I32-L32</f>
        <v>52362.516062009905</v>
      </c>
      <c r="O32" s="152">
        <f t="shared" si="2"/>
        <v>162273.97306200949</v>
      </c>
    </row>
    <row r="33" spans="1:15" x14ac:dyDescent="0.15">
      <c r="A33" s="154"/>
      <c r="B33" s="151"/>
      <c r="C33" s="152"/>
      <c r="D33" s="155"/>
      <c r="E33" s="155"/>
      <c r="F33" s="157"/>
      <c r="G33" s="152"/>
      <c r="H33" s="155" t="s">
        <v>1644</v>
      </c>
      <c r="I33" s="152"/>
      <c r="J33" s="157"/>
      <c r="K33" s="154" t="s">
        <v>1650</v>
      </c>
      <c r="L33" s="227">
        <v>7240</v>
      </c>
      <c r="M33" s="157" t="s">
        <v>1622</v>
      </c>
      <c r="N33" s="227">
        <f t="shared" si="1"/>
        <v>45122.516062009905</v>
      </c>
      <c r="O33" s="152">
        <f t="shared" si="2"/>
        <v>155033.97306200949</v>
      </c>
    </row>
    <row r="34" spans="1:15" x14ac:dyDescent="0.15">
      <c r="A34" s="154"/>
      <c r="B34" s="151"/>
      <c r="C34" s="152"/>
      <c r="D34" s="155"/>
      <c r="E34" s="155"/>
      <c r="F34" s="157"/>
      <c r="G34" s="152"/>
      <c r="H34" s="155" t="s">
        <v>1645</v>
      </c>
      <c r="I34" s="152">
        <v>4764.1399999999994</v>
      </c>
      <c r="J34" s="157" t="s">
        <v>1622</v>
      </c>
      <c r="K34" s="154"/>
      <c r="L34" s="227"/>
      <c r="M34" s="157"/>
      <c r="N34" s="227">
        <f t="shared" si="1"/>
        <v>40358.376062009906</v>
      </c>
      <c r="O34" s="152">
        <f t="shared" si="2"/>
        <v>150269.83306200948</v>
      </c>
    </row>
    <row r="35" spans="1:15" x14ac:dyDescent="0.15">
      <c r="A35" s="154"/>
      <c r="B35" s="151"/>
      <c r="C35" s="152"/>
      <c r="D35" s="155" t="s">
        <v>1646</v>
      </c>
      <c r="E35" s="155" t="s">
        <v>72</v>
      </c>
      <c r="F35" s="157" t="s">
        <v>1647</v>
      </c>
      <c r="G35" s="152">
        <v>59078.8</v>
      </c>
      <c r="H35" s="155" t="s">
        <v>1646</v>
      </c>
      <c r="I35" s="152"/>
      <c r="J35" s="157"/>
      <c r="K35" s="154"/>
      <c r="L35" s="227"/>
      <c r="M35" s="157"/>
      <c r="N35" s="227">
        <f t="shared" si="1"/>
        <v>40358.376062009906</v>
      </c>
      <c r="O35" s="152">
        <f t="shared" si="2"/>
        <v>209348.63306200947</v>
      </c>
    </row>
    <row r="36" spans="1:15" hidden="1" x14ac:dyDescent="0.15">
      <c r="A36" s="154"/>
      <c r="B36" s="151"/>
      <c r="C36" s="152"/>
      <c r="D36" s="155"/>
      <c r="E36" s="155"/>
      <c r="F36" s="157"/>
      <c r="G36" s="152"/>
      <c r="H36" s="155"/>
      <c r="I36" s="152"/>
      <c r="J36" s="157"/>
      <c r="K36" s="154"/>
      <c r="L36" s="227"/>
      <c r="M36" s="157"/>
      <c r="N36" s="227">
        <f t="shared" si="1"/>
        <v>40358.376062009906</v>
      </c>
      <c r="O36" s="152">
        <f t="shared" si="2"/>
        <v>209348.63306200947</v>
      </c>
    </row>
    <row r="37" spans="1:15" hidden="1" x14ac:dyDescent="0.15">
      <c r="A37" s="154"/>
      <c r="B37" s="151"/>
      <c r="C37" s="152"/>
      <c r="D37" s="155"/>
      <c r="E37" s="155"/>
      <c r="F37" s="157"/>
      <c r="G37" s="152"/>
      <c r="H37" s="155"/>
      <c r="I37" s="152"/>
      <c r="J37" s="154"/>
      <c r="K37" s="154"/>
      <c r="L37" s="227"/>
      <c r="M37" s="157"/>
      <c r="N37" s="227">
        <f t="shared" si="1"/>
        <v>40358.376062009906</v>
      </c>
      <c r="O37" s="152">
        <f t="shared" si="2"/>
        <v>209348.63306200947</v>
      </c>
    </row>
    <row r="38" spans="1:15" hidden="1" x14ac:dyDescent="0.15">
      <c r="A38" s="154"/>
      <c r="B38" s="151"/>
      <c r="C38" s="152"/>
      <c r="D38" s="155"/>
      <c r="E38" s="155"/>
      <c r="F38" s="157"/>
      <c r="G38" s="152"/>
      <c r="H38" s="155"/>
      <c r="I38" s="152"/>
      <c r="J38" s="154"/>
      <c r="K38" s="154"/>
      <c r="L38" s="227"/>
      <c r="M38" s="157"/>
      <c r="N38" s="227">
        <f t="shared" si="1"/>
        <v>40358.376062009906</v>
      </c>
      <c r="O38" s="152">
        <f t="shared" si="2"/>
        <v>209348.63306200947</v>
      </c>
    </row>
    <row r="39" spans="1:15" hidden="1" x14ac:dyDescent="0.15">
      <c r="A39" s="154"/>
      <c r="B39" s="151"/>
      <c r="C39" s="152"/>
      <c r="D39" s="155"/>
      <c r="E39" s="155"/>
      <c r="F39" s="157"/>
      <c r="G39" s="152"/>
      <c r="H39" s="155"/>
      <c r="I39" s="152"/>
      <c r="J39" s="157"/>
      <c r="K39" s="154"/>
      <c r="L39" s="227"/>
      <c r="M39" s="157"/>
      <c r="N39" s="227">
        <f t="shared" si="1"/>
        <v>40358.376062009906</v>
      </c>
      <c r="O39" s="152">
        <f t="shared" si="2"/>
        <v>209348.63306200947</v>
      </c>
    </row>
    <row r="40" spans="1:15" hidden="1" x14ac:dyDescent="0.15">
      <c r="A40" s="154"/>
      <c r="B40" s="151"/>
      <c r="C40" s="152"/>
      <c r="D40" s="155"/>
      <c r="E40" s="155"/>
      <c r="F40" s="157"/>
      <c r="G40" s="152"/>
      <c r="H40" s="155"/>
      <c r="I40" s="152"/>
      <c r="J40" s="157"/>
      <c r="K40" s="154"/>
      <c r="L40" s="227"/>
      <c r="M40" s="157"/>
      <c r="N40" s="227">
        <f t="shared" si="1"/>
        <v>40358.376062009906</v>
      </c>
      <c r="O40" s="152">
        <f t="shared" si="2"/>
        <v>209348.63306200947</v>
      </c>
    </row>
    <row r="41" spans="1:15" hidden="1" x14ac:dyDescent="0.15">
      <c r="A41" s="154"/>
      <c r="B41" s="151"/>
      <c r="C41" s="152"/>
      <c r="D41" s="155"/>
      <c r="E41" s="155"/>
      <c r="F41" s="157"/>
      <c r="G41" s="152"/>
      <c r="H41" s="155"/>
      <c r="I41" s="152"/>
      <c r="J41" s="157"/>
      <c r="K41" s="154"/>
      <c r="L41" s="227"/>
      <c r="M41" s="157"/>
      <c r="N41" s="227">
        <f t="shared" si="1"/>
        <v>40358.376062009906</v>
      </c>
      <c r="O41" s="152">
        <f t="shared" si="2"/>
        <v>209348.63306200947</v>
      </c>
    </row>
    <row r="42" spans="1:15" hidden="1" x14ac:dyDescent="0.15">
      <c r="A42" s="154"/>
      <c r="B42" s="151"/>
      <c r="C42" s="152"/>
      <c r="D42" s="155"/>
      <c r="E42" s="155"/>
      <c r="F42" s="157"/>
      <c r="G42" s="152"/>
      <c r="H42" s="155"/>
      <c r="I42" s="152"/>
      <c r="J42" s="157"/>
      <c r="K42" s="154"/>
      <c r="L42" s="227"/>
      <c r="M42" s="157"/>
      <c r="N42" s="227">
        <f t="shared" si="1"/>
        <v>40358.376062009906</v>
      </c>
      <c r="O42" s="152">
        <f t="shared" si="2"/>
        <v>209348.63306200947</v>
      </c>
    </row>
    <row r="43" spans="1:15" hidden="1" x14ac:dyDescent="0.15">
      <c r="A43" s="154"/>
      <c r="B43" s="151"/>
      <c r="C43" s="152"/>
      <c r="D43" s="155"/>
      <c r="E43" s="155"/>
      <c r="F43" s="157"/>
      <c r="G43" s="152"/>
      <c r="H43" s="155"/>
      <c r="I43" s="152"/>
      <c r="J43" s="157"/>
      <c r="K43" s="154"/>
      <c r="L43" s="227"/>
      <c r="M43" s="157"/>
      <c r="N43" s="227">
        <f t="shared" si="1"/>
        <v>40358.376062009906</v>
      </c>
      <c r="O43" s="152">
        <f t="shared" si="2"/>
        <v>209348.63306200947</v>
      </c>
    </row>
    <row r="44" spans="1:15" hidden="1" x14ac:dyDescent="0.15">
      <c r="A44" s="154"/>
      <c r="B44" s="151"/>
      <c r="C44" s="152"/>
      <c r="D44" s="155"/>
      <c r="E44" s="155"/>
      <c r="F44" s="157"/>
      <c r="G44" s="152"/>
      <c r="H44" s="155"/>
      <c r="I44" s="152"/>
      <c r="J44" s="154"/>
      <c r="K44" s="154"/>
      <c r="L44" s="227"/>
      <c r="M44" s="157"/>
      <c r="N44" s="227">
        <f t="shared" si="1"/>
        <v>40358.376062009906</v>
      </c>
      <c r="O44" s="152">
        <f t="shared" si="2"/>
        <v>209348.63306200947</v>
      </c>
    </row>
    <row r="45" spans="1:15" hidden="1" x14ac:dyDescent="0.15">
      <c r="A45" s="154"/>
      <c r="B45" s="151"/>
      <c r="C45" s="152"/>
      <c r="D45" s="155"/>
      <c r="E45" s="155"/>
      <c r="F45" s="157"/>
      <c r="G45" s="152"/>
      <c r="H45" s="155"/>
      <c r="I45" s="152"/>
      <c r="J45" s="154"/>
      <c r="K45" s="154"/>
      <c r="L45" s="227"/>
      <c r="M45" s="157"/>
      <c r="N45" s="227">
        <f t="shared" si="1"/>
        <v>40358.376062009906</v>
      </c>
      <c r="O45" s="152">
        <f t="shared" si="2"/>
        <v>209348.63306200947</v>
      </c>
    </row>
    <row r="46" spans="1:15" hidden="1" x14ac:dyDescent="0.15">
      <c r="A46" s="154"/>
      <c r="B46" s="151"/>
      <c r="C46" s="152"/>
      <c r="D46" s="155"/>
      <c r="E46" s="155"/>
      <c r="F46" s="157"/>
      <c r="G46" s="152"/>
      <c r="H46" s="155"/>
      <c r="I46" s="152"/>
      <c r="J46" s="154"/>
      <c r="K46" s="154"/>
      <c r="L46" s="227"/>
      <c r="M46" s="157"/>
      <c r="N46" s="227">
        <f t="shared" si="1"/>
        <v>40358.376062009906</v>
      </c>
      <c r="O46" s="152">
        <f t="shared" si="2"/>
        <v>209348.63306200947</v>
      </c>
    </row>
    <row r="47" spans="1:15" hidden="1" x14ac:dyDescent="0.15">
      <c r="A47" s="154"/>
      <c r="B47" s="151"/>
      <c r="C47" s="152"/>
      <c r="D47" s="155"/>
      <c r="E47" s="155"/>
      <c r="F47" s="157"/>
      <c r="G47" s="152"/>
      <c r="H47" s="155"/>
      <c r="I47" s="152"/>
      <c r="J47" s="157"/>
      <c r="K47" s="154"/>
      <c r="L47" s="227"/>
      <c r="M47" s="157"/>
      <c r="N47" s="227">
        <f t="shared" si="1"/>
        <v>40358.376062009906</v>
      </c>
      <c r="O47" s="152">
        <f t="shared" si="2"/>
        <v>209348.63306200947</v>
      </c>
    </row>
    <row r="48" spans="1:15" hidden="1" x14ac:dyDescent="0.15">
      <c r="A48" s="154"/>
      <c r="B48" s="151"/>
      <c r="C48" s="152"/>
      <c r="D48" s="155"/>
      <c r="E48" s="155"/>
      <c r="F48" s="157"/>
      <c r="G48" s="152"/>
      <c r="H48" s="155"/>
      <c r="I48" s="152"/>
      <c r="J48" s="154"/>
      <c r="K48" s="154"/>
      <c r="L48" s="227"/>
      <c r="M48" s="157"/>
      <c r="N48" s="227">
        <f t="shared" si="1"/>
        <v>40358.376062009906</v>
      </c>
      <c r="O48" s="152">
        <f t="shared" si="2"/>
        <v>209348.63306200947</v>
      </c>
    </row>
    <row r="49" spans="1:15" hidden="1" x14ac:dyDescent="0.15">
      <c r="A49" s="154"/>
      <c r="B49" s="151"/>
      <c r="C49" s="152"/>
      <c r="D49" s="155"/>
      <c r="E49" s="155"/>
      <c r="F49" s="157"/>
      <c r="G49" s="152"/>
      <c r="H49" s="155"/>
      <c r="I49" s="152"/>
      <c r="J49" s="157"/>
      <c r="K49" s="154"/>
      <c r="L49" s="227"/>
      <c r="M49" s="157"/>
      <c r="N49" s="227">
        <f t="shared" si="1"/>
        <v>40358.376062009906</v>
      </c>
      <c r="O49" s="152">
        <f t="shared" si="2"/>
        <v>209348.63306200947</v>
      </c>
    </row>
    <row r="50" spans="1:15" hidden="1" x14ac:dyDescent="0.15">
      <c r="A50" s="154"/>
      <c r="B50" s="151"/>
      <c r="C50" s="151"/>
      <c r="D50" s="155"/>
      <c r="E50" s="155"/>
      <c r="F50" s="157"/>
      <c r="G50" s="152"/>
      <c r="H50" s="155"/>
      <c r="I50" s="152"/>
      <c r="J50" s="154"/>
      <c r="K50" s="154"/>
      <c r="L50" s="227"/>
      <c r="M50" s="157"/>
      <c r="N50" s="227">
        <f t="shared" si="1"/>
        <v>40358.376062009906</v>
      </c>
      <c r="O50" s="152">
        <f t="shared" si="2"/>
        <v>209348.63306200947</v>
      </c>
    </row>
    <row r="51" spans="1:15" hidden="1" x14ac:dyDescent="0.15">
      <c r="A51" s="154"/>
      <c r="B51" s="151"/>
      <c r="C51" s="151"/>
      <c r="D51" s="155"/>
      <c r="E51" s="155"/>
      <c r="F51" s="157"/>
      <c r="G51" s="152"/>
      <c r="H51" s="155"/>
      <c r="I51" s="152"/>
      <c r="J51" s="154"/>
      <c r="K51" s="154"/>
      <c r="L51" s="227"/>
      <c r="M51" s="157"/>
      <c r="N51" s="227">
        <f t="shared" si="1"/>
        <v>40358.376062009906</v>
      </c>
      <c r="O51" s="152">
        <f t="shared" si="2"/>
        <v>209348.63306200947</v>
      </c>
    </row>
    <row r="52" spans="1:15" hidden="1" x14ac:dyDescent="0.15">
      <c r="A52" s="154"/>
      <c r="B52" s="151"/>
      <c r="C52" s="151"/>
      <c r="D52" s="155"/>
      <c r="E52" s="155"/>
      <c r="F52" s="157"/>
      <c r="G52" s="152"/>
      <c r="H52" s="155"/>
      <c r="I52" s="152"/>
      <c r="J52" s="154"/>
      <c r="K52" s="154"/>
      <c r="L52" s="227"/>
      <c r="M52" s="157"/>
      <c r="N52" s="227">
        <f t="shared" si="1"/>
        <v>40358.376062009906</v>
      </c>
      <c r="O52" s="152">
        <f t="shared" si="2"/>
        <v>209348.63306200947</v>
      </c>
    </row>
    <row r="53" spans="1:15" hidden="1" x14ac:dyDescent="0.15">
      <c r="A53" s="154"/>
      <c r="B53" s="151"/>
      <c r="C53" s="151"/>
      <c r="D53" s="155"/>
      <c r="E53" s="155"/>
      <c r="F53" s="157"/>
      <c r="G53" s="152"/>
      <c r="H53" s="155"/>
      <c r="I53" s="152"/>
      <c r="J53" s="154"/>
      <c r="K53" s="154"/>
      <c r="L53" s="227"/>
      <c r="M53" s="157"/>
      <c r="N53" s="227">
        <f t="shared" si="1"/>
        <v>40358.376062009906</v>
      </c>
      <c r="O53" s="152">
        <f t="shared" si="2"/>
        <v>209348.63306200947</v>
      </c>
    </row>
    <row r="54" spans="1:15" hidden="1" x14ac:dyDescent="0.15">
      <c r="A54" s="154"/>
      <c r="B54" s="151"/>
      <c r="C54" s="151"/>
      <c r="D54" s="155"/>
      <c r="E54" s="155"/>
      <c r="F54" s="157"/>
      <c r="G54" s="152"/>
      <c r="H54" s="155"/>
      <c r="I54" s="152"/>
      <c r="J54" s="154"/>
      <c r="K54" s="154"/>
      <c r="L54" s="227"/>
      <c r="M54" s="157"/>
      <c r="N54" s="227">
        <f t="shared" si="1"/>
        <v>40358.376062009906</v>
      </c>
      <c r="O54" s="152">
        <f t="shared" si="2"/>
        <v>209348.63306200947</v>
      </c>
    </row>
    <row r="55" spans="1:15" hidden="1" x14ac:dyDescent="0.15">
      <c r="A55" s="154"/>
      <c r="B55" s="151"/>
      <c r="C55" s="151"/>
      <c r="D55" s="155"/>
      <c r="E55" s="154"/>
      <c r="F55" s="291"/>
      <c r="G55" s="152"/>
      <c r="H55" s="155"/>
      <c r="I55" s="152"/>
      <c r="J55" s="291"/>
      <c r="K55" s="154"/>
      <c r="L55" s="227"/>
      <c r="M55" s="157"/>
      <c r="N55" s="227">
        <f t="shared" si="1"/>
        <v>40358.376062009906</v>
      </c>
      <c r="O55" s="152">
        <f t="shared" si="2"/>
        <v>209348.63306200947</v>
      </c>
    </row>
    <row r="56" spans="1:15" hidden="1" x14ac:dyDescent="0.15">
      <c r="A56" s="154"/>
      <c r="B56" s="151"/>
      <c r="C56" s="151"/>
      <c r="D56" s="155"/>
      <c r="E56" s="154"/>
      <c r="F56" s="291"/>
      <c r="G56" s="152"/>
      <c r="H56" s="155"/>
      <c r="I56" s="152"/>
      <c r="J56" s="157"/>
      <c r="K56" s="154"/>
      <c r="L56" s="227"/>
      <c r="M56" s="157"/>
      <c r="N56" s="227">
        <f t="shared" si="1"/>
        <v>40358.376062009906</v>
      </c>
      <c r="O56" s="152">
        <f t="shared" si="2"/>
        <v>209348.63306200947</v>
      </c>
    </row>
    <row r="57" spans="1:15" hidden="1" x14ac:dyDescent="0.15">
      <c r="A57" s="154"/>
      <c r="B57" s="151"/>
      <c r="C57" s="151"/>
      <c r="D57" s="152"/>
      <c r="E57" s="154"/>
      <c r="F57" s="157"/>
      <c r="G57" s="152"/>
      <c r="H57" s="155"/>
      <c r="I57" s="152"/>
      <c r="J57" s="154"/>
      <c r="K57" s="154"/>
      <c r="L57" s="227"/>
      <c r="M57" s="157"/>
      <c r="N57" s="227">
        <f t="shared" si="1"/>
        <v>40358.376062009906</v>
      </c>
      <c r="O57" s="152">
        <f t="shared" si="2"/>
        <v>209348.63306200947</v>
      </c>
    </row>
    <row r="58" spans="1:15" hidden="1" x14ac:dyDescent="0.15">
      <c r="A58" s="154"/>
      <c r="B58" s="151"/>
      <c r="C58" s="151"/>
      <c r="D58" s="152"/>
      <c r="E58" s="155"/>
      <c r="F58" s="157"/>
      <c r="G58" s="152"/>
      <c r="H58" s="155"/>
      <c r="I58" s="152"/>
      <c r="J58" s="157"/>
      <c r="K58" s="154"/>
      <c r="L58" s="227"/>
      <c r="M58" s="157"/>
      <c r="N58" s="227">
        <f t="shared" si="1"/>
        <v>40358.376062009906</v>
      </c>
      <c r="O58" s="152">
        <f t="shared" si="2"/>
        <v>209348.63306200947</v>
      </c>
    </row>
    <row r="59" spans="1:15" hidden="1" x14ac:dyDescent="0.15">
      <c r="A59" s="154"/>
      <c r="B59" s="151"/>
      <c r="C59" s="151"/>
      <c r="D59" s="152"/>
      <c r="E59" s="154"/>
      <c r="F59" s="160"/>
      <c r="G59" s="152"/>
      <c r="H59" s="155"/>
      <c r="I59" s="152"/>
      <c r="J59" s="150"/>
      <c r="K59" s="154"/>
      <c r="L59" s="227"/>
      <c r="M59" s="157"/>
      <c r="N59" s="227">
        <f t="shared" si="1"/>
        <v>40358.376062009906</v>
      </c>
      <c r="O59" s="152">
        <f t="shared" si="2"/>
        <v>209348.63306200947</v>
      </c>
    </row>
    <row r="60" spans="1:15" x14ac:dyDescent="0.15">
      <c r="A60" s="173"/>
      <c r="B60" s="173"/>
      <c r="C60" s="174"/>
      <c r="D60" s="175"/>
      <c r="E60" s="173"/>
      <c r="F60" s="173"/>
      <c r="G60" s="174"/>
      <c r="H60" s="175"/>
      <c r="I60" s="174"/>
      <c r="J60" s="173"/>
      <c r="K60" s="154"/>
      <c r="L60" s="228"/>
      <c r="M60" s="173"/>
      <c r="N60" s="227">
        <f t="shared" si="1"/>
        <v>40358.376062009906</v>
      </c>
      <c r="O60" s="152">
        <f t="shared" si="2"/>
        <v>209348.63306200947</v>
      </c>
    </row>
    <row r="61" spans="1:15" x14ac:dyDescent="0.15">
      <c r="A61" s="177"/>
      <c r="B61" s="177"/>
      <c r="C61" s="178">
        <f>SUM(C7:C59)</f>
        <v>234175.94096200948</v>
      </c>
      <c r="D61" s="177"/>
      <c r="E61" s="177"/>
      <c r="F61" s="177"/>
      <c r="G61" s="178">
        <f>SUM(G7:G59)</f>
        <v>59078.8</v>
      </c>
      <c r="H61" s="179"/>
      <c r="I61" s="178">
        <f>SUM(I7:I59)</f>
        <v>18679.1479</v>
      </c>
      <c r="J61" s="177"/>
      <c r="K61" s="177"/>
      <c r="L61" s="229">
        <f>SUM(L9:L59)</f>
        <v>65226.96</v>
      </c>
      <c r="M61" s="177"/>
      <c r="N61" s="180"/>
      <c r="O61" s="181">
        <f>C61+G61-I61-L61</f>
        <v>209348.6330620095</v>
      </c>
    </row>
    <row r="62" spans="1:15" x14ac:dyDescent="0.15">
      <c r="A62" s="182"/>
      <c r="B62" s="465"/>
      <c r="C62" s="465"/>
      <c r="D62" s="465"/>
      <c r="E62" s="183"/>
      <c r="F62" s="284"/>
      <c r="G62" s="185"/>
      <c r="H62" s="186"/>
      <c r="I62" s="187"/>
      <c r="J62" s="188"/>
      <c r="K62" s="189" t="s">
        <v>139</v>
      </c>
      <c r="L62" s="190">
        <f>+L61+I61</f>
        <v>83906.107900000003</v>
      </c>
      <c r="M62" s="197"/>
      <c r="N62" s="230">
        <f>+N60</f>
        <v>40358.376062009906</v>
      </c>
      <c r="O62" s="195" t="s">
        <v>1622</v>
      </c>
    </row>
    <row r="63" spans="1:15" x14ac:dyDescent="0.15">
      <c r="A63" s="193"/>
      <c r="B63" s="470"/>
      <c r="C63" s="470"/>
      <c r="D63" s="470"/>
      <c r="E63" s="183"/>
      <c r="F63" s="315"/>
      <c r="G63" s="219"/>
      <c r="H63" s="186"/>
      <c r="I63" s="187"/>
      <c r="J63" s="210"/>
      <c r="K63" s="210"/>
      <c r="N63" s="230">
        <v>21127.154999999599</v>
      </c>
      <c r="O63" s="195" t="s">
        <v>1623</v>
      </c>
    </row>
    <row r="64" spans="1:15" x14ac:dyDescent="0.15">
      <c r="A64" s="193" t="s">
        <v>1622</v>
      </c>
      <c r="B64" s="313" t="s">
        <v>1649</v>
      </c>
      <c r="E64" s="183" t="s">
        <v>55</v>
      </c>
      <c r="F64" s="315">
        <v>68531.22</v>
      </c>
      <c r="G64" s="219" t="s">
        <v>56</v>
      </c>
      <c r="H64" s="186">
        <v>41442</v>
      </c>
      <c r="I64" s="187" t="s">
        <v>71</v>
      </c>
      <c r="J64" s="210">
        <v>13720.06593799047</v>
      </c>
      <c r="K64" s="210"/>
      <c r="N64" s="230">
        <v>88784.301999999996</v>
      </c>
      <c r="O64" s="195" t="s">
        <v>1648</v>
      </c>
    </row>
    <row r="65" spans="1:15" ht="12" thickBot="1" x14ac:dyDescent="0.2">
      <c r="A65" s="133"/>
      <c r="B65" s="313"/>
      <c r="C65" s="313"/>
      <c r="D65" s="313"/>
      <c r="E65" s="183"/>
      <c r="F65" s="314"/>
      <c r="G65" s="219"/>
      <c r="H65" s="186"/>
      <c r="I65" s="217" t="s">
        <v>856</v>
      </c>
      <c r="J65" s="211">
        <f>SUM(J64)</f>
        <v>13720.06593799047</v>
      </c>
      <c r="K65" s="210"/>
      <c r="N65" s="230">
        <v>59078.8</v>
      </c>
      <c r="O65" s="195" t="s">
        <v>1647</v>
      </c>
    </row>
    <row r="66" spans="1:15" ht="12" thickTop="1" x14ac:dyDescent="0.15">
      <c r="A66" s="133" t="s">
        <v>1575</v>
      </c>
      <c r="B66" s="131" t="s">
        <v>1580</v>
      </c>
      <c r="E66" s="183" t="s">
        <v>55</v>
      </c>
      <c r="F66" s="315">
        <v>18185628.82</v>
      </c>
      <c r="G66" s="219" t="s">
        <v>56</v>
      </c>
      <c r="H66" s="186">
        <v>41332</v>
      </c>
      <c r="I66" s="187" t="s">
        <v>71</v>
      </c>
      <c r="J66" s="210">
        <v>37196.78406200953</v>
      </c>
      <c r="K66" s="210"/>
      <c r="N66" s="230"/>
      <c r="O66" s="195"/>
    </row>
    <row r="67" spans="1:15" x14ac:dyDescent="0.15">
      <c r="A67" s="133" t="s">
        <v>1601</v>
      </c>
      <c r="B67" s="131" t="s">
        <v>1625</v>
      </c>
      <c r="E67" s="183" t="s">
        <v>55</v>
      </c>
      <c r="F67" s="315">
        <v>38908668.32</v>
      </c>
      <c r="G67" s="219" t="s">
        <v>56</v>
      </c>
      <c r="H67" s="186">
        <v>41403</v>
      </c>
      <c r="I67" s="187" t="s">
        <v>71</v>
      </c>
      <c r="J67" s="210">
        <v>14310.11</v>
      </c>
      <c r="K67" s="210"/>
      <c r="N67" s="230"/>
      <c r="O67" s="195"/>
    </row>
    <row r="68" spans="1:15" ht="12" thickBot="1" x14ac:dyDescent="0.2">
      <c r="A68" s="193"/>
      <c r="B68" s="210"/>
      <c r="C68" s="221"/>
      <c r="D68" s="237"/>
      <c r="E68" s="235"/>
      <c r="F68" s="235"/>
      <c r="I68" s="218" t="s">
        <v>106</v>
      </c>
      <c r="J68" s="212">
        <f>SUM(J66:J67)</f>
        <v>51506.894062009531</v>
      </c>
      <c r="N68" s="230"/>
      <c r="O68" s="195"/>
    </row>
    <row r="69" spans="1:15" ht="12" thickTop="1" x14ac:dyDescent="0.15">
      <c r="A69" s="193"/>
      <c r="B69" s="210"/>
      <c r="C69" s="221"/>
      <c r="D69" s="237"/>
      <c r="E69" s="235"/>
      <c r="F69" s="235"/>
      <c r="J69" s="205"/>
      <c r="N69" s="206" t="s">
        <v>33</v>
      </c>
      <c r="O69" s="207">
        <f>SUM(N62:N68)</f>
        <v>209348.63306200953</v>
      </c>
    </row>
    <row r="70" spans="1:15" x14ac:dyDescent="0.15">
      <c r="A70" s="133"/>
      <c r="B70" s="133" t="s">
        <v>9</v>
      </c>
      <c r="C70" s="220" t="s">
        <v>729</v>
      </c>
      <c r="D70" s="220" t="s">
        <v>850</v>
      </c>
      <c r="E70" s="133" t="s">
        <v>570</v>
      </c>
      <c r="F70" s="133" t="s">
        <v>571</v>
      </c>
      <c r="G70" s="133" t="s">
        <v>16</v>
      </c>
      <c r="H70" s="134"/>
      <c r="I70" s="134"/>
      <c r="J70" s="205"/>
      <c r="O70" s="132">
        <f>+O61-O69</f>
        <v>0</v>
      </c>
    </row>
    <row r="71" spans="1:15" s="132" customFormat="1" x14ac:dyDescent="0.15">
      <c r="A71" s="193" t="s">
        <v>1622</v>
      </c>
      <c r="B71" s="210">
        <v>13720</v>
      </c>
      <c r="C71" s="221">
        <v>22.510300000000001</v>
      </c>
      <c r="D71" s="237">
        <f t="shared" ref="D71" si="3">+B71*C71</f>
        <v>308841.31599999999</v>
      </c>
      <c r="E71" s="235">
        <f t="shared" ref="E71" si="4">+D71*0.01</f>
        <v>3088.4131600000001</v>
      </c>
      <c r="F71" s="235">
        <f t="shared" ref="F71" si="5">+E71*0.1</f>
        <v>308.84131600000001</v>
      </c>
      <c r="G71" s="236">
        <f>SUM(E71:F71)</f>
        <v>3397.2544760000001</v>
      </c>
      <c r="H71" s="134"/>
      <c r="I71" s="134"/>
      <c r="J71" s="134"/>
      <c r="K71" s="133"/>
      <c r="M71" s="134"/>
    </row>
    <row r="72" spans="1:15" s="132" customFormat="1" ht="12" thickBot="1" x14ac:dyDescent="0.2">
      <c r="A72" s="133"/>
      <c r="B72" s="211">
        <f>SUM(B71)</f>
        <v>13720</v>
      </c>
      <c r="C72" s="221"/>
      <c r="D72" s="237"/>
      <c r="E72" s="242">
        <f>SUM(E71)</f>
        <v>3088.4131600000001</v>
      </c>
      <c r="F72" s="242">
        <f t="shared" ref="F72:G72" si="6">SUM(F71)</f>
        <v>308.84131600000001</v>
      </c>
      <c r="G72" s="242">
        <f t="shared" si="6"/>
        <v>3397.2544760000001</v>
      </c>
      <c r="H72" s="133"/>
      <c r="J72" s="134"/>
      <c r="K72" s="133"/>
      <c r="M72" s="134"/>
    </row>
    <row r="73" spans="1:15" s="132" customFormat="1" ht="12" thickTop="1" x14ac:dyDescent="0.15">
      <c r="A73" s="133" t="s">
        <v>1575</v>
      </c>
      <c r="B73" s="210">
        <v>37197</v>
      </c>
      <c r="C73" s="221">
        <v>25.9757</v>
      </c>
      <c r="D73" s="237">
        <f t="shared" ref="D73:D74" si="7">+B73*C73</f>
        <v>966218.11289999995</v>
      </c>
      <c r="E73" s="235">
        <f t="shared" ref="E73:E74" si="8">+D73*0.01</f>
        <v>9662.1811290000005</v>
      </c>
      <c r="F73" s="235">
        <f t="shared" ref="F73:F74" si="9">+E73*0.1</f>
        <v>966.21811290000005</v>
      </c>
      <c r="G73" s="236">
        <f t="shared" ref="G73:G74" si="10">SUM(E73:F73)</f>
        <v>10628.399241900001</v>
      </c>
      <c r="H73" s="133"/>
      <c r="J73" s="134"/>
      <c r="K73" s="133"/>
      <c r="M73" s="134"/>
    </row>
    <row r="74" spans="1:15" s="132" customFormat="1" x14ac:dyDescent="0.15">
      <c r="A74" s="133" t="s">
        <v>1601</v>
      </c>
      <c r="B74" s="210">
        <v>14310</v>
      </c>
      <c r="C74" s="221">
        <v>21.504000000000001</v>
      </c>
      <c r="D74" s="237">
        <f t="shared" si="7"/>
        <v>307722.23999999999</v>
      </c>
      <c r="E74" s="235">
        <f t="shared" si="8"/>
        <v>3077.2224000000001</v>
      </c>
      <c r="F74" s="235">
        <f t="shared" si="9"/>
        <v>307.72224000000006</v>
      </c>
      <c r="G74" s="236">
        <f t="shared" si="10"/>
        <v>3384.9446400000002</v>
      </c>
      <c r="H74" s="133"/>
      <c r="J74" s="134"/>
      <c r="K74" s="133"/>
      <c r="M74" s="134"/>
    </row>
    <row r="75" spans="1:15" s="132" customFormat="1" ht="12" thickBot="1" x14ac:dyDescent="0.2">
      <c r="A75" s="133"/>
      <c r="B75" s="211">
        <f>SUM(B73:B74)</f>
        <v>51507</v>
      </c>
      <c r="C75" s="221"/>
      <c r="D75" s="237"/>
      <c r="E75" s="242">
        <f>SUM(E73:E74)</f>
        <v>12739.403529000001</v>
      </c>
      <c r="F75" s="242">
        <f t="shared" ref="F75:G75" si="11">SUM(F73:F74)</f>
        <v>1273.9403529000001</v>
      </c>
      <c r="G75" s="242">
        <f t="shared" si="11"/>
        <v>14013.3438819</v>
      </c>
      <c r="H75" s="133"/>
      <c r="J75" s="134"/>
      <c r="K75" s="133"/>
      <c r="M75" s="134"/>
    </row>
    <row r="76" spans="1:15" s="132" customFormat="1" ht="12" thickTop="1" x14ac:dyDescent="0.15">
      <c r="A76" s="134"/>
      <c r="B76" s="131"/>
      <c r="D76" s="133"/>
      <c r="E76" s="133"/>
      <c r="F76" s="134"/>
      <c r="H76" s="133"/>
      <c r="J76" s="134"/>
      <c r="K76" s="133"/>
      <c r="M76" s="134"/>
    </row>
    <row r="77" spans="1:15" s="132" customFormat="1" x14ac:dyDescent="0.15">
      <c r="A77" s="134"/>
      <c r="B77" s="231"/>
      <c r="D77" s="133"/>
      <c r="E77" s="133"/>
      <c r="F77" s="134"/>
      <c r="H77" s="133"/>
      <c r="J77" s="134"/>
      <c r="K77" s="133"/>
      <c r="M77" s="134"/>
    </row>
    <row r="78" spans="1:15" s="132" customFormat="1" x14ac:dyDescent="0.15">
      <c r="A78" s="134"/>
      <c r="B78" s="131"/>
      <c r="D78" s="133"/>
      <c r="E78" s="133"/>
      <c r="F78" s="134"/>
      <c r="H78" s="133"/>
      <c r="J78" s="134"/>
      <c r="K78" s="133"/>
      <c r="M78" s="134"/>
    </row>
    <row r="79" spans="1:15" s="132" customFormat="1" x14ac:dyDescent="0.15">
      <c r="A79" s="134"/>
      <c r="B79" s="131"/>
      <c r="D79" s="133"/>
      <c r="E79" s="133"/>
      <c r="F79" s="134"/>
      <c r="H79" s="133"/>
      <c r="J79" s="134"/>
      <c r="K79" s="133"/>
      <c r="M79" s="134"/>
    </row>
    <row r="80" spans="1:15" s="132" customFormat="1" x14ac:dyDescent="0.15">
      <c r="A80" s="134"/>
      <c r="B80" s="131"/>
      <c r="D80" s="133"/>
      <c r="E80" s="133"/>
      <c r="F80" s="134"/>
      <c r="H80" s="133"/>
      <c r="J80" s="134"/>
      <c r="K80" s="133"/>
      <c r="M80" s="134"/>
    </row>
    <row r="81" spans="1:15" s="132" customFormat="1" x14ac:dyDescent="0.15">
      <c r="A81" s="134"/>
      <c r="B81" s="131"/>
      <c r="D81" s="133"/>
      <c r="E81" s="133"/>
      <c r="F81" s="134"/>
      <c r="H81" s="133"/>
      <c r="J81" s="134"/>
      <c r="K81" s="133"/>
      <c r="M81" s="134"/>
    </row>
    <row r="82" spans="1:15" s="132" customFormat="1" x14ac:dyDescent="0.15">
      <c r="A82" s="134"/>
      <c r="B82" s="131"/>
      <c r="D82" s="133"/>
      <c r="E82" s="133"/>
      <c r="F82" s="134"/>
      <c r="H82" s="133"/>
      <c r="J82" s="134"/>
      <c r="K82" s="133"/>
      <c r="M82" s="134"/>
    </row>
    <row r="83" spans="1:15" s="132" customFormat="1" x14ac:dyDescent="0.15">
      <c r="A83" s="134"/>
      <c r="B83" s="131"/>
      <c r="D83" s="133"/>
      <c r="E83" s="133"/>
      <c r="F83" s="134"/>
      <c r="H83" s="133"/>
      <c r="J83" s="134"/>
      <c r="K83" s="133"/>
      <c r="M83" s="134"/>
    </row>
    <row r="84" spans="1:15" s="132" customFormat="1" x14ac:dyDescent="0.15">
      <c r="A84" s="134"/>
      <c r="B84" s="131"/>
      <c r="D84" s="133"/>
      <c r="E84" s="133"/>
      <c r="F84" s="134"/>
      <c r="H84" s="133"/>
      <c r="J84" s="134"/>
      <c r="K84" s="133"/>
      <c r="M84" s="134"/>
    </row>
    <row r="85" spans="1:15" s="132" customFormat="1" x14ac:dyDescent="0.15">
      <c r="A85" s="134"/>
      <c r="B85" s="131"/>
      <c r="D85" s="133"/>
      <c r="E85" s="133"/>
      <c r="F85" s="134"/>
      <c r="H85" s="133"/>
      <c r="J85" s="134"/>
      <c r="K85" s="133"/>
      <c r="M85" s="134"/>
    </row>
    <row r="86" spans="1:15" s="132" customFormat="1" x14ac:dyDescent="0.15">
      <c r="A86" s="134"/>
      <c r="B86" s="131"/>
      <c r="D86" s="133"/>
      <c r="E86" s="133"/>
      <c r="F86" s="134"/>
      <c r="H86" s="133"/>
      <c r="J86" s="134"/>
      <c r="K86" s="133"/>
      <c r="M86" s="134"/>
    </row>
    <row r="87" spans="1:15" s="132" customFormat="1" x14ac:dyDescent="0.15">
      <c r="A87" s="134"/>
      <c r="B87" s="131"/>
      <c r="D87" s="133"/>
      <c r="E87" s="133"/>
      <c r="F87" s="134"/>
      <c r="H87" s="133"/>
      <c r="J87" s="134"/>
      <c r="K87" s="133"/>
      <c r="M87" s="134"/>
    </row>
    <row r="88" spans="1:15" s="133" customFormat="1" x14ac:dyDescent="0.15">
      <c r="A88" s="134"/>
      <c r="B88" s="131"/>
      <c r="C88" s="132"/>
      <c r="F88" s="134"/>
      <c r="G88" s="132"/>
      <c r="I88" s="132"/>
      <c r="J88" s="134"/>
      <c r="L88" s="132"/>
      <c r="M88" s="134"/>
      <c r="N88" s="132"/>
      <c r="O88" s="132"/>
    </row>
    <row r="89" spans="1:15" s="133" customFormat="1" x14ac:dyDescent="0.15">
      <c r="A89" s="134"/>
      <c r="B89" s="131"/>
      <c r="C89" s="132"/>
      <c r="F89" s="134"/>
      <c r="G89" s="132"/>
      <c r="I89" s="132"/>
      <c r="J89" s="134"/>
      <c r="L89" s="132"/>
      <c r="M89" s="134"/>
      <c r="N89" s="132"/>
      <c r="O89" s="132"/>
    </row>
    <row r="90" spans="1:15" s="133" customFormat="1" x14ac:dyDescent="0.15">
      <c r="A90" s="134"/>
      <c r="B90" s="131"/>
      <c r="C90" s="132"/>
      <c r="F90" s="134"/>
      <c r="G90" s="132"/>
      <c r="I90" s="132"/>
      <c r="J90" s="134"/>
      <c r="L90" s="132"/>
      <c r="M90" s="134"/>
      <c r="N90" s="132"/>
      <c r="O90" s="132"/>
    </row>
    <row r="91" spans="1:15" s="133" customFormat="1" x14ac:dyDescent="0.15">
      <c r="A91" s="134"/>
      <c r="B91" s="131"/>
      <c r="C91" s="132"/>
      <c r="F91" s="134"/>
      <c r="G91" s="132"/>
      <c r="I91" s="132"/>
      <c r="J91" s="134"/>
      <c r="L91" s="132"/>
      <c r="M91" s="134"/>
      <c r="N91" s="132"/>
      <c r="O91" s="132"/>
    </row>
    <row r="92" spans="1:15" s="133" customFormat="1" x14ac:dyDescent="0.15">
      <c r="A92" s="134"/>
      <c r="B92" s="131"/>
      <c r="C92" s="132"/>
      <c r="F92" s="134"/>
      <c r="G92" s="132"/>
      <c r="I92" s="132"/>
      <c r="J92" s="134"/>
      <c r="L92" s="132"/>
      <c r="M92" s="134"/>
      <c r="N92" s="132"/>
      <c r="O92" s="132"/>
    </row>
    <row r="93" spans="1:15" s="133" customFormat="1" x14ac:dyDescent="0.15">
      <c r="A93" s="134"/>
      <c r="B93" s="131"/>
      <c r="C93" s="132"/>
      <c r="F93" s="134"/>
      <c r="G93" s="132"/>
      <c r="I93" s="132"/>
      <c r="J93" s="134"/>
      <c r="L93" s="132"/>
      <c r="M93" s="134"/>
      <c r="N93" s="132"/>
      <c r="O93" s="132"/>
    </row>
    <row r="95" spans="1:15" s="132" customFormat="1" x14ac:dyDescent="0.15">
      <c r="A95" s="134"/>
      <c r="B95" s="131"/>
      <c r="D95" s="133"/>
      <c r="E95" s="133"/>
      <c r="F95" s="134"/>
      <c r="H95" s="133"/>
      <c r="J95" s="134"/>
      <c r="K95" s="133"/>
      <c r="M95" s="134"/>
    </row>
  </sheetData>
  <mergeCells count="8">
    <mergeCell ref="B62:D62"/>
    <mergeCell ref="B63:D6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95"/>
  <sheetViews>
    <sheetView topLeftCell="C1" zoomScale="115" zoomScaleNormal="115" workbookViewId="0">
      <pane ySplit="6" topLeftCell="A27" activePane="bottomLeft" state="frozen"/>
      <selection pane="bottomLeft" activeCell="G62" sqref="G62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1606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1600</v>
      </c>
      <c r="B7" s="146"/>
      <c r="C7" s="147">
        <v>38684.274962009513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38684.274962009513</v>
      </c>
      <c r="O7" s="147">
        <f>+C61</f>
        <v>162364.21196200952</v>
      </c>
    </row>
    <row r="8" spans="1:15" x14ac:dyDescent="0.15">
      <c r="A8" s="154" t="s">
        <v>1601</v>
      </c>
      <c r="B8" s="151"/>
      <c r="C8" s="152">
        <v>79892.652000000002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38684.274962009513</v>
      </c>
      <c r="O8" s="152">
        <f t="shared" ref="O8:O9" si="0">O7+G8-I8-L8</f>
        <v>162364.21196200952</v>
      </c>
    </row>
    <row r="9" spans="1:15" x14ac:dyDescent="0.15">
      <c r="A9" s="157" t="s">
        <v>1575</v>
      </c>
      <c r="B9" s="151"/>
      <c r="C9" s="152">
        <v>43787.285000000003</v>
      </c>
      <c r="D9" s="154"/>
      <c r="E9" s="154"/>
      <c r="F9" s="154"/>
      <c r="G9" s="152"/>
      <c r="H9" s="154"/>
      <c r="I9" s="152"/>
      <c r="J9" s="154"/>
      <c r="K9" s="154"/>
      <c r="L9" s="227"/>
      <c r="M9" s="157"/>
      <c r="N9" s="227">
        <f t="shared" ref="N9" si="1">+N8-I9-L9</f>
        <v>38684.274962009513</v>
      </c>
      <c r="O9" s="152">
        <f t="shared" si="0"/>
        <v>162364.21196200952</v>
      </c>
    </row>
    <row r="10" spans="1:15" x14ac:dyDescent="0.15">
      <c r="A10" s="154"/>
      <c r="B10" s="151"/>
      <c r="C10" s="152"/>
      <c r="D10" s="155"/>
      <c r="E10" s="154"/>
      <c r="F10" s="157"/>
      <c r="G10" s="152"/>
      <c r="H10" s="155"/>
      <c r="I10" s="152"/>
      <c r="J10" s="154"/>
      <c r="K10" s="154"/>
      <c r="L10" s="227"/>
      <c r="M10" s="157"/>
      <c r="N10" s="227">
        <f t="shared" ref="N10:N60" si="2">+N9-I10-L10</f>
        <v>38684.274962009513</v>
      </c>
      <c r="O10" s="152">
        <f t="shared" ref="O10:O60" si="3">O9+G10-I10-L10</f>
        <v>162364.21196200952</v>
      </c>
    </row>
    <row r="11" spans="1:15" x14ac:dyDescent="0.15">
      <c r="A11" s="154"/>
      <c r="B11" s="151"/>
      <c r="C11" s="152"/>
      <c r="D11" s="155"/>
      <c r="E11" s="154"/>
      <c r="F11" s="157"/>
      <c r="G11" s="152"/>
      <c r="H11" s="155" t="s">
        <v>1607</v>
      </c>
      <c r="I11" s="152">
        <v>497.44</v>
      </c>
      <c r="J11" s="154" t="s">
        <v>1600</v>
      </c>
      <c r="K11" s="154"/>
      <c r="L11" s="227"/>
      <c r="M11" s="157"/>
      <c r="N11" s="227">
        <f t="shared" si="2"/>
        <v>38186.83496200951</v>
      </c>
      <c r="O11" s="152">
        <f t="shared" si="3"/>
        <v>161866.77196200952</v>
      </c>
    </row>
    <row r="12" spans="1:15" x14ac:dyDescent="0.15">
      <c r="A12" s="154"/>
      <c r="B12" s="151"/>
      <c r="C12" s="152"/>
      <c r="D12" s="155"/>
      <c r="E12" s="155"/>
      <c r="F12" s="157"/>
      <c r="G12" s="152"/>
      <c r="H12" s="155" t="s">
        <v>1608</v>
      </c>
      <c r="I12" s="152">
        <v>2716.79</v>
      </c>
      <c r="J12" s="154" t="s">
        <v>1600</v>
      </c>
      <c r="K12" s="154" t="s">
        <v>1626</v>
      </c>
      <c r="L12" s="227">
        <v>1466.81</v>
      </c>
      <c r="M12" s="157" t="s">
        <v>1600</v>
      </c>
      <c r="N12" s="227">
        <f t="shared" si="2"/>
        <v>34003.234962009512</v>
      </c>
      <c r="O12" s="152">
        <f t="shared" si="3"/>
        <v>157683.17196200951</v>
      </c>
    </row>
    <row r="13" spans="1:15" x14ac:dyDescent="0.15">
      <c r="A13" s="154"/>
      <c r="B13" s="151"/>
      <c r="C13" s="152"/>
      <c r="D13" s="155"/>
      <c r="E13" s="155"/>
      <c r="F13" s="157"/>
      <c r="G13" s="152"/>
      <c r="H13" s="155" t="s">
        <v>1609</v>
      </c>
      <c r="I13" s="152">
        <v>839.83</v>
      </c>
      <c r="J13" s="154" t="s">
        <v>1600</v>
      </c>
      <c r="K13" s="154"/>
      <c r="L13" s="227"/>
      <c r="M13" s="157"/>
      <c r="N13" s="227">
        <f t="shared" si="2"/>
        <v>33163.40496200951</v>
      </c>
      <c r="O13" s="152">
        <f t="shared" si="3"/>
        <v>156843.34196200952</v>
      </c>
    </row>
    <row r="14" spans="1:15" x14ac:dyDescent="0.15">
      <c r="A14" s="154"/>
      <c r="B14" s="151"/>
      <c r="C14" s="152"/>
      <c r="D14" s="155"/>
      <c r="E14" s="155"/>
      <c r="F14" s="157"/>
      <c r="G14" s="152"/>
      <c r="H14" s="155" t="s">
        <v>1610</v>
      </c>
      <c r="I14" s="152">
        <v>503</v>
      </c>
      <c r="J14" s="154" t="s">
        <v>1600</v>
      </c>
      <c r="K14" s="154"/>
      <c r="L14" s="227"/>
      <c r="M14" s="154"/>
      <c r="N14" s="227">
        <f t="shared" si="2"/>
        <v>32660.40496200951</v>
      </c>
      <c r="O14" s="152">
        <f t="shared" si="3"/>
        <v>156340.34196200952</v>
      </c>
    </row>
    <row r="15" spans="1:15" x14ac:dyDescent="0.15">
      <c r="A15" s="154"/>
      <c r="B15" s="151"/>
      <c r="C15" s="152"/>
      <c r="D15" s="155"/>
      <c r="E15" s="155"/>
      <c r="F15" s="157"/>
      <c r="G15" s="152"/>
      <c r="H15" s="155" t="s">
        <v>1611</v>
      </c>
      <c r="I15" s="152">
        <v>2770</v>
      </c>
      <c r="J15" s="154" t="s">
        <v>1600</v>
      </c>
      <c r="K15" s="154" t="s">
        <v>1626</v>
      </c>
      <c r="L15" s="227">
        <v>987</v>
      </c>
      <c r="M15" s="154" t="s">
        <v>1600</v>
      </c>
      <c r="N15" s="227">
        <f t="shared" si="2"/>
        <v>28903.40496200951</v>
      </c>
      <c r="O15" s="152">
        <f t="shared" si="3"/>
        <v>152583.34196200952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155" t="s">
        <v>1612</v>
      </c>
      <c r="I16" s="152">
        <v>638.61</v>
      </c>
      <c r="J16" s="154" t="s">
        <v>1600</v>
      </c>
      <c r="K16" s="154"/>
      <c r="L16" s="227"/>
      <c r="M16" s="154"/>
      <c r="N16" s="227">
        <f t="shared" si="2"/>
        <v>28264.79496200951</v>
      </c>
      <c r="O16" s="152">
        <f t="shared" si="3"/>
        <v>151944.73196200954</v>
      </c>
    </row>
    <row r="17" spans="1:15" x14ac:dyDescent="0.15">
      <c r="A17" s="154"/>
      <c r="B17" s="151"/>
      <c r="C17" s="152"/>
      <c r="D17" s="155"/>
      <c r="E17" s="155"/>
      <c r="F17" s="157"/>
      <c r="G17" s="152"/>
      <c r="H17" s="155" t="s">
        <v>1613</v>
      </c>
      <c r="I17" s="152">
        <v>1896.6100000000001</v>
      </c>
      <c r="J17" s="154" t="s">
        <v>1600</v>
      </c>
      <c r="K17" s="154" t="s">
        <v>1626</v>
      </c>
      <c r="L17" s="227">
        <v>26368.184962009509</v>
      </c>
      <c r="M17" s="154" t="s">
        <v>1600</v>
      </c>
      <c r="N17" s="227">
        <f t="shared" si="2"/>
        <v>0</v>
      </c>
      <c r="O17" s="152">
        <f t="shared" si="3"/>
        <v>123679.93700000003</v>
      </c>
    </row>
    <row r="18" spans="1:15" x14ac:dyDescent="0.15">
      <c r="A18" s="154"/>
      <c r="B18" s="151"/>
      <c r="C18" s="152"/>
      <c r="D18" s="155"/>
      <c r="E18" s="155"/>
      <c r="F18" s="157"/>
      <c r="G18" s="152"/>
      <c r="H18" s="155" t="s">
        <v>1613</v>
      </c>
      <c r="I18" s="152"/>
      <c r="J18" s="154"/>
      <c r="K18" s="154" t="s">
        <v>1627</v>
      </c>
      <c r="L18" s="227">
        <v>8534.7350379904892</v>
      </c>
      <c r="M18" s="154" t="s">
        <v>1601</v>
      </c>
      <c r="N18" s="227">
        <f>C8+N17-I18-L18</f>
        <v>71357.916962009505</v>
      </c>
      <c r="O18" s="152">
        <f t="shared" si="3"/>
        <v>115145.20196200954</v>
      </c>
    </row>
    <row r="19" spans="1:15" x14ac:dyDescent="0.15">
      <c r="A19" s="154"/>
      <c r="B19" s="151"/>
      <c r="C19" s="152"/>
      <c r="D19" s="155"/>
      <c r="E19" s="155"/>
      <c r="F19" s="157"/>
      <c r="G19" s="152"/>
      <c r="H19" s="155" t="s">
        <v>1614</v>
      </c>
      <c r="I19" s="152"/>
      <c r="J19" s="154"/>
      <c r="K19" s="154" t="s">
        <v>1627</v>
      </c>
      <c r="L19" s="227">
        <v>1024.31</v>
      </c>
      <c r="M19" s="154" t="s">
        <v>1601</v>
      </c>
      <c r="N19" s="227">
        <f t="shared" si="2"/>
        <v>70333.606962009508</v>
      </c>
      <c r="O19" s="152">
        <f t="shared" si="3"/>
        <v>114120.89196200954</v>
      </c>
    </row>
    <row r="20" spans="1:15" x14ac:dyDescent="0.15">
      <c r="A20" s="154"/>
      <c r="B20" s="151"/>
      <c r="C20" s="152"/>
      <c r="D20" s="155"/>
      <c r="E20" s="155"/>
      <c r="F20" s="157"/>
      <c r="G20" s="152"/>
      <c r="H20" s="155" t="s">
        <v>1614</v>
      </c>
      <c r="I20" s="152"/>
      <c r="J20" s="154"/>
      <c r="K20" s="154" t="s">
        <v>1627</v>
      </c>
      <c r="L20" s="227">
        <v>549.89</v>
      </c>
      <c r="M20" s="154" t="s">
        <v>1601</v>
      </c>
      <c r="N20" s="227">
        <f t="shared" si="2"/>
        <v>69783.716962009508</v>
      </c>
      <c r="O20" s="152">
        <f t="shared" si="3"/>
        <v>113571.00196200954</v>
      </c>
    </row>
    <row r="21" spans="1:15" x14ac:dyDescent="0.15">
      <c r="A21" s="154"/>
      <c r="B21" s="151"/>
      <c r="C21" s="152"/>
      <c r="D21" s="155"/>
      <c r="E21" s="155"/>
      <c r="F21" s="157"/>
      <c r="G21" s="152"/>
      <c r="H21" s="155" t="s">
        <v>1615</v>
      </c>
      <c r="I21" s="152"/>
      <c r="J21" s="154"/>
      <c r="K21" s="154" t="s">
        <v>1627</v>
      </c>
      <c r="L21" s="227">
        <v>2850.42</v>
      </c>
      <c r="M21" s="154" t="s">
        <v>1601</v>
      </c>
      <c r="N21" s="227">
        <f t="shared" si="2"/>
        <v>66933.29696200951</v>
      </c>
      <c r="O21" s="152">
        <f t="shared" si="3"/>
        <v>110720.58196200954</v>
      </c>
    </row>
    <row r="22" spans="1:15" x14ac:dyDescent="0.15">
      <c r="A22" s="154"/>
      <c r="B22" s="151"/>
      <c r="C22" s="152"/>
      <c r="D22" s="155"/>
      <c r="E22" s="155"/>
      <c r="F22" s="157"/>
      <c r="G22" s="152"/>
      <c r="H22" s="155" t="s">
        <v>1616</v>
      </c>
      <c r="I22" s="152">
        <v>476.85</v>
      </c>
      <c r="J22" s="157" t="s">
        <v>1601</v>
      </c>
      <c r="K22" s="154" t="s">
        <v>1627</v>
      </c>
      <c r="L22" s="227">
        <v>2015.39</v>
      </c>
      <c r="M22" s="154" t="s">
        <v>1601</v>
      </c>
      <c r="N22" s="227">
        <f t="shared" si="2"/>
        <v>64441.056962009505</v>
      </c>
      <c r="O22" s="152">
        <f t="shared" si="3"/>
        <v>108228.34196200954</v>
      </c>
    </row>
    <row r="23" spans="1:15" x14ac:dyDescent="0.15">
      <c r="A23" s="154"/>
      <c r="B23" s="151"/>
      <c r="C23" s="152"/>
      <c r="D23" s="155" t="s">
        <v>1617</v>
      </c>
      <c r="E23" s="155" t="s">
        <v>72</v>
      </c>
      <c r="F23" s="157" t="s">
        <v>1622</v>
      </c>
      <c r="G23" s="152">
        <v>58842.582000000373</v>
      </c>
      <c r="H23" s="155" t="s">
        <v>1617</v>
      </c>
      <c r="I23" s="152"/>
      <c r="J23" s="154"/>
      <c r="K23" s="154" t="s">
        <v>1627</v>
      </c>
      <c r="L23" s="227">
        <v>2425.0300000000002</v>
      </c>
      <c r="M23" s="154" t="s">
        <v>1601</v>
      </c>
      <c r="N23" s="227">
        <f t="shared" si="2"/>
        <v>62016.026962009506</v>
      </c>
      <c r="O23" s="152">
        <f t="shared" si="3"/>
        <v>164645.8939620099</v>
      </c>
    </row>
    <row r="24" spans="1:15" x14ac:dyDescent="0.15">
      <c r="A24" s="154"/>
      <c r="B24" s="151"/>
      <c r="C24" s="152"/>
      <c r="D24" s="155" t="s">
        <v>1617</v>
      </c>
      <c r="E24" s="155" t="s">
        <v>72</v>
      </c>
      <c r="F24" s="157" t="s">
        <v>1623</v>
      </c>
      <c r="G24" s="152">
        <v>21127.154999999599</v>
      </c>
      <c r="H24" s="155" t="s">
        <v>1617</v>
      </c>
      <c r="I24" s="152"/>
      <c r="J24" s="154"/>
      <c r="K24" s="154"/>
      <c r="L24" s="227"/>
      <c r="M24" s="154"/>
      <c r="N24" s="227">
        <f t="shared" si="2"/>
        <v>62016.026962009506</v>
      </c>
      <c r="O24" s="152">
        <f t="shared" si="3"/>
        <v>185773.04896200949</v>
      </c>
    </row>
    <row r="25" spans="1:15" x14ac:dyDescent="0.15">
      <c r="A25" s="154"/>
      <c r="B25" s="151"/>
      <c r="C25" s="152"/>
      <c r="D25" s="155"/>
      <c r="E25" s="155"/>
      <c r="F25" s="157"/>
      <c r="G25" s="152"/>
      <c r="H25" s="155" t="s">
        <v>1618</v>
      </c>
      <c r="I25" s="152"/>
      <c r="J25" s="157"/>
      <c r="K25" s="154" t="s">
        <v>1627</v>
      </c>
      <c r="L25" s="227">
        <v>1190</v>
      </c>
      <c r="M25" s="154" t="s">
        <v>1601</v>
      </c>
      <c r="N25" s="227">
        <f t="shared" si="2"/>
        <v>60826.026962009506</v>
      </c>
      <c r="O25" s="152">
        <f t="shared" si="3"/>
        <v>184583.04896200949</v>
      </c>
    </row>
    <row r="26" spans="1:15" x14ac:dyDescent="0.15">
      <c r="A26" s="154"/>
      <c r="B26" s="151"/>
      <c r="C26" s="152"/>
      <c r="D26" s="155"/>
      <c r="E26" s="155"/>
      <c r="F26" s="157"/>
      <c r="G26" s="152"/>
      <c r="H26" s="155" t="s">
        <v>1619</v>
      </c>
      <c r="I26" s="152">
        <v>551.72</v>
      </c>
      <c r="J26" s="157" t="s">
        <v>1601</v>
      </c>
      <c r="K26" s="154"/>
      <c r="L26" s="227"/>
      <c r="M26" s="154"/>
      <c r="N26" s="227">
        <f t="shared" si="2"/>
        <v>60274.306962009505</v>
      </c>
      <c r="O26" s="152">
        <f t="shared" si="3"/>
        <v>184031.32896200949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1620</v>
      </c>
      <c r="I27" s="152">
        <v>1435.56</v>
      </c>
      <c r="J27" s="157" t="s">
        <v>1601</v>
      </c>
      <c r="K27" s="154" t="s">
        <v>1627</v>
      </c>
      <c r="L27" s="227">
        <v>207.94</v>
      </c>
      <c r="M27" s="154" t="s">
        <v>1601</v>
      </c>
      <c r="N27" s="227">
        <f t="shared" si="2"/>
        <v>58630.806962009505</v>
      </c>
      <c r="O27" s="152">
        <f t="shared" si="3"/>
        <v>182387.82896200949</v>
      </c>
    </row>
    <row r="28" spans="1:15" x14ac:dyDescent="0.15">
      <c r="A28" s="154"/>
      <c r="B28" s="151"/>
      <c r="C28" s="152"/>
      <c r="D28" s="155"/>
      <c r="E28" s="155"/>
      <c r="F28" s="157"/>
      <c r="G28" s="152"/>
      <c r="H28" s="155" t="s">
        <v>1621</v>
      </c>
      <c r="I28" s="152"/>
      <c r="J28" s="154"/>
      <c r="K28" s="154" t="s">
        <v>1627</v>
      </c>
      <c r="L28" s="227">
        <v>616.80999999999995</v>
      </c>
      <c r="M28" s="154" t="s">
        <v>1601</v>
      </c>
      <c r="N28" s="227">
        <f t="shared" si="2"/>
        <v>58013.996962009507</v>
      </c>
      <c r="O28" s="152">
        <f t="shared" si="3"/>
        <v>181771.01896200949</v>
      </c>
    </row>
    <row r="29" spans="1:15" x14ac:dyDescent="0.15">
      <c r="A29" s="154"/>
      <c r="B29" s="151"/>
      <c r="C29" s="152"/>
      <c r="D29" s="155"/>
      <c r="E29" s="155"/>
      <c r="F29" s="157"/>
      <c r="G29" s="152"/>
      <c r="H29" s="155" t="s">
        <v>1621</v>
      </c>
      <c r="I29" s="152"/>
      <c r="J29" s="157"/>
      <c r="K29" s="154" t="s">
        <v>1627</v>
      </c>
      <c r="L29" s="227">
        <v>36379.379999999997</v>
      </c>
      <c r="M29" s="154" t="s">
        <v>1601</v>
      </c>
      <c r="N29" s="227">
        <f t="shared" si="2"/>
        <v>21634.61696200951</v>
      </c>
      <c r="O29" s="152">
        <f t="shared" si="3"/>
        <v>145391.63896200949</v>
      </c>
    </row>
    <row r="30" spans="1:15" x14ac:dyDescent="0.15">
      <c r="A30" s="154"/>
      <c r="B30" s="151"/>
      <c r="C30" s="152"/>
      <c r="D30" s="155" t="s">
        <v>1624</v>
      </c>
      <c r="E30" s="155" t="s">
        <v>72</v>
      </c>
      <c r="F30" s="157" t="s">
        <v>1648</v>
      </c>
      <c r="G30" s="152">
        <v>88784.301999999996</v>
      </c>
      <c r="H30" s="155" t="s">
        <v>1624</v>
      </c>
      <c r="I30" s="152"/>
      <c r="J30" s="154"/>
      <c r="K30" s="154"/>
      <c r="L30" s="227"/>
      <c r="M30" s="157"/>
      <c r="N30" s="227">
        <f t="shared" si="2"/>
        <v>21634.61696200951</v>
      </c>
      <c r="O30" s="152">
        <f t="shared" si="3"/>
        <v>234175.94096200948</v>
      </c>
    </row>
    <row r="31" spans="1:15" hidden="1" x14ac:dyDescent="0.15">
      <c r="A31" s="154"/>
      <c r="B31" s="151"/>
      <c r="C31" s="152"/>
      <c r="D31" s="155"/>
      <c r="E31" s="155"/>
      <c r="F31" s="157"/>
      <c r="G31" s="152"/>
      <c r="H31" s="155"/>
      <c r="I31" s="152"/>
      <c r="J31" s="157"/>
      <c r="K31" s="154"/>
      <c r="L31" s="227"/>
      <c r="M31" s="157"/>
      <c r="N31" s="227">
        <f t="shared" si="2"/>
        <v>21634.61696200951</v>
      </c>
      <c r="O31" s="152">
        <f t="shared" si="3"/>
        <v>234175.94096200948</v>
      </c>
    </row>
    <row r="32" spans="1:15" hidden="1" x14ac:dyDescent="0.15">
      <c r="A32" s="154"/>
      <c r="B32" s="151"/>
      <c r="C32" s="152"/>
      <c r="D32" s="155"/>
      <c r="E32" s="155"/>
      <c r="F32" s="157"/>
      <c r="G32" s="152"/>
      <c r="H32" s="155"/>
      <c r="I32" s="152"/>
      <c r="J32" s="157"/>
      <c r="K32" s="154"/>
      <c r="L32" s="227"/>
      <c r="M32" s="157"/>
      <c r="N32" s="227">
        <f t="shared" si="2"/>
        <v>21634.61696200951</v>
      </c>
      <c r="O32" s="152">
        <f t="shared" si="3"/>
        <v>234175.94096200948</v>
      </c>
    </row>
    <row r="33" spans="1:15" hidden="1" x14ac:dyDescent="0.15">
      <c r="A33" s="154"/>
      <c r="B33" s="151"/>
      <c r="C33" s="152"/>
      <c r="D33" s="155"/>
      <c r="E33" s="155"/>
      <c r="F33" s="157"/>
      <c r="G33" s="152"/>
      <c r="H33" s="155"/>
      <c r="I33" s="152"/>
      <c r="J33" s="154"/>
      <c r="K33" s="154"/>
      <c r="L33" s="227"/>
      <c r="M33" s="157"/>
      <c r="N33" s="227">
        <f t="shared" si="2"/>
        <v>21634.61696200951</v>
      </c>
      <c r="O33" s="152">
        <f t="shared" si="3"/>
        <v>234175.94096200948</v>
      </c>
    </row>
    <row r="34" spans="1:15" hidden="1" x14ac:dyDescent="0.15">
      <c r="A34" s="154"/>
      <c r="B34" s="151"/>
      <c r="C34" s="152"/>
      <c r="D34" s="155"/>
      <c r="E34" s="155"/>
      <c r="F34" s="157"/>
      <c r="G34" s="152"/>
      <c r="H34" s="155"/>
      <c r="I34" s="152"/>
      <c r="J34" s="157"/>
      <c r="K34" s="154"/>
      <c r="L34" s="227"/>
      <c r="M34" s="157"/>
      <c r="N34" s="227">
        <f t="shared" si="2"/>
        <v>21634.61696200951</v>
      </c>
      <c r="O34" s="152">
        <f t="shared" si="3"/>
        <v>234175.94096200948</v>
      </c>
    </row>
    <row r="35" spans="1:15" hidden="1" x14ac:dyDescent="0.15">
      <c r="A35" s="154"/>
      <c r="B35" s="151"/>
      <c r="C35" s="152"/>
      <c r="D35" s="155"/>
      <c r="E35" s="155"/>
      <c r="F35" s="157"/>
      <c r="G35" s="152"/>
      <c r="H35" s="155"/>
      <c r="I35" s="152"/>
      <c r="J35" s="157"/>
      <c r="K35" s="154"/>
      <c r="L35" s="227"/>
      <c r="M35" s="157"/>
      <c r="N35" s="227">
        <f t="shared" si="2"/>
        <v>21634.61696200951</v>
      </c>
      <c r="O35" s="152">
        <f t="shared" si="3"/>
        <v>234175.94096200948</v>
      </c>
    </row>
    <row r="36" spans="1:15" hidden="1" x14ac:dyDescent="0.15">
      <c r="A36" s="154"/>
      <c r="B36" s="151"/>
      <c r="C36" s="152"/>
      <c r="D36" s="155"/>
      <c r="E36" s="155"/>
      <c r="F36" s="157"/>
      <c r="G36" s="152"/>
      <c r="H36" s="155"/>
      <c r="I36" s="152"/>
      <c r="J36" s="157"/>
      <c r="K36" s="154"/>
      <c r="L36" s="227"/>
      <c r="M36" s="157"/>
      <c r="N36" s="227">
        <f t="shared" si="2"/>
        <v>21634.61696200951</v>
      </c>
      <c r="O36" s="152">
        <f t="shared" si="3"/>
        <v>234175.94096200948</v>
      </c>
    </row>
    <row r="37" spans="1:15" hidden="1" x14ac:dyDescent="0.15">
      <c r="A37" s="154"/>
      <c r="B37" s="151"/>
      <c r="C37" s="152"/>
      <c r="D37" s="155"/>
      <c r="E37" s="155"/>
      <c r="F37" s="157"/>
      <c r="G37" s="152"/>
      <c r="H37" s="155"/>
      <c r="I37" s="152"/>
      <c r="J37" s="154"/>
      <c r="K37" s="154"/>
      <c r="L37" s="227"/>
      <c r="M37" s="157"/>
      <c r="N37" s="227">
        <f t="shared" si="2"/>
        <v>21634.61696200951</v>
      </c>
      <c r="O37" s="152">
        <f t="shared" si="3"/>
        <v>234175.94096200948</v>
      </c>
    </row>
    <row r="38" spans="1:15" hidden="1" x14ac:dyDescent="0.15">
      <c r="A38" s="154"/>
      <c r="B38" s="151"/>
      <c r="C38" s="152"/>
      <c r="D38" s="155"/>
      <c r="E38" s="155"/>
      <c r="F38" s="157"/>
      <c r="G38" s="152"/>
      <c r="H38" s="155"/>
      <c r="I38" s="152"/>
      <c r="J38" s="154"/>
      <c r="K38" s="154"/>
      <c r="L38" s="227"/>
      <c r="M38" s="157"/>
      <c r="N38" s="227">
        <f t="shared" si="2"/>
        <v>21634.61696200951</v>
      </c>
      <c r="O38" s="152">
        <f t="shared" si="3"/>
        <v>234175.94096200948</v>
      </c>
    </row>
    <row r="39" spans="1:15" hidden="1" x14ac:dyDescent="0.15">
      <c r="A39" s="154"/>
      <c r="B39" s="151"/>
      <c r="C39" s="152"/>
      <c r="D39" s="155"/>
      <c r="E39" s="155"/>
      <c r="F39" s="157"/>
      <c r="G39" s="152"/>
      <c r="H39" s="155"/>
      <c r="I39" s="152"/>
      <c r="J39" s="157"/>
      <c r="K39" s="154"/>
      <c r="L39" s="227"/>
      <c r="M39" s="157"/>
      <c r="N39" s="227">
        <f t="shared" si="2"/>
        <v>21634.61696200951</v>
      </c>
      <c r="O39" s="152">
        <f t="shared" si="3"/>
        <v>234175.94096200948</v>
      </c>
    </row>
    <row r="40" spans="1:15" hidden="1" x14ac:dyDescent="0.15">
      <c r="A40" s="154"/>
      <c r="B40" s="151"/>
      <c r="C40" s="152"/>
      <c r="D40" s="155"/>
      <c r="E40" s="155"/>
      <c r="F40" s="157"/>
      <c r="G40" s="152"/>
      <c r="H40" s="155"/>
      <c r="I40" s="152"/>
      <c r="J40" s="157"/>
      <c r="K40" s="154"/>
      <c r="L40" s="227"/>
      <c r="M40" s="157"/>
      <c r="N40" s="227">
        <f t="shared" si="2"/>
        <v>21634.61696200951</v>
      </c>
      <c r="O40" s="152">
        <f t="shared" si="3"/>
        <v>234175.94096200948</v>
      </c>
    </row>
    <row r="41" spans="1:15" hidden="1" x14ac:dyDescent="0.15">
      <c r="A41" s="154"/>
      <c r="B41" s="151"/>
      <c r="C41" s="152"/>
      <c r="D41" s="155"/>
      <c r="E41" s="155"/>
      <c r="F41" s="157"/>
      <c r="G41" s="152"/>
      <c r="H41" s="155"/>
      <c r="I41" s="152"/>
      <c r="J41" s="157"/>
      <c r="K41" s="154"/>
      <c r="L41" s="227"/>
      <c r="M41" s="157"/>
      <c r="N41" s="227">
        <f t="shared" si="2"/>
        <v>21634.61696200951</v>
      </c>
      <c r="O41" s="152">
        <f t="shared" si="3"/>
        <v>234175.94096200948</v>
      </c>
    </row>
    <row r="42" spans="1:15" hidden="1" x14ac:dyDescent="0.15">
      <c r="A42" s="154"/>
      <c r="B42" s="151"/>
      <c r="C42" s="152"/>
      <c r="D42" s="155"/>
      <c r="E42" s="155"/>
      <c r="F42" s="157"/>
      <c r="G42" s="152"/>
      <c r="H42" s="155"/>
      <c r="I42" s="152"/>
      <c r="J42" s="157"/>
      <c r="K42" s="154"/>
      <c r="L42" s="227"/>
      <c r="M42" s="157"/>
      <c r="N42" s="227">
        <f t="shared" si="2"/>
        <v>21634.61696200951</v>
      </c>
      <c r="O42" s="152">
        <f t="shared" si="3"/>
        <v>234175.94096200948</v>
      </c>
    </row>
    <row r="43" spans="1:15" hidden="1" x14ac:dyDescent="0.15">
      <c r="A43" s="154"/>
      <c r="B43" s="151"/>
      <c r="C43" s="152"/>
      <c r="D43" s="155"/>
      <c r="E43" s="155"/>
      <c r="F43" s="157"/>
      <c r="G43" s="152"/>
      <c r="H43" s="155"/>
      <c r="I43" s="152"/>
      <c r="J43" s="157"/>
      <c r="K43" s="154"/>
      <c r="L43" s="227"/>
      <c r="M43" s="157"/>
      <c r="N43" s="227">
        <f t="shared" si="2"/>
        <v>21634.61696200951</v>
      </c>
      <c r="O43" s="152">
        <f t="shared" si="3"/>
        <v>234175.94096200948</v>
      </c>
    </row>
    <row r="44" spans="1:15" hidden="1" x14ac:dyDescent="0.15">
      <c r="A44" s="154"/>
      <c r="B44" s="151"/>
      <c r="C44" s="152"/>
      <c r="D44" s="155"/>
      <c r="E44" s="155"/>
      <c r="F44" s="157"/>
      <c r="G44" s="152"/>
      <c r="H44" s="155"/>
      <c r="I44" s="152"/>
      <c r="J44" s="154"/>
      <c r="K44" s="154"/>
      <c r="L44" s="227"/>
      <c r="M44" s="157"/>
      <c r="N44" s="227">
        <f t="shared" si="2"/>
        <v>21634.61696200951</v>
      </c>
      <c r="O44" s="152">
        <f t="shared" si="3"/>
        <v>234175.94096200948</v>
      </c>
    </row>
    <row r="45" spans="1:15" hidden="1" x14ac:dyDescent="0.15">
      <c r="A45" s="154"/>
      <c r="B45" s="151"/>
      <c r="C45" s="152"/>
      <c r="D45" s="155"/>
      <c r="E45" s="155"/>
      <c r="F45" s="157"/>
      <c r="G45" s="152"/>
      <c r="H45" s="155"/>
      <c r="I45" s="152"/>
      <c r="J45" s="154"/>
      <c r="K45" s="154"/>
      <c r="L45" s="227"/>
      <c r="M45" s="157"/>
      <c r="N45" s="227">
        <f t="shared" si="2"/>
        <v>21634.61696200951</v>
      </c>
      <c r="O45" s="152">
        <f t="shared" si="3"/>
        <v>234175.94096200948</v>
      </c>
    </row>
    <row r="46" spans="1:15" hidden="1" x14ac:dyDescent="0.15">
      <c r="A46" s="154"/>
      <c r="B46" s="151"/>
      <c r="C46" s="152"/>
      <c r="D46" s="155"/>
      <c r="E46" s="155"/>
      <c r="F46" s="157"/>
      <c r="G46" s="152"/>
      <c r="H46" s="155"/>
      <c r="I46" s="152"/>
      <c r="J46" s="154"/>
      <c r="K46" s="154"/>
      <c r="L46" s="227"/>
      <c r="M46" s="157"/>
      <c r="N46" s="227">
        <f t="shared" si="2"/>
        <v>21634.61696200951</v>
      </c>
      <c r="O46" s="152">
        <f t="shared" si="3"/>
        <v>234175.94096200948</v>
      </c>
    </row>
    <row r="47" spans="1:15" hidden="1" x14ac:dyDescent="0.15">
      <c r="A47" s="154"/>
      <c r="B47" s="151"/>
      <c r="C47" s="152"/>
      <c r="D47" s="155"/>
      <c r="E47" s="155"/>
      <c r="F47" s="157"/>
      <c r="G47" s="152"/>
      <c r="H47" s="155"/>
      <c r="I47" s="152"/>
      <c r="J47" s="157"/>
      <c r="K47" s="154"/>
      <c r="L47" s="227"/>
      <c r="M47" s="157"/>
      <c r="N47" s="227">
        <f t="shared" si="2"/>
        <v>21634.61696200951</v>
      </c>
      <c r="O47" s="152">
        <f t="shared" si="3"/>
        <v>234175.94096200948</v>
      </c>
    </row>
    <row r="48" spans="1:15" hidden="1" x14ac:dyDescent="0.15">
      <c r="A48" s="154"/>
      <c r="B48" s="151"/>
      <c r="C48" s="152"/>
      <c r="D48" s="155"/>
      <c r="E48" s="155"/>
      <c r="F48" s="157"/>
      <c r="G48" s="152"/>
      <c r="H48" s="155"/>
      <c r="I48" s="152"/>
      <c r="J48" s="154"/>
      <c r="K48" s="154"/>
      <c r="L48" s="227"/>
      <c r="M48" s="157"/>
      <c r="N48" s="227">
        <f t="shared" si="2"/>
        <v>21634.61696200951</v>
      </c>
      <c r="O48" s="152">
        <f t="shared" si="3"/>
        <v>234175.94096200948</v>
      </c>
    </row>
    <row r="49" spans="1:15" hidden="1" x14ac:dyDescent="0.15">
      <c r="A49" s="154"/>
      <c r="B49" s="151"/>
      <c r="C49" s="152"/>
      <c r="D49" s="155"/>
      <c r="E49" s="155"/>
      <c r="F49" s="157"/>
      <c r="G49" s="152"/>
      <c r="H49" s="155"/>
      <c r="I49" s="152"/>
      <c r="J49" s="157"/>
      <c r="K49" s="154"/>
      <c r="L49" s="227"/>
      <c r="M49" s="157"/>
      <c r="N49" s="227">
        <f t="shared" si="2"/>
        <v>21634.61696200951</v>
      </c>
      <c r="O49" s="152">
        <f t="shared" si="3"/>
        <v>234175.94096200948</v>
      </c>
    </row>
    <row r="50" spans="1:15" hidden="1" x14ac:dyDescent="0.15">
      <c r="A50" s="154"/>
      <c r="B50" s="151"/>
      <c r="C50" s="151"/>
      <c r="D50" s="155"/>
      <c r="E50" s="155"/>
      <c r="F50" s="157"/>
      <c r="G50" s="152"/>
      <c r="H50" s="155"/>
      <c r="I50" s="152"/>
      <c r="J50" s="154"/>
      <c r="K50" s="154"/>
      <c r="L50" s="227"/>
      <c r="M50" s="157"/>
      <c r="N50" s="227">
        <f t="shared" si="2"/>
        <v>21634.61696200951</v>
      </c>
      <c r="O50" s="152">
        <f t="shared" si="3"/>
        <v>234175.94096200948</v>
      </c>
    </row>
    <row r="51" spans="1:15" hidden="1" x14ac:dyDescent="0.15">
      <c r="A51" s="154"/>
      <c r="B51" s="151"/>
      <c r="C51" s="151"/>
      <c r="D51" s="155"/>
      <c r="E51" s="155"/>
      <c r="F51" s="157"/>
      <c r="G51" s="152"/>
      <c r="H51" s="155"/>
      <c r="I51" s="152"/>
      <c r="J51" s="154"/>
      <c r="K51" s="154"/>
      <c r="L51" s="227"/>
      <c r="M51" s="157"/>
      <c r="N51" s="227">
        <f t="shared" si="2"/>
        <v>21634.61696200951</v>
      </c>
      <c r="O51" s="152">
        <f t="shared" si="3"/>
        <v>234175.94096200948</v>
      </c>
    </row>
    <row r="52" spans="1:15" hidden="1" x14ac:dyDescent="0.15">
      <c r="A52" s="154"/>
      <c r="B52" s="151"/>
      <c r="C52" s="151"/>
      <c r="D52" s="155"/>
      <c r="E52" s="155"/>
      <c r="F52" s="157"/>
      <c r="G52" s="152"/>
      <c r="H52" s="155"/>
      <c r="I52" s="152"/>
      <c r="J52" s="154"/>
      <c r="K52" s="154"/>
      <c r="L52" s="227"/>
      <c r="M52" s="157"/>
      <c r="N52" s="227">
        <f t="shared" si="2"/>
        <v>21634.61696200951</v>
      </c>
      <c r="O52" s="152">
        <f t="shared" si="3"/>
        <v>234175.94096200948</v>
      </c>
    </row>
    <row r="53" spans="1:15" hidden="1" x14ac:dyDescent="0.15">
      <c r="A53" s="154"/>
      <c r="B53" s="151"/>
      <c r="C53" s="151"/>
      <c r="D53" s="155"/>
      <c r="E53" s="155"/>
      <c r="F53" s="157"/>
      <c r="G53" s="152"/>
      <c r="H53" s="155"/>
      <c r="I53" s="152"/>
      <c r="J53" s="154"/>
      <c r="K53" s="154"/>
      <c r="L53" s="227"/>
      <c r="M53" s="157"/>
      <c r="N53" s="227">
        <f t="shared" si="2"/>
        <v>21634.61696200951</v>
      </c>
      <c r="O53" s="152">
        <f t="shared" si="3"/>
        <v>234175.94096200948</v>
      </c>
    </row>
    <row r="54" spans="1:15" hidden="1" x14ac:dyDescent="0.15">
      <c r="A54" s="154"/>
      <c r="B54" s="151"/>
      <c r="C54" s="151"/>
      <c r="D54" s="155"/>
      <c r="E54" s="155"/>
      <c r="F54" s="157"/>
      <c r="G54" s="152"/>
      <c r="H54" s="155"/>
      <c r="I54" s="152"/>
      <c r="J54" s="154"/>
      <c r="K54" s="154"/>
      <c r="L54" s="227"/>
      <c r="M54" s="157"/>
      <c r="N54" s="227">
        <f t="shared" si="2"/>
        <v>21634.61696200951</v>
      </c>
      <c r="O54" s="152">
        <f t="shared" si="3"/>
        <v>234175.94096200948</v>
      </c>
    </row>
    <row r="55" spans="1:15" hidden="1" x14ac:dyDescent="0.15">
      <c r="A55" s="154"/>
      <c r="B55" s="151"/>
      <c r="C55" s="151"/>
      <c r="D55" s="155"/>
      <c r="E55" s="154"/>
      <c r="F55" s="291"/>
      <c r="G55" s="152"/>
      <c r="H55" s="155"/>
      <c r="I55" s="152"/>
      <c r="J55" s="291"/>
      <c r="K55" s="154"/>
      <c r="L55" s="227"/>
      <c r="M55" s="157"/>
      <c r="N55" s="227">
        <f t="shared" si="2"/>
        <v>21634.61696200951</v>
      </c>
      <c r="O55" s="152">
        <f t="shared" si="3"/>
        <v>234175.94096200948</v>
      </c>
    </row>
    <row r="56" spans="1:15" hidden="1" x14ac:dyDescent="0.15">
      <c r="A56" s="154"/>
      <c r="B56" s="151"/>
      <c r="C56" s="151"/>
      <c r="D56" s="155"/>
      <c r="E56" s="154"/>
      <c r="F56" s="291"/>
      <c r="G56" s="152"/>
      <c r="H56" s="155"/>
      <c r="I56" s="152"/>
      <c r="J56" s="157"/>
      <c r="K56" s="154"/>
      <c r="L56" s="227"/>
      <c r="M56" s="157"/>
      <c r="N56" s="227">
        <f t="shared" si="2"/>
        <v>21634.61696200951</v>
      </c>
      <c r="O56" s="152">
        <f t="shared" si="3"/>
        <v>234175.94096200948</v>
      </c>
    </row>
    <row r="57" spans="1:15" hidden="1" x14ac:dyDescent="0.15">
      <c r="A57" s="154"/>
      <c r="B57" s="151"/>
      <c r="C57" s="151"/>
      <c r="D57" s="152"/>
      <c r="E57" s="154"/>
      <c r="F57" s="157"/>
      <c r="G57" s="152"/>
      <c r="H57" s="155"/>
      <c r="I57" s="152"/>
      <c r="J57" s="154"/>
      <c r="K57" s="154"/>
      <c r="L57" s="227"/>
      <c r="M57" s="157"/>
      <c r="N57" s="227">
        <f t="shared" si="2"/>
        <v>21634.61696200951</v>
      </c>
      <c r="O57" s="152">
        <f t="shared" si="3"/>
        <v>234175.94096200948</v>
      </c>
    </row>
    <row r="58" spans="1:15" hidden="1" x14ac:dyDescent="0.15">
      <c r="A58" s="154"/>
      <c r="B58" s="151"/>
      <c r="C58" s="151"/>
      <c r="D58" s="152"/>
      <c r="E58" s="155"/>
      <c r="F58" s="157"/>
      <c r="G58" s="152"/>
      <c r="H58" s="155"/>
      <c r="I58" s="152"/>
      <c r="J58" s="157"/>
      <c r="K58" s="154"/>
      <c r="L58" s="227"/>
      <c r="M58" s="157"/>
      <c r="N58" s="227">
        <f t="shared" si="2"/>
        <v>21634.61696200951</v>
      </c>
      <c r="O58" s="152">
        <f t="shared" si="3"/>
        <v>234175.94096200948</v>
      </c>
    </row>
    <row r="59" spans="1:15" hidden="1" x14ac:dyDescent="0.15">
      <c r="A59" s="154"/>
      <c r="B59" s="151"/>
      <c r="C59" s="151"/>
      <c r="D59" s="152"/>
      <c r="E59" s="154"/>
      <c r="F59" s="160"/>
      <c r="G59" s="152"/>
      <c r="H59" s="155"/>
      <c r="I59" s="152"/>
      <c r="J59" s="150"/>
      <c r="K59" s="154"/>
      <c r="L59" s="227"/>
      <c r="M59" s="157"/>
      <c r="N59" s="227">
        <f t="shared" si="2"/>
        <v>21634.61696200951</v>
      </c>
      <c r="O59" s="152">
        <f t="shared" si="3"/>
        <v>234175.94096200948</v>
      </c>
    </row>
    <row r="60" spans="1:15" x14ac:dyDescent="0.15">
      <c r="A60" s="173"/>
      <c r="B60" s="173"/>
      <c r="C60" s="174"/>
      <c r="D60" s="175"/>
      <c r="E60" s="173"/>
      <c r="F60" s="173"/>
      <c r="G60" s="174"/>
      <c r="H60" s="175"/>
      <c r="I60" s="174"/>
      <c r="J60" s="173"/>
      <c r="K60" s="154"/>
      <c r="L60" s="228"/>
      <c r="M60" s="173"/>
      <c r="N60" s="227">
        <f t="shared" si="2"/>
        <v>21634.61696200951</v>
      </c>
      <c r="O60" s="152">
        <f t="shared" si="3"/>
        <v>234175.94096200948</v>
      </c>
    </row>
    <row r="61" spans="1:15" x14ac:dyDescent="0.15">
      <c r="A61" s="177"/>
      <c r="B61" s="177"/>
      <c r="C61" s="178">
        <f>SUM(C7:C59)</f>
        <v>162364.21196200952</v>
      </c>
      <c r="D61" s="177"/>
      <c r="E61" s="177"/>
      <c r="F61" s="177"/>
      <c r="G61" s="178">
        <f>SUM(G7:G59)</f>
        <v>168754.03899999996</v>
      </c>
      <c r="H61" s="179"/>
      <c r="I61" s="178">
        <f>SUM(I7:I59)</f>
        <v>12326.409999999998</v>
      </c>
      <c r="J61" s="177"/>
      <c r="K61" s="177"/>
      <c r="L61" s="229">
        <f>SUM(L9:L59)</f>
        <v>84615.9</v>
      </c>
      <c r="M61" s="177"/>
      <c r="N61" s="180"/>
      <c r="O61" s="181">
        <f>C61+G61-I61-L61</f>
        <v>234175.94096200951</v>
      </c>
    </row>
    <row r="62" spans="1:15" x14ac:dyDescent="0.15">
      <c r="A62" s="182"/>
      <c r="B62" s="465"/>
      <c r="C62" s="465"/>
      <c r="D62" s="465"/>
      <c r="E62" s="183"/>
      <c r="F62" s="284"/>
      <c r="G62" s="185"/>
      <c r="H62" s="186"/>
      <c r="I62" s="187"/>
      <c r="J62" s="188"/>
      <c r="K62" s="189" t="s">
        <v>139</v>
      </c>
      <c r="L62" s="190">
        <f>+L61+I61</f>
        <v>96942.31</v>
      </c>
      <c r="M62" s="197"/>
      <c r="N62" s="230">
        <f>+N60</f>
        <v>21634.61696200951</v>
      </c>
      <c r="O62" s="157" t="s">
        <v>1601</v>
      </c>
    </row>
    <row r="63" spans="1:15" x14ac:dyDescent="0.15">
      <c r="A63" s="193"/>
      <c r="B63" s="470"/>
      <c r="C63" s="470"/>
      <c r="D63" s="470"/>
      <c r="E63" s="183"/>
      <c r="F63" s="311"/>
      <c r="G63" s="219"/>
      <c r="H63" s="186"/>
      <c r="I63" s="187"/>
      <c r="J63" s="210"/>
      <c r="K63" s="210"/>
      <c r="N63" s="230">
        <v>43787.285000000003</v>
      </c>
      <c r="O63" s="195" t="s">
        <v>1575</v>
      </c>
    </row>
    <row r="64" spans="1:15" x14ac:dyDescent="0.15">
      <c r="A64" s="193" t="s">
        <v>1600</v>
      </c>
      <c r="B64" s="312" t="s">
        <v>1602</v>
      </c>
      <c r="E64" s="183" t="s">
        <v>55</v>
      </c>
      <c r="F64" s="311">
        <v>2001585.23</v>
      </c>
      <c r="G64" s="219" t="s">
        <v>56</v>
      </c>
      <c r="H64" s="186">
        <v>41390</v>
      </c>
      <c r="I64" s="187" t="s">
        <v>71</v>
      </c>
      <c r="J64" s="210">
        <v>28821.99496200951</v>
      </c>
      <c r="K64" s="210"/>
      <c r="N64" s="230">
        <v>58842.582000000373</v>
      </c>
      <c r="O64" s="195" t="s">
        <v>1622</v>
      </c>
    </row>
    <row r="65" spans="1:15" x14ac:dyDescent="0.15">
      <c r="A65" s="133" t="s">
        <v>1601</v>
      </c>
      <c r="B65" s="131" t="s">
        <v>1625</v>
      </c>
      <c r="E65" s="183" t="s">
        <v>55</v>
      </c>
      <c r="F65" s="311">
        <v>38908668.32</v>
      </c>
      <c r="G65" s="219" t="s">
        <v>56</v>
      </c>
      <c r="H65" s="186">
        <v>41403</v>
      </c>
      <c r="I65" s="187" t="s">
        <v>71</v>
      </c>
      <c r="J65" s="210">
        <v>55793.90503799048</v>
      </c>
      <c r="K65" s="210"/>
      <c r="N65" s="230">
        <v>21127.154999999599</v>
      </c>
      <c r="O65" s="195" t="s">
        <v>1623</v>
      </c>
    </row>
    <row r="66" spans="1:15" x14ac:dyDescent="0.15">
      <c r="A66" s="193"/>
      <c r="B66" s="210"/>
      <c r="C66" s="221"/>
      <c r="D66" s="237"/>
      <c r="E66" s="235"/>
      <c r="F66" s="235"/>
      <c r="J66" s="205"/>
      <c r="N66" s="230">
        <v>88784.301999999996</v>
      </c>
      <c r="O66" s="195" t="s">
        <v>1648</v>
      </c>
    </row>
    <row r="67" spans="1:15" x14ac:dyDescent="0.15">
      <c r="A67" s="133"/>
      <c r="B67" s="133" t="s">
        <v>9</v>
      </c>
      <c r="C67" s="220" t="s">
        <v>729</v>
      </c>
      <c r="D67" s="220" t="s">
        <v>850</v>
      </c>
      <c r="E67" s="133" t="s">
        <v>570</v>
      </c>
      <c r="F67" s="133" t="s">
        <v>571</v>
      </c>
      <c r="G67" s="133" t="s">
        <v>16</v>
      </c>
      <c r="H67" s="134"/>
      <c r="I67" s="134"/>
      <c r="J67" s="205"/>
      <c r="N67" s="230"/>
      <c r="O67" s="195"/>
    </row>
    <row r="68" spans="1:15" x14ac:dyDescent="0.15">
      <c r="A68" s="193" t="s">
        <v>1600</v>
      </c>
      <c r="B68" s="210">
        <v>28822</v>
      </c>
      <c r="C68" s="221">
        <v>20.761700000000001</v>
      </c>
      <c r="D68" s="237">
        <f t="shared" ref="D68:D69" si="4">+B68*C68</f>
        <v>598393.71740000008</v>
      </c>
      <c r="E68" s="235">
        <f t="shared" ref="E68:E69" si="5">+D68*0.01</f>
        <v>5983.9371740000006</v>
      </c>
      <c r="F68" s="235">
        <f t="shared" ref="F68:F69" si="6">+E68*0.1</f>
        <v>598.39371740000013</v>
      </c>
      <c r="G68" s="236">
        <f>SUM(E68:F68)</f>
        <v>6582.3308914000008</v>
      </c>
      <c r="H68" s="134"/>
      <c r="I68" s="134"/>
      <c r="N68" s="230"/>
      <c r="O68" s="195"/>
    </row>
    <row r="69" spans="1:15" x14ac:dyDescent="0.15">
      <c r="A69" s="133" t="s">
        <v>1601</v>
      </c>
      <c r="B69" s="210">
        <v>55794</v>
      </c>
      <c r="C69" s="221">
        <v>21.504000000000001</v>
      </c>
      <c r="D69" s="237">
        <f t="shared" si="4"/>
        <v>1199794.176</v>
      </c>
      <c r="E69" s="235">
        <f t="shared" si="5"/>
        <v>11997.94176</v>
      </c>
      <c r="F69" s="235">
        <f t="shared" si="6"/>
        <v>1199.7941760000001</v>
      </c>
      <c r="G69" s="236">
        <f t="shared" ref="G69" si="7">SUM(E69:F69)</f>
        <v>13197.735935999999</v>
      </c>
      <c r="N69" s="206" t="s">
        <v>33</v>
      </c>
      <c r="O69" s="207">
        <f>SUM(N62:N68)</f>
        <v>234175.94096200948</v>
      </c>
    </row>
    <row r="70" spans="1:15" x14ac:dyDescent="0.15">
      <c r="B70" s="231"/>
      <c r="O70" s="132">
        <f>+O61-O69</f>
        <v>0</v>
      </c>
    </row>
    <row r="71" spans="1:15" s="132" customFormat="1" x14ac:dyDescent="0.15">
      <c r="A71" s="134"/>
      <c r="B71" s="131"/>
      <c r="D71" s="133"/>
      <c r="E71" s="133"/>
      <c r="F71" s="134"/>
      <c r="H71" s="133"/>
      <c r="J71" s="134"/>
      <c r="K71" s="133"/>
      <c r="M71" s="134"/>
    </row>
    <row r="72" spans="1:15" s="132" customFormat="1" x14ac:dyDescent="0.15">
      <c r="A72" s="134"/>
      <c r="B72" s="131"/>
      <c r="D72" s="133"/>
      <c r="E72" s="133"/>
      <c r="F72" s="134"/>
      <c r="H72" s="133"/>
      <c r="J72" s="134"/>
      <c r="K72" s="133"/>
      <c r="M72" s="134"/>
    </row>
    <row r="73" spans="1:15" s="132" customFormat="1" x14ac:dyDescent="0.15">
      <c r="A73" s="134"/>
      <c r="B73" s="131"/>
      <c r="D73" s="133"/>
      <c r="E73" s="133"/>
      <c r="F73" s="134"/>
      <c r="H73" s="133"/>
      <c r="J73" s="134"/>
      <c r="K73" s="133"/>
      <c r="M73" s="134"/>
    </row>
    <row r="74" spans="1:15" s="132" customFormat="1" x14ac:dyDescent="0.15">
      <c r="A74" s="134"/>
      <c r="B74" s="131"/>
      <c r="D74" s="133"/>
      <c r="E74" s="133"/>
      <c r="F74" s="134"/>
      <c r="H74" s="133"/>
      <c r="J74" s="134"/>
      <c r="K74" s="133"/>
      <c r="M74" s="134"/>
    </row>
    <row r="75" spans="1:15" s="132" customFormat="1" x14ac:dyDescent="0.15">
      <c r="A75" s="134"/>
      <c r="B75" s="131"/>
      <c r="D75" s="133"/>
      <c r="E75" s="133"/>
      <c r="F75" s="134"/>
      <c r="H75" s="133"/>
      <c r="J75" s="134"/>
      <c r="K75" s="133"/>
      <c r="M75" s="134"/>
    </row>
    <row r="76" spans="1:15" s="132" customFormat="1" x14ac:dyDescent="0.15">
      <c r="A76" s="134"/>
      <c r="B76" s="131"/>
      <c r="D76" s="133"/>
      <c r="E76" s="133"/>
      <c r="F76" s="134"/>
      <c r="H76" s="133"/>
      <c r="J76" s="134"/>
      <c r="K76" s="133"/>
      <c r="M76" s="134"/>
    </row>
    <row r="77" spans="1:15" s="132" customFormat="1" x14ac:dyDescent="0.15">
      <c r="A77" s="134"/>
      <c r="B77" s="131"/>
      <c r="D77" s="133"/>
      <c r="E77" s="133"/>
      <c r="F77" s="134"/>
      <c r="H77" s="133"/>
      <c r="J77" s="134"/>
      <c r="K77" s="133"/>
      <c r="M77" s="134"/>
    </row>
    <row r="78" spans="1:15" s="132" customFormat="1" x14ac:dyDescent="0.15">
      <c r="A78" s="134"/>
      <c r="B78" s="131"/>
      <c r="D78" s="133"/>
      <c r="E78" s="133"/>
      <c r="F78" s="134"/>
      <c r="H78" s="133"/>
      <c r="J78" s="134"/>
      <c r="K78" s="133"/>
      <c r="M78" s="134"/>
    </row>
    <row r="79" spans="1:15" s="132" customFormat="1" x14ac:dyDescent="0.15">
      <c r="A79" s="134"/>
      <c r="B79" s="131"/>
      <c r="D79" s="133"/>
      <c r="E79" s="133"/>
      <c r="F79" s="134"/>
      <c r="H79" s="133"/>
      <c r="J79" s="134"/>
      <c r="K79" s="133"/>
      <c r="M79" s="134"/>
    </row>
    <row r="80" spans="1:15" s="132" customFormat="1" x14ac:dyDescent="0.15">
      <c r="A80" s="134"/>
      <c r="B80" s="131"/>
      <c r="D80" s="133"/>
      <c r="E80" s="133"/>
      <c r="F80" s="134"/>
      <c r="H80" s="133"/>
      <c r="J80" s="134"/>
      <c r="K80" s="133"/>
      <c r="M80" s="134"/>
    </row>
    <row r="81" spans="1:15" s="132" customFormat="1" x14ac:dyDescent="0.15">
      <c r="A81" s="134"/>
      <c r="B81" s="131"/>
      <c r="D81" s="133"/>
      <c r="E81" s="133"/>
      <c r="F81" s="134"/>
      <c r="H81" s="133"/>
      <c r="J81" s="134"/>
      <c r="K81" s="133"/>
      <c r="M81" s="134"/>
    </row>
    <row r="82" spans="1:15" s="132" customFormat="1" x14ac:dyDescent="0.15">
      <c r="A82" s="134"/>
      <c r="B82" s="131"/>
      <c r="D82" s="133"/>
      <c r="E82" s="133"/>
      <c r="F82" s="134"/>
      <c r="H82" s="133"/>
      <c r="J82" s="134"/>
      <c r="K82" s="133"/>
      <c r="M82" s="134"/>
    </row>
    <row r="83" spans="1:15" s="132" customFormat="1" x14ac:dyDescent="0.15">
      <c r="A83" s="134"/>
      <c r="B83" s="131"/>
      <c r="D83" s="133"/>
      <c r="E83" s="133"/>
      <c r="F83" s="134"/>
      <c r="H83" s="133"/>
      <c r="J83" s="134"/>
      <c r="K83" s="133"/>
      <c r="M83" s="134"/>
    </row>
    <row r="84" spans="1:15" s="132" customFormat="1" x14ac:dyDescent="0.15">
      <c r="A84" s="134"/>
      <c r="B84" s="131"/>
      <c r="D84" s="133"/>
      <c r="E84" s="133"/>
      <c r="F84" s="134"/>
      <c r="H84" s="133"/>
      <c r="J84" s="134"/>
      <c r="K84" s="133"/>
      <c r="M84" s="134"/>
    </row>
    <row r="85" spans="1:15" s="132" customFormat="1" x14ac:dyDescent="0.15">
      <c r="A85" s="134"/>
      <c r="B85" s="131"/>
      <c r="D85" s="133"/>
      <c r="E85" s="133"/>
      <c r="F85" s="134"/>
      <c r="H85" s="133"/>
      <c r="J85" s="134"/>
      <c r="K85" s="133"/>
      <c r="M85" s="134"/>
    </row>
    <row r="86" spans="1:15" s="132" customFormat="1" x14ac:dyDescent="0.15">
      <c r="A86" s="134"/>
      <c r="B86" s="131"/>
      <c r="D86" s="133"/>
      <c r="E86" s="133"/>
      <c r="F86" s="134"/>
      <c r="H86" s="133"/>
      <c r="J86" s="134"/>
      <c r="K86" s="133"/>
      <c r="M86" s="134"/>
    </row>
    <row r="87" spans="1:15" s="132" customFormat="1" x14ac:dyDescent="0.15">
      <c r="A87" s="134"/>
      <c r="B87" s="131"/>
      <c r="D87" s="133"/>
      <c r="E87" s="133"/>
      <c r="F87" s="134"/>
      <c r="H87" s="133"/>
      <c r="J87" s="134"/>
      <c r="K87" s="133"/>
      <c r="M87" s="134"/>
    </row>
    <row r="88" spans="1:15" s="133" customFormat="1" x14ac:dyDescent="0.15">
      <c r="A88" s="134"/>
      <c r="B88" s="131"/>
      <c r="C88" s="132"/>
      <c r="F88" s="134"/>
      <c r="G88" s="132"/>
      <c r="I88" s="132"/>
      <c r="J88" s="134"/>
      <c r="L88" s="132"/>
      <c r="M88" s="134"/>
      <c r="N88" s="132"/>
      <c r="O88" s="132"/>
    </row>
    <row r="89" spans="1:15" s="133" customFormat="1" x14ac:dyDescent="0.15">
      <c r="A89" s="134"/>
      <c r="B89" s="131"/>
      <c r="C89" s="132"/>
      <c r="F89" s="134"/>
      <c r="G89" s="132"/>
      <c r="I89" s="132"/>
      <c r="J89" s="134"/>
      <c r="L89" s="132"/>
      <c r="M89" s="134"/>
      <c r="N89" s="132"/>
      <c r="O89" s="132"/>
    </row>
    <row r="90" spans="1:15" s="133" customFormat="1" x14ac:dyDescent="0.15">
      <c r="A90" s="134"/>
      <c r="B90" s="131"/>
      <c r="C90" s="132"/>
      <c r="F90" s="134"/>
      <c r="G90" s="132"/>
      <c r="I90" s="132"/>
      <c r="J90" s="134"/>
      <c r="L90" s="132"/>
      <c r="M90" s="134"/>
      <c r="N90" s="132"/>
      <c r="O90" s="132"/>
    </row>
    <row r="91" spans="1:15" s="133" customFormat="1" x14ac:dyDescent="0.15">
      <c r="A91" s="134"/>
      <c r="B91" s="131"/>
      <c r="C91" s="132"/>
      <c r="F91" s="134"/>
      <c r="G91" s="132"/>
      <c r="I91" s="132"/>
      <c r="J91" s="134"/>
      <c r="L91" s="132"/>
      <c r="M91" s="134"/>
      <c r="N91" s="132"/>
      <c r="O91" s="132"/>
    </row>
    <row r="92" spans="1:15" s="133" customFormat="1" x14ac:dyDescent="0.15">
      <c r="A92" s="134"/>
      <c r="B92" s="131"/>
      <c r="C92" s="132"/>
      <c r="F92" s="134"/>
      <c r="G92" s="132"/>
      <c r="I92" s="132"/>
      <c r="J92" s="134"/>
      <c r="L92" s="132"/>
      <c r="M92" s="134"/>
      <c r="N92" s="132"/>
      <c r="O92" s="132"/>
    </row>
    <row r="93" spans="1:15" s="133" customFormat="1" x14ac:dyDescent="0.15">
      <c r="A93" s="134"/>
      <c r="B93" s="131"/>
      <c r="C93" s="132"/>
      <c r="F93" s="134"/>
      <c r="G93" s="132"/>
      <c r="I93" s="132"/>
      <c r="J93" s="134"/>
      <c r="L93" s="132"/>
      <c r="M93" s="134"/>
      <c r="N93" s="132"/>
      <c r="O93" s="132"/>
    </row>
    <row r="95" spans="1:15" s="132" customFormat="1" x14ac:dyDescent="0.15">
      <c r="A95" s="134"/>
      <c r="B95" s="131"/>
      <c r="D95" s="133"/>
      <c r="E95" s="133"/>
      <c r="F95" s="134"/>
      <c r="H95" s="133"/>
      <c r="J95" s="134"/>
      <c r="K95" s="133"/>
      <c r="M95" s="134"/>
    </row>
  </sheetData>
  <mergeCells count="8">
    <mergeCell ref="B62:D62"/>
    <mergeCell ref="B63:D6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98"/>
  <sheetViews>
    <sheetView zoomScale="115" zoomScaleNormal="115" workbookViewId="0">
      <pane ySplit="6" topLeftCell="A22" activePane="bottomLeft" state="frozen"/>
      <selection pane="bottomLeft" activeCell="J68" sqref="A68:J68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1586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1576</v>
      </c>
      <c r="B7" s="146"/>
      <c r="C7" s="147">
        <v>74582.555962009501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74582.555962009501</v>
      </c>
      <c r="O7" s="147">
        <f>+C61</f>
        <v>152372.35896200949</v>
      </c>
    </row>
    <row r="8" spans="1:15" x14ac:dyDescent="0.15">
      <c r="A8" s="154" t="s">
        <v>1577</v>
      </c>
      <c r="B8" s="151"/>
      <c r="C8" s="152">
        <v>77789.803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74582.555962009501</v>
      </c>
      <c r="O8" s="152">
        <f t="shared" ref="O8:O10" si="0">O7+G8-I8-L8</f>
        <v>152372.35896200949</v>
      </c>
    </row>
    <row r="9" spans="1:15" x14ac:dyDescent="0.15">
      <c r="A9" s="157"/>
      <c r="B9" s="151"/>
      <c r="C9" s="152"/>
      <c r="D9" s="154"/>
      <c r="E9" s="154"/>
      <c r="F9" s="154"/>
      <c r="G9" s="152"/>
      <c r="H9" s="154"/>
      <c r="I9" s="152"/>
      <c r="J9" s="154"/>
      <c r="K9" s="154"/>
      <c r="L9" s="227"/>
      <c r="M9" s="157"/>
      <c r="N9" s="227">
        <f t="shared" ref="N9:N10" si="1">+N8-I9-L9</f>
        <v>74582.555962009501</v>
      </c>
      <c r="O9" s="152">
        <f t="shared" si="0"/>
        <v>152372.35896200949</v>
      </c>
    </row>
    <row r="10" spans="1:15" x14ac:dyDescent="0.15">
      <c r="A10" s="154"/>
      <c r="B10" s="151"/>
      <c r="C10" s="152"/>
      <c r="D10" s="155"/>
      <c r="E10" s="154"/>
      <c r="F10" s="157"/>
      <c r="G10" s="152"/>
      <c r="H10" s="155" t="s">
        <v>1587</v>
      </c>
      <c r="I10" s="152"/>
      <c r="J10" s="154"/>
      <c r="K10" s="154" t="s">
        <v>1604</v>
      </c>
      <c r="L10" s="227">
        <v>36350.49</v>
      </c>
      <c r="M10" s="157" t="s">
        <v>1576</v>
      </c>
      <c r="N10" s="227">
        <f t="shared" si="1"/>
        <v>38232.065962009503</v>
      </c>
      <c r="O10" s="152">
        <f t="shared" si="0"/>
        <v>116021.8689620095</v>
      </c>
    </row>
    <row r="11" spans="1:15" x14ac:dyDescent="0.15">
      <c r="A11" s="154"/>
      <c r="B11" s="151"/>
      <c r="C11" s="152"/>
      <c r="D11" s="155"/>
      <c r="E11" s="154"/>
      <c r="F11" s="157"/>
      <c r="G11" s="152"/>
      <c r="H11" s="155" t="s">
        <v>1587</v>
      </c>
      <c r="I11" s="152"/>
      <c r="J11" s="154"/>
      <c r="K11" s="154" t="s">
        <v>1604</v>
      </c>
      <c r="L11" s="227">
        <v>5291.7</v>
      </c>
      <c r="M11" s="157" t="s">
        <v>1576</v>
      </c>
      <c r="N11" s="227">
        <f t="shared" ref="N11:N60" si="2">+N10-I11-L11</f>
        <v>32940.365962009506</v>
      </c>
      <c r="O11" s="152">
        <f t="shared" ref="O11:O60" si="3">O10+G11-I11-L11</f>
        <v>110730.1689620095</v>
      </c>
    </row>
    <row r="12" spans="1:15" x14ac:dyDescent="0.15">
      <c r="A12" s="154"/>
      <c r="B12" s="151"/>
      <c r="C12" s="152"/>
      <c r="D12" s="155" t="s">
        <v>1598</v>
      </c>
      <c r="E12" s="155" t="s">
        <v>72</v>
      </c>
      <c r="F12" s="157" t="s">
        <v>1600</v>
      </c>
      <c r="G12" s="152">
        <v>79876.111000000004</v>
      </c>
      <c r="H12" s="155" t="s">
        <v>1598</v>
      </c>
      <c r="I12" s="152"/>
      <c r="J12" s="154"/>
      <c r="K12" s="154"/>
      <c r="L12" s="227"/>
      <c r="M12" s="157"/>
      <c r="N12" s="227">
        <f t="shared" si="2"/>
        <v>32940.365962009506</v>
      </c>
      <c r="O12" s="152">
        <f t="shared" si="3"/>
        <v>190606.27996200952</v>
      </c>
    </row>
    <row r="13" spans="1:15" x14ac:dyDescent="0.15">
      <c r="A13" s="154"/>
      <c r="B13" s="151"/>
      <c r="C13" s="152"/>
      <c r="D13" s="155"/>
      <c r="E13" s="155"/>
      <c r="F13" s="157"/>
      <c r="G13" s="152"/>
      <c r="H13" s="155" t="s">
        <v>1588</v>
      </c>
      <c r="I13" s="152">
        <v>812.59</v>
      </c>
      <c r="J13" s="154" t="s">
        <v>1576</v>
      </c>
      <c r="K13" s="154" t="s">
        <v>1604</v>
      </c>
      <c r="L13" s="227">
        <v>32127.775962009506</v>
      </c>
      <c r="M13" s="157" t="s">
        <v>1576</v>
      </c>
      <c r="N13" s="227">
        <f t="shared" si="2"/>
        <v>0</v>
      </c>
      <c r="O13" s="152">
        <f t="shared" si="3"/>
        <v>157665.91400000002</v>
      </c>
    </row>
    <row r="14" spans="1:15" x14ac:dyDescent="0.15">
      <c r="A14" s="154"/>
      <c r="B14" s="151"/>
      <c r="C14" s="152"/>
      <c r="D14" s="155"/>
      <c r="E14" s="155"/>
      <c r="F14" s="157"/>
      <c r="G14" s="152"/>
      <c r="H14" s="155" t="s">
        <v>1588</v>
      </c>
      <c r="I14" s="152"/>
      <c r="J14" s="154"/>
      <c r="K14" s="154" t="s">
        <v>1605</v>
      </c>
      <c r="L14" s="227">
        <v>52252.014037990499</v>
      </c>
      <c r="M14" s="154" t="s">
        <v>1577</v>
      </c>
      <c r="N14" s="227">
        <f>C8+N13-I14-L14</f>
        <v>25537.788962009501</v>
      </c>
      <c r="O14" s="152">
        <f t="shared" si="3"/>
        <v>105413.89996200951</v>
      </c>
    </row>
    <row r="15" spans="1:15" x14ac:dyDescent="0.15">
      <c r="A15" s="154"/>
      <c r="B15" s="151"/>
      <c r="C15" s="152"/>
      <c r="D15" s="155" t="s">
        <v>1589</v>
      </c>
      <c r="E15" s="155" t="s">
        <v>72</v>
      </c>
      <c r="F15" s="157" t="s">
        <v>1600</v>
      </c>
      <c r="G15" s="152">
        <v>77999.235000000001</v>
      </c>
      <c r="H15" s="155" t="s">
        <v>1589</v>
      </c>
      <c r="I15" s="152"/>
      <c r="J15" s="154"/>
      <c r="K15" s="154" t="s">
        <v>1605</v>
      </c>
      <c r="L15" s="227">
        <v>1820.97</v>
      </c>
      <c r="M15" s="154" t="s">
        <v>1577</v>
      </c>
      <c r="N15" s="227">
        <f t="shared" si="2"/>
        <v>23716.8189620095</v>
      </c>
      <c r="O15" s="152">
        <f t="shared" si="3"/>
        <v>181592.1649620095</v>
      </c>
    </row>
    <row r="16" spans="1:15" x14ac:dyDescent="0.15">
      <c r="A16" s="154"/>
      <c r="B16" s="151"/>
      <c r="C16" s="152"/>
      <c r="D16" s="155" t="s">
        <v>1599</v>
      </c>
      <c r="E16" s="155" t="s">
        <v>72</v>
      </c>
      <c r="F16" s="157" t="s">
        <v>1601</v>
      </c>
      <c r="G16" s="152">
        <v>79892.652000000002</v>
      </c>
      <c r="H16" s="155" t="s">
        <v>1599</v>
      </c>
      <c r="I16" s="152"/>
      <c r="J16" s="154"/>
      <c r="K16" s="154"/>
      <c r="L16" s="227"/>
      <c r="M16" s="154"/>
      <c r="N16" s="227">
        <f t="shared" si="2"/>
        <v>23716.8189620095</v>
      </c>
      <c r="O16" s="152">
        <f t="shared" si="3"/>
        <v>261484.8169620095</v>
      </c>
    </row>
    <row r="17" spans="1:15" x14ac:dyDescent="0.15">
      <c r="A17" s="154"/>
      <c r="B17" s="151"/>
      <c r="C17" s="152"/>
      <c r="D17" s="155" t="s">
        <v>1590</v>
      </c>
      <c r="E17" s="155" t="s">
        <v>72</v>
      </c>
      <c r="F17" s="157" t="s">
        <v>1575</v>
      </c>
      <c r="G17" s="152">
        <v>43787.285000000003</v>
      </c>
      <c r="H17" s="155" t="s">
        <v>1590</v>
      </c>
      <c r="I17" s="152">
        <v>1072.3499999999999</v>
      </c>
      <c r="J17" s="154" t="s">
        <v>1577</v>
      </c>
      <c r="K17" s="154" t="s">
        <v>1605</v>
      </c>
      <c r="L17" s="227">
        <v>792.52</v>
      </c>
      <c r="M17" s="154" t="s">
        <v>1577</v>
      </c>
      <c r="N17" s="227">
        <f t="shared" si="2"/>
        <v>21851.948962009501</v>
      </c>
      <c r="O17" s="152">
        <f t="shared" si="3"/>
        <v>303407.23196200951</v>
      </c>
    </row>
    <row r="18" spans="1:15" x14ac:dyDescent="0.15">
      <c r="A18" s="154"/>
      <c r="B18" s="151"/>
      <c r="C18" s="152"/>
      <c r="D18" s="155"/>
      <c r="E18" s="155"/>
      <c r="F18" s="157"/>
      <c r="G18" s="152"/>
      <c r="H18" s="155" t="s">
        <v>1590</v>
      </c>
      <c r="I18" s="152"/>
      <c r="J18" s="154"/>
      <c r="K18" s="154" t="s">
        <v>1605</v>
      </c>
      <c r="L18" s="227">
        <v>21851.948962009501</v>
      </c>
      <c r="M18" s="154" t="s">
        <v>1577</v>
      </c>
      <c r="N18" s="227">
        <f t="shared" si="2"/>
        <v>0</v>
      </c>
      <c r="O18" s="152">
        <f t="shared" si="3"/>
        <v>281555.283</v>
      </c>
    </row>
    <row r="19" spans="1:15" x14ac:dyDescent="0.15">
      <c r="A19" s="154"/>
      <c r="B19" s="151"/>
      <c r="C19" s="152"/>
      <c r="D19" s="155"/>
      <c r="E19" s="155"/>
      <c r="F19" s="157"/>
      <c r="G19" s="152"/>
      <c r="H19" s="155" t="s">
        <v>1590</v>
      </c>
      <c r="I19" s="152"/>
      <c r="J19" s="154"/>
      <c r="K19" s="154" t="s">
        <v>1604</v>
      </c>
      <c r="L19" s="227">
        <v>41217.631037990497</v>
      </c>
      <c r="M19" s="157" t="s">
        <v>1600</v>
      </c>
      <c r="N19" s="227">
        <f>G12+G15+N18-I19-L19</f>
        <v>116657.71496200952</v>
      </c>
      <c r="O19" s="152">
        <f t="shared" si="3"/>
        <v>240337.65196200949</v>
      </c>
    </row>
    <row r="20" spans="1:15" x14ac:dyDescent="0.15">
      <c r="A20" s="154"/>
      <c r="B20" s="151"/>
      <c r="C20" s="152"/>
      <c r="D20" s="155"/>
      <c r="E20" s="155"/>
      <c r="F20" s="157"/>
      <c r="G20" s="152"/>
      <c r="H20" s="155" t="s">
        <v>1591</v>
      </c>
      <c r="I20" s="152"/>
      <c r="J20" s="154"/>
      <c r="K20" s="154" t="s">
        <v>1604</v>
      </c>
      <c r="L20" s="227">
        <v>34261.75</v>
      </c>
      <c r="M20" s="157" t="s">
        <v>1600</v>
      </c>
      <c r="N20" s="227">
        <f t="shared" si="2"/>
        <v>82395.964962009515</v>
      </c>
      <c r="O20" s="152">
        <f t="shared" si="3"/>
        <v>206075.90196200949</v>
      </c>
    </row>
    <row r="21" spans="1:15" x14ac:dyDescent="0.15">
      <c r="A21" s="154"/>
      <c r="B21" s="151"/>
      <c r="C21" s="152"/>
      <c r="D21" s="155"/>
      <c r="E21" s="155"/>
      <c r="F21" s="157"/>
      <c r="G21" s="152"/>
      <c r="H21" s="155" t="s">
        <v>1592</v>
      </c>
      <c r="I21" s="152">
        <v>748.16</v>
      </c>
      <c r="J21" s="157" t="s">
        <v>1600</v>
      </c>
      <c r="K21" s="154"/>
      <c r="L21" s="227"/>
      <c r="M21" s="157"/>
      <c r="N21" s="227">
        <f t="shared" si="2"/>
        <v>81647.804962009512</v>
      </c>
      <c r="O21" s="152">
        <f t="shared" si="3"/>
        <v>205327.74196200949</v>
      </c>
    </row>
    <row r="22" spans="1:15" x14ac:dyDescent="0.15">
      <c r="A22" s="154"/>
      <c r="B22" s="151"/>
      <c r="C22" s="152"/>
      <c r="D22" s="155"/>
      <c r="E22" s="155"/>
      <c r="F22" s="157"/>
      <c r="G22" s="152"/>
      <c r="H22" s="155" t="s">
        <v>1593</v>
      </c>
      <c r="I22" s="152"/>
      <c r="J22" s="154"/>
      <c r="K22" s="154" t="s">
        <v>1604</v>
      </c>
      <c r="L22" s="227">
        <v>776.53</v>
      </c>
      <c r="M22" s="157" t="s">
        <v>1600</v>
      </c>
      <c r="N22" s="227">
        <f t="shared" si="2"/>
        <v>80871.274962009513</v>
      </c>
      <c r="O22" s="152">
        <f t="shared" si="3"/>
        <v>204551.21196200949</v>
      </c>
    </row>
    <row r="23" spans="1:15" x14ac:dyDescent="0.15">
      <c r="A23" s="154"/>
      <c r="B23" s="151"/>
      <c r="C23" s="152"/>
      <c r="D23" s="155"/>
      <c r="E23" s="155"/>
      <c r="F23" s="157"/>
      <c r="G23" s="152"/>
      <c r="H23" s="155" t="s">
        <v>1594</v>
      </c>
      <c r="I23" s="152">
        <v>3580.99</v>
      </c>
      <c r="J23" s="157" t="s">
        <v>1600</v>
      </c>
      <c r="K23" s="154"/>
      <c r="L23" s="227"/>
      <c r="M23" s="157"/>
      <c r="N23" s="227">
        <f t="shared" si="2"/>
        <v>77290.284962009508</v>
      </c>
      <c r="O23" s="152">
        <f t="shared" si="3"/>
        <v>200970.2219620095</v>
      </c>
    </row>
    <row r="24" spans="1:15" x14ac:dyDescent="0.15">
      <c r="A24" s="154"/>
      <c r="B24" s="151"/>
      <c r="C24" s="152"/>
      <c r="D24" s="155"/>
      <c r="E24" s="155"/>
      <c r="F24" s="157"/>
      <c r="G24" s="152"/>
      <c r="H24" s="155" t="s">
        <v>1594</v>
      </c>
      <c r="I24" s="152">
        <v>1346.5</v>
      </c>
      <c r="J24" s="157" t="s">
        <v>1600</v>
      </c>
      <c r="K24" s="154"/>
      <c r="L24" s="227"/>
      <c r="M24" s="154"/>
      <c r="N24" s="227">
        <f t="shared" si="2"/>
        <v>75943.784962009508</v>
      </c>
      <c r="O24" s="152">
        <f t="shared" si="3"/>
        <v>199623.7219620095</v>
      </c>
    </row>
    <row r="25" spans="1:15" x14ac:dyDescent="0.15">
      <c r="A25" s="154"/>
      <c r="B25" s="151"/>
      <c r="C25" s="152"/>
      <c r="D25" s="155"/>
      <c r="E25" s="155"/>
      <c r="F25" s="157"/>
      <c r="G25" s="152"/>
      <c r="H25" s="155" t="s">
        <v>1594</v>
      </c>
      <c r="I25" s="152">
        <v>1493.66</v>
      </c>
      <c r="J25" s="157" t="s">
        <v>1600</v>
      </c>
      <c r="K25" s="154"/>
      <c r="L25" s="227"/>
      <c r="M25" s="154"/>
      <c r="N25" s="227">
        <f t="shared" si="2"/>
        <v>74450.124962009504</v>
      </c>
      <c r="O25" s="152">
        <f t="shared" si="3"/>
        <v>198130.06196200949</v>
      </c>
    </row>
    <row r="26" spans="1:15" x14ac:dyDescent="0.15">
      <c r="A26" s="154"/>
      <c r="B26" s="151"/>
      <c r="C26" s="152"/>
      <c r="D26" s="155"/>
      <c r="E26" s="155"/>
      <c r="F26" s="157"/>
      <c r="G26" s="152"/>
      <c r="H26" s="155" t="s">
        <v>1595</v>
      </c>
      <c r="I26" s="152"/>
      <c r="J26" s="154"/>
      <c r="K26" s="154" t="s">
        <v>1604</v>
      </c>
      <c r="L26" s="227">
        <v>706.79</v>
      </c>
      <c r="M26" s="157" t="s">
        <v>1600</v>
      </c>
      <c r="N26" s="227">
        <f t="shared" si="2"/>
        <v>73743.33496200951</v>
      </c>
      <c r="O26" s="152">
        <f t="shared" si="3"/>
        <v>197423.27196200949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1596</v>
      </c>
      <c r="I27" s="152">
        <v>680</v>
      </c>
      <c r="J27" s="157" t="s">
        <v>1600</v>
      </c>
      <c r="K27" s="154"/>
      <c r="L27" s="227"/>
      <c r="M27" s="157"/>
      <c r="N27" s="227">
        <f t="shared" si="2"/>
        <v>73063.33496200951</v>
      </c>
      <c r="O27" s="152">
        <f t="shared" si="3"/>
        <v>196743.27196200949</v>
      </c>
    </row>
    <row r="28" spans="1:15" x14ac:dyDescent="0.15">
      <c r="A28" s="154"/>
      <c r="B28" s="151"/>
      <c r="C28" s="152"/>
      <c r="D28" s="155"/>
      <c r="E28" s="155"/>
      <c r="F28" s="157"/>
      <c r="G28" s="152"/>
      <c r="H28" s="155" t="s">
        <v>1597</v>
      </c>
      <c r="I28" s="152"/>
      <c r="J28" s="154"/>
      <c r="K28" s="154" t="s">
        <v>1604</v>
      </c>
      <c r="L28" s="227">
        <v>34379.06</v>
      </c>
      <c r="M28" s="157" t="s">
        <v>1600</v>
      </c>
      <c r="N28" s="227">
        <f t="shared" si="2"/>
        <v>38684.274962009513</v>
      </c>
      <c r="O28" s="152">
        <f t="shared" si="3"/>
        <v>162364.21196200949</v>
      </c>
    </row>
    <row r="29" spans="1:15" hidden="1" x14ac:dyDescent="0.15">
      <c r="A29" s="154"/>
      <c r="B29" s="151"/>
      <c r="C29" s="152"/>
      <c r="D29" s="155"/>
      <c r="E29" s="155"/>
      <c r="F29" s="157"/>
      <c r="G29" s="152"/>
      <c r="H29" s="155"/>
      <c r="I29" s="152"/>
      <c r="J29" s="157"/>
      <c r="K29" s="154"/>
      <c r="L29" s="227"/>
      <c r="M29" s="157"/>
      <c r="N29" s="227">
        <f t="shared" si="2"/>
        <v>38684.274962009513</v>
      </c>
      <c r="O29" s="152">
        <f t="shared" si="3"/>
        <v>162364.21196200949</v>
      </c>
    </row>
    <row r="30" spans="1:15" hidden="1" x14ac:dyDescent="0.15">
      <c r="A30" s="154"/>
      <c r="B30" s="151"/>
      <c r="C30" s="152"/>
      <c r="D30" s="155"/>
      <c r="E30" s="155"/>
      <c r="F30" s="157"/>
      <c r="G30" s="152"/>
      <c r="H30" s="155"/>
      <c r="I30" s="152"/>
      <c r="J30" s="157"/>
      <c r="K30" s="154"/>
      <c r="L30" s="227"/>
      <c r="M30" s="157"/>
      <c r="N30" s="227">
        <f t="shared" si="2"/>
        <v>38684.274962009513</v>
      </c>
      <c r="O30" s="152">
        <f t="shared" si="3"/>
        <v>162364.21196200949</v>
      </c>
    </row>
    <row r="31" spans="1:15" hidden="1" x14ac:dyDescent="0.15">
      <c r="A31" s="154"/>
      <c r="B31" s="151"/>
      <c r="C31" s="152"/>
      <c r="D31" s="155"/>
      <c r="E31" s="155"/>
      <c r="F31" s="157"/>
      <c r="G31" s="152"/>
      <c r="H31" s="155"/>
      <c r="I31" s="152"/>
      <c r="J31" s="157"/>
      <c r="K31" s="154"/>
      <c r="L31" s="227"/>
      <c r="M31" s="157"/>
      <c r="N31" s="227">
        <f t="shared" si="2"/>
        <v>38684.274962009513</v>
      </c>
      <c r="O31" s="152">
        <f t="shared" si="3"/>
        <v>162364.21196200949</v>
      </c>
    </row>
    <row r="32" spans="1:15" hidden="1" x14ac:dyDescent="0.15">
      <c r="A32" s="154"/>
      <c r="B32" s="151"/>
      <c r="C32" s="152"/>
      <c r="D32" s="155"/>
      <c r="E32" s="155"/>
      <c r="F32" s="157"/>
      <c r="G32" s="152"/>
      <c r="H32" s="155"/>
      <c r="I32" s="152"/>
      <c r="J32" s="154"/>
      <c r="K32" s="154"/>
      <c r="L32" s="227"/>
      <c r="M32" s="157"/>
      <c r="N32" s="227">
        <f t="shared" si="2"/>
        <v>38684.274962009513</v>
      </c>
      <c r="O32" s="152">
        <f t="shared" si="3"/>
        <v>162364.21196200949</v>
      </c>
    </row>
    <row r="33" spans="1:15" hidden="1" x14ac:dyDescent="0.15">
      <c r="A33" s="154"/>
      <c r="B33" s="151"/>
      <c r="C33" s="152"/>
      <c r="D33" s="155"/>
      <c r="E33" s="155"/>
      <c r="F33" s="157"/>
      <c r="G33" s="152"/>
      <c r="H33" s="155"/>
      <c r="I33" s="152"/>
      <c r="J33" s="157"/>
      <c r="K33" s="154"/>
      <c r="L33" s="227"/>
      <c r="M33" s="157"/>
      <c r="N33" s="227">
        <f t="shared" si="2"/>
        <v>38684.274962009513</v>
      </c>
      <c r="O33" s="152">
        <f t="shared" si="3"/>
        <v>162364.21196200949</v>
      </c>
    </row>
    <row r="34" spans="1:15" hidden="1" x14ac:dyDescent="0.15">
      <c r="A34" s="154"/>
      <c r="B34" s="151"/>
      <c r="C34" s="152"/>
      <c r="D34" s="155"/>
      <c r="E34" s="155"/>
      <c r="F34" s="157"/>
      <c r="G34" s="152"/>
      <c r="H34" s="155"/>
      <c r="I34" s="152"/>
      <c r="J34" s="157"/>
      <c r="K34" s="154"/>
      <c r="L34" s="227"/>
      <c r="M34" s="157"/>
      <c r="N34" s="227">
        <f t="shared" si="2"/>
        <v>38684.274962009513</v>
      </c>
      <c r="O34" s="152">
        <f t="shared" si="3"/>
        <v>162364.21196200949</v>
      </c>
    </row>
    <row r="35" spans="1:15" hidden="1" x14ac:dyDescent="0.15">
      <c r="A35" s="154"/>
      <c r="B35" s="151"/>
      <c r="C35" s="152"/>
      <c r="D35" s="155"/>
      <c r="E35" s="155"/>
      <c r="F35" s="157"/>
      <c r="G35" s="152"/>
      <c r="H35" s="155"/>
      <c r="I35" s="152"/>
      <c r="J35" s="157"/>
      <c r="K35" s="154"/>
      <c r="L35" s="227"/>
      <c r="M35" s="157"/>
      <c r="N35" s="227">
        <f t="shared" si="2"/>
        <v>38684.274962009513</v>
      </c>
      <c r="O35" s="152">
        <f t="shared" si="3"/>
        <v>162364.21196200949</v>
      </c>
    </row>
    <row r="36" spans="1:15" hidden="1" x14ac:dyDescent="0.15">
      <c r="A36" s="154"/>
      <c r="B36" s="151"/>
      <c r="C36" s="152"/>
      <c r="D36" s="155"/>
      <c r="E36" s="155"/>
      <c r="F36" s="157"/>
      <c r="G36" s="152"/>
      <c r="H36" s="155"/>
      <c r="I36" s="152"/>
      <c r="J36" s="157"/>
      <c r="K36" s="154"/>
      <c r="L36" s="227"/>
      <c r="M36" s="157"/>
      <c r="N36" s="227">
        <f t="shared" si="2"/>
        <v>38684.274962009513</v>
      </c>
      <c r="O36" s="152">
        <f t="shared" si="3"/>
        <v>162364.21196200949</v>
      </c>
    </row>
    <row r="37" spans="1:15" hidden="1" x14ac:dyDescent="0.15">
      <c r="A37" s="154"/>
      <c r="B37" s="151"/>
      <c r="C37" s="152"/>
      <c r="D37" s="155"/>
      <c r="E37" s="155"/>
      <c r="F37" s="157"/>
      <c r="G37" s="152"/>
      <c r="H37" s="155"/>
      <c r="I37" s="152"/>
      <c r="J37" s="154"/>
      <c r="K37" s="154"/>
      <c r="L37" s="227"/>
      <c r="M37" s="157"/>
      <c r="N37" s="227">
        <f t="shared" si="2"/>
        <v>38684.274962009513</v>
      </c>
      <c r="O37" s="152">
        <f t="shared" si="3"/>
        <v>162364.21196200949</v>
      </c>
    </row>
    <row r="38" spans="1:15" hidden="1" x14ac:dyDescent="0.15">
      <c r="A38" s="154"/>
      <c r="B38" s="151"/>
      <c r="C38" s="152"/>
      <c r="D38" s="155"/>
      <c r="E38" s="155"/>
      <c r="F38" s="157"/>
      <c r="G38" s="152"/>
      <c r="H38" s="155"/>
      <c r="I38" s="152"/>
      <c r="J38" s="154"/>
      <c r="K38" s="154"/>
      <c r="L38" s="227"/>
      <c r="M38" s="157"/>
      <c r="N38" s="227">
        <f t="shared" si="2"/>
        <v>38684.274962009513</v>
      </c>
      <c r="O38" s="152">
        <f t="shared" si="3"/>
        <v>162364.21196200949</v>
      </c>
    </row>
    <row r="39" spans="1:15" hidden="1" x14ac:dyDescent="0.15">
      <c r="A39" s="154"/>
      <c r="B39" s="151"/>
      <c r="C39" s="152"/>
      <c r="D39" s="155"/>
      <c r="E39" s="155"/>
      <c r="F39" s="157"/>
      <c r="G39" s="152"/>
      <c r="H39" s="155"/>
      <c r="I39" s="152"/>
      <c r="J39" s="157"/>
      <c r="K39" s="154"/>
      <c r="L39" s="227"/>
      <c r="M39" s="157"/>
      <c r="N39" s="227">
        <f t="shared" si="2"/>
        <v>38684.274962009513</v>
      </c>
      <c r="O39" s="152">
        <f t="shared" si="3"/>
        <v>162364.21196200949</v>
      </c>
    </row>
    <row r="40" spans="1:15" hidden="1" x14ac:dyDescent="0.15">
      <c r="A40" s="154"/>
      <c r="B40" s="151"/>
      <c r="C40" s="152"/>
      <c r="D40" s="155"/>
      <c r="E40" s="155"/>
      <c r="F40" s="157"/>
      <c r="G40" s="152"/>
      <c r="H40" s="155"/>
      <c r="I40" s="152"/>
      <c r="J40" s="157"/>
      <c r="K40" s="154"/>
      <c r="L40" s="227"/>
      <c r="M40" s="157"/>
      <c r="N40" s="227">
        <f t="shared" si="2"/>
        <v>38684.274962009513</v>
      </c>
      <c r="O40" s="152">
        <f t="shared" si="3"/>
        <v>162364.21196200949</v>
      </c>
    </row>
    <row r="41" spans="1:15" hidden="1" x14ac:dyDescent="0.15">
      <c r="A41" s="154"/>
      <c r="B41" s="151"/>
      <c r="C41" s="152"/>
      <c r="D41" s="155"/>
      <c r="E41" s="155"/>
      <c r="F41" s="157"/>
      <c r="G41" s="152"/>
      <c r="H41" s="155"/>
      <c r="I41" s="152"/>
      <c r="J41" s="157"/>
      <c r="K41" s="154"/>
      <c r="L41" s="227"/>
      <c r="M41" s="157"/>
      <c r="N41" s="227">
        <f t="shared" si="2"/>
        <v>38684.274962009513</v>
      </c>
      <c r="O41" s="152">
        <f t="shared" si="3"/>
        <v>162364.21196200949</v>
      </c>
    </row>
    <row r="42" spans="1:15" hidden="1" x14ac:dyDescent="0.15">
      <c r="A42" s="154"/>
      <c r="B42" s="151"/>
      <c r="C42" s="152"/>
      <c r="D42" s="155"/>
      <c r="E42" s="155"/>
      <c r="F42" s="157"/>
      <c r="G42" s="152"/>
      <c r="H42" s="155"/>
      <c r="I42" s="152"/>
      <c r="J42" s="157"/>
      <c r="K42" s="154"/>
      <c r="L42" s="227"/>
      <c r="M42" s="157"/>
      <c r="N42" s="227">
        <f t="shared" si="2"/>
        <v>38684.274962009513</v>
      </c>
      <c r="O42" s="152">
        <f t="shared" si="3"/>
        <v>162364.21196200949</v>
      </c>
    </row>
    <row r="43" spans="1:15" hidden="1" x14ac:dyDescent="0.15">
      <c r="A43" s="154"/>
      <c r="B43" s="151"/>
      <c r="C43" s="152"/>
      <c r="D43" s="155"/>
      <c r="E43" s="155"/>
      <c r="F43" s="157"/>
      <c r="G43" s="152"/>
      <c r="H43" s="155"/>
      <c r="I43" s="152"/>
      <c r="J43" s="157"/>
      <c r="K43" s="154"/>
      <c r="L43" s="227"/>
      <c r="M43" s="157"/>
      <c r="N43" s="227">
        <f t="shared" si="2"/>
        <v>38684.274962009513</v>
      </c>
      <c r="O43" s="152">
        <f t="shared" si="3"/>
        <v>162364.21196200949</v>
      </c>
    </row>
    <row r="44" spans="1:15" hidden="1" x14ac:dyDescent="0.15">
      <c r="A44" s="154"/>
      <c r="B44" s="151"/>
      <c r="C44" s="152"/>
      <c r="D44" s="155"/>
      <c r="E44" s="155"/>
      <c r="F44" s="157"/>
      <c r="G44" s="152"/>
      <c r="H44" s="155"/>
      <c r="I44" s="152"/>
      <c r="J44" s="154"/>
      <c r="K44" s="154"/>
      <c r="L44" s="227"/>
      <c r="M44" s="157"/>
      <c r="N44" s="227">
        <f t="shared" si="2"/>
        <v>38684.274962009513</v>
      </c>
      <c r="O44" s="152">
        <f t="shared" si="3"/>
        <v>162364.21196200949</v>
      </c>
    </row>
    <row r="45" spans="1:15" hidden="1" x14ac:dyDescent="0.15">
      <c r="A45" s="154"/>
      <c r="B45" s="151"/>
      <c r="C45" s="152"/>
      <c r="D45" s="155"/>
      <c r="E45" s="155"/>
      <c r="F45" s="157"/>
      <c r="G45" s="152"/>
      <c r="H45" s="155"/>
      <c r="I45" s="152"/>
      <c r="J45" s="154"/>
      <c r="K45" s="154"/>
      <c r="L45" s="227"/>
      <c r="M45" s="157"/>
      <c r="N45" s="227">
        <f t="shared" si="2"/>
        <v>38684.274962009513</v>
      </c>
      <c r="O45" s="152">
        <f t="shared" si="3"/>
        <v>162364.21196200949</v>
      </c>
    </row>
    <row r="46" spans="1:15" hidden="1" x14ac:dyDescent="0.15">
      <c r="A46" s="154"/>
      <c r="B46" s="151"/>
      <c r="C46" s="152"/>
      <c r="D46" s="155"/>
      <c r="E46" s="155"/>
      <c r="F46" s="157"/>
      <c r="G46" s="152"/>
      <c r="H46" s="155"/>
      <c r="I46" s="152"/>
      <c r="J46" s="154"/>
      <c r="K46" s="154"/>
      <c r="L46" s="227"/>
      <c r="M46" s="157"/>
      <c r="N46" s="227">
        <f t="shared" si="2"/>
        <v>38684.274962009513</v>
      </c>
      <c r="O46" s="152">
        <f t="shared" si="3"/>
        <v>162364.21196200949</v>
      </c>
    </row>
    <row r="47" spans="1:15" hidden="1" x14ac:dyDescent="0.15">
      <c r="A47" s="154"/>
      <c r="B47" s="151"/>
      <c r="C47" s="152"/>
      <c r="D47" s="155"/>
      <c r="E47" s="155"/>
      <c r="F47" s="157"/>
      <c r="G47" s="152"/>
      <c r="H47" s="155"/>
      <c r="I47" s="152"/>
      <c r="J47" s="157"/>
      <c r="K47" s="154"/>
      <c r="L47" s="227"/>
      <c r="M47" s="157"/>
      <c r="N47" s="227">
        <f t="shared" si="2"/>
        <v>38684.274962009513</v>
      </c>
      <c r="O47" s="152">
        <f t="shared" si="3"/>
        <v>162364.21196200949</v>
      </c>
    </row>
    <row r="48" spans="1:15" hidden="1" x14ac:dyDescent="0.15">
      <c r="A48" s="154"/>
      <c r="B48" s="151"/>
      <c r="C48" s="152"/>
      <c r="D48" s="155"/>
      <c r="E48" s="155"/>
      <c r="F48" s="157"/>
      <c r="G48" s="152"/>
      <c r="H48" s="155"/>
      <c r="I48" s="152"/>
      <c r="J48" s="154"/>
      <c r="K48" s="154"/>
      <c r="L48" s="227"/>
      <c r="M48" s="157"/>
      <c r="N48" s="227">
        <f t="shared" si="2"/>
        <v>38684.274962009513</v>
      </c>
      <c r="O48" s="152">
        <f t="shared" si="3"/>
        <v>162364.21196200949</v>
      </c>
    </row>
    <row r="49" spans="1:15" hidden="1" x14ac:dyDescent="0.15">
      <c r="A49" s="154"/>
      <c r="B49" s="151"/>
      <c r="C49" s="152"/>
      <c r="D49" s="155"/>
      <c r="E49" s="155"/>
      <c r="F49" s="157"/>
      <c r="G49" s="152"/>
      <c r="H49" s="155"/>
      <c r="I49" s="152"/>
      <c r="J49" s="157"/>
      <c r="K49" s="154"/>
      <c r="L49" s="227"/>
      <c r="M49" s="157"/>
      <c r="N49" s="227">
        <f t="shared" si="2"/>
        <v>38684.274962009513</v>
      </c>
      <c r="O49" s="152">
        <f t="shared" si="3"/>
        <v>162364.21196200949</v>
      </c>
    </row>
    <row r="50" spans="1:15" hidden="1" x14ac:dyDescent="0.15">
      <c r="A50" s="154"/>
      <c r="B50" s="151"/>
      <c r="C50" s="151"/>
      <c r="D50" s="155"/>
      <c r="E50" s="155"/>
      <c r="F50" s="157"/>
      <c r="G50" s="152"/>
      <c r="H50" s="155"/>
      <c r="I50" s="152"/>
      <c r="J50" s="154"/>
      <c r="K50" s="154"/>
      <c r="L50" s="227"/>
      <c r="M50" s="157"/>
      <c r="N50" s="227">
        <f t="shared" si="2"/>
        <v>38684.274962009513</v>
      </c>
      <c r="O50" s="152">
        <f t="shared" si="3"/>
        <v>162364.21196200949</v>
      </c>
    </row>
    <row r="51" spans="1:15" hidden="1" x14ac:dyDescent="0.15">
      <c r="A51" s="154"/>
      <c r="B51" s="151"/>
      <c r="C51" s="151"/>
      <c r="D51" s="155"/>
      <c r="E51" s="155"/>
      <c r="F51" s="157"/>
      <c r="G51" s="152"/>
      <c r="H51" s="155"/>
      <c r="I51" s="152"/>
      <c r="J51" s="154"/>
      <c r="K51" s="154"/>
      <c r="L51" s="227"/>
      <c r="M51" s="157"/>
      <c r="N51" s="227">
        <f t="shared" si="2"/>
        <v>38684.274962009513</v>
      </c>
      <c r="O51" s="152">
        <f t="shared" si="3"/>
        <v>162364.21196200949</v>
      </c>
    </row>
    <row r="52" spans="1:15" hidden="1" x14ac:dyDescent="0.15">
      <c r="A52" s="154"/>
      <c r="B52" s="151"/>
      <c r="C52" s="151"/>
      <c r="D52" s="155"/>
      <c r="E52" s="155"/>
      <c r="F52" s="157"/>
      <c r="G52" s="152"/>
      <c r="H52" s="155"/>
      <c r="I52" s="152"/>
      <c r="J52" s="154"/>
      <c r="K52" s="154"/>
      <c r="L52" s="227"/>
      <c r="M52" s="157"/>
      <c r="N52" s="227">
        <f t="shared" si="2"/>
        <v>38684.274962009513</v>
      </c>
      <c r="O52" s="152">
        <f t="shared" si="3"/>
        <v>162364.21196200949</v>
      </c>
    </row>
    <row r="53" spans="1:15" hidden="1" x14ac:dyDescent="0.15">
      <c r="A53" s="154"/>
      <c r="B53" s="151"/>
      <c r="C53" s="151"/>
      <c r="D53" s="155"/>
      <c r="E53" s="155"/>
      <c r="F53" s="157"/>
      <c r="G53" s="152"/>
      <c r="H53" s="155"/>
      <c r="I53" s="152"/>
      <c r="J53" s="154"/>
      <c r="K53" s="154"/>
      <c r="L53" s="227"/>
      <c r="M53" s="157"/>
      <c r="N53" s="227">
        <f t="shared" si="2"/>
        <v>38684.274962009513</v>
      </c>
      <c r="O53" s="152">
        <f t="shared" si="3"/>
        <v>162364.21196200949</v>
      </c>
    </row>
    <row r="54" spans="1:15" hidden="1" x14ac:dyDescent="0.15">
      <c r="A54" s="154"/>
      <c r="B54" s="151"/>
      <c r="C54" s="151"/>
      <c r="D54" s="155"/>
      <c r="E54" s="155"/>
      <c r="F54" s="157"/>
      <c r="G54" s="152"/>
      <c r="H54" s="155"/>
      <c r="I54" s="152"/>
      <c r="J54" s="154"/>
      <c r="K54" s="154"/>
      <c r="L54" s="227"/>
      <c r="M54" s="157"/>
      <c r="N54" s="227">
        <f t="shared" si="2"/>
        <v>38684.274962009513</v>
      </c>
      <c r="O54" s="152">
        <f t="shared" si="3"/>
        <v>162364.21196200949</v>
      </c>
    </row>
    <row r="55" spans="1:15" hidden="1" x14ac:dyDescent="0.15">
      <c r="A55" s="154"/>
      <c r="B55" s="151"/>
      <c r="C55" s="151"/>
      <c r="D55" s="155"/>
      <c r="E55" s="154"/>
      <c r="F55" s="291"/>
      <c r="G55" s="152"/>
      <c r="H55" s="155"/>
      <c r="I55" s="152"/>
      <c r="J55" s="291"/>
      <c r="K55" s="154"/>
      <c r="L55" s="227"/>
      <c r="M55" s="157"/>
      <c r="N55" s="227">
        <f t="shared" si="2"/>
        <v>38684.274962009513</v>
      </c>
      <c r="O55" s="152">
        <f t="shared" si="3"/>
        <v>162364.21196200949</v>
      </c>
    </row>
    <row r="56" spans="1:15" hidden="1" x14ac:dyDescent="0.15">
      <c r="A56" s="154"/>
      <c r="B56" s="151"/>
      <c r="C56" s="151"/>
      <c r="D56" s="155"/>
      <c r="E56" s="154"/>
      <c r="F56" s="291"/>
      <c r="G56" s="152"/>
      <c r="H56" s="155"/>
      <c r="I56" s="152"/>
      <c r="J56" s="157"/>
      <c r="K56" s="154"/>
      <c r="L56" s="227"/>
      <c r="M56" s="157"/>
      <c r="N56" s="227">
        <f t="shared" si="2"/>
        <v>38684.274962009513</v>
      </c>
      <c r="O56" s="152">
        <f t="shared" si="3"/>
        <v>162364.21196200949</v>
      </c>
    </row>
    <row r="57" spans="1:15" hidden="1" x14ac:dyDescent="0.15">
      <c r="A57" s="154"/>
      <c r="B57" s="151"/>
      <c r="C57" s="151"/>
      <c r="D57" s="152"/>
      <c r="E57" s="154"/>
      <c r="F57" s="157"/>
      <c r="G57" s="152"/>
      <c r="H57" s="155"/>
      <c r="I57" s="152"/>
      <c r="J57" s="154"/>
      <c r="K57" s="154"/>
      <c r="L57" s="227"/>
      <c r="M57" s="157"/>
      <c r="N57" s="227">
        <f t="shared" si="2"/>
        <v>38684.274962009513</v>
      </c>
      <c r="O57" s="152">
        <f t="shared" si="3"/>
        <v>162364.21196200949</v>
      </c>
    </row>
    <row r="58" spans="1:15" hidden="1" x14ac:dyDescent="0.15">
      <c r="A58" s="154"/>
      <c r="B58" s="151"/>
      <c r="C58" s="151"/>
      <c r="D58" s="152"/>
      <c r="E58" s="155"/>
      <c r="F58" s="157"/>
      <c r="G58" s="152"/>
      <c r="H58" s="155"/>
      <c r="I58" s="152"/>
      <c r="J58" s="157"/>
      <c r="K58" s="154"/>
      <c r="L58" s="227"/>
      <c r="M58" s="157"/>
      <c r="N58" s="227">
        <f t="shared" si="2"/>
        <v>38684.274962009513</v>
      </c>
      <c r="O58" s="152">
        <f t="shared" si="3"/>
        <v>162364.21196200949</v>
      </c>
    </row>
    <row r="59" spans="1:15" hidden="1" x14ac:dyDescent="0.15">
      <c r="A59" s="154"/>
      <c r="B59" s="151"/>
      <c r="C59" s="151"/>
      <c r="D59" s="152"/>
      <c r="E59" s="154"/>
      <c r="F59" s="160"/>
      <c r="G59" s="152"/>
      <c r="H59" s="155"/>
      <c r="I59" s="152"/>
      <c r="J59" s="150"/>
      <c r="K59" s="154"/>
      <c r="L59" s="227"/>
      <c r="M59" s="157"/>
      <c r="N59" s="227">
        <f t="shared" si="2"/>
        <v>38684.274962009513</v>
      </c>
      <c r="O59" s="152">
        <f t="shared" si="3"/>
        <v>162364.21196200949</v>
      </c>
    </row>
    <row r="60" spans="1:15" x14ac:dyDescent="0.15">
      <c r="A60" s="173"/>
      <c r="B60" s="173"/>
      <c r="C60" s="174"/>
      <c r="D60" s="175"/>
      <c r="E60" s="173"/>
      <c r="F60" s="173"/>
      <c r="G60" s="174"/>
      <c r="H60" s="175"/>
      <c r="I60" s="174"/>
      <c r="J60" s="173"/>
      <c r="K60" s="154"/>
      <c r="L60" s="228"/>
      <c r="M60" s="173"/>
      <c r="N60" s="227">
        <f t="shared" si="2"/>
        <v>38684.274962009513</v>
      </c>
      <c r="O60" s="152">
        <f t="shared" si="3"/>
        <v>162364.21196200949</v>
      </c>
    </row>
    <row r="61" spans="1:15" x14ac:dyDescent="0.15">
      <c r="A61" s="177"/>
      <c r="B61" s="177"/>
      <c r="C61" s="178">
        <f>SUM(C7:C59)</f>
        <v>152372.35896200949</v>
      </c>
      <c r="D61" s="177"/>
      <c r="E61" s="177"/>
      <c r="F61" s="177"/>
      <c r="G61" s="178">
        <f>SUM(G7:G59)</f>
        <v>281555.28300000005</v>
      </c>
      <c r="H61" s="179"/>
      <c r="I61" s="178">
        <f>SUM(I7:I59)</f>
        <v>9734.25</v>
      </c>
      <c r="J61" s="177"/>
      <c r="K61" s="177"/>
      <c r="L61" s="229">
        <f>SUM(L9:L59)</f>
        <v>261829.18000000002</v>
      </c>
      <c r="M61" s="177"/>
      <c r="N61" s="180"/>
      <c r="O61" s="181">
        <f>C61+G61-I61-L61</f>
        <v>162364.21196200952</v>
      </c>
    </row>
    <row r="62" spans="1:15" x14ac:dyDescent="0.15">
      <c r="A62" s="182"/>
      <c r="B62" s="465"/>
      <c r="C62" s="465"/>
      <c r="D62" s="465"/>
      <c r="E62" s="183"/>
      <c r="F62" s="284"/>
      <c r="G62" s="185"/>
      <c r="H62" s="186"/>
      <c r="I62" s="187"/>
      <c r="J62" s="188"/>
      <c r="K62" s="189" t="s">
        <v>139</v>
      </c>
      <c r="L62" s="190">
        <f>+L61+I61</f>
        <v>271563.43000000005</v>
      </c>
      <c r="M62" s="197"/>
      <c r="N62" s="230">
        <f>+N60</f>
        <v>38684.274962009513</v>
      </c>
      <c r="O62" s="157" t="s">
        <v>1600</v>
      </c>
    </row>
    <row r="63" spans="1:15" x14ac:dyDescent="0.15">
      <c r="A63" s="193"/>
      <c r="B63" s="470"/>
      <c r="C63" s="470"/>
      <c r="D63" s="470"/>
      <c r="E63" s="183"/>
      <c r="F63" s="309"/>
      <c r="G63" s="219"/>
      <c r="H63" s="186"/>
      <c r="I63" s="187"/>
      <c r="J63" s="210"/>
      <c r="K63" s="210"/>
      <c r="N63" s="230">
        <f>+G16</f>
        <v>79892.652000000002</v>
      </c>
      <c r="O63" s="195" t="s">
        <v>1601</v>
      </c>
    </row>
    <row r="64" spans="1:15" x14ac:dyDescent="0.15">
      <c r="A64" s="193" t="s">
        <v>1576</v>
      </c>
      <c r="B64" s="310" t="s">
        <v>1579</v>
      </c>
      <c r="E64" s="183" t="s">
        <v>55</v>
      </c>
      <c r="F64" s="309">
        <v>676891.56</v>
      </c>
      <c r="G64" s="219" t="s">
        <v>56</v>
      </c>
      <c r="H64" s="186">
        <v>41373</v>
      </c>
      <c r="I64" s="187" t="s">
        <v>71</v>
      </c>
      <c r="J64" s="210">
        <v>73769.965962009504</v>
      </c>
      <c r="K64" s="210"/>
      <c r="N64" s="230">
        <f>+G17</f>
        <v>43787.285000000003</v>
      </c>
      <c r="O64" s="195" t="s">
        <v>1575</v>
      </c>
    </row>
    <row r="65" spans="1:15" x14ac:dyDescent="0.15">
      <c r="A65" s="193" t="s">
        <v>1600</v>
      </c>
      <c r="B65" s="310" t="s">
        <v>1602</v>
      </c>
      <c r="E65" s="183" t="s">
        <v>55</v>
      </c>
      <c r="F65" s="309">
        <v>2001585.23</v>
      </c>
      <c r="G65" s="219" t="s">
        <v>56</v>
      </c>
      <c r="H65" s="186">
        <v>41390</v>
      </c>
      <c r="I65" s="187" t="s">
        <v>71</v>
      </c>
      <c r="J65" s="210">
        <v>111341.76103799049</v>
      </c>
      <c r="K65" s="210"/>
      <c r="N65" s="230"/>
      <c r="O65" s="195"/>
    </row>
    <row r="66" spans="1:15" ht="12" thickBot="1" x14ac:dyDescent="0.2">
      <c r="A66" s="133"/>
      <c r="B66" s="307"/>
      <c r="C66" s="307"/>
      <c r="D66" s="307"/>
      <c r="E66" s="183"/>
      <c r="F66" s="308"/>
      <c r="G66" s="219"/>
      <c r="H66" s="186"/>
      <c r="I66" s="217" t="s">
        <v>856</v>
      </c>
      <c r="J66" s="211">
        <f>SUM(J64:J65)</f>
        <v>185111.72700000001</v>
      </c>
      <c r="K66" s="210"/>
      <c r="N66" s="230"/>
      <c r="O66" s="195"/>
    </row>
    <row r="67" spans="1:15" ht="12" thickTop="1" x14ac:dyDescent="0.15">
      <c r="A67" s="133" t="s">
        <v>1577</v>
      </c>
      <c r="B67" s="131" t="s">
        <v>1603</v>
      </c>
      <c r="E67" s="183" t="s">
        <v>55</v>
      </c>
      <c r="F67" s="309">
        <v>20845213.399999999</v>
      </c>
      <c r="G67" s="219" t="s">
        <v>56</v>
      </c>
      <c r="H67" s="186">
        <v>41375</v>
      </c>
      <c r="I67" s="187" t="s">
        <v>71</v>
      </c>
      <c r="J67" s="210">
        <v>76717.452999999994</v>
      </c>
      <c r="N67" s="230"/>
      <c r="O67" s="195"/>
    </row>
    <row r="68" spans="1:15" ht="12" thickBot="1" x14ac:dyDescent="0.2">
      <c r="A68" s="193"/>
      <c r="B68" s="210"/>
      <c r="C68" s="221"/>
      <c r="D68" s="237"/>
      <c r="E68" s="235"/>
      <c r="F68" s="235"/>
      <c r="I68" s="218" t="s">
        <v>106</v>
      </c>
      <c r="J68" s="212">
        <f>SUM(J67)</f>
        <v>76717.452999999994</v>
      </c>
      <c r="N68" s="230"/>
      <c r="O68" s="195"/>
    </row>
    <row r="69" spans="1:15" ht="12" thickTop="1" x14ac:dyDescent="0.15">
      <c r="A69" s="193"/>
      <c r="B69" s="210"/>
      <c r="C69" s="221"/>
      <c r="D69" s="237"/>
      <c r="E69" s="235"/>
      <c r="F69" s="235"/>
      <c r="J69" s="205"/>
      <c r="N69" s="206" t="s">
        <v>33</v>
      </c>
      <c r="O69" s="207">
        <f>SUM(N62:N68)</f>
        <v>162364.21196200952</v>
      </c>
    </row>
    <row r="70" spans="1:15" x14ac:dyDescent="0.15">
      <c r="A70" s="133"/>
      <c r="B70" s="133" t="s">
        <v>9</v>
      </c>
      <c r="C70" s="220" t="s">
        <v>729</v>
      </c>
      <c r="D70" s="220" t="s">
        <v>850</v>
      </c>
      <c r="E70" s="133" t="s">
        <v>570</v>
      </c>
      <c r="F70" s="133" t="s">
        <v>571</v>
      </c>
      <c r="G70" s="133" t="s">
        <v>16</v>
      </c>
      <c r="H70" s="134"/>
      <c r="I70" s="134"/>
      <c r="J70" s="205"/>
      <c r="O70" s="132">
        <f>+O61-O69</f>
        <v>0</v>
      </c>
    </row>
    <row r="71" spans="1:15" s="132" customFormat="1" x14ac:dyDescent="0.15">
      <c r="A71" s="193" t="s">
        <v>1523</v>
      </c>
      <c r="B71" s="210">
        <v>73770</v>
      </c>
      <c r="C71" s="221">
        <v>22.5852</v>
      </c>
      <c r="D71" s="237">
        <f t="shared" ref="D71:D72" si="4">+B71*C71</f>
        <v>1666110.2040000001</v>
      </c>
      <c r="E71" s="235">
        <f t="shared" ref="E71:E72" si="5">+D71*0.01</f>
        <v>16661.102040000002</v>
      </c>
      <c r="F71" s="235">
        <f t="shared" ref="F71:F72" si="6">+E71*0.1</f>
        <v>1666.1102040000003</v>
      </c>
      <c r="G71" s="236">
        <f>SUM(E71:F71)</f>
        <v>18327.212244000002</v>
      </c>
      <c r="H71" s="134"/>
      <c r="I71" s="134"/>
      <c r="J71" s="134"/>
      <c r="K71" s="133"/>
      <c r="M71" s="134"/>
    </row>
    <row r="72" spans="1:15" s="132" customFormat="1" x14ac:dyDescent="0.15">
      <c r="A72" s="193" t="s">
        <v>1525</v>
      </c>
      <c r="B72" s="210">
        <v>111342</v>
      </c>
      <c r="C72" s="221">
        <v>20.761700000000001</v>
      </c>
      <c r="D72" s="237">
        <f t="shared" si="4"/>
        <v>2311649.2014000001</v>
      </c>
      <c r="E72" s="235">
        <f t="shared" si="5"/>
        <v>23116.492014000003</v>
      </c>
      <c r="F72" s="235">
        <f t="shared" si="6"/>
        <v>2311.6492014000005</v>
      </c>
      <c r="G72" s="236">
        <f t="shared" ref="G72" si="7">SUM(E72:F72)</f>
        <v>25428.141215400003</v>
      </c>
      <c r="H72" s="133"/>
      <c r="J72" s="134"/>
      <c r="K72" s="133"/>
      <c r="M72" s="134"/>
    </row>
    <row r="73" spans="1:15" s="132" customFormat="1" ht="12" thickBot="1" x14ac:dyDescent="0.2">
      <c r="A73" s="133"/>
      <c r="B73" s="211">
        <f>SUM(B71:B72)</f>
        <v>185112</v>
      </c>
      <c r="C73" s="221"/>
      <c r="D73" s="237"/>
      <c r="E73" s="242">
        <f>SUM(E71:E72)</f>
        <v>39777.594054000001</v>
      </c>
      <c r="F73" s="242">
        <f t="shared" ref="F73" si="8">SUM(F71:F72)</f>
        <v>3977.759405400001</v>
      </c>
      <c r="G73" s="242">
        <f t="shared" ref="G73" si="9">SUM(G71:G72)</f>
        <v>43755.353459400008</v>
      </c>
      <c r="H73" s="244"/>
      <c r="J73" s="134"/>
      <c r="K73" s="133"/>
      <c r="M73" s="134"/>
    </row>
    <row r="74" spans="1:15" s="132" customFormat="1" ht="12" thickTop="1" x14ac:dyDescent="0.15">
      <c r="A74" s="133" t="s">
        <v>1575</v>
      </c>
      <c r="B74" s="210">
        <v>76717</v>
      </c>
      <c r="C74" s="221">
        <v>22.937999999999999</v>
      </c>
      <c r="D74" s="237">
        <f t="shared" ref="D74" si="10">+B74*C74</f>
        <v>1759734.5459999999</v>
      </c>
      <c r="E74" s="235">
        <f t="shared" ref="E74" si="11">+D74*0.01</f>
        <v>17597.34546</v>
      </c>
      <c r="F74" s="235">
        <f t="shared" ref="F74" si="12">+E74*0.1</f>
        <v>1759.7345460000001</v>
      </c>
      <c r="G74" s="236">
        <f t="shared" ref="G74" si="13">SUM(E74:F74)</f>
        <v>19357.080006</v>
      </c>
      <c r="H74" s="133"/>
      <c r="J74" s="134"/>
      <c r="K74" s="133"/>
      <c r="M74" s="134"/>
    </row>
    <row r="75" spans="1:15" s="132" customFormat="1" ht="12" thickBot="1" x14ac:dyDescent="0.2">
      <c r="A75" s="134"/>
      <c r="B75" s="211">
        <f>SUM(B74)</f>
        <v>76717</v>
      </c>
      <c r="D75" s="133"/>
      <c r="E75" s="234">
        <f>SUM(E74)</f>
        <v>17597.34546</v>
      </c>
      <c r="F75" s="234">
        <f t="shared" ref="F75" si="14">SUM(F74)</f>
        <v>1759.7345460000001</v>
      </c>
      <c r="G75" s="234">
        <f t="shared" ref="G75" si="15">SUM(G74)</f>
        <v>19357.080006</v>
      </c>
      <c r="H75" s="133"/>
      <c r="J75" s="134"/>
      <c r="K75" s="133"/>
      <c r="M75" s="134"/>
    </row>
    <row r="76" spans="1:15" s="132" customFormat="1" ht="12" thickTop="1" x14ac:dyDescent="0.15">
      <c r="A76" s="134"/>
      <c r="B76" s="231"/>
      <c r="D76" s="133"/>
      <c r="E76" s="133"/>
      <c r="F76" s="134"/>
      <c r="H76" s="133"/>
      <c r="J76" s="134"/>
      <c r="K76" s="133"/>
      <c r="M76" s="134"/>
    </row>
    <row r="77" spans="1:15" s="132" customFormat="1" x14ac:dyDescent="0.15">
      <c r="A77" s="134"/>
      <c r="B77" s="131"/>
      <c r="D77" s="133"/>
      <c r="E77" s="133"/>
      <c r="F77" s="134"/>
      <c r="H77" s="133"/>
      <c r="J77" s="134"/>
      <c r="K77" s="133"/>
      <c r="M77" s="134"/>
    </row>
    <row r="78" spans="1:15" s="132" customFormat="1" x14ac:dyDescent="0.15">
      <c r="A78" s="134"/>
      <c r="B78" s="131"/>
      <c r="D78" s="133"/>
      <c r="E78" s="133"/>
      <c r="F78" s="134"/>
      <c r="H78" s="133"/>
      <c r="J78" s="134"/>
      <c r="K78" s="133"/>
      <c r="M78" s="134"/>
    </row>
    <row r="79" spans="1:15" s="132" customFormat="1" x14ac:dyDescent="0.15">
      <c r="A79" s="134"/>
      <c r="B79" s="131"/>
      <c r="D79" s="133"/>
      <c r="E79" s="133"/>
      <c r="F79" s="134"/>
      <c r="H79" s="133"/>
      <c r="J79" s="134"/>
      <c r="K79" s="133"/>
      <c r="M79" s="134"/>
    </row>
    <row r="80" spans="1:15" s="132" customFormat="1" x14ac:dyDescent="0.15">
      <c r="A80" s="134"/>
      <c r="B80" s="131"/>
      <c r="D80" s="133"/>
      <c r="E80" s="133"/>
      <c r="F80" s="134"/>
      <c r="H80" s="133"/>
      <c r="J80" s="134"/>
      <c r="K80" s="133"/>
      <c r="M80" s="134"/>
    </row>
    <row r="81" spans="1:15" s="132" customFormat="1" x14ac:dyDescent="0.15">
      <c r="A81" s="134"/>
      <c r="B81" s="131"/>
      <c r="D81" s="133"/>
      <c r="E81" s="133"/>
      <c r="F81" s="134"/>
      <c r="H81" s="133"/>
      <c r="J81" s="134"/>
      <c r="K81" s="133"/>
      <c r="M81" s="134"/>
    </row>
    <row r="82" spans="1:15" s="132" customFormat="1" x14ac:dyDescent="0.15">
      <c r="A82" s="134"/>
      <c r="B82" s="131"/>
      <c r="D82" s="133"/>
      <c r="E82" s="133"/>
      <c r="F82" s="134"/>
      <c r="H82" s="133"/>
      <c r="J82" s="134"/>
      <c r="K82" s="133"/>
      <c r="M82" s="134"/>
    </row>
    <row r="83" spans="1:15" s="132" customFormat="1" x14ac:dyDescent="0.15">
      <c r="A83" s="134"/>
      <c r="B83" s="131"/>
      <c r="D83" s="133"/>
      <c r="E83" s="133"/>
      <c r="F83" s="134"/>
      <c r="H83" s="133"/>
      <c r="J83" s="134"/>
      <c r="K83" s="133"/>
      <c r="M83" s="134"/>
    </row>
    <row r="84" spans="1:15" s="132" customFormat="1" x14ac:dyDescent="0.15">
      <c r="A84" s="134"/>
      <c r="B84" s="131"/>
      <c r="D84" s="133"/>
      <c r="E84" s="133"/>
      <c r="F84" s="134"/>
      <c r="H84" s="133"/>
      <c r="J84" s="134"/>
      <c r="K84" s="133"/>
      <c r="M84" s="134"/>
    </row>
    <row r="85" spans="1:15" s="132" customFormat="1" x14ac:dyDescent="0.15">
      <c r="A85" s="134"/>
      <c r="B85" s="131"/>
      <c r="D85" s="133"/>
      <c r="E85" s="133"/>
      <c r="F85" s="134"/>
      <c r="H85" s="133"/>
      <c r="J85" s="134"/>
      <c r="K85" s="133"/>
      <c r="M85" s="134"/>
    </row>
    <row r="86" spans="1:15" s="132" customFormat="1" x14ac:dyDescent="0.15">
      <c r="A86" s="134"/>
      <c r="B86" s="131"/>
      <c r="D86" s="133"/>
      <c r="E86" s="133"/>
      <c r="F86" s="134"/>
      <c r="H86" s="133"/>
      <c r="J86" s="134"/>
      <c r="K86" s="133"/>
      <c r="M86" s="134"/>
    </row>
    <row r="87" spans="1:15" s="132" customFormat="1" x14ac:dyDescent="0.15">
      <c r="A87" s="134"/>
      <c r="B87" s="131"/>
      <c r="D87" s="133"/>
      <c r="E87" s="133"/>
      <c r="F87" s="134"/>
      <c r="H87" s="133"/>
      <c r="J87" s="134"/>
      <c r="K87" s="133"/>
      <c r="M87" s="134"/>
    </row>
    <row r="88" spans="1:15" s="132" customFormat="1" x14ac:dyDescent="0.15">
      <c r="A88" s="134"/>
      <c r="B88" s="131"/>
      <c r="D88" s="133"/>
      <c r="E88" s="133"/>
      <c r="F88" s="134"/>
      <c r="H88" s="133"/>
      <c r="J88" s="134"/>
      <c r="K88" s="133"/>
      <c r="M88" s="134"/>
    </row>
    <row r="89" spans="1:15" s="132" customFormat="1" x14ac:dyDescent="0.15">
      <c r="A89" s="134"/>
      <c r="B89" s="131"/>
      <c r="D89" s="133"/>
      <c r="E89" s="133"/>
      <c r="F89" s="134"/>
      <c r="H89" s="133"/>
      <c r="J89" s="134"/>
      <c r="K89" s="133"/>
      <c r="M89" s="134"/>
    </row>
    <row r="90" spans="1:15" s="132" customFormat="1" x14ac:dyDescent="0.15">
      <c r="A90" s="134"/>
      <c r="B90" s="131"/>
      <c r="D90" s="133"/>
      <c r="E90" s="133"/>
      <c r="F90" s="134"/>
      <c r="H90" s="133"/>
      <c r="J90" s="134"/>
      <c r="K90" s="133"/>
      <c r="M90" s="134"/>
    </row>
    <row r="91" spans="1:15" s="133" customFormat="1" x14ac:dyDescent="0.15">
      <c r="A91" s="134"/>
      <c r="B91" s="131"/>
      <c r="C91" s="132"/>
      <c r="F91" s="134"/>
      <c r="G91" s="132"/>
      <c r="I91" s="132"/>
      <c r="J91" s="134"/>
      <c r="L91" s="132"/>
      <c r="M91" s="134"/>
      <c r="N91" s="132"/>
      <c r="O91" s="132"/>
    </row>
    <row r="92" spans="1:15" s="133" customFormat="1" x14ac:dyDescent="0.15">
      <c r="A92" s="134"/>
      <c r="B92" s="131"/>
      <c r="C92" s="132"/>
      <c r="F92" s="134"/>
      <c r="G92" s="132"/>
      <c r="I92" s="132"/>
      <c r="J92" s="134"/>
      <c r="L92" s="132"/>
      <c r="M92" s="134"/>
      <c r="N92" s="132"/>
      <c r="O92" s="132"/>
    </row>
    <row r="93" spans="1:15" s="133" customFormat="1" x14ac:dyDescent="0.15">
      <c r="A93" s="134"/>
      <c r="B93" s="131"/>
      <c r="C93" s="132"/>
      <c r="F93" s="134"/>
      <c r="G93" s="132"/>
      <c r="I93" s="132"/>
      <c r="J93" s="134"/>
      <c r="L93" s="132"/>
      <c r="M93" s="134"/>
      <c r="N93" s="132"/>
      <c r="O93" s="132"/>
    </row>
    <row r="94" spans="1:15" s="133" customFormat="1" x14ac:dyDescent="0.15">
      <c r="A94" s="134"/>
      <c r="B94" s="131"/>
      <c r="C94" s="132"/>
      <c r="F94" s="134"/>
      <c r="G94" s="132"/>
      <c r="I94" s="132"/>
      <c r="J94" s="134"/>
      <c r="L94" s="132"/>
      <c r="M94" s="134"/>
      <c r="N94" s="132"/>
      <c r="O94" s="132"/>
    </row>
    <row r="95" spans="1:15" s="133" customFormat="1" x14ac:dyDescent="0.15">
      <c r="A95" s="134"/>
      <c r="B95" s="131"/>
      <c r="C95" s="132"/>
      <c r="F95" s="134"/>
      <c r="G95" s="132"/>
      <c r="I95" s="132"/>
      <c r="J95" s="134"/>
      <c r="L95" s="132"/>
      <c r="M95" s="134"/>
      <c r="N95" s="132"/>
      <c r="O95" s="132"/>
    </row>
    <row r="96" spans="1:15" s="133" customFormat="1" x14ac:dyDescent="0.15">
      <c r="A96" s="134"/>
      <c r="B96" s="131"/>
      <c r="C96" s="132"/>
      <c r="F96" s="134"/>
      <c r="G96" s="132"/>
      <c r="I96" s="132"/>
      <c r="J96" s="134"/>
      <c r="L96" s="132"/>
      <c r="M96" s="134"/>
      <c r="N96" s="132"/>
      <c r="O96" s="132"/>
    </row>
    <row r="98" spans="1:13" s="132" customFormat="1" x14ac:dyDescent="0.15">
      <c r="A98" s="134"/>
      <c r="B98" s="131"/>
      <c r="D98" s="133"/>
      <c r="E98" s="133"/>
      <c r="F98" s="134"/>
      <c r="H98" s="133"/>
      <c r="J98" s="134"/>
      <c r="K98" s="133"/>
      <c r="M98" s="134"/>
    </row>
  </sheetData>
  <mergeCells count="8">
    <mergeCell ref="B62:D62"/>
    <mergeCell ref="B63:D6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98"/>
  <sheetViews>
    <sheetView zoomScale="115" zoomScaleNormal="115" workbookViewId="0">
      <pane ySplit="6" topLeftCell="A63" activePane="bottomLeft" state="frozen"/>
      <selection pane="bottomLeft" activeCell="A80" sqref="A80:G80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1548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1523</v>
      </c>
      <c r="B7" s="146"/>
      <c r="C7" s="147">
        <v>39749.611862009362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39749.611862009362</v>
      </c>
      <c r="O7" s="147">
        <f>+C61</f>
        <v>493621.42386200943</v>
      </c>
    </row>
    <row r="8" spans="1:15" x14ac:dyDescent="0.15">
      <c r="A8" s="154" t="s">
        <v>1524</v>
      </c>
      <c r="B8" s="151"/>
      <c r="C8" s="152">
        <v>95714.576999999932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39749.611862009362</v>
      </c>
      <c r="O8" s="152">
        <f t="shared" ref="O8:O10" si="0">O7+G8-I8-L8</f>
        <v>493621.42386200943</v>
      </c>
    </row>
    <row r="9" spans="1:15" x14ac:dyDescent="0.15">
      <c r="A9" s="157" t="s">
        <v>1525</v>
      </c>
      <c r="B9" s="151"/>
      <c r="C9" s="152">
        <v>162745.77100000012</v>
      </c>
      <c r="D9" s="154"/>
      <c r="E9" s="154"/>
      <c r="F9" s="154"/>
      <c r="G9" s="152"/>
      <c r="H9" s="154"/>
      <c r="I9" s="152"/>
      <c r="J9" s="154"/>
      <c r="K9" s="154"/>
      <c r="L9" s="227"/>
      <c r="M9" s="154"/>
      <c r="N9" s="227">
        <f t="shared" ref="N9:N10" si="1">+N8-I9-L9</f>
        <v>39749.611862009362</v>
      </c>
      <c r="O9" s="152">
        <f t="shared" si="0"/>
        <v>493621.42386200943</v>
      </c>
    </row>
    <row r="10" spans="1:15" x14ac:dyDescent="0.15">
      <c r="A10" s="154" t="s">
        <v>1526</v>
      </c>
      <c r="B10" s="151"/>
      <c r="C10" s="152">
        <v>77787.904999999999</v>
      </c>
      <c r="D10" s="155"/>
      <c r="E10" s="154"/>
      <c r="F10" s="157"/>
      <c r="G10" s="152"/>
      <c r="H10" s="155"/>
      <c r="I10" s="152"/>
      <c r="J10" s="154"/>
      <c r="K10" s="154"/>
      <c r="L10" s="227"/>
      <c r="M10" s="154"/>
      <c r="N10" s="227">
        <f t="shared" si="1"/>
        <v>39749.611862009362</v>
      </c>
      <c r="O10" s="152">
        <f t="shared" si="0"/>
        <v>493621.42386200943</v>
      </c>
    </row>
    <row r="11" spans="1:15" x14ac:dyDescent="0.15">
      <c r="A11" s="154" t="s">
        <v>1527</v>
      </c>
      <c r="B11" s="151"/>
      <c r="C11" s="152">
        <v>117623.55899999999</v>
      </c>
      <c r="D11" s="155"/>
      <c r="E11" s="154"/>
      <c r="F11" s="157"/>
      <c r="G11" s="152"/>
      <c r="H11" s="155"/>
      <c r="I11" s="152"/>
      <c r="J11" s="154"/>
      <c r="K11" s="154"/>
      <c r="L11" s="227"/>
      <c r="M11" s="154"/>
      <c r="N11" s="227">
        <f t="shared" ref="N11:N48" si="2">+N10-I11-L11</f>
        <v>39749.611862009362</v>
      </c>
      <c r="O11" s="152">
        <f t="shared" ref="O11:O48" si="3">O10+G11-I11-L11</f>
        <v>493621.42386200943</v>
      </c>
    </row>
    <row r="12" spans="1:15" x14ac:dyDescent="0.15">
      <c r="A12" s="154"/>
      <c r="B12" s="151"/>
      <c r="C12" s="152"/>
      <c r="D12" s="155"/>
      <c r="E12" s="155"/>
      <c r="F12" s="157"/>
      <c r="G12" s="152"/>
      <c r="H12" s="155"/>
      <c r="I12" s="152"/>
      <c r="J12" s="154"/>
      <c r="K12" s="154"/>
      <c r="L12" s="227"/>
      <c r="M12" s="154"/>
      <c r="N12" s="227">
        <f t="shared" si="2"/>
        <v>39749.611862009362</v>
      </c>
      <c r="O12" s="152">
        <f t="shared" si="3"/>
        <v>493621.42386200943</v>
      </c>
    </row>
    <row r="13" spans="1:15" x14ac:dyDescent="0.15">
      <c r="A13" s="154"/>
      <c r="B13" s="151"/>
      <c r="C13" s="152"/>
      <c r="D13" s="155" t="s">
        <v>1549</v>
      </c>
      <c r="E13" s="155" t="s">
        <v>72</v>
      </c>
      <c r="F13" s="157" t="s">
        <v>1527</v>
      </c>
      <c r="G13" s="152">
        <v>77909.202999999994</v>
      </c>
      <c r="H13" s="155" t="s">
        <v>1549</v>
      </c>
      <c r="I13" s="152"/>
      <c r="J13" s="154"/>
      <c r="K13" s="154" t="s">
        <v>1584</v>
      </c>
      <c r="L13" s="227">
        <v>1719.6</v>
      </c>
      <c r="M13" s="154" t="s">
        <v>1523</v>
      </c>
      <c r="N13" s="227">
        <f t="shared" si="2"/>
        <v>38030.011862009364</v>
      </c>
      <c r="O13" s="152">
        <f t="shared" si="3"/>
        <v>569811.02686200943</v>
      </c>
    </row>
    <row r="14" spans="1:15" x14ac:dyDescent="0.15">
      <c r="A14" s="154"/>
      <c r="B14" s="151"/>
      <c r="C14" s="152"/>
      <c r="D14" s="155" t="s">
        <v>1550</v>
      </c>
      <c r="E14" s="155" t="s">
        <v>72</v>
      </c>
      <c r="F14" s="157" t="s">
        <v>1575</v>
      </c>
      <c r="G14" s="152">
        <v>39895.773000000001</v>
      </c>
      <c r="H14" s="155" t="s">
        <v>1550</v>
      </c>
      <c r="I14" s="152"/>
      <c r="J14" s="154"/>
      <c r="K14" s="154" t="s">
        <v>1584</v>
      </c>
      <c r="L14" s="227">
        <v>38030.011862009364</v>
      </c>
      <c r="M14" s="154" t="s">
        <v>1523</v>
      </c>
      <c r="N14" s="227">
        <f t="shared" si="2"/>
        <v>0</v>
      </c>
      <c r="O14" s="152">
        <f t="shared" si="3"/>
        <v>571676.78800000006</v>
      </c>
    </row>
    <row r="15" spans="1:15" x14ac:dyDescent="0.15">
      <c r="A15" s="154"/>
      <c r="B15" s="151"/>
      <c r="C15" s="152"/>
      <c r="D15" s="155"/>
      <c r="E15" s="155"/>
      <c r="F15" s="157"/>
      <c r="G15" s="152"/>
      <c r="H15" s="155" t="s">
        <v>1550</v>
      </c>
      <c r="I15" s="152"/>
      <c r="J15" s="154"/>
      <c r="K15" s="154" t="s">
        <v>1585</v>
      </c>
      <c r="L15" s="227">
        <v>13208.3981379906</v>
      </c>
      <c r="M15" s="154" t="s">
        <v>1524</v>
      </c>
      <c r="N15" s="227">
        <f>C8+N14-I15-L15</f>
        <v>82506.178862009328</v>
      </c>
      <c r="O15" s="152">
        <f t="shared" si="3"/>
        <v>558468.38986200944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155" t="s">
        <v>1550</v>
      </c>
      <c r="I16" s="152"/>
      <c r="J16" s="154"/>
      <c r="K16" s="154" t="s">
        <v>1585</v>
      </c>
      <c r="L16" s="227">
        <v>1384.88</v>
      </c>
      <c r="M16" s="154" t="s">
        <v>1524</v>
      </c>
      <c r="N16" s="227">
        <f t="shared" si="2"/>
        <v>81121.298862009324</v>
      </c>
      <c r="O16" s="152">
        <f t="shared" si="3"/>
        <v>557083.50986200944</v>
      </c>
    </row>
    <row r="17" spans="1:15" x14ac:dyDescent="0.15">
      <c r="A17" s="154"/>
      <c r="B17" s="151"/>
      <c r="C17" s="152"/>
      <c r="D17" s="155" t="s">
        <v>1551</v>
      </c>
      <c r="E17" s="155" t="s">
        <v>72</v>
      </c>
      <c r="F17" s="157" t="s">
        <v>1575</v>
      </c>
      <c r="G17" s="152">
        <v>138634.39600000001</v>
      </c>
      <c r="H17" s="155" t="s">
        <v>1551</v>
      </c>
      <c r="I17" s="152"/>
      <c r="J17" s="154"/>
      <c r="K17" s="154" t="s">
        <v>1585</v>
      </c>
      <c r="L17" s="227">
        <v>72965.77</v>
      </c>
      <c r="M17" s="154" t="s">
        <v>1524</v>
      </c>
      <c r="N17" s="227">
        <f t="shared" si="2"/>
        <v>8155.5288620093197</v>
      </c>
      <c r="O17" s="152">
        <f t="shared" si="3"/>
        <v>622752.13586200937</v>
      </c>
    </row>
    <row r="18" spans="1:15" x14ac:dyDescent="0.15">
      <c r="A18" s="154"/>
      <c r="B18" s="151"/>
      <c r="C18" s="152"/>
      <c r="D18" s="155"/>
      <c r="E18" s="155"/>
      <c r="F18" s="157"/>
      <c r="G18" s="152"/>
      <c r="H18" s="155" t="s">
        <v>1551</v>
      </c>
      <c r="I18" s="152"/>
      <c r="J18" s="154"/>
      <c r="K18" s="154" t="s">
        <v>1585</v>
      </c>
      <c r="L18" s="227">
        <v>8155.5288620093197</v>
      </c>
      <c r="M18" s="154" t="s">
        <v>1524</v>
      </c>
      <c r="N18" s="227">
        <f t="shared" si="2"/>
        <v>0</v>
      </c>
      <c r="O18" s="152">
        <f t="shared" si="3"/>
        <v>614596.60700000008</v>
      </c>
    </row>
    <row r="19" spans="1:15" x14ac:dyDescent="0.15">
      <c r="A19" s="154"/>
      <c r="B19" s="151"/>
      <c r="C19" s="152"/>
      <c r="D19" s="155"/>
      <c r="E19" s="155"/>
      <c r="F19" s="157"/>
      <c r="G19" s="152"/>
      <c r="H19" s="155" t="s">
        <v>1551</v>
      </c>
      <c r="I19" s="152"/>
      <c r="J19" s="154"/>
      <c r="K19" s="154" t="s">
        <v>1584</v>
      </c>
      <c r="L19" s="227">
        <v>68623.141137990693</v>
      </c>
      <c r="M19" s="157" t="s">
        <v>1525</v>
      </c>
      <c r="N19" s="227">
        <f>C9+N18-I19-L19</f>
        <v>94122.629862009431</v>
      </c>
      <c r="O19" s="152">
        <f t="shared" si="3"/>
        <v>545973.46586200944</v>
      </c>
    </row>
    <row r="20" spans="1:15" x14ac:dyDescent="0.15">
      <c r="A20" s="154"/>
      <c r="B20" s="151"/>
      <c r="C20" s="152"/>
      <c r="D20" s="155" t="s">
        <v>1552</v>
      </c>
      <c r="E20" s="155" t="s">
        <v>72</v>
      </c>
      <c r="F20" s="157" t="s">
        <v>1575</v>
      </c>
      <c r="G20" s="152">
        <v>39887.661999999997</v>
      </c>
      <c r="H20" s="155" t="s">
        <v>1552</v>
      </c>
      <c r="I20" s="152">
        <v>2268.16</v>
      </c>
      <c r="J20" s="157" t="s">
        <v>1525</v>
      </c>
      <c r="K20" s="154" t="s">
        <v>1584</v>
      </c>
      <c r="L20" s="227">
        <v>63128.58</v>
      </c>
      <c r="M20" s="157" t="s">
        <v>1525</v>
      </c>
      <c r="N20" s="227">
        <f t="shared" si="2"/>
        <v>28725.889862009426</v>
      </c>
      <c r="O20" s="152">
        <f t="shared" si="3"/>
        <v>520464.3878620094</v>
      </c>
    </row>
    <row r="21" spans="1:15" x14ac:dyDescent="0.15">
      <c r="A21" s="154"/>
      <c r="B21" s="151"/>
      <c r="C21" s="152"/>
      <c r="D21" s="155" t="s">
        <v>1553</v>
      </c>
      <c r="E21" s="155" t="s">
        <v>72</v>
      </c>
      <c r="F21" s="157" t="s">
        <v>1576</v>
      </c>
      <c r="G21" s="152">
        <v>119682.265</v>
      </c>
      <c r="H21" s="155" t="s">
        <v>1553</v>
      </c>
      <c r="I21" s="152">
        <v>1886.7116000000001</v>
      </c>
      <c r="J21" s="157" t="s">
        <v>1525</v>
      </c>
      <c r="K21" s="154" t="s">
        <v>1584</v>
      </c>
      <c r="L21" s="227">
        <v>26839.178262009427</v>
      </c>
      <c r="M21" s="157" t="s">
        <v>1525</v>
      </c>
      <c r="N21" s="227">
        <f t="shared" si="2"/>
        <v>0</v>
      </c>
      <c r="O21" s="152">
        <f t="shared" si="3"/>
        <v>611420.76299999992</v>
      </c>
    </row>
    <row r="22" spans="1:15" x14ac:dyDescent="0.15">
      <c r="A22" s="154"/>
      <c r="B22" s="151"/>
      <c r="C22" s="152"/>
      <c r="D22" s="155"/>
      <c r="E22" s="155"/>
      <c r="F22" s="157"/>
      <c r="G22" s="152"/>
      <c r="H22" s="155" t="s">
        <v>1553</v>
      </c>
      <c r="I22" s="152"/>
      <c r="J22" s="154"/>
      <c r="K22" s="154" t="s">
        <v>1585</v>
      </c>
      <c r="L22" s="227">
        <v>6905.6917379905799</v>
      </c>
      <c r="M22" s="154" t="s">
        <v>1526</v>
      </c>
      <c r="N22" s="227">
        <f>C10+N21-I22-L22</f>
        <v>70882.21326200942</v>
      </c>
      <c r="O22" s="152">
        <f t="shared" si="3"/>
        <v>604515.07126200933</v>
      </c>
    </row>
    <row r="23" spans="1:15" x14ac:dyDescent="0.15">
      <c r="A23" s="154"/>
      <c r="B23" s="151"/>
      <c r="C23" s="152"/>
      <c r="D23" s="155"/>
      <c r="E23" s="155"/>
      <c r="F23" s="157"/>
      <c r="G23" s="152"/>
      <c r="H23" s="155" t="s">
        <v>1553</v>
      </c>
      <c r="I23" s="152"/>
      <c r="J23" s="154"/>
      <c r="K23" s="154" t="s">
        <v>1585</v>
      </c>
      <c r="L23" s="227">
        <v>36559.440000000002</v>
      </c>
      <c r="M23" s="154" t="s">
        <v>1526</v>
      </c>
      <c r="N23" s="227">
        <f t="shared" si="2"/>
        <v>34322.773262009418</v>
      </c>
      <c r="O23" s="152">
        <f t="shared" si="3"/>
        <v>567955.63126200926</v>
      </c>
    </row>
    <row r="24" spans="1:15" x14ac:dyDescent="0.15">
      <c r="A24" s="154"/>
      <c r="B24" s="151"/>
      <c r="C24" s="152"/>
      <c r="D24" s="155" t="s">
        <v>1554</v>
      </c>
      <c r="E24" s="155" t="s">
        <v>72</v>
      </c>
      <c r="F24" s="157" t="s">
        <v>1576</v>
      </c>
      <c r="G24" s="152">
        <v>39850.313999999998</v>
      </c>
      <c r="H24" s="155" t="s">
        <v>1554</v>
      </c>
      <c r="I24" s="152">
        <v>1399.8593000000001</v>
      </c>
      <c r="J24" s="154" t="s">
        <v>1526</v>
      </c>
      <c r="K24" s="154" t="s">
        <v>1585</v>
      </c>
      <c r="L24" s="227">
        <v>32922.913962009421</v>
      </c>
      <c r="M24" s="154" t="s">
        <v>1526</v>
      </c>
      <c r="N24" s="227">
        <f t="shared" si="2"/>
        <v>0</v>
      </c>
      <c r="O24" s="152">
        <f t="shared" si="3"/>
        <v>573483.17199999979</v>
      </c>
    </row>
    <row r="25" spans="1:15" x14ac:dyDescent="0.15">
      <c r="A25" s="154"/>
      <c r="B25" s="151"/>
      <c r="C25" s="152"/>
      <c r="D25" s="155"/>
      <c r="E25" s="155"/>
      <c r="F25" s="157"/>
      <c r="G25" s="152"/>
      <c r="H25" s="155" t="s">
        <v>1554</v>
      </c>
      <c r="I25" s="152"/>
      <c r="J25" s="154"/>
      <c r="K25" s="154" t="s">
        <v>1585</v>
      </c>
      <c r="L25" s="227">
        <v>45063.776037990501</v>
      </c>
      <c r="M25" s="157" t="s">
        <v>1527</v>
      </c>
      <c r="N25" s="227">
        <f>C11+G13+N24-I25-L25</f>
        <v>150468.98596200949</v>
      </c>
      <c r="O25" s="152">
        <f t="shared" si="3"/>
        <v>528419.39596200932</v>
      </c>
    </row>
    <row r="26" spans="1:15" x14ac:dyDescent="0.15">
      <c r="A26" s="154"/>
      <c r="B26" s="151"/>
      <c r="C26" s="152"/>
      <c r="D26" s="155" t="s">
        <v>1555</v>
      </c>
      <c r="E26" s="155" t="s">
        <v>72</v>
      </c>
      <c r="F26" s="157" t="s">
        <v>1577</v>
      </c>
      <c r="G26" s="152">
        <v>77789.803</v>
      </c>
      <c r="H26" s="155" t="s">
        <v>1555</v>
      </c>
      <c r="I26" s="152"/>
      <c r="J26" s="157"/>
      <c r="K26" s="154" t="s">
        <v>1585</v>
      </c>
      <c r="L26" s="227">
        <v>76308.06</v>
      </c>
      <c r="M26" s="157" t="s">
        <v>1527</v>
      </c>
      <c r="N26" s="227">
        <f t="shared" si="2"/>
        <v>74160.925962009496</v>
      </c>
      <c r="O26" s="152">
        <f t="shared" si="3"/>
        <v>529901.13896200922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1555</v>
      </c>
      <c r="I27" s="152"/>
      <c r="J27" s="154"/>
      <c r="K27" s="154" t="s">
        <v>1585</v>
      </c>
      <c r="L27" s="227">
        <v>30401.32</v>
      </c>
      <c r="M27" s="157" t="s">
        <v>1527</v>
      </c>
      <c r="N27" s="227">
        <f t="shared" si="2"/>
        <v>43759.605962009497</v>
      </c>
      <c r="O27" s="152">
        <f t="shared" si="3"/>
        <v>499499.81896200922</v>
      </c>
    </row>
    <row r="28" spans="1:15" x14ac:dyDescent="0.15">
      <c r="A28" s="154"/>
      <c r="B28" s="151"/>
      <c r="C28" s="152"/>
      <c r="D28" s="155"/>
      <c r="E28" s="155"/>
      <c r="F28" s="157"/>
      <c r="G28" s="152"/>
      <c r="H28" s="155" t="s">
        <v>1556</v>
      </c>
      <c r="I28" s="152">
        <v>1577.95</v>
      </c>
      <c r="J28" s="157" t="s">
        <v>1527</v>
      </c>
      <c r="K28" s="154"/>
      <c r="L28" s="227"/>
      <c r="M28" s="157"/>
      <c r="N28" s="227">
        <f t="shared" si="2"/>
        <v>42181.655962009499</v>
      </c>
      <c r="O28" s="152">
        <f t="shared" si="3"/>
        <v>497921.8689620092</v>
      </c>
    </row>
    <row r="29" spans="1:15" x14ac:dyDescent="0.15">
      <c r="A29" s="154"/>
      <c r="B29" s="151"/>
      <c r="C29" s="152"/>
      <c r="D29" s="155"/>
      <c r="E29" s="155"/>
      <c r="F29" s="157"/>
      <c r="G29" s="152"/>
      <c r="H29" s="155" t="s">
        <v>1557</v>
      </c>
      <c r="I29" s="152"/>
      <c r="J29" s="157"/>
      <c r="K29" s="154" t="s">
        <v>1585</v>
      </c>
      <c r="L29" s="227">
        <v>42181.655962009499</v>
      </c>
      <c r="M29" s="157" t="s">
        <v>1527</v>
      </c>
      <c r="N29" s="227">
        <f t="shared" si="2"/>
        <v>0</v>
      </c>
      <c r="O29" s="152">
        <f t="shared" si="3"/>
        <v>455740.2129999997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155" t="s">
        <v>1557</v>
      </c>
      <c r="I30" s="152"/>
      <c r="J30" s="157"/>
      <c r="K30" s="154" t="s">
        <v>1585</v>
      </c>
      <c r="L30" s="227">
        <v>9456.4240379905004</v>
      </c>
      <c r="M30" s="157" t="s">
        <v>1575</v>
      </c>
      <c r="N30" s="227">
        <f>G14+G17+G20+N29-I30-L30</f>
        <v>208961.4069620095</v>
      </c>
      <c r="O30" s="152">
        <f t="shared" si="3"/>
        <v>446283.78896200919</v>
      </c>
    </row>
    <row r="31" spans="1:15" x14ac:dyDescent="0.15">
      <c r="A31" s="154"/>
      <c r="B31" s="151"/>
      <c r="C31" s="152"/>
      <c r="D31" s="155"/>
      <c r="E31" s="155"/>
      <c r="F31" s="157"/>
      <c r="G31" s="152"/>
      <c r="H31" s="155" t="s">
        <v>1558</v>
      </c>
      <c r="I31" s="152"/>
      <c r="J31" s="157"/>
      <c r="K31" s="154" t="s">
        <v>1585</v>
      </c>
      <c r="L31" s="227">
        <v>69213.81</v>
      </c>
      <c r="M31" s="157" t="s">
        <v>1575</v>
      </c>
      <c r="N31" s="227">
        <f t="shared" si="2"/>
        <v>139747.5969620095</v>
      </c>
      <c r="O31" s="152">
        <f t="shared" si="3"/>
        <v>377069.97896200919</v>
      </c>
    </row>
    <row r="32" spans="1:15" x14ac:dyDescent="0.15">
      <c r="A32" s="154"/>
      <c r="B32" s="151"/>
      <c r="C32" s="152"/>
      <c r="D32" s="155"/>
      <c r="E32" s="155"/>
      <c r="F32" s="157"/>
      <c r="G32" s="152"/>
      <c r="H32" s="155" t="s">
        <v>1558</v>
      </c>
      <c r="I32" s="152"/>
      <c r="J32" s="154"/>
      <c r="K32" s="154" t="s">
        <v>1585</v>
      </c>
      <c r="L32" s="227">
        <v>2461</v>
      </c>
      <c r="M32" s="157" t="s">
        <v>1575</v>
      </c>
      <c r="N32" s="227">
        <f t="shared" si="2"/>
        <v>137286.5969620095</v>
      </c>
      <c r="O32" s="152">
        <f t="shared" si="3"/>
        <v>374608.97896200919</v>
      </c>
    </row>
    <row r="33" spans="1:15" x14ac:dyDescent="0.15">
      <c r="A33" s="154"/>
      <c r="B33" s="151"/>
      <c r="C33" s="152"/>
      <c r="D33" s="155"/>
      <c r="E33" s="155"/>
      <c r="F33" s="157"/>
      <c r="G33" s="152"/>
      <c r="H33" s="155" t="s">
        <v>1559</v>
      </c>
      <c r="I33" s="152">
        <v>504.28</v>
      </c>
      <c r="J33" s="157" t="s">
        <v>1575</v>
      </c>
      <c r="K33" s="154"/>
      <c r="L33" s="227"/>
      <c r="M33" s="157"/>
      <c r="N33" s="227">
        <f t="shared" si="2"/>
        <v>136782.3169620095</v>
      </c>
      <c r="O33" s="152">
        <f t="shared" si="3"/>
        <v>374104.69896200916</v>
      </c>
    </row>
    <row r="34" spans="1:15" x14ac:dyDescent="0.15">
      <c r="A34" s="154"/>
      <c r="B34" s="151"/>
      <c r="C34" s="152"/>
      <c r="D34" s="155"/>
      <c r="E34" s="155"/>
      <c r="F34" s="157"/>
      <c r="G34" s="152"/>
      <c r="H34" s="155" t="s">
        <v>1560</v>
      </c>
      <c r="I34" s="152">
        <v>1223.6300000000001</v>
      </c>
      <c r="J34" s="157" t="s">
        <v>1575</v>
      </c>
      <c r="K34" s="154" t="s">
        <v>1585</v>
      </c>
      <c r="L34" s="227">
        <v>569.83000000000004</v>
      </c>
      <c r="M34" s="157" t="s">
        <v>1575</v>
      </c>
      <c r="N34" s="227">
        <f t="shared" si="2"/>
        <v>134988.85696200951</v>
      </c>
      <c r="O34" s="152">
        <f t="shared" si="3"/>
        <v>372311.23896200914</v>
      </c>
    </row>
    <row r="35" spans="1:15" x14ac:dyDescent="0.15">
      <c r="A35" s="154"/>
      <c r="B35" s="151"/>
      <c r="C35" s="152"/>
      <c r="D35" s="155"/>
      <c r="E35" s="155"/>
      <c r="F35" s="157"/>
      <c r="G35" s="152"/>
      <c r="H35" s="155" t="s">
        <v>1561</v>
      </c>
      <c r="I35" s="152">
        <v>3339.88</v>
      </c>
      <c r="J35" s="157" t="s">
        <v>1575</v>
      </c>
      <c r="K35" s="154"/>
      <c r="L35" s="227"/>
      <c r="M35" s="157"/>
      <c r="N35" s="227">
        <f t="shared" si="2"/>
        <v>131648.9769620095</v>
      </c>
      <c r="O35" s="152">
        <f t="shared" si="3"/>
        <v>368971.35896200914</v>
      </c>
    </row>
    <row r="36" spans="1:15" x14ac:dyDescent="0.15">
      <c r="A36" s="154"/>
      <c r="B36" s="151"/>
      <c r="C36" s="152"/>
      <c r="D36" s="155"/>
      <c r="E36" s="155"/>
      <c r="F36" s="157"/>
      <c r="G36" s="152"/>
      <c r="H36" s="155" t="s">
        <v>1562</v>
      </c>
      <c r="I36" s="152">
        <v>6554.16</v>
      </c>
      <c r="J36" s="157" t="s">
        <v>1575</v>
      </c>
      <c r="K36" s="154" t="s">
        <v>1585</v>
      </c>
      <c r="L36" s="227">
        <v>63258.65</v>
      </c>
      <c r="M36" s="157" t="s">
        <v>1575</v>
      </c>
      <c r="N36" s="227">
        <f t="shared" si="2"/>
        <v>61836.166962009498</v>
      </c>
      <c r="O36" s="152">
        <f t="shared" si="3"/>
        <v>299158.54896200914</v>
      </c>
    </row>
    <row r="37" spans="1:15" x14ac:dyDescent="0.15">
      <c r="A37" s="154"/>
      <c r="B37" s="151"/>
      <c r="C37" s="152"/>
      <c r="D37" s="155"/>
      <c r="E37" s="155"/>
      <c r="F37" s="157"/>
      <c r="G37" s="152"/>
      <c r="H37" s="155" t="s">
        <v>1563</v>
      </c>
      <c r="I37" s="152"/>
      <c r="J37" s="154"/>
      <c r="K37" s="154" t="s">
        <v>1585</v>
      </c>
      <c r="L37" s="227">
        <v>765.77</v>
      </c>
      <c r="M37" s="157" t="s">
        <v>1575</v>
      </c>
      <c r="N37" s="227">
        <f t="shared" si="2"/>
        <v>61070.396962009501</v>
      </c>
      <c r="O37" s="152">
        <f t="shared" si="3"/>
        <v>298392.77896200912</v>
      </c>
    </row>
    <row r="38" spans="1:15" x14ac:dyDescent="0.15">
      <c r="A38" s="154"/>
      <c r="B38" s="151"/>
      <c r="C38" s="152"/>
      <c r="D38" s="155"/>
      <c r="E38" s="155"/>
      <c r="F38" s="157"/>
      <c r="G38" s="152"/>
      <c r="H38" s="155" t="s">
        <v>1564</v>
      </c>
      <c r="I38" s="152"/>
      <c r="J38" s="154"/>
      <c r="K38" s="154" t="s">
        <v>1585</v>
      </c>
      <c r="L38" s="227">
        <v>47885.43</v>
      </c>
      <c r="M38" s="157" t="s">
        <v>1575</v>
      </c>
      <c r="N38" s="227">
        <f t="shared" si="2"/>
        <v>13184.966962009501</v>
      </c>
      <c r="O38" s="152">
        <f t="shared" si="3"/>
        <v>250507.34896200913</v>
      </c>
    </row>
    <row r="39" spans="1:15" x14ac:dyDescent="0.15">
      <c r="A39" s="154"/>
      <c r="B39" s="151"/>
      <c r="C39" s="152"/>
      <c r="D39" s="155"/>
      <c r="E39" s="155"/>
      <c r="F39" s="157"/>
      <c r="G39" s="152"/>
      <c r="H39" s="155" t="s">
        <v>1565</v>
      </c>
      <c r="I39" s="152"/>
      <c r="J39" s="157"/>
      <c r="K39" s="154" t="s">
        <v>1585</v>
      </c>
      <c r="L39" s="227">
        <v>1157.06</v>
      </c>
      <c r="M39" s="157" t="s">
        <v>1575</v>
      </c>
      <c r="N39" s="227">
        <f t="shared" si="2"/>
        <v>12027.906962009502</v>
      </c>
      <c r="O39" s="152">
        <f t="shared" si="3"/>
        <v>249350.28896200913</v>
      </c>
    </row>
    <row r="40" spans="1:15" x14ac:dyDescent="0.15">
      <c r="A40" s="154"/>
      <c r="B40" s="151"/>
      <c r="C40" s="152"/>
      <c r="D40" s="155"/>
      <c r="E40" s="155"/>
      <c r="F40" s="157"/>
      <c r="G40" s="152"/>
      <c r="H40" s="155" t="s">
        <v>1566</v>
      </c>
      <c r="I40" s="152">
        <v>540.55999999999995</v>
      </c>
      <c r="J40" s="157" t="s">
        <v>1575</v>
      </c>
      <c r="K40" s="154"/>
      <c r="L40" s="227"/>
      <c r="M40" s="157"/>
      <c r="N40" s="227">
        <f t="shared" si="2"/>
        <v>11487.346962009502</v>
      </c>
      <c r="O40" s="152">
        <f t="shared" si="3"/>
        <v>248809.72896200913</v>
      </c>
    </row>
    <row r="41" spans="1:15" x14ac:dyDescent="0.15">
      <c r="A41" s="154"/>
      <c r="B41" s="151"/>
      <c r="C41" s="152"/>
      <c r="D41" s="155"/>
      <c r="E41" s="155"/>
      <c r="F41" s="157"/>
      <c r="G41" s="152"/>
      <c r="H41" s="155" t="s">
        <v>1567</v>
      </c>
      <c r="I41" s="152">
        <v>1165.6500000000001</v>
      </c>
      <c r="J41" s="157" t="s">
        <v>1575</v>
      </c>
      <c r="K41" s="154"/>
      <c r="L41" s="227"/>
      <c r="M41" s="157"/>
      <c r="N41" s="227">
        <f t="shared" si="2"/>
        <v>10321.696962009502</v>
      </c>
      <c r="O41" s="152">
        <f t="shared" si="3"/>
        <v>247644.07896200914</v>
      </c>
    </row>
    <row r="42" spans="1:15" x14ac:dyDescent="0.15">
      <c r="A42" s="154"/>
      <c r="B42" s="151"/>
      <c r="C42" s="152"/>
      <c r="D42" s="155"/>
      <c r="E42" s="155"/>
      <c r="F42" s="157"/>
      <c r="G42" s="152"/>
      <c r="H42" s="155" t="s">
        <v>1568</v>
      </c>
      <c r="I42" s="152">
        <v>1002.19</v>
      </c>
      <c r="J42" s="157" t="s">
        <v>1575</v>
      </c>
      <c r="K42" s="154"/>
      <c r="L42" s="227"/>
      <c r="M42" s="157"/>
      <c r="N42" s="227">
        <f t="shared" si="2"/>
        <v>9319.5069620095019</v>
      </c>
      <c r="O42" s="152">
        <f t="shared" si="3"/>
        <v>246641.88896200914</v>
      </c>
    </row>
    <row r="43" spans="1:15" x14ac:dyDescent="0.15">
      <c r="A43" s="154"/>
      <c r="B43" s="151"/>
      <c r="C43" s="152"/>
      <c r="D43" s="155"/>
      <c r="E43" s="155"/>
      <c r="F43" s="157"/>
      <c r="G43" s="152"/>
      <c r="H43" s="155" t="s">
        <v>1569</v>
      </c>
      <c r="I43" s="152">
        <v>1238</v>
      </c>
      <c r="J43" s="157" t="s">
        <v>1575</v>
      </c>
      <c r="K43" s="154"/>
      <c r="L43" s="227"/>
      <c r="M43" s="157"/>
      <c r="N43" s="227">
        <f t="shared" si="2"/>
        <v>8081.5069620095019</v>
      </c>
      <c r="O43" s="152">
        <f t="shared" si="3"/>
        <v>245403.88896200914</v>
      </c>
    </row>
    <row r="44" spans="1:15" x14ac:dyDescent="0.15">
      <c r="A44" s="154"/>
      <c r="B44" s="151"/>
      <c r="C44" s="152"/>
      <c r="D44" s="155"/>
      <c r="E44" s="155"/>
      <c r="F44" s="157"/>
      <c r="G44" s="152"/>
      <c r="H44" s="155" t="s">
        <v>1570</v>
      </c>
      <c r="I44" s="152"/>
      <c r="J44" s="154"/>
      <c r="K44" s="154" t="s">
        <v>1585</v>
      </c>
      <c r="L44" s="227">
        <v>8081.5069620095019</v>
      </c>
      <c r="M44" s="157" t="s">
        <v>1575</v>
      </c>
      <c r="N44" s="227">
        <f t="shared" si="2"/>
        <v>0</v>
      </c>
      <c r="O44" s="152">
        <f t="shared" si="3"/>
        <v>237322.38199999963</v>
      </c>
    </row>
    <row r="45" spans="1:15" x14ac:dyDescent="0.15">
      <c r="A45" s="154"/>
      <c r="B45" s="151"/>
      <c r="C45" s="152"/>
      <c r="D45" s="155"/>
      <c r="E45" s="155"/>
      <c r="F45" s="157"/>
      <c r="G45" s="152"/>
      <c r="H45" s="155" t="s">
        <v>1570</v>
      </c>
      <c r="I45" s="152"/>
      <c r="J45" s="154"/>
      <c r="K45" s="154" t="s">
        <v>1584</v>
      </c>
      <c r="L45" s="227">
        <v>73044.633037990498</v>
      </c>
      <c r="M45" s="157" t="s">
        <v>1576</v>
      </c>
      <c r="N45" s="227">
        <f>G21+G24+N44-I45-L45</f>
        <v>86487.9459620095</v>
      </c>
      <c r="O45" s="152">
        <f t="shared" si="3"/>
        <v>164277.74896200915</v>
      </c>
    </row>
    <row r="46" spans="1:15" x14ac:dyDescent="0.15">
      <c r="A46" s="154"/>
      <c r="B46" s="151"/>
      <c r="C46" s="152"/>
      <c r="D46" s="155"/>
      <c r="E46" s="155"/>
      <c r="F46" s="157"/>
      <c r="G46" s="152"/>
      <c r="H46" s="155" t="s">
        <v>1571</v>
      </c>
      <c r="I46" s="152">
        <v>1851.44</v>
      </c>
      <c r="J46" s="154" t="s">
        <v>1576</v>
      </c>
      <c r="K46" s="154"/>
      <c r="L46" s="227"/>
      <c r="M46" s="157"/>
      <c r="N46" s="227">
        <f t="shared" si="2"/>
        <v>84636.505962009498</v>
      </c>
      <c r="O46" s="152">
        <f t="shared" si="3"/>
        <v>162426.30896200915</v>
      </c>
    </row>
    <row r="47" spans="1:15" x14ac:dyDescent="0.15">
      <c r="A47" s="154"/>
      <c r="B47" s="151"/>
      <c r="C47" s="152"/>
      <c r="D47" s="155"/>
      <c r="E47" s="155"/>
      <c r="F47" s="157"/>
      <c r="G47" s="152"/>
      <c r="H47" s="155" t="s">
        <v>1572</v>
      </c>
      <c r="I47" s="152">
        <v>1819.45</v>
      </c>
      <c r="J47" s="157" t="s">
        <v>1576</v>
      </c>
      <c r="K47" s="154"/>
      <c r="L47" s="227"/>
      <c r="M47" s="157"/>
      <c r="N47" s="227">
        <f t="shared" si="2"/>
        <v>82817.055962009501</v>
      </c>
      <c r="O47" s="152">
        <f t="shared" si="3"/>
        <v>160606.85896200914</v>
      </c>
    </row>
    <row r="48" spans="1:15" x14ac:dyDescent="0.15">
      <c r="A48" s="154"/>
      <c r="B48" s="151"/>
      <c r="C48" s="152"/>
      <c r="D48" s="155"/>
      <c r="E48" s="155"/>
      <c r="F48" s="157"/>
      <c r="G48" s="152"/>
      <c r="H48" s="155" t="s">
        <v>1573</v>
      </c>
      <c r="I48" s="152">
        <v>2248.3200000000002</v>
      </c>
      <c r="J48" s="154" t="s">
        <v>1576</v>
      </c>
      <c r="K48" s="154"/>
      <c r="L48" s="227"/>
      <c r="M48" s="157"/>
      <c r="N48" s="227">
        <f t="shared" si="2"/>
        <v>80568.735962009494</v>
      </c>
      <c r="O48" s="152">
        <f t="shared" si="3"/>
        <v>158358.53896200913</v>
      </c>
    </row>
    <row r="49" spans="1:15" x14ac:dyDescent="0.15">
      <c r="A49" s="154"/>
      <c r="B49" s="151"/>
      <c r="C49" s="152"/>
      <c r="D49" s="155"/>
      <c r="E49" s="155"/>
      <c r="F49" s="157"/>
      <c r="G49" s="152"/>
      <c r="H49" s="155" t="s">
        <v>1574</v>
      </c>
      <c r="I49" s="152"/>
      <c r="J49" s="157"/>
      <c r="K49" s="154" t="s">
        <v>1584</v>
      </c>
      <c r="L49" s="227">
        <v>5986.18</v>
      </c>
      <c r="M49" s="157" t="s">
        <v>1576</v>
      </c>
      <c r="N49" s="227">
        <f t="shared" ref="N49:N60" si="4">+N48-I49-L49</f>
        <v>74582.555962009501</v>
      </c>
      <c r="O49" s="152">
        <f t="shared" ref="O49:O60" si="5">O48+G49-I49-L49</f>
        <v>152372.35896200914</v>
      </c>
    </row>
    <row r="50" spans="1:15" hidden="1" x14ac:dyDescent="0.15">
      <c r="A50" s="154"/>
      <c r="B50" s="151"/>
      <c r="C50" s="151"/>
      <c r="D50" s="155"/>
      <c r="E50" s="155"/>
      <c r="F50" s="157"/>
      <c r="G50" s="152"/>
      <c r="H50" s="155"/>
      <c r="I50" s="152"/>
      <c r="J50" s="154"/>
      <c r="K50" s="154"/>
      <c r="L50" s="227"/>
      <c r="M50" s="157"/>
      <c r="N50" s="227">
        <f t="shared" si="4"/>
        <v>74582.555962009501</v>
      </c>
      <c r="O50" s="152">
        <f t="shared" si="5"/>
        <v>152372.35896200914</v>
      </c>
    </row>
    <row r="51" spans="1:15" hidden="1" x14ac:dyDescent="0.15">
      <c r="A51" s="154"/>
      <c r="B51" s="151"/>
      <c r="C51" s="151"/>
      <c r="D51" s="155"/>
      <c r="E51" s="155"/>
      <c r="F51" s="157"/>
      <c r="G51" s="152"/>
      <c r="H51" s="155"/>
      <c r="I51" s="152"/>
      <c r="J51" s="154"/>
      <c r="K51" s="154"/>
      <c r="L51" s="227"/>
      <c r="M51" s="157"/>
      <c r="N51" s="227">
        <f t="shared" si="4"/>
        <v>74582.555962009501</v>
      </c>
      <c r="O51" s="152">
        <f t="shared" si="5"/>
        <v>152372.35896200914</v>
      </c>
    </row>
    <row r="52" spans="1:15" hidden="1" x14ac:dyDescent="0.15">
      <c r="A52" s="154"/>
      <c r="B52" s="151"/>
      <c r="C52" s="151"/>
      <c r="D52" s="155"/>
      <c r="E52" s="155"/>
      <c r="F52" s="157"/>
      <c r="G52" s="152"/>
      <c r="H52" s="155"/>
      <c r="I52" s="152"/>
      <c r="J52" s="154"/>
      <c r="K52" s="154"/>
      <c r="L52" s="227"/>
      <c r="M52" s="157"/>
      <c r="N52" s="227">
        <f t="shared" si="4"/>
        <v>74582.555962009501</v>
      </c>
      <c r="O52" s="152">
        <f t="shared" si="5"/>
        <v>152372.35896200914</v>
      </c>
    </row>
    <row r="53" spans="1:15" hidden="1" x14ac:dyDescent="0.15">
      <c r="A53" s="154"/>
      <c r="B53" s="151"/>
      <c r="C53" s="151"/>
      <c r="D53" s="155"/>
      <c r="E53" s="155"/>
      <c r="F53" s="157"/>
      <c r="G53" s="152"/>
      <c r="H53" s="155"/>
      <c r="I53" s="152"/>
      <c r="J53" s="154"/>
      <c r="K53" s="154"/>
      <c r="L53" s="227"/>
      <c r="M53" s="157"/>
      <c r="N53" s="227">
        <f t="shared" si="4"/>
        <v>74582.555962009501</v>
      </c>
      <c r="O53" s="152">
        <f t="shared" si="5"/>
        <v>152372.35896200914</v>
      </c>
    </row>
    <row r="54" spans="1:15" hidden="1" x14ac:dyDescent="0.15">
      <c r="A54" s="154"/>
      <c r="B54" s="151"/>
      <c r="C54" s="151"/>
      <c r="D54" s="155"/>
      <c r="E54" s="155"/>
      <c r="F54" s="157"/>
      <c r="G54" s="152"/>
      <c r="H54" s="155"/>
      <c r="I54" s="152"/>
      <c r="J54" s="154"/>
      <c r="K54" s="154"/>
      <c r="L54" s="227"/>
      <c r="M54" s="157"/>
      <c r="N54" s="227">
        <f t="shared" si="4"/>
        <v>74582.555962009501</v>
      </c>
      <c r="O54" s="152">
        <f t="shared" si="5"/>
        <v>152372.35896200914</v>
      </c>
    </row>
    <row r="55" spans="1:15" hidden="1" x14ac:dyDescent="0.15">
      <c r="A55" s="154"/>
      <c r="B55" s="151"/>
      <c r="C55" s="151"/>
      <c r="D55" s="155"/>
      <c r="E55" s="154"/>
      <c r="F55" s="291"/>
      <c r="G55" s="152"/>
      <c r="H55" s="155"/>
      <c r="I55" s="152"/>
      <c r="J55" s="291"/>
      <c r="K55" s="154"/>
      <c r="L55" s="227"/>
      <c r="M55" s="157"/>
      <c r="N55" s="227">
        <f t="shared" si="4"/>
        <v>74582.555962009501</v>
      </c>
      <c r="O55" s="152">
        <f t="shared" si="5"/>
        <v>152372.35896200914</v>
      </c>
    </row>
    <row r="56" spans="1:15" hidden="1" x14ac:dyDescent="0.15">
      <c r="A56" s="154"/>
      <c r="B56" s="151"/>
      <c r="C56" s="151"/>
      <c r="D56" s="155"/>
      <c r="E56" s="154"/>
      <c r="F56" s="291"/>
      <c r="G56" s="152"/>
      <c r="H56" s="155"/>
      <c r="I56" s="152"/>
      <c r="J56" s="157"/>
      <c r="K56" s="154"/>
      <c r="L56" s="227"/>
      <c r="M56" s="157"/>
      <c r="N56" s="227">
        <f t="shared" si="4"/>
        <v>74582.555962009501</v>
      </c>
      <c r="O56" s="152">
        <f t="shared" si="5"/>
        <v>152372.35896200914</v>
      </c>
    </row>
    <row r="57" spans="1:15" hidden="1" x14ac:dyDescent="0.15">
      <c r="A57" s="154"/>
      <c r="B57" s="151"/>
      <c r="C57" s="151"/>
      <c r="D57" s="152"/>
      <c r="E57" s="154"/>
      <c r="F57" s="157"/>
      <c r="G57" s="152"/>
      <c r="H57" s="155"/>
      <c r="I57" s="152"/>
      <c r="J57" s="154"/>
      <c r="K57" s="154"/>
      <c r="L57" s="227"/>
      <c r="M57" s="157"/>
      <c r="N57" s="227">
        <f t="shared" si="4"/>
        <v>74582.555962009501</v>
      </c>
      <c r="O57" s="152">
        <f t="shared" si="5"/>
        <v>152372.35896200914</v>
      </c>
    </row>
    <row r="58" spans="1:15" hidden="1" x14ac:dyDescent="0.15">
      <c r="A58" s="154"/>
      <c r="B58" s="151"/>
      <c r="C58" s="151"/>
      <c r="D58" s="152"/>
      <c r="E58" s="155"/>
      <c r="F58" s="157"/>
      <c r="G58" s="152"/>
      <c r="H58" s="155"/>
      <c r="I58" s="152"/>
      <c r="J58" s="157"/>
      <c r="K58" s="154"/>
      <c r="L58" s="227"/>
      <c r="M58" s="157"/>
      <c r="N58" s="227">
        <f t="shared" si="4"/>
        <v>74582.555962009501</v>
      </c>
      <c r="O58" s="152">
        <f t="shared" si="5"/>
        <v>152372.35896200914</v>
      </c>
    </row>
    <row r="59" spans="1:15" hidden="1" x14ac:dyDescent="0.15">
      <c r="A59" s="154"/>
      <c r="B59" s="151"/>
      <c r="C59" s="151"/>
      <c r="D59" s="152"/>
      <c r="E59" s="154"/>
      <c r="F59" s="160"/>
      <c r="G59" s="152"/>
      <c r="H59" s="155"/>
      <c r="I59" s="152"/>
      <c r="J59" s="150"/>
      <c r="K59" s="154"/>
      <c r="L59" s="227"/>
      <c r="M59" s="157"/>
      <c r="N59" s="227">
        <f t="shared" si="4"/>
        <v>74582.555962009501</v>
      </c>
      <c r="O59" s="152">
        <f t="shared" si="5"/>
        <v>152372.35896200914</v>
      </c>
    </row>
    <row r="60" spans="1:15" x14ac:dyDescent="0.15">
      <c r="A60" s="173"/>
      <c r="B60" s="173"/>
      <c r="C60" s="174"/>
      <c r="D60" s="175"/>
      <c r="E60" s="173"/>
      <c r="F60" s="173"/>
      <c r="G60" s="174"/>
      <c r="H60" s="175"/>
      <c r="I60" s="174"/>
      <c r="J60" s="173"/>
      <c r="K60" s="154"/>
      <c r="L60" s="228"/>
      <c r="M60" s="173"/>
      <c r="N60" s="227">
        <f t="shared" si="4"/>
        <v>74582.555962009501</v>
      </c>
      <c r="O60" s="152">
        <f t="shared" si="5"/>
        <v>152372.35896200914</v>
      </c>
    </row>
    <row r="61" spans="1:15" x14ac:dyDescent="0.15">
      <c r="A61" s="177"/>
      <c r="B61" s="177"/>
      <c r="C61" s="178">
        <f>SUM(C7:C59)</f>
        <v>493621.42386200943</v>
      </c>
      <c r="D61" s="177"/>
      <c r="E61" s="177"/>
      <c r="F61" s="177"/>
      <c r="G61" s="178">
        <f>SUM(G7:G59)</f>
        <v>533649.41599999997</v>
      </c>
      <c r="H61" s="179"/>
      <c r="I61" s="178">
        <f>SUM(I7:I59)</f>
        <v>28620.240900000001</v>
      </c>
      <c r="J61" s="177"/>
      <c r="K61" s="177"/>
      <c r="L61" s="229">
        <f>SUM(L9:L59)</f>
        <v>846278.24000000011</v>
      </c>
      <c r="M61" s="177"/>
      <c r="N61" s="180"/>
      <c r="O61" s="181">
        <f>C61+G61-I61-L61</f>
        <v>152372.35896200931</v>
      </c>
    </row>
    <row r="62" spans="1:15" x14ac:dyDescent="0.15">
      <c r="A62" s="182"/>
      <c r="B62" s="465"/>
      <c r="C62" s="465"/>
      <c r="D62" s="465"/>
      <c r="E62" s="183"/>
      <c r="F62" s="284"/>
      <c r="G62" s="185"/>
      <c r="H62" s="186"/>
      <c r="I62" s="187"/>
      <c r="J62" s="188"/>
      <c r="K62" s="189" t="s">
        <v>139</v>
      </c>
      <c r="L62" s="190">
        <f>+L61+I61</f>
        <v>874898.48090000008</v>
      </c>
      <c r="M62" s="197"/>
      <c r="N62" s="230">
        <f>+N60</f>
        <v>74582.555962009501</v>
      </c>
      <c r="O62" s="157" t="s">
        <v>1576</v>
      </c>
    </row>
    <row r="63" spans="1:15" x14ac:dyDescent="0.15">
      <c r="A63" s="193"/>
      <c r="B63" s="470"/>
      <c r="C63" s="470"/>
      <c r="D63" s="470"/>
      <c r="E63" s="183"/>
      <c r="F63" s="305"/>
      <c r="G63" s="219"/>
      <c r="H63" s="186"/>
      <c r="I63" s="187"/>
      <c r="J63" s="210"/>
      <c r="K63" s="210"/>
      <c r="N63" s="230">
        <f>+G26</f>
        <v>77789.803</v>
      </c>
      <c r="O63" s="195" t="s">
        <v>1577</v>
      </c>
    </row>
    <row r="64" spans="1:15" x14ac:dyDescent="0.15">
      <c r="A64" s="193" t="s">
        <v>1523</v>
      </c>
      <c r="B64" s="306" t="s">
        <v>1537</v>
      </c>
      <c r="E64" s="183" t="s">
        <v>55</v>
      </c>
      <c r="F64" s="305">
        <v>2121604.54</v>
      </c>
      <c r="G64" s="219" t="s">
        <v>56</v>
      </c>
      <c r="H64" s="186">
        <v>41362</v>
      </c>
      <c r="I64" s="187" t="s">
        <v>71</v>
      </c>
      <c r="J64" s="210">
        <v>39749.611862009362</v>
      </c>
      <c r="K64" s="210"/>
      <c r="N64" s="230"/>
      <c r="O64" s="195"/>
    </row>
    <row r="65" spans="1:15" x14ac:dyDescent="0.15">
      <c r="A65" s="193" t="s">
        <v>1525</v>
      </c>
      <c r="B65" s="306" t="s">
        <v>1578</v>
      </c>
      <c r="E65" s="183" t="s">
        <v>55</v>
      </c>
      <c r="F65" s="305">
        <v>590972.67000000004</v>
      </c>
      <c r="G65" s="219" t="s">
        <v>56</v>
      </c>
      <c r="H65" s="186">
        <v>41365</v>
      </c>
      <c r="I65" s="187" t="s">
        <v>71</v>
      </c>
      <c r="J65" s="210">
        <v>158590.89940000014</v>
      </c>
      <c r="K65" s="210"/>
      <c r="N65" s="230"/>
      <c r="O65" s="195"/>
    </row>
    <row r="66" spans="1:15" x14ac:dyDescent="0.15">
      <c r="A66" s="133" t="s">
        <v>1576</v>
      </c>
      <c r="B66" s="306" t="s">
        <v>1579</v>
      </c>
      <c r="E66" s="183" t="s">
        <v>55</v>
      </c>
      <c r="F66" s="305">
        <v>676891.56</v>
      </c>
      <c r="G66" s="219" t="s">
        <v>56</v>
      </c>
      <c r="H66" s="186">
        <v>41373</v>
      </c>
      <c r="I66" s="187" t="s">
        <v>71</v>
      </c>
      <c r="J66" s="210">
        <v>79030.813037990505</v>
      </c>
      <c r="K66" s="210"/>
      <c r="N66" s="230"/>
      <c r="O66" s="195"/>
    </row>
    <row r="67" spans="1:15" ht="12" thickBot="1" x14ac:dyDescent="0.2">
      <c r="A67" s="133"/>
      <c r="B67" s="303"/>
      <c r="C67" s="303"/>
      <c r="D67" s="303"/>
      <c r="E67" s="183"/>
      <c r="F67" s="304"/>
      <c r="G67" s="219"/>
      <c r="H67" s="186"/>
      <c r="I67" s="217" t="s">
        <v>856</v>
      </c>
      <c r="J67" s="211">
        <f>SUM(J64:J66)</f>
        <v>277371.32429999998</v>
      </c>
      <c r="K67" s="210"/>
      <c r="N67" s="230"/>
      <c r="O67" s="195"/>
    </row>
    <row r="68" spans="1:15" ht="12" thickTop="1" x14ac:dyDescent="0.15">
      <c r="A68" s="133" t="s">
        <v>1575</v>
      </c>
      <c r="B68" s="131" t="s">
        <v>1580</v>
      </c>
      <c r="E68" s="183" t="s">
        <v>55</v>
      </c>
      <c r="F68" s="305">
        <v>18185628.82</v>
      </c>
      <c r="G68" s="219" t="s">
        <v>56</v>
      </c>
      <c r="H68" s="186">
        <v>41332</v>
      </c>
      <c r="I68" s="187" t="s">
        <v>71</v>
      </c>
      <c r="J68" s="210">
        <v>202849.48099999997</v>
      </c>
      <c r="N68" s="230"/>
      <c r="O68" s="195"/>
    </row>
    <row r="69" spans="1:15" x14ac:dyDescent="0.15">
      <c r="A69" s="133" t="s">
        <v>1524</v>
      </c>
      <c r="B69" s="131" t="s">
        <v>1581</v>
      </c>
      <c r="C69" s="303"/>
      <c r="D69" s="303"/>
      <c r="E69" s="183" t="s">
        <v>55</v>
      </c>
      <c r="F69" s="305">
        <v>50092202.130000003</v>
      </c>
      <c r="G69" s="219" t="s">
        <v>56</v>
      </c>
      <c r="H69" s="186">
        <v>41365</v>
      </c>
      <c r="I69" s="187" t="s">
        <v>71</v>
      </c>
      <c r="J69" s="210">
        <v>95714.576999999932</v>
      </c>
      <c r="N69" s="206" t="s">
        <v>33</v>
      </c>
      <c r="O69" s="207">
        <f>SUM(N62:N68)</f>
        <v>152372.35896200949</v>
      </c>
    </row>
    <row r="70" spans="1:15" x14ac:dyDescent="0.15">
      <c r="A70" s="133" t="s">
        <v>1526</v>
      </c>
      <c r="B70" s="131" t="s">
        <v>1582</v>
      </c>
      <c r="E70" s="183" t="s">
        <v>55</v>
      </c>
      <c r="F70" s="305">
        <v>40268099.880000003</v>
      </c>
      <c r="G70" s="219" t="s">
        <v>56</v>
      </c>
      <c r="H70" s="186">
        <v>41366</v>
      </c>
      <c r="I70" s="187" t="s">
        <v>71</v>
      </c>
      <c r="J70" s="210">
        <v>76388.045700000002</v>
      </c>
      <c r="O70" s="132">
        <f>+O61-O69</f>
        <v>0</v>
      </c>
    </row>
    <row r="71" spans="1:15" s="132" customFormat="1" x14ac:dyDescent="0.15">
      <c r="A71" s="133" t="s">
        <v>1527</v>
      </c>
      <c r="B71" s="131" t="s">
        <v>1583</v>
      </c>
      <c r="C71" s="303"/>
      <c r="D71" s="303"/>
      <c r="E71" s="183" t="s">
        <v>55</v>
      </c>
      <c r="F71" s="305">
        <v>46391778.899999999</v>
      </c>
      <c r="G71" s="219" t="s">
        <v>56</v>
      </c>
      <c r="H71" s="186">
        <v>41368</v>
      </c>
      <c r="I71" s="187" t="s">
        <v>71</v>
      </c>
      <c r="J71" s="210">
        <v>193954.81200000001</v>
      </c>
      <c r="K71" s="133"/>
      <c r="M71" s="134"/>
    </row>
    <row r="72" spans="1:15" s="132" customFormat="1" ht="12" thickBot="1" x14ac:dyDescent="0.2">
      <c r="A72" s="193"/>
      <c r="B72" s="210"/>
      <c r="C72" s="221"/>
      <c r="D72" s="237"/>
      <c r="E72" s="235"/>
      <c r="F72" s="235"/>
      <c r="H72" s="133"/>
      <c r="I72" s="218" t="s">
        <v>106</v>
      </c>
      <c r="J72" s="212">
        <f>SUM(J68:J71)</f>
        <v>568906.9156999999</v>
      </c>
      <c r="K72" s="133"/>
      <c r="M72" s="134"/>
    </row>
    <row r="73" spans="1:15" s="132" customFormat="1" ht="12" thickTop="1" x14ac:dyDescent="0.15">
      <c r="A73" s="193"/>
      <c r="B73" s="210"/>
      <c r="C73" s="221"/>
      <c r="D73" s="237"/>
      <c r="E73" s="235"/>
      <c r="F73" s="235"/>
      <c r="H73" s="133"/>
      <c r="J73" s="205"/>
      <c r="K73" s="133"/>
      <c r="M73" s="134"/>
    </row>
    <row r="74" spans="1:15" s="132" customFormat="1" x14ac:dyDescent="0.15">
      <c r="A74" s="193"/>
      <c r="B74" s="210"/>
      <c r="C74" s="221"/>
      <c r="D74" s="237"/>
      <c r="E74" s="235"/>
      <c r="F74" s="235"/>
      <c r="H74" s="133"/>
      <c r="J74" s="205"/>
      <c r="K74" s="133"/>
      <c r="M74" s="134"/>
    </row>
    <row r="75" spans="1:15" s="132" customFormat="1" x14ac:dyDescent="0.15">
      <c r="A75" s="193"/>
      <c r="B75" s="210"/>
      <c r="C75" s="221"/>
      <c r="D75" s="237"/>
      <c r="E75" s="235"/>
      <c r="F75" s="235"/>
      <c r="H75" s="133"/>
      <c r="J75" s="205"/>
      <c r="K75" s="133"/>
      <c r="M75" s="134"/>
    </row>
    <row r="76" spans="1:15" s="132" customFormat="1" x14ac:dyDescent="0.15">
      <c r="A76" s="133"/>
      <c r="B76" s="133" t="s">
        <v>9</v>
      </c>
      <c r="C76" s="220" t="s">
        <v>729</v>
      </c>
      <c r="D76" s="220" t="s">
        <v>850</v>
      </c>
      <c r="E76" s="133" t="s">
        <v>570</v>
      </c>
      <c r="F76" s="133" t="s">
        <v>571</v>
      </c>
      <c r="G76" s="133" t="s">
        <v>16</v>
      </c>
      <c r="H76" s="134"/>
      <c r="I76" s="134"/>
      <c r="J76" s="205"/>
      <c r="K76" s="133"/>
      <c r="M76" s="134"/>
    </row>
    <row r="77" spans="1:15" s="132" customFormat="1" x14ac:dyDescent="0.15">
      <c r="A77" s="193" t="s">
        <v>1523</v>
      </c>
      <c r="B77" s="210">
        <v>39750</v>
      </c>
      <c r="C77" s="221">
        <v>22.814499999999999</v>
      </c>
      <c r="D77" s="237">
        <f t="shared" ref="D77:D79" si="6">+B77*C77</f>
        <v>906876.375</v>
      </c>
      <c r="E77" s="235">
        <f t="shared" ref="E77:E79" si="7">+D77*0.01</f>
        <v>9068.7637500000001</v>
      </c>
      <c r="F77" s="235">
        <f t="shared" ref="F77:F79" si="8">+E77*0.1</f>
        <v>906.87637500000005</v>
      </c>
      <c r="G77" s="236">
        <f>SUM(E77:F77)</f>
        <v>9975.6401249999999</v>
      </c>
      <c r="H77" s="134"/>
      <c r="I77" s="134"/>
      <c r="J77" s="134"/>
      <c r="K77" s="133"/>
      <c r="M77" s="134"/>
    </row>
    <row r="78" spans="1:15" s="132" customFormat="1" x14ac:dyDescent="0.15">
      <c r="A78" s="193" t="s">
        <v>1525</v>
      </c>
      <c r="B78" s="210">
        <v>158591</v>
      </c>
      <c r="C78" s="221">
        <v>22.354500000000002</v>
      </c>
      <c r="D78" s="237">
        <f t="shared" si="6"/>
        <v>3545222.5095000002</v>
      </c>
      <c r="E78" s="235">
        <f t="shared" si="7"/>
        <v>35452.225095000002</v>
      </c>
      <c r="F78" s="235">
        <f t="shared" si="8"/>
        <v>3545.2225095000003</v>
      </c>
      <c r="G78" s="236">
        <f t="shared" ref="G78:G79" si="9">SUM(E78:F78)</f>
        <v>38997.447604500005</v>
      </c>
      <c r="H78" s="133"/>
      <c r="J78" s="134"/>
      <c r="K78" s="133"/>
      <c r="M78" s="134"/>
    </row>
    <row r="79" spans="1:15" s="132" customFormat="1" x14ac:dyDescent="0.15">
      <c r="A79" s="133" t="s">
        <v>1576</v>
      </c>
      <c r="B79" s="210">
        <v>79031</v>
      </c>
      <c r="C79" s="221">
        <v>22.5852</v>
      </c>
      <c r="D79" s="237">
        <f t="shared" si="6"/>
        <v>1784930.9412</v>
      </c>
      <c r="E79" s="235">
        <f t="shared" si="7"/>
        <v>17849.309411999999</v>
      </c>
      <c r="F79" s="235">
        <f t="shared" si="8"/>
        <v>1784.9309412</v>
      </c>
      <c r="G79" s="236">
        <f t="shared" si="9"/>
        <v>19634.240353199999</v>
      </c>
      <c r="H79" s="134"/>
      <c r="I79" s="134"/>
      <c r="J79" s="134"/>
      <c r="K79" s="133"/>
      <c r="M79" s="134"/>
    </row>
    <row r="80" spans="1:15" s="132" customFormat="1" ht="12" thickBot="1" x14ac:dyDescent="0.2">
      <c r="A80" s="133"/>
      <c r="B80" s="211">
        <f>SUM(B77:B79)</f>
        <v>277372</v>
      </c>
      <c r="C80" s="221"/>
      <c r="D80" s="237"/>
      <c r="E80" s="242">
        <f>SUM(E77:E79)</f>
        <v>62370.298257000002</v>
      </c>
      <c r="F80" s="242">
        <f>SUM(F77:F79)</f>
        <v>6237.0298257000004</v>
      </c>
      <c r="G80" s="242">
        <f>SUM(G77:G79)</f>
        <v>68607.328082699998</v>
      </c>
      <c r="H80" s="244"/>
      <c r="J80" s="134"/>
      <c r="K80" s="133"/>
      <c r="M80" s="134"/>
    </row>
    <row r="81" spans="1:15" s="132" customFormat="1" ht="12" thickTop="1" x14ac:dyDescent="0.15">
      <c r="A81" s="133" t="s">
        <v>1575</v>
      </c>
      <c r="B81" s="210">
        <v>202849</v>
      </c>
      <c r="C81" s="221">
        <v>25.9757</v>
      </c>
      <c r="D81" s="237">
        <f t="shared" ref="D81:D84" si="10">+B81*C81</f>
        <v>5269144.7692999998</v>
      </c>
      <c r="E81" s="235">
        <f t="shared" ref="E81:E84" si="11">+D81*0.01</f>
        <v>52691.447693000002</v>
      </c>
      <c r="F81" s="235">
        <f t="shared" ref="F81:F84" si="12">+E81*0.1</f>
        <v>5269.1447693000009</v>
      </c>
      <c r="G81" s="236">
        <f t="shared" ref="G81:G84" si="13">SUM(E81:F81)</f>
        <v>57960.592462300003</v>
      </c>
      <c r="H81" s="133"/>
      <c r="J81" s="134"/>
      <c r="K81" s="133"/>
      <c r="M81" s="134"/>
    </row>
    <row r="82" spans="1:15" s="132" customFormat="1" x14ac:dyDescent="0.15">
      <c r="A82" s="133" t="s">
        <v>1524</v>
      </c>
      <c r="B82" s="210">
        <v>95715</v>
      </c>
      <c r="C82" s="221">
        <v>22.487400000000001</v>
      </c>
      <c r="D82" s="237">
        <f t="shared" si="10"/>
        <v>2152381.4909999999</v>
      </c>
      <c r="E82" s="235">
        <f t="shared" si="11"/>
        <v>21523.814910000001</v>
      </c>
      <c r="F82" s="235">
        <f t="shared" si="12"/>
        <v>2152.3814910000001</v>
      </c>
      <c r="G82" s="236">
        <f t="shared" si="13"/>
        <v>23676.196401000001</v>
      </c>
      <c r="H82" s="133"/>
      <c r="J82" s="134"/>
      <c r="K82" s="133"/>
      <c r="M82" s="134"/>
    </row>
    <row r="83" spans="1:15" s="132" customFormat="1" x14ac:dyDescent="0.15">
      <c r="A83" s="133" t="s">
        <v>1526</v>
      </c>
      <c r="B83" s="210">
        <v>76388</v>
      </c>
      <c r="C83" s="221">
        <v>22.514600000000002</v>
      </c>
      <c r="D83" s="237">
        <f t="shared" si="10"/>
        <v>1719845.2648</v>
      </c>
      <c r="E83" s="235">
        <f t="shared" si="11"/>
        <v>17198.452647999999</v>
      </c>
      <c r="F83" s="235">
        <f t="shared" si="12"/>
        <v>1719.8452648</v>
      </c>
      <c r="G83" s="236">
        <f t="shared" si="13"/>
        <v>18918.297912799997</v>
      </c>
      <c r="H83" s="133"/>
      <c r="J83" s="134"/>
      <c r="K83" s="133"/>
      <c r="M83" s="134"/>
    </row>
    <row r="84" spans="1:15" s="132" customFormat="1" x14ac:dyDescent="0.15">
      <c r="A84" s="133" t="s">
        <v>1527</v>
      </c>
      <c r="B84" s="210">
        <v>193955</v>
      </c>
      <c r="C84" s="221">
        <v>22.488800000000001</v>
      </c>
      <c r="D84" s="237">
        <f t="shared" si="10"/>
        <v>4361815.2039999999</v>
      </c>
      <c r="E84" s="235">
        <f t="shared" si="11"/>
        <v>43618.152040000001</v>
      </c>
      <c r="F84" s="235">
        <f t="shared" si="12"/>
        <v>4361.8152040000004</v>
      </c>
      <c r="G84" s="236">
        <f t="shared" si="13"/>
        <v>47979.967243999999</v>
      </c>
      <c r="H84" s="133"/>
      <c r="J84" s="134"/>
      <c r="K84" s="133"/>
      <c r="M84" s="134"/>
    </row>
    <row r="85" spans="1:15" s="132" customFormat="1" ht="12" thickBot="1" x14ac:dyDescent="0.2">
      <c r="A85" s="134"/>
      <c r="B85" s="211">
        <f>SUM(B81:B84)</f>
        <v>568907</v>
      </c>
      <c r="D85" s="133"/>
      <c r="E85" s="234">
        <f>SUM(E81:E84)</f>
        <v>135031.86729100003</v>
      </c>
      <c r="F85" s="234">
        <f>SUM(F81:F84)</f>
        <v>13503.186729100002</v>
      </c>
      <c r="G85" s="234">
        <f>SUM(G81:G84)</f>
        <v>148535.05402009998</v>
      </c>
      <c r="H85" s="133"/>
      <c r="J85" s="134"/>
      <c r="K85" s="133"/>
      <c r="M85" s="134"/>
    </row>
    <row r="86" spans="1:15" s="132" customFormat="1" ht="12" thickTop="1" x14ac:dyDescent="0.15">
      <c r="A86" s="134"/>
      <c r="B86" s="231"/>
      <c r="D86" s="133"/>
      <c r="E86" s="133"/>
      <c r="F86" s="134"/>
      <c r="H86" s="133"/>
      <c r="J86" s="134"/>
      <c r="K86" s="133"/>
      <c r="M86" s="134"/>
    </row>
    <row r="87" spans="1:15" s="132" customFormat="1" x14ac:dyDescent="0.15">
      <c r="A87" s="134"/>
      <c r="B87" s="131"/>
      <c r="D87" s="133"/>
      <c r="E87" s="133"/>
      <c r="F87" s="134"/>
      <c r="H87" s="133"/>
      <c r="J87" s="134"/>
      <c r="K87" s="133"/>
      <c r="M87" s="134"/>
    </row>
    <row r="88" spans="1:15" s="132" customFormat="1" x14ac:dyDescent="0.15">
      <c r="A88" s="134"/>
      <c r="B88" s="131"/>
      <c r="D88" s="133"/>
      <c r="E88" s="133"/>
      <c r="F88" s="134"/>
      <c r="H88" s="133"/>
      <c r="J88" s="134"/>
      <c r="K88" s="133"/>
      <c r="M88" s="134"/>
    </row>
    <row r="89" spans="1:15" s="132" customFormat="1" x14ac:dyDescent="0.15">
      <c r="A89" s="134"/>
      <c r="B89" s="131"/>
      <c r="D89" s="133"/>
      <c r="E89" s="133"/>
      <c r="F89" s="134"/>
      <c r="H89" s="133"/>
      <c r="J89" s="134"/>
      <c r="K89" s="133"/>
      <c r="M89" s="134"/>
    </row>
    <row r="90" spans="1:15" s="132" customFormat="1" x14ac:dyDescent="0.15">
      <c r="A90" s="134"/>
      <c r="B90" s="131"/>
      <c r="D90" s="133"/>
      <c r="E90" s="133"/>
      <c r="F90" s="134"/>
      <c r="H90" s="133"/>
      <c r="J90" s="134"/>
      <c r="K90" s="133"/>
      <c r="M90" s="134"/>
    </row>
    <row r="91" spans="1:15" s="133" customFormat="1" x14ac:dyDescent="0.15">
      <c r="A91" s="134"/>
      <c r="B91" s="131"/>
      <c r="C91" s="132"/>
      <c r="F91" s="134"/>
      <c r="G91" s="132"/>
      <c r="I91" s="132"/>
      <c r="J91" s="134"/>
      <c r="L91" s="132"/>
      <c r="M91" s="134"/>
      <c r="N91" s="132"/>
      <c r="O91" s="132"/>
    </row>
    <row r="92" spans="1:15" s="133" customFormat="1" x14ac:dyDescent="0.15">
      <c r="A92" s="134"/>
      <c r="B92" s="131"/>
      <c r="C92" s="132"/>
      <c r="F92" s="134"/>
      <c r="G92" s="132"/>
      <c r="I92" s="132"/>
      <c r="J92" s="134"/>
      <c r="L92" s="132"/>
      <c r="M92" s="134"/>
      <c r="N92" s="132"/>
      <c r="O92" s="132"/>
    </row>
    <row r="93" spans="1:15" s="133" customFormat="1" x14ac:dyDescent="0.15">
      <c r="A93" s="134"/>
      <c r="B93" s="131"/>
      <c r="C93" s="132"/>
      <c r="F93" s="134"/>
      <c r="G93" s="132"/>
      <c r="I93" s="132"/>
      <c r="J93" s="134"/>
      <c r="L93" s="132"/>
      <c r="M93" s="134"/>
      <c r="N93" s="132"/>
      <c r="O93" s="132"/>
    </row>
    <row r="94" spans="1:15" s="133" customFormat="1" x14ac:dyDescent="0.15">
      <c r="A94" s="134"/>
      <c r="B94" s="131"/>
      <c r="C94" s="132"/>
      <c r="F94" s="134"/>
      <c r="G94" s="132"/>
      <c r="I94" s="132"/>
      <c r="J94" s="134"/>
      <c r="L94" s="132"/>
      <c r="M94" s="134"/>
      <c r="N94" s="132"/>
      <c r="O94" s="132"/>
    </row>
    <row r="95" spans="1:15" s="133" customFormat="1" x14ac:dyDescent="0.15">
      <c r="A95" s="134"/>
      <c r="B95" s="131"/>
      <c r="C95" s="132"/>
      <c r="F95" s="134"/>
      <c r="G95" s="132"/>
      <c r="I95" s="132"/>
      <c r="J95" s="134"/>
      <c r="L95" s="132"/>
      <c r="M95" s="134"/>
      <c r="N95" s="132"/>
      <c r="O95" s="132"/>
    </row>
    <row r="96" spans="1:15" s="133" customFormat="1" x14ac:dyDescent="0.15">
      <c r="A96" s="134"/>
      <c r="B96" s="131"/>
      <c r="C96" s="132"/>
      <c r="F96" s="134"/>
      <c r="G96" s="132"/>
      <c r="I96" s="132"/>
      <c r="J96" s="134"/>
      <c r="L96" s="132"/>
      <c r="M96" s="134"/>
      <c r="N96" s="132"/>
      <c r="O96" s="132"/>
    </row>
    <row r="98" spans="1:13" s="132" customFormat="1" x14ac:dyDescent="0.15">
      <c r="A98" s="134"/>
      <c r="B98" s="131"/>
      <c r="D98" s="133"/>
      <c r="E98" s="133"/>
      <c r="F98" s="134"/>
      <c r="H98" s="133"/>
      <c r="J98" s="134"/>
      <c r="K98" s="133"/>
      <c r="M98" s="134"/>
    </row>
  </sheetData>
  <mergeCells count="8">
    <mergeCell ref="B62:D62"/>
    <mergeCell ref="B63:D6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5"/>
  <sheetViews>
    <sheetView zoomScale="115" zoomScaleNormal="115" workbookViewId="0">
      <pane ySplit="6" topLeftCell="A7" activePane="bottomLeft" state="frozen"/>
      <selection pane="bottomLeft" activeCell="A2" sqref="A2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1547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1460</v>
      </c>
      <c r="B7" s="146"/>
      <c r="C7" s="147">
        <v>61866.201862009329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61866.201862009329</v>
      </c>
      <c r="O7" s="147">
        <f>+C100</f>
        <v>500529.61186200945</v>
      </c>
    </row>
    <row r="8" spans="1:15" x14ac:dyDescent="0.15">
      <c r="A8" s="154" t="s">
        <v>1461</v>
      </c>
      <c r="B8" s="151"/>
      <c r="C8" s="152">
        <v>146781.92400000003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61866.201862009329</v>
      </c>
      <c r="O8" s="152">
        <f t="shared" ref="O8:O9" si="0">O7+G8-I8-L8</f>
        <v>500529.61186200945</v>
      </c>
    </row>
    <row r="9" spans="1:15" x14ac:dyDescent="0.15">
      <c r="A9" s="157" t="s">
        <v>1481</v>
      </c>
      <c r="B9" s="151"/>
      <c r="C9" s="152">
        <v>203865.24799999979</v>
      </c>
      <c r="D9" s="154"/>
      <c r="E9" s="154"/>
      <c r="F9" s="154"/>
      <c r="G9" s="152"/>
      <c r="H9" s="154"/>
      <c r="I9" s="152"/>
      <c r="J9" s="154"/>
      <c r="K9" s="154"/>
      <c r="L9" s="227"/>
      <c r="M9" s="154"/>
      <c r="N9" s="227">
        <f t="shared" ref="N9" si="1">+N8-I9-L9</f>
        <v>61866.201862009329</v>
      </c>
      <c r="O9" s="152">
        <f t="shared" si="0"/>
        <v>500529.61186200945</v>
      </c>
    </row>
    <row r="10" spans="1:15" x14ac:dyDescent="0.15">
      <c r="A10" s="154" t="s">
        <v>1462</v>
      </c>
      <c r="B10" s="151"/>
      <c r="C10" s="152">
        <v>88016.238000000303</v>
      </c>
      <c r="D10" s="155"/>
      <c r="E10" s="154"/>
      <c r="F10" s="157"/>
      <c r="G10" s="152"/>
      <c r="H10" s="155"/>
      <c r="I10" s="152"/>
      <c r="J10" s="154"/>
      <c r="K10" s="154"/>
      <c r="L10" s="227"/>
      <c r="M10" s="154"/>
      <c r="N10" s="227">
        <f t="shared" ref="N10" si="2">+N9-I10-L10</f>
        <v>61866.201862009329</v>
      </c>
      <c r="O10" s="152">
        <f t="shared" ref="O10" si="3">O9+G10-I10-L10</f>
        <v>500529.61186200945</v>
      </c>
    </row>
    <row r="11" spans="1:15" x14ac:dyDescent="0.15">
      <c r="A11" s="154"/>
      <c r="B11" s="151"/>
      <c r="C11" s="152"/>
      <c r="D11" s="155"/>
      <c r="E11" s="154"/>
      <c r="F11" s="157"/>
      <c r="G11" s="152"/>
      <c r="H11" s="155"/>
      <c r="I11" s="152"/>
      <c r="J11" s="154"/>
      <c r="K11" s="154"/>
      <c r="L11" s="227"/>
      <c r="M11" s="154"/>
      <c r="N11" s="227">
        <f t="shared" ref="N11:N73" si="4">+N10-I11-L11</f>
        <v>61866.201862009329</v>
      </c>
      <c r="O11" s="152">
        <f t="shared" ref="O11:O74" si="5">O10+G11-I11-L11</f>
        <v>500529.61186200945</v>
      </c>
    </row>
    <row r="12" spans="1:15" x14ac:dyDescent="0.15">
      <c r="A12" s="154"/>
      <c r="B12" s="151"/>
      <c r="C12" s="152"/>
      <c r="D12" s="155" t="s">
        <v>1491</v>
      </c>
      <c r="E12" s="155" t="s">
        <v>72</v>
      </c>
      <c r="F12" s="157" t="s">
        <v>1462</v>
      </c>
      <c r="G12" s="152">
        <v>28674.506999999605</v>
      </c>
      <c r="H12" s="155" t="s">
        <v>1491</v>
      </c>
      <c r="I12" s="152"/>
      <c r="J12" s="154"/>
      <c r="K12" s="154"/>
      <c r="L12" s="227"/>
      <c r="M12" s="154"/>
      <c r="N12" s="227">
        <f t="shared" si="4"/>
        <v>61866.201862009329</v>
      </c>
      <c r="O12" s="152">
        <f t="shared" si="5"/>
        <v>529204.11886200903</v>
      </c>
    </row>
    <row r="13" spans="1:15" x14ac:dyDescent="0.15">
      <c r="A13" s="154"/>
      <c r="B13" s="151"/>
      <c r="C13" s="152"/>
      <c r="D13" s="155" t="s">
        <v>1491</v>
      </c>
      <c r="E13" s="155" t="s">
        <v>72</v>
      </c>
      <c r="F13" s="157" t="s">
        <v>1512</v>
      </c>
      <c r="G13" s="152">
        <v>90252.186000000394</v>
      </c>
      <c r="H13" s="155" t="s">
        <v>1491</v>
      </c>
      <c r="I13" s="152"/>
      <c r="J13" s="154"/>
      <c r="K13" s="154"/>
      <c r="L13" s="227"/>
      <c r="M13" s="154"/>
      <c r="N13" s="227">
        <f t="shared" si="4"/>
        <v>61866.201862009329</v>
      </c>
      <c r="O13" s="152">
        <f t="shared" si="5"/>
        <v>619456.30486200936</v>
      </c>
    </row>
    <row r="14" spans="1:15" x14ac:dyDescent="0.15">
      <c r="A14" s="154"/>
      <c r="B14" s="151"/>
      <c r="C14" s="152"/>
      <c r="D14" s="155" t="s">
        <v>1501</v>
      </c>
      <c r="E14" s="155" t="s">
        <v>72</v>
      </c>
      <c r="F14" s="157" t="s">
        <v>1512</v>
      </c>
      <c r="G14" s="152">
        <v>120947.89600000001</v>
      </c>
      <c r="H14" s="155" t="s">
        <v>1501</v>
      </c>
      <c r="I14" s="152"/>
      <c r="J14" s="154"/>
      <c r="K14" s="154" t="s">
        <v>1546</v>
      </c>
      <c r="L14" s="227">
        <v>61866.201862009329</v>
      </c>
      <c r="M14" s="154" t="s">
        <v>1460</v>
      </c>
      <c r="N14" s="227">
        <f t="shared" si="4"/>
        <v>0</v>
      </c>
      <c r="O14" s="152">
        <f t="shared" si="5"/>
        <v>678537.99899999995</v>
      </c>
    </row>
    <row r="15" spans="1:15" x14ac:dyDescent="0.15">
      <c r="A15" s="154"/>
      <c r="B15" s="151"/>
      <c r="C15" s="152"/>
      <c r="D15" s="155"/>
      <c r="E15" s="155"/>
      <c r="F15" s="157"/>
      <c r="G15" s="152"/>
      <c r="H15" s="155" t="s">
        <v>1501</v>
      </c>
      <c r="I15" s="152"/>
      <c r="J15" s="154"/>
      <c r="K15" s="154" t="s">
        <v>1546</v>
      </c>
      <c r="L15" s="227">
        <v>15789.538137990699</v>
      </c>
      <c r="M15" s="154" t="s">
        <v>1461</v>
      </c>
      <c r="N15" s="227">
        <f>C8+N14-I15-L15</f>
        <v>130992.38586200932</v>
      </c>
      <c r="O15" s="152">
        <f t="shared" si="5"/>
        <v>662748.4608620092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155" t="s">
        <v>1501</v>
      </c>
      <c r="I16" s="152"/>
      <c r="J16" s="154"/>
      <c r="K16" s="154" t="s">
        <v>1546</v>
      </c>
      <c r="L16" s="227">
        <v>789.12</v>
      </c>
      <c r="M16" s="154" t="s">
        <v>1461</v>
      </c>
      <c r="N16" s="227">
        <f t="shared" si="4"/>
        <v>130203.26586200933</v>
      </c>
      <c r="O16" s="152">
        <f t="shared" si="5"/>
        <v>661959.34086200921</v>
      </c>
    </row>
    <row r="17" spans="1:15" x14ac:dyDescent="0.15">
      <c r="A17" s="154"/>
      <c r="B17" s="151"/>
      <c r="C17" s="152"/>
      <c r="D17" s="155"/>
      <c r="E17" s="155"/>
      <c r="F17" s="157"/>
      <c r="G17" s="152"/>
      <c r="H17" s="155" t="s">
        <v>1501</v>
      </c>
      <c r="I17" s="152"/>
      <c r="J17" s="154"/>
      <c r="K17" s="154" t="s">
        <v>1546</v>
      </c>
      <c r="L17" s="227">
        <v>34861.08</v>
      </c>
      <c r="M17" s="154" t="s">
        <v>1461</v>
      </c>
      <c r="N17" s="227">
        <f t="shared" si="4"/>
        <v>95342.185862009326</v>
      </c>
      <c r="O17" s="152">
        <f t="shared" si="5"/>
        <v>627098.26086200925</v>
      </c>
    </row>
    <row r="18" spans="1:15" x14ac:dyDescent="0.15">
      <c r="A18" s="154"/>
      <c r="B18" s="151"/>
      <c r="C18" s="152"/>
      <c r="D18" s="155" t="s">
        <v>1502</v>
      </c>
      <c r="E18" s="155" t="s">
        <v>72</v>
      </c>
      <c r="F18" s="157" t="s">
        <v>1512</v>
      </c>
      <c r="G18" s="152">
        <v>177352.74099999969</v>
      </c>
      <c r="H18" s="155" t="s">
        <v>1502</v>
      </c>
      <c r="I18" s="152"/>
      <c r="J18" s="154"/>
      <c r="K18" s="154" t="s">
        <v>1546</v>
      </c>
      <c r="L18" s="227">
        <v>73724.95</v>
      </c>
      <c r="M18" s="154" t="s">
        <v>1461</v>
      </c>
      <c r="N18" s="227">
        <f t="shared" si="4"/>
        <v>21617.235862009329</v>
      </c>
      <c r="O18" s="152">
        <f t="shared" si="5"/>
        <v>730726.05186200899</v>
      </c>
    </row>
    <row r="19" spans="1:15" x14ac:dyDescent="0.15">
      <c r="A19" s="154"/>
      <c r="B19" s="151"/>
      <c r="C19" s="152"/>
      <c r="D19" s="155" t="s">
        <v>1502</v>
      </c>
      <c r="E19" s="155" t="s">
        <v>72</v>
      </c>
      <c r="F19" s="157" t="s">
        <v>1514</v>
      </c>
      <c r="G19" s="152">
        <v>1421.89900000033</v>
      </c>
      <c r="H19" s="155" t="s">
        <v>1502</v>
      </c>
      <c r="I19" s="152"/>
      <c r="J19" s="154"/>
      <c r="K19" s="154" t="s">
        <v>1546</v>
      </c>
      <c r="L19" s="227">
        <v>21617.235862009329</v>
      </c>
      <c r="M19" s="154" t="s">
        <v>1461</v>
      </c>
      <c r="N19" s="227">
        <f t="shared" si="4"/>
        <v>0</v>
      </c>
      <c r="O19" s="152">
        <f t="shared" si="5"/>
        <v>710530.71499999997</v>
      </c>
    </row>
    <row r="20" spans="1:15" x14ac:dyDescent="0.15">
      <c r="A20" s="154"/>
      <c r="B20" s="151"/>
      <c r="C20" s="152"/>
      <c r="D20" s="155"/>
      <c r="E20" s="155"/>
      <c r="F20" s="157"/>
      <c r="G20" s="152"/>
      <c r="H20" s="155" t="s">
        <v>1502</v>
      </c>
      <c r="I20" s="152"/>
      <c r="J20" s="154"/>
      <c r="K20" s="154" t="s">
        <v>1544</v>
      </c>
      <c r="L20" s="227">
        <v>56268.554137990701</v>
      </c>
      <c r="M20" s="157" t="s">
        <v>1481</v>
      </c>
      <c r="N20" s="227">
        <f>C9+N19-I20-L20</f>
        <v>147596.6938620091</v>
      </c>
      <c r="O20" s="152">
        <f t="shared" si="5"/>
        <v>654262.16086200927</v>
      </c>
    </row>
    <row r="21" spans="1:15" x14ac:dyDescent="0.15">
      <c r="A21" s="154"/>
      <c r="B21" s="151"/>
      <c r="C21" s="152"/>
      <c r="D21" s="155"/>
      <c r="E21" s="155"/>
      <c r="F21" s="157"/>
      <c r="G21" s="152"/>
      <c r="H21" s="155" t="s">
        <v>1502</v>
      </c>
      <c r="I21" s="152"/>
      <c r="J21" s="154"/>
      <c r="K21" s="154" t="s">
        <v>1544</v>
      </c>
      <c r="L21" s="227">
        <v>53730.01</v>
      </c>
      <c r="M21" s="157" t="s">
        <v>1481</v>
      </c>
      <c r="N21" s="227">
        <f t="shared" si="4"/>
        <v>93866.683862009086</v>
      </c>
      <c r="O21" s="152">
        <f t="shared" si="5"/>
        <v>600532.15086200926</v>
      </c>
    </row>
    <row r="22" spans="1:15" x14ac:dyDescent="0.15">
      <c r="A22" s="154"/>
      <c r="B22" s="151"/>
      <c r="C22" s="152"/>
      <c r="D22" s="155" t="s">
        <v>1492</v>
      </c>
      <c r="E22" s="155" t="s">
        <v>72</v>
      </c>
      <c r="F22" s="157" t="s">
        <v>1514</v>
      </c>
      <c r="G22" s="152">
        <v>99934.604000000007</v>
      </c>
      <c r="H22" s="155" t="s">
        <v>1492</v>
      </c>
      <c r="I22" s="152">
        <v>529.41</v>
      </c>
      <c r="J22" s="157" t="s">
        <v>1481</v>
      </c>
      <c r="K22" s="154" t="s">
        <v>1544</v>
      </c>
      <c r="L22" s="227">
        <v>76250.86</v>
      </c>
      <c r="M22" s="157" t="s">
        <v>1481</v>
      </c>
      <c r="N22" s="227">
        <f t="shared" si="4"/>
        <v>17086.413862009082</v>
      </c>
      <c r="O22" s="152">
        <f t="shared" si="5"/>
        <v>623686.4848620093</v>
      </c>
    </row>
    <row r="23" spans="1:15" x14ac:dyDescent="0.15">
      <c r="A23" s="154"/>
      <c r="B23" s="151"/>
      <c r="C23" s="152"/>
      <c r="D23" s="155" t="s">
        <v>1485</v>
      </c>
      <c r="E23" s="155" t="s">
        <v>72</v>
      </c>
      <c r="F23" s="157" t="s">
        <v>1514</v>
      </c>
      <c r="G23" s="152">
        <v>18948.189999999999</v>
      </c>
      <c r="H23" s="155" t="s">
        <v>1485</v>
      </c>
      <c r="I23" s="152"/>
      <c r="J23" s="154"/>
      <c r="K23" s="154" t="s">
        <v>1544</v>
      </c>
      <c r="L23" s="227">
        <v>17086.413862009082</v>
      </c>
      <c r="M23" s="157" t="s">
        <v>1481</v>
      </c>
      <c r="N23" s="227">
        <f t="shared" si="4"/>
        <v>0</v>
      </c>
      <c r="O23" s="152">
        <f t="shared" si="5"/>
        <v>625548.26100000017</v>
      </c>
    </row>
    <row r="24" spans="1:15" x14ac:dyDescent="0.15">
      <c r="A24" s="154"/>
      <c r="B24" s="151"/>
      <c r="C24" s="152"/>
      <c r="D24" s="155"/>
      <c r="E24" s="155"/>
      <c r="F24" s="157"/>
      <c r="G24" s="152"/>
      <c r="H24" s="155" t="s">
        <v>1485</v>
      </c>
      <c r="I24" s="152"/>
      <c r="J24" s="154"/>
      <c r="K24" s="154" t="s">
        <v>1545</v>
      </c>
      <c r="L24" s="227">
        <v>33418.946137990897</v>
      </c>
      <c r="M24" s="157" t="s">
        <v>1462</v>
      </c>
      <c r="N24" s="227">
        <f>C10+G12+N23-I24-L24</f>
        <v>83271.798862009018</v>
      </c>
      <c r="O24" s="152">
        <f t="shared" si="5"/>
        <v>592129.31486200925</v>
      </c>
    </row>
    <row r="25" spans="1:15" x14ac:dyDescent="0.15">
      <c r="A25" s="154"/>
      <c r="B25" s="151"/>
      <c r="C25" s="152"/>
      <c r="D25" s="155" t="s">
        <v>1497</v>
      </c>
      <c r="E25" s="155" t="s">
        <v>72</v>
      </c>
      <c r="F25" s="157" t="s">
        <v>1528</v>
      </c>
      <c r="G25" s="152">
        <v>58948.370999999999</v>
      </c>
      <c r="H25" s="155" t="s">
        <v>1497</v>
      </c>
      <c r="I25" s="152">
        <v>265.64999999999998</v>
      </c>
      <c r="J25" s="157" t="s">
        <v>1462</v>
      </c>
      <c r="K25" s="154" t="s">
        <v>1545</v>
      </c>
      <c r="L25" s="227">
        <v>74388.37</v>
      </c>
      <c r="M25" s="157" t="s">
        <v>1462</v>
      </c>
      <c r="N25" s="227">
        <f t="shared" si="4"/>
        <v>8617.7788620090287</v>
      </c>
      <c r="O25" s="152">
        <f t="shared" si="5"/>
        <v>576423.66586200928</v>
      </c>
    </row>
    <row r="26" spans="1:15" x14ac:dyDescent="0.15">
      <c r="A26" s="154"/>
      <c r="B26" s="151"/>
      <c r="C26" s="152"/>
      <c r="D26" s="155" t="s">
        <v>1499</v>
      </c>
      <c r="E26" s="155" t="s">
        <v>72</v>
      </c>
      <c r="F26" s="157" t="s">
        <v>1515</v>
      </c>
      <c r="G26" s="152">
        <v>19001.419000000002</v>
      </c>
      <c r="H26" s="155" t="s">
        <v>1499</v>
      </c>
      <c r="I26" s="152">
        <v>748.01</v>
      </c>
      <c r="J26" s="157" t="s">
        <v>1462</v>
      </c>
      <c r="K26" s="154" t="s">
        <v>1545</v>
      </c>
      <c r="L26" s="227">
        <v>7869.7688620090285</v>
      </c>
      <c r="M26" s="157" t="s">
        <v>1462</v>
      </c>
      <c r="N26" s="227">
        <f t="shared" si="4"/>
        <v>0</v>
      </c>
      <c r="O26" s="152">
        <f t="shared" si="5"/>
        <v>586807.30600000022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1499</v>
      </c>
      <c r="I27" s="152"/>
      <c r="J27" s="154"/>
      <c r="K27" s="154" t="s">
        <v>1546</v>
      </c>
      <c r="L27" s="227">
        <v>79463.661137991003</v>
      </c>
      <c r="M27" s="157" t="s">
        <v>1512</v>
      </c>
      <c r="N27" s="227">
        <f>G13+G14+G18+N26-I27-L27</f>
        <v>309089.16186200909</v>
      </c>
      <c r="O27" s="152">
        <f t="shared" si="5"/>
        <v>507343.64486200921</v>
      </c>
    </row>
    <row r="28" spans="1:15" x14ac:dyDescent="0.15">
      <c r="A28" s="154"/>
      <c r="B28" s="151"/>
      <c r="C28" s="152"/>
      <c r="D28" s="155"/>
      <c r="E28" s="155"/>
      <c r="F28" s="157"/>
      <c r="G28" s="152"/>
      <c r="H28" s="155" t="s">
        <v>1499</v>
      </c>
      <c r="I28" s="152"/>
      <c r="J28" s="154"/>
      <c r="K28" s="154" t="s">
        <v>1546</v>
      </c>
      <c r="L28" s="227">
        <v>90270.87</v>
      </c>
      <c r="M28" s="157" t="s">
        <v>1512</v>
      </c>
      <c r="N28" s="227">
        <f t="shared" si="4"/>
        <v>218818.29186200909</v>
      </c>
      <c r="O28" s="152">
        <f t="shared" si="5"/>
        <v>417072.77486200922</v>
      </c>
    </row>
    <row r="29" spans="1:15" x14ac:dyDescent="0.15">
      <c r="A29" s="154"/>
      <c r="B29" s="151"/>
      <c r="C29" s="152"/>
      <c r="D29" s="155" t="s">
        <v>1493</v>
      </c>
      <c r="E29" s="155" t="s">
        <v>72</v>
      </c>
      <c r="F29" s="157" t="s">
        <v>1515</v>
      </c>
      <c r="G29" s="152">
        <v>180861.90699999998</v>
      </c>
      <c r="H29" s="155" t="s">
        <v>1493</v>
      </c>
      <c r="I29" s="152"/>
      <c r="J29" s="157"/>
      <c r="K29" s="154" t="s">
        <v>1546</v>
      </c>
      <c r="L29" s="227">
        <v>600.33000000000004</v>
      </c>
      <c r="M29" s="157" t="s">
        <v>1512</v>
      </c>
      <c r="N29" s="227">
        <f t="shared" si="4"/>
        <v>218217.96186200911</v>
      </c>
      <c r="O29" s="152">
        <f t="shared" si="5"/>
        <v>597334.35186200927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155" t="s">
        <v>1493</v>
      </c>
      <c r="I30" s="152"/>
      <c r="J30" s="154"/>
      <c r="K30" s="154" t="s">
        <v>1546</v>
      </c>
      <c r="L30" s="227">
        <v>1354.49</v>
      </c>
      <c r="M30" s="157" t="s">
        <v>1512</v>
      </c>
      <c r="N30" s="227">
        <f t="shared" si="4"/>
        <v>216863.47186200912</v>
      </c>
      <c r="O30" s="152">
        <f t="shared" si="5"/>
        <v>595979.86186200927</v>
      </c>
    </row>
    <row r="31" spans="1:15" x14ac:dyDescent="0.15">
      <c r="A31" s="154"/>
      <c r="B31" s="151"/>
      <c r="C31" s="152"/>
      <c r="D31" s="155" t="s">
        <v>1494</v>
      </c>
      <c r="E31" s="155" t="s">
        <v>72</v>
      </c>
      <c r="F31" s="157" t="s">
        <v>1515</v>
      </c>
      <c r="G31" s="152">
        <v>119820.139</v>
      </c>
      <c r="H31" s="155" t="s">
        <v>1494</v>
      </c>
      <c r="I31" s="152">
        <v>1330.24</v>
      </c>
      <c r="J31" s="157" t="s">
        <v>1512</v>
      </c>
      <c r="K31" s="154" t="s">
        <v>1546</v>
      </c>
      <c r="L31" s="227">
        <v>34884.39</v>
      </c>
      <c r="M31" s="157" t="s">
        <v>1512</v>
      </c>
      <c r="N31" s="227">
        <f t="shared" si="4"/>
        <v>180648.84186200914</v>
      </c>
      <c r="O31" s="152">
        <f t="shared" si="5"/>
        <v>679585.37086200924</v>
      </c>
    </row>
    <row r="32" spans="1:15" x14ac:dyDescent="0.15">
      <c r="A32" s="154"/>
      <c r="B32" s="151"/>
      <c r="C32" s="152"/>
      <c r="D32" s="155"/>
      <c r="E32" s="155"/>
      <c r="F32" s="157"/>
      <c r="G32" s="152"/>
      <c r="H32" s="155" t="s">
        <v>1494</v>
      </c>
      <c r="I32" s="152"/>
      <c r="J32" s="154"/>
      <c r="K32" s="154" t="s">
        <v>1546</v>
      </c>
      <c r="L32" s="227">
        <v>78124.899999999994</v>
      </c>
      <c r="M32" s="157" t="s">
        <v>1512</v>
      </c>
      <c r="N32" s="227">
        <f t="shared" si="4"/>
        <v>102523.94186200915</v>
      </c>
      <c r="O32" s="152">
        <f t="shared" si="5"/>
        <v>601460.47086200921</v>
      </c>
    </row>
    <row r="33" spans="1:15" x14ac:dyDescent="0.15">
      <c r="A33" s="154"/>
      <c r="B33" s="151"/>
      <c r="C33" s="152"/>
      <c r="D33" s="155" t="s">
        <v>1503</v>
      </c>
      <c r="E33" s="155" t="s">
        <v>72</v>
      </c>
      <c r="F33" s="157" t="s">
        <v>1516</v>
      </c>
      <c r="G33" s="152">
        <v>177043.49200000003</v>
      </c>
      <c r="H33" s="155" t="s">
        <v>1503</v>
      </c>
      <c r="I33" s="152"/>
      <c r="J33" s="154"/>
      <c r="K33" s="154" t="s">
        <v>1546</v>
      </c>
      <c r="L33" s="227">
        <v>73787.55</v>
      </c>
      <c r="M33" s="157" t="s">
        <v>1512</v>
      </c>
      <c r="N33" s="227">
        <f t="shared" si="4"/>
        <v>28736.391862009143</v>
      </c>
      <c r="O33" s="152">
        <f t="shared" si="5"/>
        <v>704716.41286200914</v>
      </c>
    </row>
    <row r="34" spans="1:15" x14ac:dyDescent="0.15">
      <c r="A34" s="154"/>
      <c r="B34" s="151"/>
      <c r="C34" s="152"/>
      <c r="D34" s="155"/>
      <c r="E34" s="155"/>
      <c r="F34" s="157"/>
      <c r="G34" s="152"/>
      <c r="H34" s="155" t="s">
        <v>1503</v>
      </c>
      <c r="I34" s="152"/>
      <c r="J34" s="157"/>
      <c r="K34" s="154" t="s">
        <v>1546</v>
      </c>
      <c r="L34" s="227">
        <v>28736.391862009143</v>
      </c>
      <c r="M34" s="157" t="s">
        <v>1512</v>
      </c>
      <c r="N34" s="227">
        <f t="shared" si="4"/>
        <v>0</v>
      </c>
      <c r="O34" s="152">
        <f t="shared" si="5"/>
        <v>675980.02099999995</v>
      </c>
    </row>
    <row r="35" spans="1:15" x14ac:dyDescent="0.15">
      <c r="A35" s="154"/>
      <c r="B35" s="151"/>
      <c r="C35" s="152"/>
      <c r="D35" s="155"/>
      <c r="E35" s="155"/>
      <c r="F35" s="157"/>
      <c r="G35" s="152"/>
      <c r="H35" s="155" t="s">
        <v>1503</v>
      </c>
      <c r="I35" s="152"/>
      <c r="J35" s="157"/>
      <c r="K35" s="154" t="s">
        <v>1544</v>
      </c>
      <c r="L35" s="227">
        <v>45342.0681379909</v>
      </c>
      <c r="M35" s="157" t="s">
        <v>1514</v>
      </c>
      <c r="N35" s="227">
        <f>G19+G22+G23+N34-I35-L35</f>
        <v>74962.624862009427</v>
      </c>
      <c r="O35" s="152">
        <f t="shared" si="5"/>
        <v>630637.95286200906</v>
      </c>
    </row>
    <row r="36" spans="1:15" x14ac:dyDescent="0.15">
      <c r="A36" s="154"/>
      <c r="B36" s="151"/>
      <c r="C36" s="152"/>
      <c r="D36" s="155" t="s">
        <v>1484</v>
      </c>
      <c r="E36" s="155" t="s">
        <v>72</v>
      </c>
      <c r="F36" s="157" t="s">
        <v>1516</v>
      </c>
      <c r="G36" s="152">
        <v>39977.286999999953</v>
      </c>
      <c r="H36" s="155" t="s">
        <v>1484</v>
      </c>
      <c r="I36" s="152">
        <v>417.45</v>
      </c>
      <c r="J36" s="157" t="s">
        <v>1514</v>
      </c>
      <c r="K36" s="154" t="s">
        <v>1544</v>
      </c>
      <c r="L36" s="227">
        <v>74545.174862009429</v>
      </c>
      <c r="M36" s="157" t="s">
        <v>1514</v>
      </c>
      <c r="N36" s="227">
        <f t="shared" si="4"/>
        <v>0</v>
      </c>
      <c r="O36" s="152">
        <f t="shared" si="5"/>
        <v>595652.61499999953</v>
      </c>
    </row>
    <row r="37" spans="1:15" x14ac:dyDescent="0.15">
      <c r="A37" s="154"/>
      <c r="B37" s="151"/>
      <c r="C37" s="152"/>
      <c r="D37" s="155" t="s">
        <v>1484</v>
      </c>
      <c r="E37" s="155" t="s">
        <v>72</v>
      </c>
      <c r="F37" s="157" t="s">
        <v>1517</v>
      </c>
      <c r="G37" s="152">
        <v>18972.013999999999</v>
      </c>
      <c r="H37" s="155" t="s">
        <v>1484</v>
      </c>
      <c r="I37" s="152"/>
      <c r="J37" s="154"/>
      <c r="K37" s="154" t="s">
        <v>1544</v>
      </c>
      <c r="L37" s="227">
        <v>2832.2851379905801</v>
      </c>
      <c r="M37" s="157" t="s">
        <v>1528</v>
      </c>
      <c r="N37" s="227">
        <f>G25+N36-I37-L37</f>
        <v>56116.085862009422</v>
      </c>
      <c r="O37" s="152">
        <f t="shared" si="5"/>
        <v>611792.34386200889</v>
      </c>
    </row>
    <row r="38" spans="1:15" x14ac:dyDescent="0.15">
      <c r="A38" s="154"/>
      <c r="B38" s="151"/>
      <c r="C38" s="152"/>
      <c r="D38" s="155" t="s">
        <v>1504</v>
      </c>
      <c r="E38" s="155" t="s">
        <v>72</v>
      </c>
      <c r="F38" s="157" t="s">
        <v>1517</v>
      </c>
      <c r="G38" s="152">
        <v>39930.235000000001</v>
      </c>
      <c r="H38" s="155" t="s">
        <v>1504</v>
      </c>
      <c r="I38" s="152"/>
      <c r="J38" s="154"/>
      <c r="K38" s="154" t="s">
        <v>1544</v>
      </c>
      <c r="L38" s="227">
        <v>56116.085862009422</v>
      </c>
      <c r="M38" s="157" t="s">
        <v>1528</v>
      </c>
      <c r="N38" s="227">
        <f t="shared" si="4"/>
        <v>0</v>
      </c>
      <c r="O38" s="152">
        <f t="shared" si="5"/>
        <v>595606.49299999943</v>
      </c>
    </row>
    <row r="39" spans="1:15" x14ac:dyDescent="0.15">
      <c r="A39" s="154"/>
      <c r="B39" s="151"/>
      <c r="C39" s="152"/>
      <c r="D39" s="155"/>
      <c r="E39" s="155"/>
      <c r="F39" s="157"/>
      <c r="G39" s="152"/>
      <c r="H39" s="155" t="s">
        <v>1504</v>
      </c>
      <c r="I39" s="152"/>
      <c r="J39" s="154"/>
      <c r="K39" s="154" t="s">
        <v>1546</v>
      </c>
      <c r="L39" s="227">
        <v>13633.6941379906</v>
      </c>
      <c r="M39" s="157" t="s">
        <v>1515</v>
      </c>
      <c r="N39" s="227">
        <f>G26+G29+G31+N38-I39-L39</f>
        <v>306049.77086200938</v>
      </c>
      <c r="O39" s="152">
        <f t="shared" si="5"/>
        <v>581972.79886200884</v>
      </c>
    </row>
    <row r="40" spans="1:15" x14ac:dyDescent="0.15">
      <c r="A40" s="154"/>
      <c r="B40" s="151"/>
      <c r="C40" s="152"/>
      <c r="D40" s="155"/>
      <c r="E40" s="155"/>
      <c r="F40" s="157"/>
      <c r="G40" s="152"/>
      <c r="H40" s="155" t="s">
        <v>1504</v>
      </c>
      <c r="I40" s="152"/>
      <c r="J40" s="154"/>
      <c r="K40" s="154" t="s">
        <v>1546</v>
      </c>
      <c r="L40" s="227">
        <v>35579.18</v>
      </c>
      <c r="M40" s="157" t="s">
        <v>1515</v>
      </c>
      <c r="N40" s="227">
        <f t="shared" si="4"/>
        <v>270470.59086200938</v>
      </c>
      <c r="O40" s="152">
        <f t="shared" si="5"/>
        <v>546393.61886200879</v>
      </c>
    </row>
    <row r="41" spans="1:15" x14ac:dyDescent="0.15">
      <c r="A41" s="154"/>
      <c r="B41" s="151"/>
      <c r="C41" s="152"/>
      <c r="D41" s="155" t="s">
        <v>1505</v>
      </c>
      <c r="E41" s="155" t="s">
        <v>72</v>
      </c>
      <c r="F41" s="157" t="s">
        <v>1517</v>
      </c>
      <c r="G41" s="152">
        <v>121827.83799999999</v>
      </c>
      <c r="H41" s="155" t="s">
        <v>1505</v>
      </c>
      <c r="I41" s="152">
        <v>1597.89</v>
      </c>
      <c r="J41" s="157" t="s">
        <v>1515</v>
      </c>
      <c r="K41" s="154" t="s">
        <v>1546</v>
      </c>
      <c r="L41" s="227">
        <v>73265.14</v>
      </c>
      <c r="M41" s="157" t="s">
        <v>1515</v>
      </c>
      <c r="N41" s="227">
        <f t="shared" si="4"/>
        <v>195607.56086200936</v>
      </c>
      <c r="O41" s="152">
        <f t="shared" si="5"/>
        <v>593358.42686200875</v>
      </c>
    </row>
    <row r="42" spans="1:15" x14ac:dyDescent="0.15">
      <c r="A42" s="154"/>
      <c r="B42" s="151"/>
      <c r="C42" s="152"/>
      <c r="D42" s="155"/>
      <c r="E42" s="155"/>
      <c r="F42" s="157"/>
      <c r="G42" s="152"/>
      <c r="H42" s="155" t="s">
        <v>1505</v>
      </c>
      <c r="I42" s="152"/>
      <c r="J42" s="154"/>
      <c r="K42" s="154" t="s">
        <v>1546</v>
      </c>
      <c r="L42" s="227">
        <v>76334.52</v>
      </c>
      <c r="M42" s="157" t="s">
        <v>1515</v>
      </c>
      <c r="N42" s="227">
        <f t="shared" si="4"/>
        <v>119273.04086200935</v>
      </c>
      <c r="O42" s="152">
        <f t="shared" si="5"/>
        <v>517023.90686200873</v>
      </c>
    </row>
    <row r="43" spans="1:15" x14ac:dyDescent="0.15">
      <c r="A43" s="154"/>
      <c r="B43" s="151"/>
      <c r="C43" s="152"/>
      <c r="D43" s="155"/>
      <c r="E43" s="155"/>
      <c r="F43" s="157"/>
      <c r="G43" s="152"/>
      <c r="H43" s="155" t="s">
        <v>1498</v>
      </c>
      <c r="I43" s="152"/>
      <c r="J43" s="157"/>
      <c r="K43" s="154" t="s">
        <v>1546</v>
      </c>
      <c r="L43" s="227">
        <v>81725.14</v>
      </c>
      <c r="M43" s="157" t="s">
        <v>1515</v>
      </c>
      <c r="N43" s="227">
        <f t="shared" si="4"/>
        <v>37547.900862009352</v>
      </c>
      <c r="O43" s="152">
        <f t="shared" si="5"/>
        <v>435298.76686200872</v>
      </c>
    </row>
    <row r="44" spans="1:15" x14ac:dyDescent="0.15">
      <c r="A44" s="154"/>
      <c r="B44" s="151"/>
      <c r="C44" s="152"/>
      <c r="D44" s="155"/>
      <c r="E44" s="155"/>
      <c r="F44" s="157"/>
      <c r="G44" s="152"/>
      <c r="H44" s="155" t="s">
        <v>1498</v>
      </c>
      <c r="I44" s="152"/>
      <c r="J44" s="154"/>
      <c r="K44" s="154" t="s">
        <v>1546</v>
      </c>
      <c r="L44" s="227">
        <v>37547.900862009352</v>
      </c>
      <c r="M44" s="157" t="s">
        <v>1515</v>
      </c>
      <c r="N44" s="227">
        <f t="shared" si="4"/>
        <v>0</v>
      </c>
      <c r="O44" s="152">
        <f t="shared" si="5"/>
        <v>397750.86599999934</v>
      </c>
    </row>
    <row r="45" spans="1:15" x14ac:dyDescent="0.15">
      <c r="A45" s="154"/>
      <c r="B45" s="151"/>
      <c r="C45" s="152"/>
      <c r="D45" s="155"/>
      <c r="E45" s="155"/>
      <c r="F45" s="157"/>
      <c r="G45" s="152"/>
      <c r="H45" s="155" t="s">
        <v>1498</v>
      </c>
      <c r="I45" s="152"/>
      <c r="J45" s="154"/>
      <c r="K45" s="154" t="s">
        <v>1546</v>
      </c>
      <c r="L45" s="227">
        <v>27551.299137990602</v>
      </c>
      <c r="M45" s="157" t="s">
        <v>1516</v>
      </c>
      <c r="N45" s="227">
        <f>G33+G36+N44-I45-L45</f>
        <v>189469.47986200938</v>
      </c>
      <c r="O45" s="152">
        <f t="shared" si="5"/>
        <v>370199.56686200877</v>
      </c>
    </row>
    <row r="46" spans="1:15" x14ac:dyDescent="0.15">
      <c r="A46" s="154"/>
      <c r="B46" s="151"/>
      <c r="C46" s="152"/>
      <c r="D46" s="155"/>
      <c r="E46" s="155"/>
      <c r="F46" s="157"/>
      <c r="G46" s="152"/>
      <c r="H46" s="155" t="s">
        <v>1498</v>
      </c>
      <c r="I46" s="152"/>
      <c r="J46" s="154"/>
      <c r="K46" s="154" t="s">
        <v>1546</v>
      </c>
      <c r="L46" s="227">
        <v>87066.1</v>
      </c>
      <c r="M46" s="157" t="s">
        <v>1516</v>
      </c>
      <c r="N46" s="227">
        <f t="shared" si="4"/>
        <v>102403.37986200937</v>
      </c>
      <c r="O46" s="152">
        <f t="shared" si="5"/>
        <v>283133.46686200879</v>
      </c>
    </row>
    <row r="47" spans="1:15" x14ac:dyDescent="0.15">
      <c r="A47" s="154"/>
      <c r="B47" s="151"/>
      <c r="C47" s="152"/>
      <c r="D47" s="155" t="s">
        <v>1500</v>
      </c>
      <c r="E47" s="155" t="s">
        <v>72</v>
      </c>
      <c r="F47" s="157" t="s">
        <v>1518</v>
      </c>
      <c r="G47" s="152">
        <v>186791.54599999997</v>
      </c>
      <c r="H47" s="155" t="s">
        <v>1500</v>
      </c>
      <c r="I47" s="152"/>
      <c r="J47" s="154"/>
      <c r="K47" s="154"/>
      <c r="L47" s="227"/>
      <c r="M47" s="157"/>
      <c r="N47" s="227">
        <f t="shared" si="4"/>
        <v>102403.37986200937</v>
      </c>
      <c r="O47" s="152">
        <f t="shared" si="5"/>
        <v>469925.01286200876</v>
      </c>
    </row>
    <row r="48" spans="1:15" x14ac:dyDescent="0.15">
      <c r="A48" s="154"/>
      <c r="B48" s="151"/>
      <c r="C48" s="152"/>
      <c r="D48" s="155" t="s">
        <v>1486</v>
      </c>
      <c r="E48" s="155" t="s">
        <v>72</v>
      </c>
      <c r="F48" s="157" t="s">
        <v>1518</v>
      </c>
      <c r="G48" s="152">
        <v>184705.56299999999</v>
      </c>
      <c r="H48" s="155" t="s">
        <v>1486</v>
      </c>
      <c r="I48" s="152"/>
      <c r="J48" s="154"/>
      <c r="K48" s="154" t="s">
        <v>1546</v>
      </c>
      <c r="L48" s="227">
        <v>78771.03</v>
      </c>
      <c r="M48" s="157" t="s">
        <v>1516</v>
      </c>
      <c r="N48" s="227">
        <f t="shared" si="4"/>
        <v>23632.349862009374</v>
      </c>
      <c r="O48" s="152">
        <f t="shared" si="5"/>
        <v>575859.5458620087</v>
      </c>
    </row>
    <row r="49" spans="1:15" x14ac:dyDescent="0.15">
      <c r="A49" s="154"/>
      <c r="B49" s="151"/>
      <c r="C49" s="152"/>
      <c r="D49" s="155"/>
      <c r="E49" s="155"/>
      <c r="F49" s="157"/>
      <c r="G49" s="152"/>
      <c r="H49" s="155" t="s">
        <v>1486</v>
      </c>
      <c r="I49" s="152"/>
      <c r="J49" s="154"/>
      <c r="K49" s="154" t="s">
        <v>1546</v>
      </c>
      <c r="L49" s="227">
        <v>23632.349862009374</v>
      </c>
      <c r="M49" s="157" t="s">
        <v>1516</v>
      </c>
      <c r="N49" s="227">
        <f t="shared" si="4"/>
        <v>0</v>
      </c>
      <c r="O49" s="152">
        <f t="shared" si="5"/>
        <v>552227.1959999993</v>
      </c>
    </row>
    <row r="50" spans="1:15" x14ac:dyDescent="0.15">
      <c r="A50" s="154"/>
      <c r="B50" s="151"/>
      <c r="C50" s="151"/>
      <c r="D50" s="155"/>
      <c r="E50" s="155"/>
      <c r="F50" s="157"/>
      <c r="G50" s="152"/>
      <c r="H50" s="155" t="s">
        <v>1486</v>
      </c>
      <c r="I50" s="152"/>
      <c r="J50" s="154"/>
      <c r="K50" s="154" t="s">
        <v>1544</v>
      </c>
      <c r="L50" s="227">
        <v>11203.670137990601</v>
      </c>
      <c r="M50" s="157" t="s">
        <v>1517</v>
      </c>
      <c r="N50" s="227">
        <f>G37+G38+G41+N49-I50-L50</f>
        <v>169526.41686200938</v>
      </c>
      <c r="O50" s="152">
        <f t="shared" si="5"/>
        <v>541023.52586200868</v>
      </c>
    </row>
    <row r="51" spans="1:15" x14ac:dyDescent="0.15">
      <c r="A51" s="154"/>
      <c r="B51" s="151"/>
      <c r="C51" s="151"/>
      <c r="D51" s="155" t="s">
        <v>1506</v>
      </c>
      <c r="E51" s="155" t="s">
        <v>72</v>
      </c>
      <c r="F51" s="157" t="s">
        <v>1518</v>
      </c>
      <c r="G51" s="152">
        <v>37882.592000000033</v>
      </c>
      <c r="H51" s="155" t="s">
        <v>1506</v>
      </c>
      <c r="I51" s="152"/>
      <c r="J51" s="154"/>
      <c r="K51" s="154" t="s">
        <v>1544</v>
      </c>
      <c r="L51" s="227">
        <v>74759.31</v>
      </c>
      <c r="M51" s="157" t="s">
        <v>1517</v>
      </c>
      <c r="N51" s="227">
        <f t="shared" si="4"/>
        <v>94767.106862009387</v>
      </c>
      <c r="O51" s="152">
        <f t="shared" si="5"/>
        <v>504146.80786200875</v>
      </c>
    </row>
    <row r="52" spans="1:15" x14ac:dyDescent="0.15">
      <c r="A52" s="154"/>
      <c r="B52" s="151"/>
      <c r="C52" s="151"/>
      <c r="D52" s="155" t="s">
        <v>1506</v>
      </c>
      <c r="E52" s="155" t="s">
        <v>72</v>
      </c>
      <c r="F52" s="157" t="s">
        <v>1519</v>
      </c>
      <c r="G52" s="152">
        <v>117837.27099999999</v>
      </c>
      <c r="H52" s="155" t="s">
        <v>1506</v>
      </c>
      <c r="I52" s="152"/>
      <c r="J52" s="154"/>
      <c r="K52" s="154" t="s">
        <v>1544</v>
      </c>
      <c r="L52" s="227">
        <v>75359.83</v>
      </c>
      <c r="M52" s="157" t="s">
        <v>1517</v>
      </c>
      <c r="N52" s="227">
        <f t="shared" si="4"/>
        <v>19407.276862009385</v>
      </c>
      <c r="O52" s="152">
        <f t="shared" si="5"/>
        <v>546624.2488620088</v>
      </c>
    </row>
    <row r="53" spans="1:15" x14ac:dyDescent="0.15">
      <c r="A53" s="154"/>
      <c r="B53" s="151"/>
      <c r="C53" s="151"/>
      <c r="D53" s="155"/>
      <c r="E53" s="155"/>
      <c r="F53" s="157"/>
      <c r="G53" s="152"/>
      <c r="H53" s="155" t="s">
        <v>1506</v>
      </c>
      <c r="I53" s="152"/>
      <c r="J53" s="154"/>
      <c r="K53" s="154" t="s">
        <v>1544</v>
      </c>
      <c r="L53" s="227">
        <v>19407.276862009385</v>
      </c>
      <c r="M53" s="157" t="s">
        <v>1517</v>
      </c>
      <c r="N53" s="227">
        <f t="shared" si="4"/>
        <v>0</v>
      </c>
      <c r="O53" s="152">
        <f t="shared" si="5"/>
        <v>527216.97199999937</v>
      </c>
    </row>
    <row r="54" spans="1:15" x14ac:dyDescent="0.15">
      <c r="A54" s="154"/>
      <c r="B54" s="151"/>
      <c r="C54" s="151"/>
      <c r="D54" s="155"/>
      <c r="E54" s="155"/>
      <c r="F54" s="157"/>
      <c r="G54" s="152"/>
      <c r="H54" s="155" t="s">
        <v>1506</v>
      </c>
      <c r="I54" s="152"/>
      <c r="J54" s="154"/>
      <c r="K54" s="154" t="s">
        <v>1546</v>
      </c>
      <c r="L54" s="227">
        <v>57969.913137990603</v>
      </c>
      <c r="M54" s="157" t="s">
        <v>1518</v>
      </c>
      <c r="N54" s="227">
        <f>G47+G48+G51+N53-I54-L54</f>
        <v>351409.78786200937</v>
      </c>
      <c r="O54" s="152">
        <f t="shared" si="5"/>
        <v>469247.05886200874</v>
      </c>
    </row>
    <row r="55" spans="1:15" x14ac:dyDescent="0.15">
      <c r="A55" s="154"/>
      <c r="B55" s="151"/>
      <c r="C55" s="151"/>
      <c r="D55" s="155" t="s">
        <v>1507</v>
      </c>
      <c r="E55" s="155" t="s">
        <v>72</v>
      </c>
      <c r="F55" s="157" t="s">
        <v>1519</v>
      </c>
      <c r="G55" s="152">
        <v>115807.16100000001</v>
      </c>
      <c r="H55" s="155" t="s">
        <v>1507</v>
      </c>
      <c r="I55" s="152"/>
      <c r="J55" s="154"/>
      <c r="K55" s="154" t="s">
        <v>1546</v>
      </c>
      <c r="L55" s="227">
        <v>568.6</v>
      </c>
      <c r="M55" s="157" t="s">
        <v>1518</v>
      </c>
      <c r="N55" s="227">
        <f t="shared" si="4"/>
        <v>350841.18786200939</v>
      </c>
      <c r="O55" s="152">
        <f t="shared" si="5"/>
        <v>584485.61986200872</v>
      </c>
    </row>
    <row r="56" spans="1:15" x14ac:dyDescent="0.15">
      <c r="A56" s="154"/>
      <c r="B56" s="151"/>
      <c r="C56" s="151"/>
      <c r="D56" s="155" t="s">
        <v>1482</v>
      </c>
      <c r="E56" s="155" t="s">
        <v>72</v>
      </c>
      <c r="F56" s="157" t="s">
        <v>1519</v>
      </c>
      <c r="G56" s="152">
        <v>37892.120999999999</v>
      </c>
      <c r="H56" s="155" t="s">
        <v>1482</v>
      </c>
      <c r="I56" s="152">
        <v>1824.8600000000001</v>
      </c>
      <c r="J56" s="157" t="s">
        <v>1518</v>
      </c>
      <c r="K56" s="154" t="s">
        <v>1546</v>
      </c>
      <c r="L56" s="227">
        <v>50427.07</v>
      </c>
      <c r="M56" s="157" t="s">
        <v>1518</v>
      </c>
      <c r="N56" s="227">
        <f t="shared" si="4"/>
        <v>298589.2578620094</v>
      </c>
      <c r="O56" s="152">
        <f t="shared" si="5"/>
        <v>570125.81086200883</v>
      </c>
    </row>
    <row r="57" spans="1:15" x14ac:dyDescent="0.15">
      <c r="A57" s="154"/>
      <c r="B57" s="151"/>
      <c r="C57" s="151"/>
      <c r="D57" s="155" t="s">
        <v>1482</v>
      </c>
      <c r="E57" s="155" t="s">
        <v>72</v>
      </c>
      <c r="F57" s="157" t="s">
        <v>1520</v>
      </c>
      <c r="G57" s="152">
        <v>39932.677000000003</v>
      </c>
      <c r="H57" s="155" t="s">
        <v>1482</v>
      </c>
      <c r="I57" s="152"/>
      <c r="J57" s="154"/>
      <c r="K57" s="154"/>
      <c r="L57" s="227"/>
      <c r="M57" s="157"/>
      <c r="N57" s="227">
        <f t="shared" si="4"/>
        <v>298589.2578620094</v>
      </c>
      <c r="O57" s="152">
        <f t="shared" si="5"/>
        <v>610058.48786200886</v>
      </c>
    </row>
    <row r="58" spans="1:15" x14ac:dyDescent="0.15">
      <c r="A58" s="154"/>
      <c r="B58" s="151"/>
      <c r="C58" s="151"/>
      <c r="D58" s="155" t="s">
        <v>1508</v>
      </c>
      <c r="E58" s="155" t="s">
        <v>72</v>
      </c>
      <c r="F58" s="157" t="s">
        <v>1520</v>
      </c>
      <c r="G58" s="152">
        <v>37897.190999999999</v>
      </c>
      <c r="H58" s="155" t="s">
        <v>1508</v>
      </c>
      <c r="I58" s="152">
        <v>2242.62</v>
      </c>
      <c r="J58" s="157" t="s">
        <v>1518</v>
      </c>
      <c r="K58" s="154" t="s">
        <v>1546</v>
      </c>
      <c r="L58" s="227">
        <v>70329.91</v>
      </c>
      <c r="M58" s="157" t="s">
        <v>1518</v>
      </c>
      <c r="N58" s="227">
        <f t="shared" si="4"/>
        <v>226016.7278620094</v>
      </c>
      <c r="O58" s="152">
        <f t="shared" si="5"/>
        <v>575383.14886200882</v>
      </c>
    </row>
    <row r="59" spans="1:15" x14ac:dyDescent="0.15">
      <c r="A59" s="154"/>
      <c r="B59" s="151"/>
      <c r="C59" s="151"/>
      <c r="D59" s="155" t="s">
        <v>1508</v>
      </c>
      <c r="E59" s="155" t="s">
        <v>72</v>
      </c>
      <c r="F59" s="157" t="s">
        <v>1521</v>
      </c>
      <c r="G59" s="152">
        <v>88008.214000000007</v>
      </c>
      <c r="H59" s="155" t="s">
        <v>1508</v>
      </c>
      <c r="I59" s="152"/>
      <c r="J59" s="154"/>
      <c r="K59" s="154" t="s">
        <v>1546</v>
      </c>
      <c r="L59" s="227">
        <v>77077.429999999993</v>
      </c>
      <c r="M59" s="157" t="s">
        <v>1518</v>
      </c>
      <c r="N59" s="227">
        <f t="shared" si="4"/>
        <v>148939.29786200941</v>
      </c>
      <c r="O59" s="152">
        <f t="shared" si="5"/>
        <v>586313.93286200892</v>
      </c>
    </row>
    <row r="60" spans="1:15" x14ac:dyDescent="0.15">
      <c r="A60" s="154"/>
      <c r="B60" s="151"/>
      <c r="C60" s="151"/>
      <c r="D60" s="155" t="s">
        <v>1487</v>
      </c>
      <c r="E60" s="155" t="s">
        <v>72</v>
      </c>
      <c r="F60" s="157" t="s">
        <v>1522</v>
      </c>
      <c r="G60" s="152">
        <v>19976.170999999998</v>
      </c>
      <c r="H60" s="155" t="s">
        <v>1487</v>
      </c>
      <c r="I60" s="152">
        <v>1647.99</v>
      </c>
      <c r="J60" s="157" t="s">
        <v>1518</v>
      </c>
      <c r="K60" s="154" t="s">
        <v>1546</v>
      </c>
      <c r="L60" s="227">
        <v>90005.440000000002</v>
      </c>
      <c r="M60" s="157" t="s">
        <v>1518</v>
      </c>
      <c r="N60" s="227">
        <f t="shared" si="4"/>
        <v>57285.867862009414</v>
      </c>
      <c r="O60" s="152">
        <f t="shared" si="5"/>
        <v>514636.6738620089</v>
      </c>
    </row>
    <row r="61" spans="1:15" x14ac:dyDescent="0.15">
      <c r="A61" s="154"/>
      <c r="B61" s="151"/>
      <c r="C61" s="151"/>
      <c r="D61" s="155"/>
      <c r="E61" s="155"/>
      <c r="F61" s="157"/>
      <c r="G61" s="152"/>
      <c r="H61" s="155" t="s">
        <v>1487</v>
      </c>
      <c r="I61" s="152"/>
      <c r="J61" s="154"/>
      <c r="K61" s="154" t="s">
        <v>1546</v>
      </c>
      <c r="L61" s="227">
        <v>57285.867862009414</v>
      </c>
      <c r="M61" s="157" t="s">
        <v>1518</v>
      </c>
      <c r="N61" s="227">
        <f t="shared" si="4"/>
        <v>0</v>
      </c>
      <c r="O61" s="152">
        <f t="shared" si="5"/>
        <v>457350.80599999952</v>
      </c>
    </row>
    <row r="62" spans="1:15" x14ac:dyDescent="0.15">
      <c r="A62" s="154"/>
      <c r="B62" s="151"/>
      <c r="C62" s="151"/>
      <c r="D62" s="155"/>
      <c r="E62" s="155"/>
      <c r="F62" s="157"/>
      <c r="G62" s="152"/>
      <c r="H62" s="155" t="s">
        <v>1487</v>
      </c>
      <c r="I62" s="152"/>
      <c r="J62" s="154"/>
      <c r="K62" s="154" t="s">
        <v>1546</v>
      </c>
      <c r="L62" s="227">
        <v>33497.152137990597</v>
      </c>
      <c r="M62" s="157" t="s">
        <v>1519</v>
      </c>
      <c r="N62" s="227">
        <f>G52+G55+G56+N61-I62-L62</f>
        <v>238039.40086200941</v>
      </c>
      <c r="O62" s="152">
        <f t="shared" si="5"/>
        <v>423853.65386200894</v>
      </c>
    </row>
    <row r="63" spans="1:15" x14ac:dyDescent="0.15">
      <c r="A63" s="154"/>
      <c r="B63" s="151"/>
      <c r="C63" s="151"/>
      <c r="D63" s="155"/>
      <c r="E63" s="155"/>
      <c r="F63" s="157"/>
      <c r="G63" s="152"/>
      <c r="H63" s="155" t="s">
        <v>1487</v>
      </c>
      <c r="I63" s="152"/>
      <c r="J63" s="154"/>
      <c r="K63" s="154" t="s">
        <v>1546</v>
      </c>
      <c r="L63" s="227">
        <v>5554.84</v>
      </c>
      <c r="M63" s="157" t="s">
        <v>1519</v>
      </c>
      <c r="N63" s="227">
        <f t="shared" si="4"/>
        <v>232484.56086200941</v>
      </c>
      <c r="O63" s="152">
        <f t="shared" si="5"/>
        <v>418298.81386200892</v>
      </c>
    </row>
    <row r="64" spans="1:15" x14ac:dyDescent="0.15">
      <c r="A64" s="154"/>
      <c r="B64" s="151"/>
      <c r="C64" s="151"/>
      <c r="D64" s="155" t="s">
        <v>1495</v>
      </c>
      <c r="E64" s="155" t="s">
        <v>72</v>
      </c>
      <c r="F64" s="157" t="s">
        <v>1522</v>
      </c>
      <c r="G64" s="152">
        <v>18939.167000000005</v>
      </c>
      <c r="H64" s="155" t="s">
        <v>1495</v>
      </c>
      <c r="I64" s="152"/>
      <c r="J64" s="154"/>
      <c r="K64" s="154"/>
      <c r="L64" s="227"/>
      <c r="M64" s="157"/>
      <c r="N64" s="227">
        <f t="shared" si="4"/>
        <v>232484.56086200941</v>
      </c>
      <c r="O64" s="152">
        <f t="shared" si="5"/>
        <v>437237.98086200893</v>
      </c>
    </row>
    <row r="65" spans="1:15" x14ac:dyDescent="0.15">
      <c r="A65" s="154"/>
      <c r="B65" s="151"/>
      <c r="C65" s="151"/>
      <c r="D65" s="155" t="s">
        <v>1495</v>
      </c>
      <c r="E65" s="155" t="s">
        <v>72</v>
      </c>
      <c r="F65" s="157" t="s">
        <v>1523</v>
      </c>
      <c r="G65" s="152">
        <v>147739.90900000001</v>
      </c>
      <c r="H65" s="155" t="s">
        <v>1495</v>
      </c>
      <c r="I65" s="152"/>
      <c r="J65" s="154"/>
      <c r="K65" s="154"/>
      <c r="L65" s="227"/>
      <c r="M65" s="157"/>
      <c r="N65" s="227">
        <f t="shared" si="4"/>
        <v>232484.56086200941</v>
      </c>
      <c r="O65" s="152">
        <f t="shared" si="5"/>
        <v>584977.88986200897</v>
      </c>
    </row>
    <row r="66" spans="1:15" x14ac:dyDescent="0.15">
      <c r="A66" s="154"/>
      <c r="B66" s="151"/>
      <c r="C66" s="151"/>
      <c r="D66" s="155" t="s">
        <v>1496</v>
      </c>
      <c r="E66" s="155" t="s">
        <v>72</v>
      </c>
      <c r="F66" s="157" t="s">
        <v>1523</v>
      </c>
      <c r="G66" s="152">
        <v>82796.694999999992</v>
      </c>
      <c r="H66" s="155" t="s">
        <v>1496</v>
      </c>
      <c r="I66" s="152"/>
      <c r="J66" s="154"/>
      <c r="K66" s="154" t="s">
        <v>1546</v>
      </c>
      <c r="L66" s="227">
        <v>77233.83</v>
      </c>
      <c r="M66" s="157" t="s">
        <v>1519</v>
      </c>
      <c r="N66" s="227">
        <f t="shared" si="4"/>
        <v>155250.7308620094</v>
      </c>
      <c r="O66" s="152">
        <f t="shared" si="5"/>
        <v>590540.75486200897</v>
      </c>
    </row>
    <row r="67" spans="1:15" x14ac:dyDescent="0.15">
      <c r="A67" s="154"/>
      <c r="B67" s="151"/>
      <c r="C67" s="151"/>
      <c r="D67" s="155" t="s">
        <v>1509</v>
      </c>
      <c r="E67" s="155" t="s">
        <v>72</v>
      </c>
      <c r="F67" s="157" t="s">
        <v>1523</v>
      </c>
      <c r="G67" s="152">
        <v>37875.826999999997</v>
      </c>
      <c r="H67" s="155" t="s">
        <v>1509</v>
      </c>
      <c r="I67" s="152"/>
      <c r="J67" s="154"/>
      <c r="K67" s="154" t="s">
        <v>1546</v>
      </c>
      <c r="L67" s="227">
        <v>68923.039999999994</v>
      </c>
      <c r="M67" s="157" t="s">
        <v>1519</v>
      </c>
      <c r="N67" s="227">
        <f t="shared" si="4"/>
        <v>86327.690862009404</v>
      </c>
      <c r="O67" s="152">
        <f t="shared" si="5"/>
        <v>559493.54186200898</v>
      </c>
    </row>
    <row r="68" spans="1:15" x14ac:dyDescent="0.15">
      <c r="A68" s="154"/>
      <c r="B68" s="151"/>
      <c r="C68" s="151"/>
      <c r="D68" s="155"/>
      <c r="E68" s="155"/>
      <c r="F68" s="157"/>
      <c r="G68" s="152"/>
      <c r="H68" s="155" t="s">
        <v>1509</v>
      </c>
      <c r="I68" s="152"/>
      <c r="J68" s="154"/>
      <c r="K68" s="154" t="s">
        <v>1546</v>
      </c>
      <c r="L68" s="227">
        <v>786.56</v>
      </c>
      <c r="M68" s="157" t="s">
        <v>1519</v>
      </c>
      <c r="N68" s="227">
        <f t="shared" si="4"/>
        <v>85541.130862009406</v>
      </c>
      <c r="O68" s="152">
        <f t="shared" si="5"/>
        <v>558706.98186200892</v>
      </c>
    </row>
    <row r="69" spans="1:15" x14ac:dyDescent="0.15">
      <c r="A69" s="154"/>
      <c r="B69" s="151"/>
      <c r="C69" s="151"/>
      <c r="D69" s="155"/>
      <c r="E69" s="155"/>
      <c r="F69" s="157"/>
      <c r="G69" s="152"/>
      <c r="H69" s="155" t="s">
        <v>1509</v>
      </c>
      <c r="I69" s="152"/>
      <c r="J69" s="154"/>
      <c r="K69" s="154" t="s">
        <v>1546</v>
      </c>
      <c r="L69" s="227">
        <v>70051.92</v>
      </c>
      <c r="M69" s="157" t="s">
        <v>1519</v>
      </c>
      <c r="N69" s="227">
        <f t="shared" si="4"/>
        <v>15489.210862009408</v>
      </c>
      <c r="O69" s="152">
        <f t="shared" si="5"/>
        <v>488655.06186200894</v>
      </c>
    </row>
    <row r="70" spans="1:15" x14ac:dyDescent="0.15">
      <c r="A70" s="154"/>
      <c r="B70" s="151"/>
      <c r="C70" s="151"/>
      <c r="D70" s="155" t="s">
        <v>1489</v>
      </c>
      <c r="E70" s="155" t="s">
        <v>72</v>
      </c>
      <c r="F70" s="157" t="s">
        <v>1524</v>
      </c>
      <c r="G70" s="152">
        <v>77840.395999999993</v>
      </c>
      <c r="H70" s="155" t="s">
        <v>1489</v>
      </c>
      <c r="I70" s="152"/>
      <c r="J70" s="157"/>
      <c r="K70" s="154"/>
      <c r="L70" s="227"/>
      <c r="M70" s="157"/>
      <c r="N70" s="227">
        <f t="shared" si="4"/>
        <v>15489.210862009408</v>
      </c>
      <c r="O70" s="152">
        <f t="shared" si="5"/>
        <v>566495.45786200895</v>
      </c>
    </row>
    <row r="71" spans="1:15" x14ac:dyDescent="0.15">
      <c r="A71" s="154"/>
      <c r="B71" s="151"/>
      <c r="C71" s="151"/>
      <c r="D71" s="155" t="s">
        <v>1483</v>
      </c>
      <c r="E71" s="155" t="s">
        <v>72</v>
      </c>
      <c r="F71" s="157" t="s">
        <v>1524</v>
      </c>
      <c r="G71" s="152">
        <v>17874.180999999939</v>
      </c>
      <c r="H71" s="155" t="s">
        <v>1483</v>
      </c>
      <c r="I71" s="152"/>
      <c r="J71" s="157"/>
      <c r="K71" s="154" t="s">
        <v>1546</v>
      </c>
      <c r="L71" s="227">
        <v>15489.210862009408</v>
      </c>
      <c r="M71" s="157" t="s">
        <v>1519</v>
      </c>
      <c r="N71" s="227">
        <f t="shared" si="4"/>
        <v>0</v>
      </c>
      <c r="O71" s="152">
        <f t="shared" si="5"/>
        <v>568880.42799999949</v>
      </c>
    </row>
    <row r="72" spans="1:15" x14ac:dyDescent="0.15">
      <c r="A72" s="154"/>
      <c r="B72" s="151"/>
      <c r="C72" s="151"/>
      <c r="D72" s="155" t="s">
        <v>1483</v>
      </c>
      <c r="E72" s="155" t="s">
        <v>72</v>
      </c>
      <c r="F72" s="157" t="s">
        <v>1525</v>
      </c>
      <c r="G72" s="152">
        <v>19984.163000000099</v>
      </c>
      <c r="H72" s="155" t="s">
        <v>1483</v>
      </c>
      <c r="I72" s="152"/>
      <c r="J72" s="157"/>
      <c r="K72" s="154" t="s">
        <v>1546</v>
      </c>
      <c r="L72" s="227">
        <v>33820.759137990601</v>
      </c>
      <c r="M72" s="157" t="s">
        <v>1520</v>
      </c>
      <c r="N72" s="227">
        <f>G57+G58+N71-I72-L72</f>
        <v>44009.108862009401</v>
      </c>
      <c r="O72" s="152">
        <f t="shared" si="5"/>
        <v>555043.8318620089</v>
      </c>
    </row>
    <row r="73" spans="1:15" x14ac:dyDescent="0.15">
      <c r="A73" s="154"/>
      <c r="B73" s="151"/>
      <c r="C73" s="151"/>
      <c r="D73" s="155" t="s">
        <v>1488</v>
      </c>
      <c r="E73" s="155" t="s">
        <v>72</v>
      </c>
      <c r="F73" s="157" t="s">
        <v>1525</v>
      </c>
      <c r="G73" s="152">
        <v>142761.60799999998</v>
      </c>
      <c r="H73" s="155" t="s">
        <v>1488</v>
      </c>
      <c r="I73" s="152"/>
      <c r="J73" s="157"/>
      <c r="K73" s="154" t="s">
        <v>1546</v>
      </c>
      <c r="L73" s="227">
        <v>44009.108862009401</v>
      </c>
      <c r="M73" s="157" t="s">
        <v>1520</v>
      </c>
      <c r="N73" s="227">
        <f t="shared" si="4"/>
        <v>0</v>
      </c>
      <c r="O73" s="152">
        <f t="shared" si="5"/>
        <v>653796.33099999954</v>
      </c>
    </row>
    <row r="74" spans="1:15" x14ac:dyDescent="0.15">
      <c r="A74" s="154"/>
      <c r="B74" s="151"/>
      <c r="C74" s="151"/>
      <c r="D74" s="155"/>
      <c r="E74" s="155"/>
      <c r="F74" s="157"/>
      <c r="G74" s="152"/>
      <c r="H74" s="155" t="s">
        <v>1488</v>
      </c>
      <c r="I74" s="152"/>
      <c r="J74" s="154"/>
      <c r="K74" s="154" t="s">
        <v>1544</v>
      </c>
      <c r="L74" s="227">
        <v>30033.781137990602</v>
      </c>
      <c r="M74" s="157" t="s">
        <v>1521</v>
      </c>
      <c r="N74" s="227">
        <f>G59+N73-I74-L74</f>
        <v>57974.432862009402</v>
      </c>
      <c r="O74" s="152">
        <f t="shared" si="5"/>
        <v>623762.54986200889</v>
      </c>
    </row>
    <row r="75" spans="1:15" x14ac:dyDescent="0.15">
      <c r="A75" s="154"/>
      <c r="B75" s="151"/>
      <c r="C75" s="151"/>
      <c r="D75" s="155"/>
      <c r="E75" s="155"/>
      <c r="F75" s="157"/>
      <c r="G75" s="152"/>
      <c r="H75" s="155" t="s">
        <v>1488</v>
      </c>
      <c r="I75" s="152"/>
      <c r="J75" s="154"/>
      <c r="K75" s="154" t="s">
        <v>1544</v>
      </c>
      <c r="L75" s="227">
        <v>57974.432862009402</v>
      </c>
      <c r="M75" s="157" t="s">
        <v>1521</v>
      </c>
      <c r="N75" s="227">
        <f t="shared" ref="N75:N83" si="6">+N74-I75-L75</f>
        <v>0</v>
      </c>
      <c r="O75" s="152">
        <f t="shared" ref="O75:O83" si="7">O74+G75-I75-L75</f>
        <v>565788.1169999995</v>
      </c>
    </row>
    <row r="76" spans="1:15" x14ac:dyDescent="0.15">
      <c r="A76" s="154"/>
      <c r="B76" s="151"/>
      <c r="C76" s="151"/>
      <c r="D76" s="155"/>
      <c r="E76" s="155"/>
      <c r="F76" s="157"/>
      <c r="G76" s="152"/>
      <c r="H76" s="155" t="s">
        <v>1488</v>
      </c>
      <c r="I76" s="152"/>
      <c r="J76" s="154"/>
      <c r="K76" s="154" t="s">
        <v>1546</v>
      </c>
      <c r="L76" s="227">
        <v>19992.277137990601</v>
      </c>
      <c r="M76" s="157" t="s">
        <v>1522</v>
      </c>
      <c r="N76" s="227">
        <f>G60+G64+N75-I76-L76</f>
        <v>18923.060862009403</v>
      </c>
      <c r="O76" s="152">
        <f t="shared" si="7"/>
        <v>545795.83986200893</v>
      </c>
    </row>
    <row r="77" spans="1:15" x14ac:dyDescent="0.15">
      <c r="A77" s="154"/>
      <c r="B77" s="151"/>
      <c r="C77" s="151"/>
      <c r="D77" s="155"/>
      <c r="E77" s="155"/>
      <c r="F77" s="157"/>
      <c r="G77" s="152"/>
      <c r="H77" s="155" t="s">
        <v>1510</v>
      </c>
      <c r="I77" s="152"/>
      <c r="J77" s="154"/>
      <c r="K77" s="154" t="s">
        <v>1546</v>
      </c>
      <c r="L77" s="227">
        <v>18923.060862009403</v>
      </c>
      <c r="M77" s="157" t="s">
        <v>1522</v>
      </c>
      <c r="N77" s="227">
        <f t="shared" si="6"/>
        <v>0</v>
      </c>
      <c r="O77" s="152">
        <f t="shared" si="7"/>
        <v>526872.77899999951</v>
      </c>
    </row>
    <row r="78" spans="1:15" x14ac:dyDescent="0.15">
      <c r="A78" s="154"/>
      <c r="B78" s="151"/>
      <c r="C78" s="151"/>
      <c r="D78" s="155"/>
      <c r="E78" s="155"/>
      <c r="F78" s="157"/>
      <c r="G78" s="152"/>
      <c r="H78" s="155" t="s">
        <v>1510</v>
      </c>
      <c r="I78" s="152"/>
      <c r="J78" s="154"/>
      <c r="K78" s="154" t="s">
        <v>1546</v>
      </c>
      <c r="L78" s="227">
        <v>66252.539137990607</v>
      </c>
      <c r="M78" s="157" t="s">
        <v>1523</v>
      </c>
      <c r="N78" s="227">
        <f>G65+G66+G67+N77-I78-L78</f>
        <v>202159.89186200936</v>
      </c>
      <c r="O78" s="152">
        <f t="shared" si="7"/>
        <v>460620.23986200889</v>
      </c>
    </row>
    <row r="79" spans="1:15" x14ac:dyDescent="0.15">
      <c r="A79" s="154"/>
      <c r="B79" s="151"/>
      <c r="C79" s="151"/>
      <c r="D79" s="155" t="s">
        <v>1513</v>
      </c>
      <c r="E79" s="155" t="s">
        <v>72</v>
      </c>
      <c r="F79" s="157" t="s">
        <v>1526</v>
      </c>
      <c r="G79" s="152">
        <v>77787.904999999999</v>
      </c>
      <c r="H79" s="155" t="s">
        <v>1513</v>
      </c>
      <c r="I79" s="152"/>
      <c r="J79" s="154"/>
      <c r="K79" s="154"/>
      <c r="L79" s="227"/>
      <c r="M79" s="157"/>
      <c r="N79" s="227">
        <f t="shared" si="6"/>
        <v>202159.89186200936</v>
      </c>
      <c r="O79" s="152">
        <f t="shared" si="7"/>
        <v>538408.14486200886</v>
      </c>
    </row>
    <row r="80" spans="1:15" x14ac:dyDescent="0.15">
      <c r="A80" s="154"/>
      <c r="B80" s="151"/>
      <c r="C80" s="151"/>
      <c r="D80" s="155" t="s">
        <v>1490</v>
      </c>
      <c r="E80" s="155" t="s">
        <v>72</v>
      </c>
      <c r="F80" s="291" t="s">
        <v>1527</v>
      </c>
      <c r="G80" s="152">
        <v>39896.144</v>
      </c>
      <c r="H80" s="155" t="s">
        <v>1490</v>
      </c>
      <c r="I80" s="152">
        <v>12966.97</v>
      </c>
      <c r="J80" s="154" t="s">
        <v>1523</v>
      </c>
      <c r="K80" s="154" t="s">
        <v>1546</v>
      </c>
      <c r="L80" s="227">
        <v>76342.649999999994</v>
      </c>
      <c r="M80" s="157" t="s">
        <v>1523</v>
      </c>
      <c r="N80" s="227">
        <f t="shared" si="6"/>
        <v>112850.27186200937</v>
      </c>
      <c r="O80" s="152">
        <f t="shared" si="7"/>
        <v>488994.66886200884</v>
      </c>
    </row>
    <row r="81" spans="1:15" x14ac:dyDescent="0.15">
      <c r="A81" s="154"/>
      <c r="B81" s="151"/>
      <c r="C81" s="151"/>
      <c r="D81" s="155" t="s">
        <v>1511</v>
      </c>
      <c r="E81" s="155" t="s">
        <v>72</v>
      </c>
      <c r="F81" s="291" t="s">
        <v>1527</v>
      </c>
      <c r="G81" s="152">
        <v>77727.415000000008</v>
      </c>
      <c r="H81" s="155" t="s">
        <v>1511</v>
      </c>
      <c r="I81" s="152"/>
      <c r="J81" s="157"/>
      <c r="K81" s="154" t="s">
        <v>1546</v>
      </c>
      <c r="L81" s="227">
        <v>73100.66</v>
      </c>
      <c r="M81" s="157" t="s">
        <v>1523</v>
      </c>
      <c r="N81" s="227">
        <f t="shared" si="6"/>
        <v>39749.611862009362</v>
      </c>
      <c r="O81" s="152">
        <f t="shared" si="7"/>
        <v>493621.42386200884</v>
      </c>
    </row>
    <row r="82" spans="1:15" hidden="1" x14ac:dyDescent="0.15">
      <c r="A82" s="154"/>
      <c r="B82" s="151"/>
      <c r="C82" s="151"/>
      <c r="D82" s="152"/>
      <c r="E82" s="154"/>
      <c r="F82" s="291"/>
      <c r="G82" s="152"/>
      <c r="H82" s="155"/>
      <c r="I82" s="152"/>
      <c r="J82" s="157"/>
      <c r="K82" s="154"/>
      <c r="L82" s="227"/>
      <c r="M82" s="157"/>
      <c r="N82" s="227">
        <f t="shared" si="6"/>
        <v>39749.611862009362</v>
      </c>
      <c r="O82" s="152">
        <f t="shared" si="7"/>
        <v>493621.42386200884</v>
      </c>
    </row>
    <row r="83" spans="1:15" hidden="1" x14ac:dyDescent="0.15">
      <c r="A83" s="154"/>
      <c r="B83" s="151"/>
      <c r="C83" s="151"/>
      <c r="D83" s="152"/>
      <c r="E83" s="154"/>
      <c r="F83" s="157"/>
      <c r="G83" s="152"/>
      <c r="H83" s="155"/>
      <c r="I83" s="152"/>
      <c r="J83" s="157"/>
      <c r="K83" s="154"/>
      <c r="L83" s="227"/>
      <c r="M83" s="157"/>
      <c r="N83" s="227">
        <f t="shared" si="6"/>
        <v>39749.611862009362</v>
      </c>
      <c r="O83" s="152">
        <f t="shared" si="7"/>
        <v>493621.42386200884</v>
      </c>
    </row>
    <row r="84" spans="1:15" hidden="1" x14ac:dyDescent="0.15">
      <c r="A84" s="154"/>
      <c r="B84" s="151"/>
      <c r="C84" s="151"/>
      <c r="D84" s="152"/>
      <c r="E84" s="154"/>
      <c r="F84" s="157"/>
      <c r="G84" s="152"/>
      <c r="H84" s="155"/>
      <c r="I84" s="152"/>
      <c r="J84" s="154"/>
      <c r="K84" s="154"/>
      <c r="L84" s="227"/>
      <c r="M84" s="157"/>
      <c r="N84" s="227">
        <f t="shared" ref="N84:N99" si="8">+N83-I84-L84</f>
        <v>39749.611862009362</v>
      </c>
      <c r="O84" s="152">
        <f t="shared" ref="O84:O99" si="9">O83+G84-I84-L84</f>
        <v>493621.42386200884</v>
      </c>
    </row>
    <row r="85" spans="1:15" hidden="1" x14ac:dyDescent="0.15">
      <c r="A85" s="154"/>
      <c r="B85" s="151"/>
      <c r="C85" s="151"/>
      <c r="D85" s="152"/>
      <c r="E85" s="154"/>
      <c r="F85" s="291"/>
      <c r="G85" s="152"/>
      <c r="H85" s="155"/>
      <c r="I85" s="152"/>
      <c r="J85" s="154"/>
      <c r="K85" s="154"/>
      <c r="L85" s="227"/>
      <c r="M85" s="157"/>
      <c r="N85" s="227">
        <f t="shared" si="8"/>
        <v>39749.611862009362</v>
      </c>
      <c r="O85" s="152">
        <f t="shared" si="9"/>
        <v>493621.42386200884</v>
      </c>
    </row>
    <row r="86" spans="1:15" hidden="1" x14ac:dyDescent="0.15">
      <c r="A86" s="154"/>
      <c r="B86" s="151"/>
      <c r="C86" s="151"/>
      <c r="D86" s="155"/>
      <c r="E86" s="154"/>
      <c r="F86" s="157"/>
      <c r="G86" s="152"/>
      <c r="H86" s="155"/>
      <c r="I86" s="152"/>
      <c r="J86" s="291"/>
      <c r="K86" s="154"/>
      <c r="L86" s="227"/>
      <c r="M86" s="157"/>
      <c r="N86" s="227">
        <f t="shared" si="8"/>
        <v>39749.611862009362</v>
      </c>
      <c r="O86" s="152">
        <f t="shared" si="9"/>
        <v>493621.42386200884</v>
      </c>
    </row>
    <row r="87" spans="1:15" hidden="1" x14ac:dyDescent="0.15">
      <c r="A87" s="154"/>
      <c r="B87" s="151"/>
      <c r="C87" s="151"/>
      <c r="D87" s="155"/>
      <c r="E87" s="154"/>
      <c r="F87" s="157"/>
      <c r="G87" s="152"/>
      <c r="H87" s="155"/>
      <c r="I87" s="152"/>
      <c r="J87" s="154"/>
      <c r="K87" s="154"/>
      <c r="L87" s="227"/>
      <c r="M87" s="157"/>
      <c r="N87" s="227">
        <f t="shared" si="8"/>
        <v>39749.611862009362</v>
      </c>
      <c r="O87" s="152">
        <f t="shared" si="9"/>
        <v>493621.42386200884</v>
      </c>
    </row>
    <row r="88" spans="1:15" hidden="1" x14ac:dyDescent="0.15">
      <c r="A88" s="154"/>
      <c r="B88" s="151"/>
      <c r="C88" s="151"/>
      <c r="D88" s="155"/>
      <c r="E88" s="154"/>
      <c r="F88" s="291"/>
      <c r="G88" s="152"/>
      <c r="H88" s="155"/>
      <c r="I88" s="152"/>
      <c r="J88" s="157"/>
      <c r="K88" s="154"/>
      <c r="L88" s="227"/>
      <c r="M88" s="157"/>
      <c r="N88" s="227">
        <f t="shared" si="8"/>
        <v>39749.611862009362</v>
      </c>
      <c r="O88" s="152">
        <f t="shared" si="9"/>
        <v>493621.42386200884</v>
      </c>
    </row>
    <row r="89" spans="1:15" hidden="1" x14ac:dyDescent="0.15">
      <c r="A89" s="154"/>
      <c r="B89" s="151"/>
      <c r="C89" s="151"/>
      <c r="D89" s="155"/>
      <c r="E89" s="154"/>
      <c r="F89" s="291"/>
      <c r="G89" s="152"/>
      <c r="H89" s="155"/>
      <c r="I89" s="152"/>
      <c r="J89" s="157"/>
      <c r="K89" s="154"/>
      <c r="L89" s="227"/>
      <c r="M89" s="157"/>
      <c r="N89" s="227">
        <f t="shared" si="8"/>
        <v>39749.611862009362</v>
      </c>
      <c r="O89" s="152">
        <f t="shared" si="9"/>
        <v>493621.42386200884</v>
      </c>
    </row>
    <row r="90" spans="1:15" hidden="1" x14ac:dyDescent="0.15">
      <c r="A90" s="154"/>
      <c r="B90" s="151"/>
      <c r="C90" s="151"/>
      <c r="D90" s="155"/>
      <c r="E90" s="155"/>
      <c r="F90" s="157"/>
      <c r="G90" s="152"/>
      <c r="H90" s="155"/>
      <c r="I90" s="152"/>
      <c r="J90" s="157"/>
      <c r="K90" s="154"/>
      <c r="L90" s="227"/>
      <c r="M90" s="157"/>
      <c r="N90" s="227">
        <f t="shared" si="8"/>
        <v>39749.611862009362</v>
      </c>
      <c r="O90" s="152">
        <f t="shared" si="9"/>
        <v>493621.42386200884</v>
      </c>
    </row>
    <row r="91" spans="1:15" hidden="1" x14ac:dyDescent="0.15">
      <c r="A91" s="154"/>
      <c r="B91" s="151"/>
      <c r="C91" s="151"/>
      <c r="D91" s="155"/>
      <c r="E91" s="154"/>
      <c r="F91" s="157"/>
      <c r="G91" s="152"/>
      <c r="H91" s="155"/>
      <c r="I91" s="152"/>
      <c r="J91" s="154"/>
      <c r="K91" s="154"/>
      <c r="L91" s="227"/>
      <c r="M91" s="157"/>
      <c r="N91" s="227">
        <f t="shared" si="8"/>
        <v>39749.611862009362</v>
      </c>
      <c r="O91" s="152">
        <f t="shared" si="9"/>
        <v>493621.42386200884</v>
      </c>
    </row>
    <row r="92" spans="1:15" hidden="1" x14ac:dyDescent="0.15">
      <c r="A92" s="154"/>
      <c r="B92" s="151"/>
      <c r="C92" s="151"/>
      <c r="D92" s="155"/>
      <c r="E92" s="154"/>
      <c r="F92" s="291"/>
      <c r="G92" s="152"/>
      <c r="H92" s="155"/>
      <c r="I92" s="152"/>
      <c r="J92" s="154"/>
      <c r="K92" s="154"/>
      <c r="L92" s="227"/>
      <c r="M92" s="157"/>
      <c r="N92" s="227">
        <f t="shared" si="8"/>
        <v>39749.611862009362</v>
      </c>
      <c r="O92" s="152">
        <f t="shared" si="9"/>
        <v>493621.42386200884</v>
      </c>
    </row>
    <row r="93" spans="1:15" hidden="1" x14ac:dyDescent="0.15">
      <c r="A93" s="154"/>
      <c r="B93" s="151"/>
      <c r="C93" s="151"/>
      <c r="D93" s="155"/>
      <c r="E93" s="154"/>
      <c r="F93" s="157"/>
      <c r="G93" s="152"/>
      <c r="H93" s="155"/>
      <c r="I93" s="152"/>
      <c r="J93" s="157"/>
      <c r="K93" s="154"/>
      <c r="L93" s="227"/>
      <c r="M93" s="157"/>
      <c r="N93" s="227">
        <f t="shared" si="8"/>
        <v>39749.611862009362</v>
      </c>
      <c r="O93" s="152">
        <f t="shared" si="9"/>
        <v>493621.42386200884</v>
      </c>
    </row>
    <row r="94" spans="1:15" hidden="1" x14ac:dyDescent="0.15">
      <c r="A94" s="154"/>
      <c r="B94" s="151"/>
      <c r="C94" s="151"/>
      <c r="D94" s="155"/>
      <c r="E94" s="154"/>
      <c r="F94" s="291"/>
      <c r="G94" s="152"/>
      <c r="H94" s="155"/>
      <c r="I94" s="152"/>
      <c r="J94" s="291"/>
      <c r="K94" s="154"/>
      <c r="L94" s="227"/>
      <c r="M94" s="157"/>
      <c r="N94" s="227">
        <f t="shared" si="8"/>
        <v>39749.611862009362</v>
      </c>
      <c r="O94" s="152">
        <f t="shared" si="9"/>
        <v>493621.42386200884</v>
      </c>
    </row>
    <row r="95" spans="1:15" hidden="1" x14ac:dyDescent="0.15">
      <c r="A95" s="154"/>
      <c r="B95" s="151"/>
      <c r="C95" s="151"/>
      <c r="D95" s="155"/>
      <c r="E95" s="154"/>
      <c r="F95" s="291"/>
      <c r="G95" s="152"/>
      <c r="H95" s="155"/>
      <c r="I95" s="152"/>
      <c r="J95" s="157"/>
      <c r="K95" s="154"/>
      <c r="L95" s="227"/>
      <c r="M95" s="157"/>
      <c r="N95" s="227">
        <f t="shared" si="8"/>
        <v>39749.611862009362</v>
      </c>
      <c r="O95" s="152">
        <f t="shared" si="9"/>
        <v>493621.42386200884</v>
      </c>
    </row>
    <row r="96" spans="1:15" hidden="1" x14ac:dyDescent="0.15">
      <c r="A96" s="154"/>
      <c r="B96" s="151"/>
      <c r="C96" s="151"/>
      <c r="D96" s="152"/>
      <c r="E96" s="154"/>
      <c r="F96" s="157"/>
      <c r="G96" s="152"/>
      <c r="H96" s="155"/>
      <c r="I96" s="152"/>
      <c r="J96" s="154"/>
      <c r="K96" s="154"/>
      <c r="L96" s="227"/>
      <c r="M96" s="157"/>
      <c r="N96" s="227">
        <f t="shared" si="8"/>
        <v>39749.611862009362</v>
      </c>
      <c r="O96" s="152">
        <f t="shared" si="9"/>
        <v>493621.42386200884</v>
      </c>
    </row>
    <row r="97" spans="1:15" hidden="1" x14ac:dyDescent="0.15">
      <c r="A97" s="154"/>
      <c r="B97" s="151"/>
      <c r="C97" s="151"/>
      <c r="D97" s="152"/>
      <c r="E97" s="155"/>
      <c r="F97" s="157"/>
      <c r="G97" s="152"/>
      <c r="H97" s="155"/>
      <c r="I97" s="152"/>
      <c r="J97" s="157"/>
      <c r="K97" s="154"/>
      <c r="L97" s="227"/>
      <c r="M97" s="157"/>
      <c r="N97" s="227">
        <f t="shared" si="8"/>
        <v>39749.611862009362</v>
      </c>
      <c r="O97" s="152">
        <f t="shared" si="9"/>
        <v>493621.42386200884</v>
      </c>
    </row>
    <row r="98" spans="1:15" hidden="1" x14ac:dyDescent="0.15">
      <c r="A98" s="154"/>
      <c r="B98" s="151"/>
      <c r="C98" s="151"/>
      <c r="D98" s="152"/>
      <c r="E98" s="154"/>
      <c r="F98" s="160"/>
      <c r="G98" s="152"/>
      <c r="H98" s="155"/>
      <c r="I98" s="152"/>
      <c r="J98" s="150"/>
      <c r="K98" s="154"/>
      <c r="L98" s="227"/>
      <c r="M98" s="157"/>
      <c r="N98" s="227">
        <f t="shared" si="8"/>
        <v>39749.611862009362</v>
      </c>
      <c r="O98" s="152">
        <f t="shared" si="9"/>
        <v>493621.42386200884</v>
      </c>
    </row>
    <row r="99" spans="1:15" x14ac:dyDescent="0.15">
      <c r="A99" s="173"/>
      <c r="B99" s="173"/>
      <c r="C99" s="174"/>
      <c r="D99" s="175"/>
      <c r="E99" s="173"/>
      <c r="F99" s="173"/>
      <c r="G99" s="174"/>
      <c r="H99" s="175"/>
      <c r="I99" s="174"/>
      <c r="J99" s="173"/>
      <c r="K99" s="154"/>
      <c r="L99" s="228"/>
      <c r="M99" s="173"/>
      <c r="N99" s="227">
        <f t="shared" si="8"/>
        <v>39749.611862009362</v>
      </c>
      <c r="O99" s="152">
        <f t="shared" si="9"/>
        <v>493621.42386200884</v>
      </c>
    </row>
    <row r="100" spans="1:15" x14ac:dyDescent="0.15">
      <c r="A100" s="177"/>
      <c r="B100" s="177"/>
      <c r="C100" s="178">
        <f>SUM(C7:C98)</f>
        <v>500529.61186200945</v>
      </c>
      <c r="D100" s="177"/>
      <c r="E100" s="177"/>
      <c r="F100" s="177"/>
      <c r="G100" s="178">
        <f>SUM(G7:G98)</f>
        <v>2921868.642</v>
      </c>
      <c r="H100" s="179"/>
      <c r="I100" s="178">
        <f>SUM(I7:I98)</f>
        <v>23571.09</v>
      </c>
      <c r="J100" s="177"/>
      <c r="K100" s="177"/>
      <c r="L100" s="229">
        <f>SUM(L9:L98)</f>
        <v>2905205.74</v>
      </c>
      <c r="M100" s="177"/>
      <c r="N100" s="180"/>
      <c r="O100" s="181">
        <f>C100+G100-I100-L100</f>
        <v>493621.42386200931</v>
      </c>
    </row>
    <row r="101" spans="1:15" x14ac:dyDescent="0.15">
      <c r="A101" s="182"/>
      <c r="B101" s="465"/>
      <c r="C101" s="465"/>
      <c r="D101" s="465"/>
      <c r="E101" s="183"/>
      <c r="F101" s="284"/>
      <c r="G101" s="185"/>
      <c r="H101" s="186"/>
      <c r="I101" s="187"/>
      <c r="J101" s="188"/>
      <c r="K101" s="189" t="s">
        <v>139</v>
      </c>
      <c r="L101" s="190">
        <f>+L100+I100</f>
        <v>2928776.83</v>
      </c>
      <c r="M101" s="197"/>
      <c r="N101" s="230">
        <f>+N99</f>
        <v>39749.611862009362</v>
      </c>
      <c r="O101" s="157" t="s">
        <v>1523</v>
      </c>
    </row>
    <row r="102" spans="1:15" x14ac:dyDescent="0.15">
      <c r="A102" s="193"/>
      <c r="B102" s="470"/>
      <c r="C102" s="470"/>
      <c r="D102" s="470"/>
      <c r="E102" s="183"/>
      <c r="F102" s="301"/>
      <c r="G102" s="219"/>
      <c r="H102" s="186"/>
      <c r="I102" s="187"/>
      <c r="J102" s="210"/>
      <c r="K102" s="210"/>
      <c r="N102" s="230">
        <v>95714.576999999932</v>
      </c>
      <c r="O102" s="195" t="s">
        <v>1524</v>
      </c>
    </row>
    <row r="103" spans="1:15" x14ac:dyDescent="0.15">
      <c r="A103" s="193" t="s">
        <v>1460</v>
      </c>
      <c r="B103" s="302" t="s">
        <v>1471</v>
      </c>
      <c r="E103" s="183" t="s">
        <v>55</v>
      </c>
      <c r="F103" s="301">
        <v>788567.22</v>
      </c>
      <c r="G103" s="219" t="s">
        <v>56</v>
      </c>
      <c r="H103" s="186">
        <v>41334</v>
      </c>
      <c r="I103" s="187" t="s">
        <v>71</v>
      </c>
      <c r="J103" s="210">
        <v>61866.201862009329</v>
      </c>
      <c r="K103" s="210"/>
      <c r="N103" s="230">
        <v>162745.77100000012</v>
      </c>
      <c r="O103" s="195" t="s">
        <v>1525</v>
      </c>
    </row>
    <row r="104" spans="1:15" x14ac:dyDescent="0.15">
      <c r="A104" s="193" t="s">
        <v>1461</v>
      </c>
      <c r="B104" s="302" t="s">
        <v>1529</v>
      </c>
      <c r="E104" s="183" t="s">
        <v>55</v>
      </c>
      <c r="F104" s="301">
        <v>1828595.01</v>
      </c>
      <c r="G104" s="219" t="s">
        <v>56</v>
      </c>
      <c r="H104" s="186">
        <v>41337</v>
      </c>
      <c r="I104" s="187" t="s">
        <v>71</v>
      </c>
      <c r="J104" s="210">
        <v>146781.92400000003</v>
      </c>
      <c r="K104" s="210"/>
      <c r="N104" s="230">
        <v>77787.904999999999</v>
      </c>
      <c r="O104" s="195" t="s">
        <v>1526</v>
      </c>
    </row>
    <row r="105" spans="1:15" x14ac:dyDescent="0.15">
      <c r="A105" s="133" t="s">
        <v>1512</v>
      </c>
      <c r="B105" s="302" t="s">
        <v>1530</v>
      </c>
      <c r="E105" s="183" t="s">
        <v>55</v>
      </c>
      <c r="F105" s="301">
        <v>682034.69</v>
      </c>
      <c r="G105" s="219" t="s">
        <v>56</v>
      </c>
      <c r="H105" s="186">
        <v>41341</v>
      </c>
      <c r="I105" s="187" t="s">
        <v>71</v>
      </c>
      <c r="J105" s="210">
        <v>387222.5830000001</v>
      </c>
      <c r="K105" s="210"/>
      <c r="N105" s="230">
        <v>117623.55899999999</v>
      </c>
      <c r="O105" s="195" t="s">
        <v>1527</v>
      </c>
    </row>
    <row r="106" spans="1:15" x14ac:dyDescent="0.15">
      <c r="A106" s="193" t="s">
        <v>1515</v>
      </c>
      <c r="B106" s="302" t="s">
        <v>1531</v>
      </c>
      <c r="E106" s="183" t="s">
        <v>55</v>
      </c>
      <c r="F106" s="301">
        <v>6332561.6799999997</v>
      </c>
      <c r="G106" s="219" t="s">
        <v>56</v>
      </c>
      <c r="H106" s="186">
        <v>41346</v>
      </c>
      <c r="I106" s="187" t="s">
        <v>71</v>
      </c>
      <c r="J106" s="210">
        <v>318085.57499999995</v>
      </c>
      <c r="K106" s="210"/>
      <c r="N106" s="230"/>
      <c r="O106" s="195"/>
    </row>
    <row r="107" spans="1:15" x14ac:dyDescent="0.15">
      <c r="A107" s="193" t="s">
        <v>1516</v>
      </c>
      <c r="B107" s="302" t="s">
        <v>1532</v>
      </c>
      <c r="E107" s="183" t="s">
        <v>55</v>
      </c>
      <c r="F107" s="301">
        <v>4169606.41</v>
      </c>
      <c r="G107" s="219" t="s">
        <v>56</v>
      </c>
      <c r="H107" s="186">
        <v>41347</v>
      </c>
      <c r="I107" s="187" t="s">
        <v>71</v>
      </c>
      <c r="J107" s="210">
        <v>217020.77899999998</v>
      </c>
      <c r="K107" s="210"/>
      <c r="N107" s="230"/>
      <c r="O107" s="195"/>
    </row>
    <row r="108" spans="1:15" x14ac:dyDescent="0.15">
      <c r="A108" s="133" t="s">
        <v>1518</v>
      </c>
      <c r="B108" s="302" t="s">
        <v>1533</v>
      </c>
      <c r="E108" s="183" t="s">
        <v>55</v>
      </c>
      <c r="F108" s="301">
        <v>2648252.38</v>
      </c>
      <c r="G108" s="219" t="s">
        <v>56</v>
      </c>
      <c r="H108" s="186">
        <v>41353</v>
      </c>
      <c r="I108" s="187" t="s">
        <v>71</v>
      </c>
      <c r="J108" s="210">
        <v>403664.23100000003</v>
      </c>
      <c r="K108" s="210"/>
      <c r="N108" s="206" t="s">
        <v>33</v>
      </c>
      <c r="O108" s="207">
        <f>SUM(N101:N107)</f>
        <v>493621.42386200943</v>
      </c>
    </row>
    <row r="109" spans="1:15" x14ac:dyDescent="0.15">
      <c r="A109" s="133" t="s">
        <v>1519</v>
      </c>
      <c r="B109" s="302" t="s">
        <v>1534</v>
      </c>
      <c r="E109" s="183" t="s">
        <v>55</v>
      </c>
      <c r="F109" s="301">
        <v>9447001.7200000007</v>
      </c>
      <c r="G109" s="219" t="s">
        <v>56</v>
      </c>
      <c r="H109" s="186">
        <v>41358</v>
      </c>
      <c r="I109" s="187" t="s">
        <v>71</v>
      </c>
      <c r="J109" s="210">
        <v>271536.55299999996</v>
      </c>
      <c r="K109" s="210"/>
      <c r="O109" s="132">
        <f>+O100-O108</f>
        <v>0</v>
      </c>
    </row>
    <row r="110" spans="1:15" s="132" customFormat="1" x14ac:dyDescent="0.15">
      <c r="A110" s="133" t="s">
        <v>1520</v>
      </c>
      <c r="B110" s="302" t="s">
        <v>1535</v>
      </c>
      <c r="D110" s="133"/>
      <c r="E110" s="183" t="s">
        <v>55</v>
      </c>
      <c r="F110" s="301">
        <v>4016142.13</v>
      </c>
      <c r="G110" s="219" t="s">
        <v>56</v>
      </c>
      <c r="H110" s="186">
        <v>41358</v>
      </c>
      <c r="I110" s="187" t="s">
        <v>71</v>
      </c>
      <c r="J110" s="210">
        <v>77829.868000000002</v>
      </c>
      <c r="K110" s="133"/>
      <c r="M110" s="134"/>
    </row>
    <row r="111" spans="1:15" s="132" customFormat="1" x14ac:dyDescent="0.15">
      <c r="A111" s="133" t="s">
        <v>1522</v>
      </c>
      <c r="B111" s="302" t="s">
        <v>1536</v>
      </c>
      <c r="D111" s="133"/>
      <c r="E111" s="183" t="s">
        <v>55</v>
      </c>
      <c r="F111" s="300">
        <v>1535148.29</v>
      </c>
      <c r="G111" s="219" t="s">
        <v>56</v>
      </c>
      <c r="H111" s="186">
        <v>41361</v>
      </c>
      <c r="I111" s="187" t="s">
        <v>71</v>
      </c>
      <c r="J111" s="210">
        <v>38915.338000000003</v>
      </c>
      <c r="K111" s="210"/>
      <c r="M111" s="134"/>
    </row>
    <row r="112" spans="1:15" s="132" customFormat="1" x14ac:dyDescent="0.15">
      <c r="A112" s="133" t="s">
        <v>1523</v>
      </c>
      <c r="B112" s="302" t="s">
        <v>1537</v>
      </c>
      <c r="D112" s="133"/>
      <c r="E112" s="183" t="s">
        <v>55</v>
      </c>
      <c r="F112" s="301">
        <v>2121604.54</v>
      </c>
      <c r="G112" s="219" t="s">
        <v>56</v>
      </c>
      <c r="H112" s="186">
        <v>41362</v>
      </c>
      <c r="I112" s="187" t="s">
        <v>71</v>
      </c>
      <c r="J112" s="210">
        <v>215695.84913799059</v>
      </c>
      <c r="K112" s="210"/>
      <c r="M112" s="134"/>
    </row>
    <row r="113" spans="1:13" s="132" customFormat="1" ht="12" thickBot="1" x14ac:dyDescent="0.2">
      <c r="A113" s="133"/>
      <c r="B113" s="299"/>
      <c r="C113" s="299"/>
      <c r="D113" s="299"/>
      <c r="E113" s="183"/>
      <c r="F113" s="300"/>
      <c r="G113" s="219"/>
      <c r="H113" s="186"/>
      <c r="I113" s="217" t="s">
        <v>856</v>
      </c>
      <c r="J113" s="211">
        <f>SUM(J103:J112)</f>
        <v>2138618.9019999998</v>
      </c>
      <c r="K113" s="210"/>
      <c r="M113" s="134"/>
    </row>
    <row r="114" spans="1:13" s="132" customFormat="1" ht="12" thickTop="1" x14ac:dyDescent="0.15">
      <c r="A114" s="133" t="s">
        <v>1462</v>
      </c>
      <c r="B114" s="302" t="s">
        <v>1538</v>
      </c>
      <c r="D114" s="133"/>
      <c r="E114" s="183" t="s">
        <v>55</v>
      </c>
      <c r="F114" s="301">
        <v>46389862.789999999</v>
      </c>
      <c r="G114" s="219" t="s">
        <v>56</v>
      </c>
      <c r="H114" s="186">
        <v>41339</v>
      </c>
      <c r="I114" s="187" t="s">
        <v>71</v>
      </c>
      <c r="J114" s="210">
        <v>115677.08499999992</v>
      </c>
      <c r="K114" s="210"/>
      <c r="M114" s="134"/>
    </row>
    <row r="115" spans="1:13" s="132" customFormat="1" ht="12" thickBot="1" x14ac:dyDescent="0.2">
      <c r="A115" s="133"/>
      <c r="B115" s="299"/>
      <c r="C115" s="299"/>
      <c r="D115" s="299"/>
      <c r="E115" s="183"/>
      <c r="F115" s="300"/>
      <c r="G115" s="219"/>
      <c r="H115" s="186"/>
      <c r="I115" s="217" t="s">
        <v>689</v>
      </c>
      <c r="J115" s="211">
        <f>SUM(J114)</f>
        <v>115677.08499999992</v>
      </c>
      <c r="K115" s="133"/>
      <c r="M115" s="134"/>
    </row>
    <row r="116" spans="1:13" s="132" customFormat="1" ht="12" thickTop="1" x14ac:dyDescent="0.15">
      <c r="A116" s="133" t="s">
        <v>1481</v>
      </c>
      <c r="B116" s="131" t="s">
        <v>1539</v>
      </c>
      <c r="D116" s="133"/>
      <c r="E116" s="183" t="s">
        <v>55</v>
      </c>
      <c r="F116" s="301">
        <v>27011817.16</v>
      </c>
      <c r="G116" s="219" t="s">
        <v>56</v>
      </c>
      <c r="H116" s="186">
        <v>41337</v>
      </c>
      <c r="I116" s="187" t="s">
        <v>71</v>
      </c>
      <c r="J116" s="210">
        <v>203335.83799999976</v>
      </c>
      <c r="K116" s="133"/>
      <c r="M116" s="134"/>
    </row>
    <row r="117" spans="1:13" s="132" customFormat="1" x14ac:dyDescent="0.15">
      <c r="A117" s="133" t="s">
        <v>1514</v>
      </c>
      <c r="B117" s="131" t="s">
        <v>1540</v>
      </c>
      <c r="C117" s="299"/>
      <c r="D117" s="299"/>
      <c r="E117" s="183" t="s">
        <v>55</v>
      </c>
      <c r="F117" s="301">
        <v>109339582.94</v>
      </c>
      <c r="G117" s="219" t="s">
        <v>56</v>
      </c>
      <c r="H117" s="186">
        <v>41344</v>
      </c>
      <c r="I117" s="187" t="s">
        <v>71</v>
      </c>
      <c r="J117" s="210">
        <v>119887.24300000034</v>
      </c>
      <c r="K117" s="133"/>
      <c r="M117" s="134"/>
    </row>
    <row r="118" spans="1:13" s="132" customFormat="1" x14ac:dyDescent="0.15">
      <c r="A118" s="133" t="s">
        <v>1528</v>
      </c>
      <c r="B118" s="131" t="s">
        <v>1541</v>
      </c>
      <c r="D118" s="133"/>
      <c r="E118" s="183" t="s">
        <v>55</v>
      </c>
      <c r="F118" s="301">
        <v>34449144.609999999</v>
      </c>
      <c r="G118" s="219" t="s">
        <v>56</v>
      </c>
      <c r="H118" s="186">
        <v>41344</v>
      </c>
      <c r="I118" s="187" t="s">
        <v>71</v>
      </c>
      <c r="J118" s="210">
        <v>58948.370999999999</v>
      </c>
      <c r="K118" s="133"/>
      <c r="M118" s="134"/>
    </row>
    <row r="119" spans="1:13" s="132" customFormat="1" x14ac:dyDescent="0.15">
      <c r="A119" s="133" t="s">
        <v>1517</v>
      </c>
      <c r="B119" s="131" t="s">
        <v>1542</v>
      </c>
      <c r="C119" s="299"/>
      <c r="D119" s="299"/>
      <c r="E119" s="183" t="s">
        <v>55</v>
      </c>
      <c r="F119" s="301">
        <v>138133328.49000001</v>
      </c>
      <c r="G119" s="219" t="s">
        <v>56</v>
      </c>
      <c r="H119" s="186">
        <v>41351</v>
      </c>
      <c r="I119" s="187" t="s">
        <v>71</v>
      </c>
      <c r="J119" s="210">
        <v>180730.087</v>
      </c>
      <c r="K119" s="133"/>
      <c r="M119" s="134"/>
    </row>
    <row r="120" spans="1:13" s="132" customFormat="1" x14ac:dyDescent="0.15">
      <c r="A120" s="297" t="s">
        <v>1521</v>
      </c>
      <c r="B120" s="131" t="s">
        <v>1543</v>
      </c>
      <c r="D120" s="133"/>
      <c r="E120" s="183" t="s">
        <v>55</v>
      </c>
      <c r="F120" s="301">
        <v>95586666.870000005</v>
      </c>
      <c r="G120" s="219" t="s">
        <v>56</v>
      </c>
      <c r="H120" s="186">
        <v>41359</v>
      </c>
      <c r="I120" s="187" t="s">
        <v>71</v>
      </c>
      <c r="J120" s="210">
        <v>88008.214000000007</v>
      </c>
      <c r="K120" s="133"/>
      <c r="M120" s="134"/>
    </row>
    <row r="121" spans="1:13" s="132" customFormat="1" ht="12" thickBot="1" x14ac:dyDescent="0.2">
      <c r="A121" s="193"/>
      <c r="B121" s="210"/>
      <c r="C121" s="221"/>
      <c r="D121" s="237"/>
      <c r="E121" s="235"/>
      <c r="F121" s="235"/>
      <c r="H121" s="133"/>
      <c r="I121" s="218" t="s">
        <v>106</v>
      </c>
      <c r="J121" s="212">
        <f>SUM(J116:J120)</f>
        <v>650909.75300000014</v>
      </c>
      <c r="K121" s="133"/>
      <c r="M121" s="134"/>
    </row>
    <row r="122" spans="1:13" s="132" customFormat="1" ht="12" thickTop="1" x14ac:dyDescent="0.15">
      <c r="A122" s="193"/>
      <c r="B122" s="210"/>
      <c r="C122" s="221"/>
      <c r="D122" s="237"/>
      <c r="E122" s="235"/>
      <c r="F122" s="235"/>
      <c r="H122" s="133"/>
      <c r="J122" s="205"/>
      <c r="K122" s="133"/>
      <c r="M122" s="134"/>
    </row>
    <row r="123" spans="1:13" s="132" customFormat="1" x14ac:dyDescent="0.15">
      <c r="A123" s="193"/>
      <c r="B123" s="210"/>
      <c r="C123" s="221"/>
      <c r="D123" s="237"/>
      <c r="E123" s="235"/>
      <c r="F123" s="235"/>
      <c r="H123" s="133"/>
      <c r="J123" s="205"/>
      <c r="K123" s="133"/>
      <c r="M123" s="134"/>
    </row>
    <row r="124" spans="1:13" s="132" customFormat="1" x14ac:dyDescent="0.15">
      <c r="A124" s="193"/>
      <c r="B124" s="210"/>
      <c r="C124" s="221"/>
      <c r="D124" s="237"/>
      <c r="E124" s="235"/>
      <c r="F124" s="235"/>
      <c r="H124" s="133"/>
      <c r="J124" s="205"/>
      <c r="K124" s="133"/>
      <c r="M124" s="134"/>
    </row>
    <row r="125" spans="1:13" s="132" customFormat="1" x14ac:dyDescent="0.15">
      <c r="A125" s="133"/>
      <c r="B125" s="133" t="s">
        <v>9</v>
      </c>
      <c r="C125" s="220" t="s">
        <v>729</v>
      </c>
      <c r="D125" s="220" t="s">
        <v>850</v>
      </c>
      <c r="E125" s="133" t="s">
        <v>570</v>
      </c>
      <c r="F125" s="133" t="s">
        <v>571</v>
      </c>
      <c r="G125" s="133" t="s">
        <v>16</v>
      </c>
      <c r="H125" s="134"/>
      <c r="I125" s="134"/>
      <c r="J125" s="205"/>
      <c r="K125" s="133"/>
      <c r="M125" s="134"/>
    </row>
    <row r="126" spans="1:13" s="132" customFormat="1" x14ac:dyDescent="0.15">
      <c r="A126" s="193" t="s">
        <v>1460</v>
      </c>
      <c r="B126" s="210">
        <f>+ROUND(J103,0)</f>
        <v>61866</v>
      </c>
      <c r="C126" s="221">
        <v>25.7226</v>
      </c>
      <c r="D126" s="237">
        <f t="shared" ref="D126:D143" si="10">+B126*C126</f>
        <v>1591354.3716</v>
      </c>
      <c r="E126" s="235">
        <f t="shared" ref="E126:E143" si="11">+D126*0.01</f>
        <v>15913.543716</v>
      </c>
      <c r="F126" s="235">
        <f t="shared" ref="F126:F143" si="12">+E126*0.1</f>
        <v>1591.3543716000001</v>
      </c>
      <c r="G126" s="236">
        <f>SUM(E126:F126)</f>
        <v>17504.898087599999</v>
      </c>
      <c r="H126" s="134"/>
      <c r="I126" s="134"/>
      <c r="J126" s="134"/>
      <c r="K126" s="133"/>
      <c r="M126" s="134"/>
    </row>
    <row r="127" spans="1:13" s="132" customFormat="1" x14ac:dyDescent="0.15">
      <c r="A127" s="193" t="s">
        <v>1461</v>
      </c>
      <c r="B127" s="210">
        <f t="shared" ref="B127:B135" si="13">+ROUND(J104,0)</f>
        <v>146782</v>
      </c>
      <c r="C127" s="221">
        <v>25.3002</v>
      </c>
      <c r="D127" s="237">
        <f t="shared" si="10"/>
        <v>3713613.9564</v>
      </c>
      <c r="E127" s="235">
        <f t="shared" si="11"/>
        <v>37136.139564000005</v>
      </c>
      <c r="F127" s="235">
        <f t="shared" si="12"/>
        <v>3713.6139564000005</v>
      </c>
      <c r="G127" s="236">
        <f t="shared" ref="G127:G137" si="14">SUM(E127:F127)</f>
        <v>40849.753520400001</v>
      </c>
      <c r="H127" s="133"/>
      <c r="J127" s="134"/>
      <c r="K127" s="133"/>
      <c r="M127" s="134"/>
    </row>
    <row r="128" spans="1:13" s="132" customFormat="1" x14ac:dyDescent="0.15">
      <c r="A128" s="133" t="s">
        <v>1512</v>
      </c>
      <c r="B128" s="210">
        <f t="shared" si="13"/>
        <v>387223</v>
      </c>
      <c r="C128" s="221">
        <v>24.811199999999999</v>
      </c>
      <c r="D128" s="237">
        <f t="shared" si="10"/>
        <v>9607467.2975999992</v>
      </c>
      <c r="E128" s="235">
        <f t="shared" si="11"/>
        <v>96074.672975999987</v>
      </c>
      <c r="F128" s="235">
        <f t="shared" si="12"/>
        <v>9607.4672975999983</v>
      </c>
      <c r="G128" s="236">
        <f t="shared" si="14"/>
        <v>105682.14027359999</v>
      </c>
      <c r="H128" s="134"/>
      <c r="I128" s="134"/>
      <c r="J128" s="134"/>
      <c r="K128" s="133"/>
      <c r="M128" s="134"/>
    </row>
    <row r="129" spans="1:15" s="132" customFormat="1" x14ac:dyDescent="0.15">
      <c r="A129" s="193" t="s">
        <v>1515</v>
      </c>
      <c r="B129" s="210">
        <f t="shared" si="13"/>
        <v>318086</v>
      </c>
      <c r="C129" s="221">
        <v>23.8004</v>
      </c>
      <c r="D129" s="237">
        <f t="shared" si="10"/>
        <v>7570574.0344000002</v>
      </c>
      <c r="E129" s="235">
        <f t="shared" si="11"/>
        <v>75705.740344000005</v>
      </c>
      <c r="F129" s="235">
        <f t="shared" si="12"/>
        <v>7570.5740344000005</v>
      </c>
      <c r="G129" s="236">
        <f t="shared" si="14"/>
        <v>83276.314378400013</v>
      </c>
      <c r="H129" s="133"/>
      <c r="J129" s="134"/>
      <c r="K129" s="133"/>
      <c r="M129" s="134"/>
    </row>
    <row r="130" spans="1:15" s="132" customFormat="1" x14ac:dyDescent="0.15">
      <c r="A130" s="193" t="s">
        <v>1516</v>
      </c>
      <c r="B130" s="210">
        <f t="shared" si="13"/>
        <v>217021</v>
      </c>
      <c r="C130" s="221">
        <v>23.8004</v>
      </c>
      <c r="D130" s="237">
        <f t="shared" si="10"/>
        <v>5165186.6084000003</v>
      </c>
      <c r="E130" s="235">
        <f t="shared" si="11"/>
        <v>51651.866084000001</v>
      </c>
      <c r="F130" s="235">
        <f t="shared" si="12"/>
        <v>5165.1866084000003</v>
      </c>
      <c r="G130" s="236">
        <f t="shared" si="14"/>
        <v>56817.052692400001</v>
      </c>
      <c r="H130" s="133"/>
      <c r="J130" s="134"/>
      <c r="K130" s="133"/>
      <c r="M130" s="134"/>
    </row>
    <row r="131" spans="1:15" s="132" customFormat="1" x14ac:dyDescent="0.15">
      <c r="A131" s="133" t="s">
        <v>1518</v>
      </c>
      <c r="B131" s="210">
        <f t="shared" si="13"/>
        <v>403664</v>
      </c>
      <c r="C131" s="221">
        <v>23.656099999999999</v>
      </c>
      <c r="D131" s="237">
        <f t="shared" si="10"/>
        <v>9549115.9503999986</v>
      </c>
      <c r="E131" s="235">
        <f t="shared" si="11"/>
        <v>95491.159503999981</v>
      </c>
      <c r="F131" s="235">
        <f t="shared" si="12"/>
        <v>9549.1159503999988</v>
      </c>
      <c r="G131" s="236">
        <f t="shared" si="14"/>
        <v>105040.27545439998</v>
      </c>
      <c r="H131" s="133"/>
      <c r="J131" s="134"/>
      <c r="K131" s="133"/>
      <c r="M131" s="134"/>
    </row>
    <row r="132" spans="1:15" s="132" customFormat="1" x14ac:dyDescent="0.15">
      <c r="A132" s="133" t="s">
        <v>1519</v>
      </c>
      <c r="B132" s="210">
        <f t="shared" si="13"/>
        <v>271537</v>
      </c>
      <c r="C132" s="221">
        <v>23.391400000000001</v>
      </c>
      <c r="D132" s="237">
        <f t="shared" si="10"/>
        <v>6351630.5817999998</v>
      </c>
      <c r="E132" s="235">
        <f t="shared" si="11"/>
        <v>63516.305818000001</v>
      </c>
      <c r="F132" s="235">
        <f t="shared" si="12"/>
        <v>6351.6305818000001</v>
      </c>
      <c r="G132" s="236">
        <f t="shared" si="14"/>
        <v>69867.936399800004</v>
      </c>
      <c r="H132" s="133"/>
      <c r="J132" s="134"/>
      <c r="K132" s="133"/>
      <c r="M132" s="134"/>
    </row>
    <row r="133" spans="1:15" s="132" customFormat="1" x14ac:dyDescent="0.15">
      <c r="A133" s="133" t="s">
        <v>1520</v>
      </c>
      <c r="B133" s="210">
        <f t="shared" si="13"/>
        <v>77830</v>
      </c>
      <c r="C133" s="221">
        <v>23.214600000000001</v>
      </c>
      <c r="D133" s="237">
        <f t="shared" si="10"/>
        <v>1806792.318</v>
      </c>
      <c r="E133" s="235">
        <f t="shared" si="11"/>
        <v>18067.923180000002</v>
      </c>
      <c r="F133" s="235">
        <f t="shared" si="12"/>
        <v>1806.7923180000003</v>
      </c>
      <c r="G133" s="236">
        <f t="shared" si="14"/>
        <v>19874.715498000001</v>
      </c>
      <c r="H133" s="244"/>
      <c r="J133" s="134"/>
      <c r="K133" s="133"/>
      <c r="M133" s="134"/>
    </row>
    <row r="134" spans="1:15" s="132" customFormat="1" x14ac:dyDescent="0.15">
      <c r="A134" s="133" t="s">
        <v>1522</v>
      </c>
      <c r="B134" s="210">
        <f t="shared" si="13"/>
        <v>38915</v>
      </c>
      <c r="C134" s="221">
        <v>23.159199999999998</v>
      </c>
      <c r="D134" s="237">
        <f t="shared" si="10"/>
        <v>901240.26799999992</v>
      </c>
      <c r="E134" s="235">
        <f t="shared" si="11"/>
        <v>9012.4026799999992</v>
      </c>
      <c r="F134" s="235">
        <f t="shared" si="12"/>
        <v>901.24026800000001</v>
      </c>
      <c r="G134" s="236">
        <f t="shared" si="14"/>
        <v>9913.6429479999988</v>
      </c>
      <c r="H134" s="244"/>
      <c r="J134" s="134"/>
      <c r="K134" s="133"/>
      <c r="M134" s="134"/>
    </row>
    <row r="135" spans="1:15" s="132" customFormat="1" x14ac:dyDescent="0.15">
      <c r="A135" s="133" t="s">
        <v>1523</v>
      </c>
      <c r="B135" s="210">
        <f t="shared" si="13"/>
        <v>215696</v>
      </c>
      <c r="C135" s="221">
        <v>22.814499999999999</v>
      </c>
      <c r="D135" s="237">
        <f t="shared" si="10"/>
        <v>4920996.392</v>
      </c>
      <c r="E135" s="235">
        <f t="shared" si="11"/>
        <v>49209.963920000002</v>
      </c>
      <c r="F135" s="235">
        <f t="shared" si="12"/>
        <v>4920.9963920000009</v>
      </c>
      <c r="G135" s="236">
        <f t="shared" si="14"/>
        <v>54130.960312000003</v>
      </c>
      <c r="H135" s="244"/>
      <c r="J135" s="134"/>
      <c r="K135" s="133"/>
      <c r="M135" s="134"/>
    </row>
    <row r="136" spans="1:15" s="132" customFormat="1" ht="12" thickBot="1" x14ac:dyDescent="0.2">
      <c r="A136" s="133"/>
      <c r="B136" s="211">
        <f>SUM(B126:B135)</f>
        <v>2138620</v>
      </c>
      <c r="C136" s="221"/>
      <c r="D136" s="237"/>
      <c r="E136" s="242">
        <f>SUM(E126:E135)</f>
        <v>511779.71778599994</v>
      </c>
      <c r="F136" s="242">
        <f t="shared" ref="F136:G136" si="15">SUM(F126:F135)</f>
        <v>51177.971778599996</v>
      </c>
      <c r="G136" s="242">
        <f t="shared" si="15"/>
        <v>562957.68956459989</v>
      </c>
      <c r="H136" s="244"/>
      <c r="J136" s="134"/>
      <c r="K136" s="133"/>
      <c r="M136" s="134"/>
    </row>
    <row r="137" spans="1:15" s="132" customFormat="1" ht="12" thickTop="1" x14ac:dyDescent="0.15">
      <c r="A137" s="133" t="s">
        <v>1462</v>
      </c>
      <c r="B137" s="210">
        <f>+ROUND(J114,0)</f>
        <v>115677</v>
      </c>
      <c r="C137" s="221">
        <v>25.112100000000002</v>
      </c>
      <c r="D137" s="237">
        <f t="shared" si="10"/>
        <v>2904892.3917</v>
      </c>
      <c r="E137" s="235">
        <f t="shared" si="11"/>
        <v>29048.923917</v>
      </c>
      <c r="F137" s="235">
        <f t="shared" si="12"/>
        <v>2904.8923917000002</v>
      </c>
      <c r="G137" s="236">
        <f t="shared" si="14"/>
        <v>31953.816308699999</v>
      </c>
      <c r="H137" s="244"/>
      <c r="J137" s="134"/>
      <c r="K137" s="133"/>
      <c r="M137" s="134"/>
    </row>
    <row r="138" spans="1:15" s="133" customFormat="1" ht="12" thickBot="1" x14ac:dyDescent="0.2">
      <c r="B138" s="211">
        <f>SUM(B137)</f>
        <v>115677</v>
      </c>
      <c r="C138" s="221"/>
      <c r="D138" s="237"/>
      <c r="E138" s="242">
        <f>SUM(E137)</f>
        <v>29048.923917</v>
      </c>
      <c r="F138" s="242">
        <f t="shared" ref="F138:G138" si="16">SUM(F137)</f>
        <v>2904.8923917000002</v>
      </c>
      <c r="G138" s="242">
        <f t="shared" si="16"/>
        <v>31953.816308699999</v>
      </c>
      <c r="H138" s="244"/>
      <c r="I138" s="132"/>
      <c r="J138" s="134"/>
      <c r="L138" s="132"/>
      <c r="M138" s="134"/>
      <c r="N138" s="132"/>
      <c r="O138" s="132"/>
    </row>
    <row r="139" spans="1:15" s="133" customFormat="1" ht="12" thickTop="1" x14ac:dyDescent="0.15">
      <c r="A139" s="133" t="s">
        <v>1481</v>
      </c>
      <c r="B139" s="210">
        <f t="shared" ref="B139:B143" si="17">+ROUND(J116,0)</f>
        <v>203336</v>
      </c>
      <c r="C139" s="221">
        <v>25.268699999999999</v>
      </c>
      <c r="D139" s="237">
        <f t="shared" si="10"/>
        <v>5138036.3832</v>
      </c>
      <c r="E139" s="235">
        <f t="shared" si="11"/>
        <v>51380.363832000003</v>
      </c>
      <c r="F139" s="235">
        <f t="shared" si="12"/>
        <v>5138.0363832000003</v>
      </c>
      <c r="G139" s="236">
        <f t="shared" ref="G139:G143" si="18">SUM(E139:F139)</f>
        <v>56518.400215200003</v>
      </c>
      <c r="I139" s="132"/>
      <c r="J139" s="134"/>
      <c r="L139" s="132"/>
      <c r="M139" s="134"/>
      <c r="N139" s="132"/>
      <c r="O139" s="132"/>
    </row>
    <row r="140" spans="1:15" s="133" customFormat="1" x14ac:dyDescent="0.15">
      <c r="A140" s="133" t="s">
        <v>1514</v>
      </c>
      <c r="B140" s="210">
        <f t="shared" si="17"/>
        <v>119887</v>
      </c>
      <c r="C140" s="221">
        <v>24.396999999999998</v>
      </c>
      <c r="D140" s="237">
        <f t="shared" si="10"/>
        <v>2924883.139</v>
      </c>
      <c r="E140" s="235">
        <f t="shared" si="11"/>
        <v>29248.831389999999</v>
      </c>
      <c r="F140" s="235">
        <f t="shared" si="12"/>
        <v>2924.883139</v>
      </c>
      <c r="G140" s="236">
        <f t="shared" si="18"/>
        <v>32173.714529000001</v>
      </c>
      <c r="I140" s="132"/>
      <c r="J140" s="134"/>
      <c r="L140" s="132"/>
      <c r="M140" s="134"/>
      <c r="N140" s="132"/>
      <c r="O140" s="132"/>
    </row>
    <row r="141" spans="1:15" s="133" customFormat="1" x14ac:dyDescent="0.15">
      <c r="A141" s="133" t="s">
        <v>1528</v>
      </c>
      <c r="B141" s="210">
        <f t="shared" si="17"/>
        <v>58948</v>
      </c>
      <c r="C141" s="221">
        <v>24.063199999999998</v>
      </c>
      <c r="D141" s="237">
        <f t="shared" si="10"/>
        <v>1418477.5135999999</v>
      </c>
      <c r="E141" s="235">
        <f t="shared" si="11"/>
        <v>14184.775136</v>
      </c>
      <c r="F141" s="235">
        <f t="shared" si="12"/>
        <v>1418.4775136000001</v>
      </c>
      <c r="G141" s="236">
        <f t="shared" si="18"/>
        <v>15603.252649600001</v>
      </c>
      <c r="I141" s="132"/>
      <c r="J141" s="134"/>
      <c r="L141" s="132"/>
      <c r="M141" s="134"/>
      <c r="N141" s="132"/>
      <c r="O141" s="132"/>
    </row>
    <row r="142" spans="1:15" s="133" customFormat="1" x14ac:dyDescent="0.15">
      <c r="A142" s="133" t="s">
        <v>1517</v>
      </c>
      <c r="B142" s="210">
        <f t="shared" si="17"/>
        <v>180730</v>
      </c>
      <c r="C142" s="221">
        <v>23.8932</v>
      </c>
      <c r="D142" s="237">
        <f t="shared" si="10"/>
        <v>4318218.0360000003</v>
      </c>
      <c r="E142" s="235">
        <f t="shared" si="11"/>
        <v>43182.180360000006</v>
      </c>
      <c r="F142" s="235">
        <f t="shared" si="12"/>
        <v>4318.2180360000011</v>
      </c>
      <c r="G142" s="236">
        <f t="shared" si="18"/>
        <v>47500.398396000004</v>
      </c>
      <c r="I142" s="132"/>
      <c r="J142" s="134"/>
      <c r="L142" s="132"/>
      <c r="M142" s="134"/>
      <c r="N142" s="132"/>
      <c r="O142" s="132"/>
    </row>
    <row r="143" spans="1:15" s="133" customFormat="1" x14ac:dyDescent="0.15">
      <c r="A143" s="297" t="s">
        <v>1521</v>
      </c>
      <c r="B143" s="210">
        <f t="shared" si="17"/>
        <v>88008</v>
      </c>
      <c r="C143" s="221">
        <v>23.3795</v>
      </c>
      <c r="D143" s="237">
        <f t="shared" si="10"/>
        <v>2057583.0360000001</v>
      </c>
      <c r="E143" s="235">
        <f t="shared" si="11"/>
        <v>20575.83036</v>
      </c>
      <c r="F143" s="235">
        <f t="shared" si="12"/>
        <v>2057.583036</v>
      </c>
      <c r="G143" s="236">
        <f t="shared" si="18"/>
        <v>22633.413396</v>
      </c>
      <c r="I143" s="132"/>
      <c r="J143" s="134"/>
      <c r="L143" s="132"/>
      <c r="M143" s="134"/>
      <c r="N143" s="132"/>
      <c r="O143" s="132"/>
    </row>
    <row r="144" spans="1:15" ht="12" thickBot="1" x14ac:dyDescent="0.2">
      <c r="B144" s="211">
        <f>SUM(B139:B143)</f>
        <v>650909</v>
      </c>
      <c r="E144" s="234">
        <f>SUM(E139:E143)</f>
        <v>158571.98107800001</v>
      </c>
      <c r="F144" s="234">
        <f t="shared" ref="F144:G144" si="19">SUM(F139:F143)</f>
        <v>15857.198107800003</v>
      </c>
      <c r="G144" s="234">
        <f t="shared" si="19"/>
        <v>174429.17918580002</v>
      </c>
    </row>
    <row r="145" spans="2:2" ht="12" thickTop="1" x14ac:dyDescent="0.15">
      <c r="B145" s="231"/>
    </row>
  </sheetData>
  <mergeCells count="8">
    <mergeCell ref="B101:D101"/>
    <mergeCell ref="B102:D102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861"/>
  <sheetViews>
    <sheetView workbookViewId="0">
      <selection activeCell="L436" sqref="L436:P726"/>
    </sheetView>
  </sheetViews>
  <sheetFormatPr defaultRowHeight="21.75" x14ac:dyDescent="0.5"/>
  <cols>
    <col min="1" max="1" width="6.85546875" style="435" customWidth="1"/>
    <col min="2" max="2" width="10.85546875" style="435" customWidth="1"/>
    <col min="3" max="3" width="14.140625" style="435" hidden="1" customWidth="1"/>
    <col min="4" max="4" width="14.140625" style="435" customWidth="1"/>
    <col min="5" max="5" width="64" style="435" hidden="1" customWidth="1"/>
    <col min="6" max="6" width="3.5703125" style="435" hidden="1" customWidth="1"/>
    <col min="7" max="7" width="30.7109375" style="435" hidden="1" customWidth="1"/>
    <col min="8" max="8" width="21.140625" style="435" hidden="1" customWidth="1"/>
    <col min="9" max="9" width="11.7109375" style="435" hidden="1" customWidth="1"/>
    <col min="10" max="10" width="11.42578125" style="435" hidden="1" customWidth="1"/>
    <col min="11" max="11" width="3.28515625" style="435" hidden="1" customWidth="1"/>
    <col min="12" max="12" width="16.5703125" style="435" bestFit="1" customWidth="1"/>
    <col min="13" max="13" width="16.28515625" style="453" bestFit="1" customWidth="1"/>
    <col min="14" max="15" width="16.28515625" style="453" customWidth="1"/>
    <col min="16" max="16" width="14.85546875" style="453" bestFit="1" customWidth="1"/>
    <col min="17" max="16384" width="9.140625" style="436"/>
  </cols>
  <sheetData>
    <row r="1" spans="1:16" x14ac:dyDescent="0.5">
      <c r="A1" s="434" t="s">
        <v>3530</v>
      </c>
    </row>
    <row r="2" spans="1:16" x14ac:dyDescent="0.5">
      <c r="A2" s="434" t="s">
        <v>3259</v>
      </c>
      <c r="E2" s="435" t="s">
        <v>2537</v>
      </c>
      <c r="G2" s="435" t="s">
        <v>2538</v>
      </c>
    </row>
    <row r="3" spans="1:16" ht="12.75" x14ac:dyDescent="0.2">
      <c r="A3" s="448" t="s">
        <v>2539</v>
      </c>
      <c r="B3" s="437" t="s">
        <v>8</v>
      </c>
      <c r="C3" s="448" t="s">
        <v>2540</v>
      </c>
      <c r="D3" s="448" t="s">
        <v>2541</v>
      </c>
      <c r="E3" s="448" t="s">
        <v>2542</v>
      </c>
      <c r="F3" s="448" t="s">
        <v>2543</v>
      </c>
      <c r="G3" s="448" t="s">
        <v>2544</v>
      </c>
      <c r="H3" s="448" t="s">
        <v>2545</v>
      </c>
      <c r="I3" s="448" t="s">
        <v>2546</v>
      </c>
      <c r="J3" s="448" t="s">
        <v>2547</v>
      </c>
      <c r="K3" s="448" t="s">
        <v>2548</v>
      </c>
      <c r="L3" s="448" t="s">
        <v>2549</v>
      </c>
      <c r="M3" s="454" t="s">
        <v>2550</v>
      </c>
      <c r="N3" s="454"/>
      <c r="O3" s="454"/>
      <c r="P3" s="455" t="s">
        <v>2551</v>
      </c>
    </row>
    <row r="4" spans="1:16" hidden="1" x14ac:dyDescent="0.5">
      <c r="A4" s="438">
        <v>1</v>
      </c>
      <c r="B4" s="438" t="s">
        <v>3531</v>
      </c>
      <c r="C4" s="438" t="s">
        <v>3488</v>
      </c>
      <c r="D4" s="438" t="s">
        <v>3532</v>
      </c>
      <c r="E4" s="438" t="s">
        <v>3266</v>
      </c>
      <c r="F4" s="438" t="s">
        <v>2554</v>
      </c>
      <c r="G4" s="438" t="s">
        <v>3267</v>
      </c>
      <c r="H4" s="438" t="s">
        <v>3299</v>
      </c>
      <c r="I4" s="438" t="s">
        <v>2558</v>
      </c>
      <c r="J4" s="438" t="s">
        <v>2558</v>
      </c>
      <c r="K4" s="438" t="s">
        <v>2556</v>
      </c>
      <c r="L4" s="438" t="s">
        <v>2557</v>
      </c>
      <c r="M4" s="456">
        <v>12934</v>
      </c>
      <c r="N4" s="456"/>
      <c r="O4" s="456"/>
      <c r="P4" s="456">
        <v>12928.755999999999</v>
      </c>
    </row>
    <row r="5" spans="1:16" hidden="1" x14ac:dyDescent="0.5">
      <c r="A5" s="438">
        <v>2</v>
      </c>
      <c r="B5" s="438" t="s">
        <v>3531</v>
      </c>
      <c r="C5" s="438" t="s">
        <v>3488</v>
      </c>
      <c r="D5" s="438" t="s">
        <v>3533</v>
      </c>
      <c r="E5" s="438" t="s">
        <v>2553</v>
      </c>
      <c r="F5" s="438" t="s">
        <v>2554</v>
      </c>
      <c r="G5" s="438" t="s">
        <v>3278</v>
      </c>
      <c r="H5" s="438" t="s">
        <v>3297</v>
      </c>
      <c r="I5" s="438" t="s">
        <v>3279</v>
      </c>
      <c r="J5" s="438" t="s">
        <v>3279</v>
      </c>
      <c r="K5" s="438" t="s">
        <v>2556</v>
      </c>
      <c r="L5" s="438" t="s">
        <v>2557</v>
      </c>
      <c r="M5" s="456">
        <v>39629</v>
      </c>
      <c r="N5" s="456"/>
      <c r="O5" s="456"/>
      <c r="P5" s="456">
        <v>39612.932999999997</v>
      </c>
    </row>
    <row r="6" spans="1:16" hidden="1" x14ac:dyDescent="0.5">
      <c r="A6" s="438">
        <v>3</v>
      </c>
      <c r="B6" s="438" t="s">
        <v>3531</v>
      </c>
      <c r="C6" s="438" t="s">
        <v>3488</v>
      </c>
      <c r="D6" s="438" t="s">
        <v>3534</v>
      </c>
      <c r="E6" s="438" t="s">
        <v>2566</v>
      </c>
      <c r="F6" s="438" t="s">
        <v>2559</v>
      </c>
      <c r="G6" s="438" t="s">
        <v>3282</v>
      </c>
      <c r="H6" s="438" t="s">
        <v>3304</v>
      </c>
      <c r="I6" s="438" t="s">
        <v>3284</v>
      </c>
      <c r="J6" s="438" t="s">
        <v>3284</v>
      </c>
      <c r="K6" s="438" t="s">
        <v>2556</v>
      </c>
      <c r="L6" s="438" t="s">
        <v>2557</v>
      </c>
      <c r="M6" s="456">
        <v>18399</v>
      </c>
      <c r="N6" s="456"/>
      <c r="O6" s="456"/>
      <c r="P6" s="456">
        <v>18391.54</v>
      </c>
    </row>
    <row r="7" spans="1:16" hidden="1" x14ac:dyDescent="0.5">
      <c r="A7" s="438">
        <v>4</v>
      </c>
      <c r="B7" s="438" t="s">
        <v>3531</v>
      </c>
      <c r="C7" s="438" t="s">
        <v>3488</v>
      </c>
      <c r="D7" s="438" t="s">
        <v>3535</v>
      </c>
      <c r="E7" s="438" t="s">
        <v>2553</v>
      </c>
      <c r="F7" s="438" t="s">
        <v>2554</v>
      </c>
      <c r="G7" s="438" t="s">
        <v>3285</v>
      </c>
      <c r="H7" s="438" t="s">
        <v>3391</v>
      </c>
      <c r="I7" s="438" t="s">
        <v>2555</v>
      </c>
      <c r="J7" s="438" t="s">
        <v>2555</v>
      </c>
      <c r="K7" s="438" t="s">
        <v>2556</v>
      </c>
      <c r="L7" s="438" t="s">
        <v>2557</v>
      </c>
      <c r="M7" s="456">
        <v>11576</v>
      </c>
      <c r="N7" s="456"/>
      <c r="O7" s="456"/>
      <c r="P7" s="456">
        <v>11571.307000000001</v>
      </c>
    </row>
    <row r="8" spans="1:16" hidden="1" x14ac:dyDescent="0.5">
      <c r="A8" s="438">
        <v>5</v>
      </c>
      <c r="B8" s="438" t="s">
        <v>3531</v>
      </c>
      <c r="C8" s="438" t="s">
        <v>3488</v>
      </c>
      <c r="D8" s="438" t="s">
        <v>3536</v>
      </c>
      <c r="E8" s="438" t="s">
        <v>2568</v>
      </c>
      <c r="F8" s="438" t="s">
        <v>2559</v>
      </c>
      <c r="G8" s="438" t="s">
        <v>3286</v>
      </c>
      <c r="H8" s="438" t="s">
        <v>2616</v>
      </c>
      <c r="I8" s="438" t="s">
        <v>2577</v>
      </c>
      <c r="J8" s="438" t="s">
        <v>2691</v>
      </c>
      <c r="K8" s="438" t="s">
        <v>2556</v>
      </c>
      <c r="L8" s="438" t="s">
        <v>2557</v>
      </c>
      <c r="M8" s="456">
        <v>15816</v>
      </c>
      <c r="N8" s="456"/>
      <c r="O8" s="456"/>
      <c r="P8" s="456">
        <v>15809.588</v>
      </c>
    </row>
    <row r="9" spans="1:16" hidden="1" x14ac:dyDescent="0.5">
      <c r="A9" s="438">
        <v>6</v>
      </c>
      <c r="B9" s="438" t="s">
        <v>3531</v>
      </c>
      <c r="C9" s="438" t="s">
        <v>3488</v>
      </c>
      <c r="D9" s="438" t="s">
        <v>3537</v>
      </c>
      <c r="E9" s="438" t="s">
        <v>2760</v>
      </c>
      <c r="F9" s="438" t="s">
        <v>2600</v>
      </c>
      <c r="G9" s="438" t="s">
        <v>3538</v>
      </c>
      <c r="H9" s="438" t="s">
        <v>2791</v>
      </c>
      <c r="I9" s="438" t="s">
        <v>2757</v>
      </c>
      <c r="J9" s="438" t="s">
        <v>3539</v>
      </c>
      <c r="K9" s="438" t="s">
        <v>2556</v>
      </c>
      <c r="L9" s="438" t="s">
        <v>2557</v>
      </c>
      <c r="M9" s="456">
        <v>58737</v>
      </c>
      <c r="N9" s="456"/>
      <c r="O9" s="456"/>
      <c r="P9" s="456">
        <v>58689.372000000003</v>
      </c>
    </row>
    <row r="10" spans="1:16" hidden="1" x14ac:dyDescent="0.5">
      <c r="A10" s="438">
        <v>7</v>
      </c>
      <c r="B10" s="438" t="s">
        <v>3531</v>
      </c>
      <c r="C10" s="438" t="s">
        <v>3488</v>
      </c>
      <c r="D10" s="438" t="s">
        <v>3540</v>
      </c>
      <c r="E10" s="438" t="s">
        <v>3497</v>
      </c>
      <c r="F10" s="438" t="s">
        <v>2554</v>
      </c>
      <c r="G10" s="438" t="s">
        <v>2612</v>
      </c>
      <c r="H10" s="438" t="s">
        <v>3541</v>
      </c>
      <c r="I10" s="438" t="s">
        <v>2889</v>
      </c>
      <c r="J10" s="438" t="s">
        <v>3498</v>
      </c>
      <c r="K10" s="438" t="s">
        <v>2556</v>
      </c>
      <c r="L10" s="438" t="s">
        <v>2557</v>
      </c>
      <c r="M10" s="456">
        <v>361</v>
      </c>
      <c r="N10" s="456"/>
      <c r="O10" s="456"/>
      <c r="P10" s="456">
        <v>360.70699999999999</v>
      </c>
    </row>
    <row r="11" spans="1:16" hidden="1" x14ac:dyDescent="0.5">
      <c r="A11" s="438">
        <v>8</v>
      </c>
      <c r="B11" s="438" t="s">
        <v>3531</v>
      </c>
      <c r="C11" s="438" t="s">
        <v>3488</v>
      </c>
      <c r="D11" s="438" t="s">
        <v>3542</v>
      </c>
      <c r="E11" s="438" t="s">
        <v>2568</v>
      </c>
      <c r="F11" s="438" t="s">
        <v>2559</v>
      </c>
      <c r="G11" s="438" t="s">
        <v>3287</v>
      </c>
      <c r="H11" s="438" t="s">
        <v>3476</v>
      </c>
      <c r="I11" s="438" t="s">
        <v>2691</v>
      </c>
      <c r="J11" s="438" t="s">
        <v>3273</v>
      </c>
      <c r="K11" s="438" t="s">
        <v>2556</v>
      </c>
      <c r="L11" s="438" t="s">
        <v>2557</v>
      </c>
      <c r="M11" s="456">
        <v>12437</v>
      </c>
      <c r="N11" s="456"/>
      <c r="O11" s="456"/>
      <c r="P11" s="456">
        <v>12426.915000000001</v>
      </c>
    </row>
    <row r="12" spans="1:16" hidden="1" x14ac:dyDescent="0.5">
      <c r="A12" s="438">
        <v>9</v>
      </c>
      <c r="B12" s="438" t="s">
        <v>3531</v>
      </c>
      <c r="C12" s="438" t="s">
        <v>3488</v>
      </c>
      <c r="D12" s="438" t="s">
        <v>3543</v>
      </c>
      <c r="E12" s="438" t="s">
        <v>2560</v>
      </c>
      <c r="F12" s="438" t="s">
        <v>2554</v>
      </c>
      <c r="G12" s="438" t="s">
        <v>2561</v>
      </c>
      <c r="H12" s="438" t="s">
        <v>3489</v>
      </c>
      <c r="I12" s="438" t="s">
        <v>2562</v>
      </c>
      <c r="J12" s="438" t="s">
        <v>2563</v>
      </c>
      <c r="K12" s="438" t="s">
        <v>2556</v>
      </c>
      <c r="L12" s="438" t="s">
        <v>2557</v>
      </c>
      <c r="M12" s="456">
        <v>2790</v>
      </c>
      <c r="N12" s="456"/>
      <c r="O12" s="456"/>
      <c r="P12" s="456">
        <v>2787.7379999999998</v>
      </c>
    </row>
    <row r="13" spans="1:16" hidden="1" x14ac:dyDescent="0.5">
      <c r="A13" s="438">
        <v>10</v>
      </c>
      <c r="B13" s="438" t="s">
        <v>3531</v>
      </c>
      <c r="C13" s="438" t="s">
        <v>3488</v>
      </c>
      <c r="D13" s="438" t="s">
        <v>3544</v>
      </c>
      <c r="E13" s="438" t="s">
        <v>2553</v>
      </c>
      <c r="F13" s="438" t="s">
        <v>2559</v>
      </c>
      <c r="G13" s="438" t="s">
        <v>3261</v>
      </c>
      <c r="H13" s="438" t="s">
        <v>3301</v>
      </c>
      <c r="I13" s="438" t="s">
        <v>2558</v>
      </c>
      <c r="J13" s="438" t="s">
        <v>2558</v>
      </c>
      <c r="K13" s="438" t="s">
        <v>2556</v>
      </c>
      <c r="L13" s="438" t="s">
        <v>2557</v>
      </c>
      <c r="M13" s="456">
        <v>11719</v>
      </c>
      <c r="N13" s="456"/>
      <c r="O13" s="456"/>
      <c r="P13" s="456">
        <v>11709.498</v>
      </c>
    </row>
    <row r="14" spans="1:16" hidden="1" x14ac:dyDescent="0.5">
      <c r="A14" s="438">
        <v>11</v>
      </c>
      <c r="B14" s="438" t="s">
        <v>3545</v>
      </c>
      <c r="C14" s="438" t="s">
        <v>3488</v>
      </c>
      <c r="D14" s="438" t="s">
        <v>3546</v>
      </c>
      <c r="E14" s="438" t="s">
        <v>3266</v>
      </c>
      <c r="F14" s="438" t="s">
        <v>2554</v>
      </c>
      <c r="G14" s="438" t="s">
        <v>3267</v>
      </c>
      <c r="H14" s="438" t="s">
        <v>3462</v>
      </c>
      <c r="I14" s="438" t="s">
        <v>2558</v>
      </c>
      <c r="J14" s="438" t="s">
        <v>2558</v>
      </c>
      <c r="K14" s="438" t="s">
        <v>2556</v>
      </c>
      <c r="L14" s="438" t="s">
        <v>2557</v>
      </c>
      <c r="M14" s="456">
        <v>12419</v>
      </c>
      <c r="N14" s="456"/>
      <c r="O14" s="456"/>
      <c r="P14" s="456">
        <v>12420.259</v>
      </c>
    </row>
    <row r="15" spans="1:16" hidden="1" x14ac:dyDescent="0.5">
      <c r="A15" s="438">
        <v>12</v>
      </c>
      <c r="B15" s="438" t="s">
        <v>3545</v>
      </c>
      <c r="C15" s="438" t="s">
        <v>3547</v>
      </c>
      <c r="D15" s="438" t="s">
        <v>3548</v>
      </c>
      <c r="E15" s="438" t="s">
        <v>3270</v>
      </c>
      <c r="F15" s="438" t="s">
        <v>2554</v>
      </c>
      <c r="G15" s="438" t="s">
        <v>3271</v>
      </c>
      <c r="H15" s="438" t="s">
        <v>3320</v>
      </c>
      <c r="I15" s="438" t="s">
        <v>2558</v>
      </c>
      <c r="J15" s="438" t="s">
        <v>2558</v>
      </c>
      <c r="K15" s="438" t="s">
        <v>2556</v>
      </c>
      <c r="L15" s="438" t="s">
        <v>2557</v>
      </c>
      <c r="M15" s="456">
        <v>12010</v>
      </c>
      <c r="N15" s="456"/>
      <c r="O15" s="456"/>
      <c r="P15" s="456">
        <v>12011.217000000001</v>
      </c>
    </row>
    <row r="16" spans="1:16" hidden="1" x14ac:dyDescent="0.5">
      <c r="A16" s="438">
        <v>13</v>
      </c>
      <c r="B16" s="438" t="s">
        <v>3545</v>
      </c>
      <c r="C16" s="438" t="s">
        <v>3547</v>
      </c>
      <c r="D16" s="438" t="s">
        <v>3549</v>
      </c>
      <c r="E16" s="438" t="s">
        <v>2553</v>
      </c>
      <c r="F16" s="438" t="s">
        <v>2554</v>
      </c>
      <c r="G16" s="438" t="s">
        <v>3285</v>
      </c>
      <c r="H16" s="438" t="s">
        <v>3464</v>
      </c>
      <c r="I16" s="438" t="s">
        <v>2555</v>
      </c>
      <c r="J16" s="438" t="s">
        <v>2555</v>
      </c>
      <c r="K16" s="438" t="s">
        <v>2556</v>
      </c>
      <c r="L16" s="438" t="s">
        <v>2557</v>
      </c>
      <c r="M16" s="456">
        <v>10108</v>
      </c>
      <c r="N16" s="456"/>
      <c r="O16" s="456"/>
      <c r="P16" s="456">
        <v>10109.025</v>
      </c>
    </row>
    <row r="17" spans="1:16" hidden="1" x14ac:dyDescent="0.5">
      <c r="A17" s="438">
        <v>14</v>
      </c>
      <c r="B17" s="438" t="s">
        <v>3545</v>
      </c>
      <c r="C17" s="438" t="s">
        <v>3547</v>
      </c>
      <c r="D17" s="438" t="s">
        <v>3550</v>
      </c>
      <c r="E17" s="438" t="s">
        <v>2568</v>
      </c>
      <c r="F17" s="438" t="s">
        <v>2559</v>
      </c>
      <c r="G17" s="438" t="s">
        <v>3446</v>
      </c>
      <c r="H17" s="438" t="s">
        <v>2616</v>
      </c>
      <c r="I17" s="438" t="s">
        <v>3273</v>
      </c>
      <c r="J17" s="438" t="s">
        <v>3447</v>
      </c>
      <c r="K17" s="438" t="s">
        <v>2556</v>
      </c>
      <c r="L17" s="438" t="s">
        <v>2557</v>
      </c>
      <c r="M17" s="456">
        <v>12344</v>
      </c>
      <c r="N17" s="456"/>
      <c r="O17" s="456"/>
      <c r="P17" s="456">
        <v>12345.251</v>
      </c>
    </row>
    <row r="18" spans="1:16" hidden="1" x14ac:dyDescent="0.5">
      <c r="A18" s="438">
        <v>15</v>
      </c>
      <c r="B18" s="438" t="s">
        <v>3545</v>
      </c>
      <c r="C18" s="438" t="s">
        <v>3547</v>
      </c>
      <c r="D18" s="438" t="s">
        <v>3551</v>
      </c>
      <c r="E18" s="438" t="s">
        <v>2560</v>
      </c>
      <c r="F18" s="438" t="s">
        <v>2554</v>
      </c>
      <c r="G18" s="438" t="s">
        <v>2561</v>
      </c>
      <c r="H18" s="438" t="s">
        <v>3489</v>
      </c>
      <c r="I18" s="438" t="s">
        <v>2562</v>
      </c>
      <c r="J18" s="438" t="s">
        <v>2563</v>
      </c>
      <c r="K18" s="438" t="s">
        <v>2556</v>
      </c>
      <c r="L18" s="438" t="s">
        <v>2557</v>
      </c>
      <c r="M18" s="456">
        <v>1449</v>
      </c>
      <c r="N18" s="456"/>
      <c r="O18" s="456"/>
      <c r="P18" s="456">
        <v>1448.2660000000001</v>
      </c>
    </row>
    <row r="19" spans="1:16" hidden="1" x14ac:dyDescent="0.5">
      <c r="A19" s="438">
        <v>16</v>
      </c>
      <c r="B19" s="438" t="s">
        <v>3552</v>
      </c>
      <c r="C19" s="438" t="s">
        <v>3547</v>
      </c>
      <c r="D19" s="438" t="s">
        <v>3553</v>
      </c>
      <c r="E19" s="438" t="s">
        <v>3266</v>
      </c>
      <c r="F19" s="438" t="s">
        <v>2554</v>
      </c>
      <c r="G19" s="438" t="s">
        <v>3267</v>
      </c>
      <c r="H19" s="438" t="s">
        <v>3459</v>
      </c>
      <c r="I19" s="438" t="s">
        <v>2558</v>
      </c>
      <c r="J19" s="438" t="s">
        <v>2558</v>
      </c>
      <c r="K19" s="438" t="s">
        <v>2556</v>
      </c>
      <c r="L19" s="438" t="s">
        <v>2557</v>
      </c>
      <c r="M19" s="456">
        <v>12571</v>
      </c>
      <c r="N19" s="456"/>
      <c r="O19" s="456"/>
      <c r="P19" s="456">
        <v>12572.273999999999</v>
      </c>
    </row>
    <row r="20" spans="1:16" hidden="1" x14ac:dyDescent="0.5">
      <c r="A20" s="438">
        <v>17</v>
      </c>
      <c r="B20" s="438" t="s">
        <v>3552</v>
      </c>
      <c r="C20" s="438" t="s">
        <v>3547</v>
      </c>
      <c r="D20" s="438" t="s">
        <v>3554</v>
      </c>
      <c r="E20" s="438" t="s">
        <v>3270</v>
      </c>
      <c r="F20" s="438" t="s">
        <v>2554</v>
      </c>
      <c r="G20" s="438" t="s">
        <v>3271</v>
      </c>
      <c r="H20" s="438" t="s">
        <v>3555</v>
      </c>
      <c r="I20" s="438" t="s">
        <v>2558</v>
      </c>
      <c r="J20" s="438" t="s">
        <v>2558</v>
      </c>
      <c r="K20" s="438" t="s">
        <v>2556</v>
      </c>
      <c r="L20" s="438" t="s">
        <v>2557</v>
      </c>
      <c r="M20" s="456">
        <v>11220</v>
      </c>
      <c r="N20" s="456"/>
      <c r="O20" s="456"/>
      <c r="P20" s="456">
        <v>11221.137000000001</v>
      </c>
    </row>
    <row r="21" spans="1:16" hidden="1" x14ac:dyDescent="0.5">
      <c r="A21" s="438">
        <v>18</v>
      </c>
      <c r="B21" s="438" t="s">
        <v>3552</v>
      </c>
      <c r="C21" s="438" t="s">
        <v>3547</v>
      </c>
      <c r="D21" s="438" t="s">
        <v>3556</v>
      </c>
      <c r="E21" s="438" t="s">
        <v>2566</v>
      </c>
      <c r="F21" s="438" t="s">
        <v>2559</v>
      </c>
      <c r="G21" s="438" t="s">
        <v>3281</v>
      </c>
      <c r="H21" s="438" t="s">
        <v>3317</v>
      </c>
      <c r="I21" s="438" t="s">
        <v>3276</v>
      </c>
      <c r="J21" s="438" t="s">
        <v>3276</v>
      </c>
      <c r="K21" s="438" t="s">
        <v>2556</v>
      </c>
      <c r="L21" s="438" t="s">
        <v>2557</v>
      </c>
      <c r="M21" s="456">
        <v>13808</v>
      </c>
      <c r="N21" s="456"/>
      <c r="O21" s="456"/>
      <c r="P21" s="456">
        <v>13809.4</v>
      </c>
    </row>
    <row r="22" spans="1:16" hidden="1" x14ac:dyDescent="0.5">
      <c r="A22" s="438">
        <v>19</v>
      </c>
      <c r="B22" s="438" t="s">
        <v>3552</v>
      </c>
      <c r="C22" s="438" t="s">
        <v>3547</v>
      </c>
      <c r="D22" s="438" t="s">
        <v>3557</v>
      </c>
      <c r="E22" s="438" t="s">
        <v>2566</v>
      </c>
      <c r="F22" s="438" t="s">
        <v>2559</v>
      </c>
      <c r="G22" s="438" t="s">
        <v>3282</v>
      </c>
      <c r="H22" s="438" t="s">
        <v>3283</v>
      </c>
      <c r="I22" s="438" t="s">
        <v>3284</v>
      </c>
      <c r="J22" s="438" t="s">
        <v>3284</v>
      </c>
      <c r="K22" s="438" t="s">
        <v>2556</v>
      </c>
      <c r="L22" s="438" t="s">
        <v>2557</v>
      </c>
      <c r="M22" s="456">
        <v>17598</v>
      </c>
      <c r="N22" s="456"/>
      <c r="O22" s="456"/>
      <c r="P22" s="456">
        <v>17599.784</v>
      </c>
    </row>
    <row r="23" spans="1:16" hidden="1" x14ac:dyDescent="0.5">
      <c r="A23" s="438">
        <v>20</v>
      </c>
      <c r="B23" s="438" t="s">
        <v>3552</v>
      </c>
      <c r="C23" s="438" t="s">
        <v>3547</v>
      </c>
      <c r="D23" s="438" t="s">
        <v>3558</v>
      </c>
      <c r="E23" s="438" t="s">
        <v>2553</v>
      </c>
      <c r="F23" s="438" t="s">
        <v>2559</v>
      </c>
      <c r="G23" s="438" t="s">
        <v>3268</v>
      </c>
      <c r="H23" s="438" t="s">
        <v>3559</v>
      </c>
      <c r="I23" s="438" t="s">
        <v>2573</v>
      </c>
      <c r="J23" s="438" t="s">
        <v>2573</v>
      </c>
      <c r="K23" s="438" t="s">
        <v>2556</v>
      </c>
      <c r="L23" s="438" t="s">
        <v>2557</v>
      </c>
      <c r="M23" s="456">
        <v>13255</v>
      </c>
      <c r="N23" s="456"/>
      <c r="O23" s="456"/>
      <c r="P23" s="456">
        <v>13256.343999999999</v>
      </c>
    </row>
    <row r="24" spans="1:16" hidden="1" x14ac:dyDescent="0.5">
      <c r="A24" s="438">
        <v>21</v>
      </c>
      <c r="B24" s="438" t="s">
        <v>3552</v>
      </c>
      <c r="C24" s="438" t="s">
        <v>3547</v>
      </c>
      <c r="D24" s="438" t="s">
        <v>3560</v>
      </c>
      <c r="E24" s="438" t="s">
        <v>2568</v>
      </c>
      <c r="F24" s="438" t="s">
        <v>2559</v>
      </c>
      <c r="G24" s="438" t="s">
        <v>3272</v>
      </c>
      <c r="H24" s="438" t="s">
        <v>2616</v>
      </c>
      <c r="I24" s="438" t="s">
        <v>2577</v>
      </c>
      <c r="J24" s="438" t="s">
        <v>2570</v>
      </c>
      <c r="K24" s="438" t="s">
        <v>2556</v>
      </c>
      <c r="L24" s="438" t="s">
        <v>2557</v>
      </c>
      <c r="M24" s="456">
        <v>11701</v>
      </c>
      <c r="N24" s="456"/>
      <c r="O24" s="456"/>
      <c r="P24" s="456">
        <v>11702.186</v>
      </c>
    </row>
    <row r="25" spans="1:16" hidden="1" x14ac:dyDescent="0.5">
      <c r="A25" s="438">
        <v>22</v>
      </c>
      <c r="B25" s="438" t="s">
        <v>3552</v>
      </c>
      <c r="C25" s="438" t="s">
        <v>3547</v>
      </c>
      <c r="D25" s="438" t="s">
        <v>3561</v>
      </c>
      <c r="E25" s="438" t="s">
        <v>2568</v>
      </c>
      <c r="F25" s="438" t="s">
        <v>2559</v>
      </c>
      <c r="G25" s="438" t="s">
        <v>3274</v>
      </c>
      <c r="H25" s="438" t="s">
        <v>2616</v>
      </c>
      <c r="I25" s="438" t="s">
        <v>2570</v>
      </c>
      <c r="J25" s="438" t="s">
        <v>3275</v>
      </c>
      <c r="K25" s="438" t="s">
        <v>2556</v>
      </c>
      <c r="L25" s="438" t="s">
        <v>2557</v>
      </c>
      <c r="M25" s="456">
        <v>14495</v>
      </c>
      <c r="N25" s="456"/>
      <c r="O25" s="456"/>
      <c r="P25" s="456">
        <v>14489.123</v>
      </c>
    </row>
    <row r="26" spans="1:16" hidden="1" x14ac:dyDescent="0.5">
      <c r="A26" s="438">
        <v>23</v>
      </c>
      <c r="B26" s="438" t="s">
        <v>3552</v>
      </c>
      <c r="C26" s="438" t="s">
        <v>3547</v>
      </c>
      <c r="D26" s="438" t="s">
        <v>3562</v>
      </c>
      <c r="E26" s="438" t="s">
        <v>2560</v>
      </c>
      <c r="F26" s="438" t="s">
        <v>2554</v>
      </c>
      <c r="G26" s="438" t="s">
        <v>2561</v>
      </c>
      <c r="H26" s="438" t="s">
        <v>3489</v>
      </c>
      <c r="I26" s="438" t="s">
        <v>2562</v>
      </c>
      <c r="J26" s="438" t="s">
        <v>2563</v>
      </c>
      <c r="K26" s="438" t="s">
        <v>2556</v>
      </c>
      <c r="L26" s="438" t="s">
        <v>2557</v>
      </c>
      <c r="M26" s="456">
        <v>3881</v>
      </c>
      <c r="N26" s="456"/>
      <c r="O26" s="456"/>
      <c r="P26" s="456">
        <v>3881.393</v>
      </c>
    </row>
    <row r="27" spans="1:16" hidden="1" x14ac:dyDescent="0.5">
      <c r="A27" s="438">
        <v>24</v>
      </c>
      <c r="B27" s="438" t="s">
        <v>3552</v>
      </c>
      <c r="C27" s="438" t="s">
        <v>3547</v>
      </c>
      <c r="D27" s="438" t="s">
        <v>3563</v>
      </c>
      <c r="E27" s="438" t="s">
        <v>2553</v>
      </c>
      <c r="F27" s="438" t="s">
        <v>2559</v>
      </c>
      <c r="G27" s="438" t="s">
        <v>3261</v>
      </c>
      <c r="H27" s="438" t="s">
        <v>2564</v>
      </c>
      <c r="I27" s="438" t="s">
        <v>2558</v>
      </c>
      <c r="J27" s="438" t="s">
        <v>2558</v>
      </c>
      <c r="K27" s="438" t="s">
        <v>2556</v>
      </c>
      <c r="L27" s="438" t="s">
        <v>2557</v>
      </c>
      <c r="M27" s="456">
        <v>12277</v>
      </c>
      <c r="N27" s="456"/>
      <c r="O27" s="456"/>
      <c r="P27" s="456">
        <v>12272.022000000001</v>
      </c>
    </row>
    <row r="28" spans="1:16" hidden="1" x14ac:dyDescent="0.5">
      <c r="A28" s="438">
        <v>25</v>
      </c>
      <c r="B28" s="438" t="s">
        <v>3564</v>
      </c>
      <c r="C28" s="438" t="s">
        <v>3547</v>
      </c>
      <c r="D28" s="438" t="s">
        <v>3565</v>
      </c>
      <c r="E28" s="438" t="s">
        <v>3266</v>
      </c>
      <c r="F28" s="438" t="s">
        <v>2554</v>
      </c>
      <c r="G28" s="438" t="s">
        <v>3267</v>
      </c>
      <c r="H28" s="438" t="s">
        <v>3299</v>
      </c>
      <c r="I28" s="438" t="s">
        <v>2558</v>
      </c>
      <c r="J28" s="438" t="s">
        <v>2558</v>
      </c>
      <c r="K28" s="438" t="s">
        <v>2556</v>
      </c>
      <c r="L28" s="438" t="s">
        <v>2557</v>
      </c>
      <c r="M28" s="456">
        <v>13809</v>
      </c>
      <c r="N28" s="456"/>
      <c r="O28" s="456"/>
      <c r="P28" s="456">
        <v>13823.001</v>
      </c>
    </row>
    <row r="29" spans="1:16" hidden="1" x14ac:dyDescent="0.5">
      <c r="A29" s="438">
        <v>26</v>
      </c>
      <c r="B29" s="438" t="s">
        <v>3564</v>
      </c>
      <c r="C29" s="438" t="s">
        <v>3547</v>
      </c>
      <c r="D29" s="438" t="s">
        <v>3566</v>
      </c>
      <c r="E29" s="438" t="s">
        <v>2566</v>
      </c>
      <c r="F29" s="438" t="s">
        <v>2559</v>
      </c>
      <c r="G29" s="438" t="s">
        <v>3263</v>
      </c>
      <c r="H29" s="438" t="s">
        <v>3332</v>
      </c>
      <c r="I29" s="438" t="s">
        <v>3265</v>
      </c>
      <c r="J29" s="438" t="s">
        <v>3265</v>
      </c>
      <c r="K29" s="438" t="s">
        <v>2556</v>
      </c>
      <c r="L29" s="438" t="s">
        <v>2557</v>
      </c>
      <c r="M29" s="456">
        <v>13557</v>
      </c>
      <c r="N29" s="456"/>
      <c r="O29" s="456"/>
      <c r="P29" s="456">
        <v>13570.745000000001</v>
      </c>
    </row>
    <row r="30" spans="1:16" hidden="1" x14ac:dyDescent="0.5">
      <c r="A30" s="438">
        <v>27</v>
      </c>
      <c r="B30" s="438" t="s">
        <v>3564</v>
      </c>
      <c r="C30" s="438" t="s">
        <v>3547</v>
      </c>
      <c r="D30" s="438" t="s">
        <v>3567</v>
      </c>
      <c r="E30" s="438" t="s">
        <v>2566</v>
      </c>
      <c r="F30" s="438" t="s">
        <v>2559</v>
      </c>
      <c r="G30" s="438" t="s">
        <v>3282</v>
      </c>
      <c r="H30" s="438" t="s">
        <v>3283</v>
      </c>
      <c r="I30" s="438" t="s">
        <v>3284</v>
      </c>
      <c r="J30" s="438" t="s">
        <v>3284</v>
      </c>
      <c r="K30" s="438" t="s">
        <v>2556</v>
      </c>
      <c r="L30" s="438" t="s">
        <v>2557</v>
      </c>
      <c r="M30" s="456">
        <v>18326</v>
      </c>
      <c r="N30" s="456"/>
      <c r="O30" s="456"/>
      <c r="P30" s="456">
        <v>18344.580999999998</v>
      </c>
    </row>
    <row r="31" spans="1:16" hidden="1" x14ac:dyDescent="0.5">
      <c r="A31" s="438">
        <v>28</v>
      </c>
      <c r="B31" s="438" t="s">
        <v>3564</v>
      </c>
      <c r="C31" s="438" t="s">
        <v>3547</v>
      </c>
      <c r="D31" s="438" t="s">
        <v>3568</v>
      </c>
      <c r="E31" s="438" t="s">
        <v>2553</v>
      </c>
      <c r="F31" s="438" t="s">
        <v>2554</v>
      </c>
      <c r="G31" s="438" t="s">
        <v>3285</v>
      </c>
      <c r="H31" s="438" t="s">
        <v>3569</v>
      </c>
      <c r="I31" s="438" t="s">
        <v>2555</v>
      </c>
      <c r="J31" s="438" t="s">
        <v>2555</v>
      </c>
      <c r="K31" s="438" t="s">
        <v>2556</v>
      </c>
      <c r="L31" s="438" t="s">
        <v>2557</v>
      </c>
      <c r="M31" s="456">
        <v>11445</v>
      </c>
      <c r="N31" s="456"/>
      <c r="O31" s="456"/>
      <c r="P31" s="456">
        <v>11456.603999999999</v>
      </c>
    </row>
    <row r="32" spans="1:16" hidden="1" x14ac:dyDescent="0.5">
      <c r="A32" s="438">
        <v>29</v>
      </c>
      <c r="B32" s="438" t="s">
        <v>3564</v>
      </c>
      <c r="C32" s="438" t="s">
        <v>3547</v>
      </c>
      <c r="D32" s="438" t="s">
        <v>3570</v>
      </c>
      <c r="E32" s="438" t="s">
        <v>2568</v>
      </c>
      <c r="F32" s="438" t="s">
        <v>2559</v>
      </c>
      <c r="G32" s="438" t="s">
        <v>3286</v>
      </c>
      <c r="H32" s="438" t="s">
        <v>2616</v>
      </c>
      <c r="I32" s="438" t="s">
        <v>3275</v>
      </c>
      <c r="J32" s="438" t="s">
        <v>2691</v>
      </c>
      <c r="K32" s="438" t="s">
        <v>2556</v>
      </c>
      <c r="L32" s="438" t="s">
        <v>2557</v>
      </c>
      <c r="M32" s="456">
        <v>15508</v>
      </c>
      <c r="N32" s="456"/>
      <c r="O32" s="456"/>
      <c r="P32" s="456">
        <v>15523.723</v>
      </c>
    </row>
    <row r="33" spans="1:16" hidden="1" x14ac:dyDescent="0.5">
      <c r="A33" s="438">
        <v>30</v>
      </c>
      <c r="B33" s="438" t="s">
        <v>3564</v>
      </c>
      <c r="C33" s="438" t="s">
        <v>3547</v>
      </c>
      <c r="D33" s="438" t="s">
        <v>3571</v>
      </c>
      <c r="E33" s="438" t="s">
        <v>2568</v>
      </c>
      <c r="F33" s="438" t="s">
        <v>2559</v>
      </c>
      <c r="G33" s="438" t="s">
        <v>3446</v>
      </c>
      <c r="H33" s="438" t="s">
        <v>3476</v>
      </c>
      <c r="I33" s="438" t="s">
        <v>2576</v>
      </c>
      <c r="J33" s="438" t="s">
        <v>3447</v>
      </c>
      <c r="K33" s="438" t="s">
        <v>2556</v>
      </c>
      <c r="L33" s="438" t="s">
        <v>2557</v>
      </c>
      <c r="M33" s="456">
        <v>13348</v>
      </c>
      <c r="N33" s="456"/>
      <c r="O33" s="456"/>
      <c r="P33" s="456">
        <v>13361.532999999999</v>
      </c>
    </row>
    <row r="34" spans="1:16" hidden="1" x14ac:dyDescent="0.5">
      <c r="A34" s="438">
        <v>31</v>
      </c>
      <c r="B34" s="438" t="s">
        <v>3564</v>
      </c>
      <c r="C34" s="438" t="s">
        <v>3547</v>
      </c>
      <c r="D34" s="438" t="s">
        <v>3572</v>
      </c>
      <c r="E34" s="438" t="s">
        <v>2568</v>
      </c>
      <c r="F34" s="438" t="s">
        <v>2559</v>
      </c>
      <c r="G34" s="438" t="s">
        <v>3287</v>
      </c>
      <c r="H34" s="438" t="s">
        <v>2616</v>
      </c>
      <c r="I34" s="438" t="s">
        <v>2691</v>
      </c>
      <c r="J34" s="438" t="s">
        <v>3273</v>
      </c>
      <c r="K34" s="438" t="s">
        <v>2556</v>
      </c>
      <c r="L34" s="438" t="s">
        <v>2557</v>
      </c>
      <c r="M34" s="456">
        <v>12450</v>
      </c>
      <c r="N34" s="456"/>
      <c r="O34" s="456"/>
      <c r="P34" s="456">
        <v>12439.902</v>
      </c>
    </row>
    <row r="35" spans="1:16" hidden="1" x14ac:dyDescent="0.5">
      <c r="A35" s="438">
        <v>32</v>
      </c>
      <c r="B35" s="438" t="s">
        <v>3564</v>
      </c>
      <c r="C35" s="438" t="s">
        <v>3547</v>
      </c>
      <c r="D35" s="438" t="s">
        <v>3573</v>
      </c>
      <c r="E35" s="438" t="s">
        <v>2560</v>
      </c>
      <c r="F35" s="438" t="s">
        <v>2554</v>
      </c>
      <c r="G35" s="438" t="s">
        <v>2561</v>
      </c>
      <c r="H35" s="438" t="s">
        <v>3489</v>
      </c>
      <c r="I35" s="438" t="s">
        <v>2577</v>
      </c>
      <c r="J35" s="438" t="s">
        <v>2563</v>
      </c>
      <c r="K35" s="438" t="s">
        <v>2556</v>
      </c>
      <c r="L35" s="438" t="s">
        <v>2557</v>
      </c>
      <c r="M35" s="456">
        <v>4316</v>
      </c>
      <c r="N35" s="456"/>
      <c r="O35" s="456"/>
      <c r="P35" s="456">
        <v>4312.4989999999998</v>
      </c>
    </row>
    <row r="36" spans="1:16" hidden="1" x14ac:dyDescent="0.5">
      <c r="A36" s="438">
        <v>33</v>
      </c>
      <c r="B36" s="438" t="s">
        <v>3564</v>
      </c>
      <c r="C36" s="438" t="s">
        <v>3547</v>
      </c>
      <c r="D36" s="438" t="s">
        <v>3574</v>
      </c>
      <c r="E36" s="438" t="s">
        <v>2553</v>
      </c>
      <c r="F36" s="438" t="s">
        <v>2559</v>
      </c>
      <c r="G36" s="438" t="s">
        <v>3261</v>
      </c>
      <c r="H36" s="438" t="s">
        <v>3301</v>
      </c>
      <c r="I36" s="438" t="s">
        <v>2558</v>
      </c>
      <c r="J36" s="438" t="s">
        <v>2558</v>
      </c>
      <c r="K36" s="438" t="s">
        <v>2556</v>
      </c>
      <c r="L36" s="438" t="s">
        <v>2557</v>
      </c>
      <c r="M36" s="456">
        <v>13731</v>
      </c>
      <c r="N36" s="456"/>
      <c r="O36" s="456"/>
      <c r="P36" s="456">
        <v>13719.862999999999</v>
      </c>
    </row>
    <row r="37" spans="1:16" hidden="1" x14ac:dyDescent="0.5">
      <c r="A37" s="438">
        <v>34</v>
      </c>
      <c r="B37" s="438" t="s">
        <v>3575</v>
      </c>
      <c r="C37" s="438" t="s">
        <v>3547</v>
      </c>
      <c r="D37" s="438" t="s">
        <v>3576</v>
      </c>
      <c r="E37" s="438" t="s">
        <v>3270</v>
      </c>
      <c r="F37" s="438" t="s">
        <v>2554</v>
      </c>
      <c r="G37" s="438" t="s">
        <v>3271</v>
      </c>
      <c r="H37" s="438" t="s">
        <v>3444</v>
      </c>
      <c r="I37" s="438" t="s">
        <v>2558</v>
      </c>
      <c r="J37" s="438" t="s">
        <v>2558</v>
      </c>
      <c r="K37" s="438" t="s">
        <v>2556</v>
      </c>
      <c r="L37" s="438" t="s">
        <v>2557</v>
      </c>
      <c r="M37" s="456">
        <v>16559</v>
      </c>
      <c r="N37" s="456"/>
      <c r="O37" s="456"/>
      <c r="P37" s="456">
        <v>16555.642</v>
      </c>
    </row>
    <row r="38" spans="1:16" hidden="1" x14ac:dyDescent="0.5">
      <c r="A38" s="438">
        <v>35</v>
      </c>
      <c r="B38" s="438" t="s">
        <v>3575</v>
      </c>
      <c r="C38" s="438" t="s">
        <v>3547</v>
      </c>
      <c r="D38" s="438" t="s">
        <v>3577</v>
      </c>
      <c r="E38" s="438" t="s">
        <v>2566</v>
      </c>
      <c r="F38" s="438" t="s">
        <v>2559</v>
      </c>
      <c r="G38" s="438" t="s">
        <v>3295</v>
      </c>
      <c r="H38" s="438" t="s">
        <v>3484</v>
      </c>
      <c r="I38" s="438" t="s">
        <v>2567</v>
      </c>
      <c r="J38" s="438" t="s">
        <v>2567</v>
      </c>
      <c r="K38" s="438" t="s">
        <v>2556</v>
      </c>
      <c r="L38" s="438" t="s">
        <v>2557</v>
      </c>
      <c r="M38" s="456">
        <v>12123</v>
      </c>
      <c r="N38" s="456"/>
      <c r="O38" s="456"/>
      <c r="P38" s="456">
        <v>12120.541999999999</v>
      </c>
    </row>
    <row r="39" spans="1:16" hidden="1" x14ac:dyDescent="0.5">
      <c r="A39" s="438">
        <v>36</v>
      </c>
      <c r="B39" s="438" t="s">
        <v>3575</v>
      </c>
      <c r="C39" s="438" t="s">
        <v>3547</v>
      </c>
      <c r="D39" s="438" t="s">
        <v>3578</v>
      </c>
      <c r="E39" s="438" t="s">
        <v>2553</v>
      </c>
      <c r="F39" s="438" t="s">
        <v>2559</v>
      </c>
      <c r="G39" s="438" t="s">
        <v>3268</v>
      </c>
      <c r="H39" s="438" t="s">
        <v>2674</v>
      </c>
      <c r="I39" s="438" t="s">
        <v>2573</v>
      </c>
      <c r="J39" s="438" t="s">
        <v>2573</v>
      </c>
      <c r="K39" s="438" t="s">
        <v>2556</v>
      </c>
      <c r="L39" s="438" t="s">
        <v>2557</v>
      </c>
      <c r="M39" s="456">
        <v>15279</v>
      </c>
      <c r="N39" s="456"/>
      <c r="O39" s="456"/>
      <c r="P39" s="456">
        <v>15275.902</v>
      </c>
    </row>
    <row r="40" spans="1:16" hidden="1" x14ac:dyDescent="0.5">
      <c r="A40" s="438">
        <v>37</v>
      </c>
      <c r="B40" s="438" t="s">
        <v>3575</v>
      </c>
      <c r="C40" s="438" t="s">
        <v>3547</v>
      </c>
      <c r="D40" s="438" t="s">
        <v>3579</v>
      </c>
      <c r="E40" s="438" t="s">
        <v>2568</v>
      </c>
      <c r="F40" s="438" t="s">
        <v>2559</v>
      </c>
      <c r="G40" s="438" t="s">
        <v>3272</v>
      </c>
      <c r="H40" s="438" t="s">
        <v>3476</v>
      </c>
      <c r="I40" s="438" t="s">
        <v>3273</v>
      </c>
      <c r="J40" s="438" t="s">
        <v>2570</v>
      </c>
      <c r="K40" s="438" t="s">
        <v>2556</v>
      </c>
      <c r="L40" s="438" t="s">
        <v>2557</v>
      </c>
      <c r="M40" s="456">
        <v>9626</v>
      </c>
      <c r="N40" s="456"/>
      <c r="O40" s="456"/>
      <c r="P40" s="456">
        <v>9624.0480000000007</v>
      </c>
    </row>
    <row r="41" spans="1:16" hidden="1" x14ac:dyDescent="0.5">
      <c r="A41" s="438">
        <v>38</v>
      </c>
      <c r="B41" s="438" t="s">
        <v>3575</v>
      </c>
      <c r="C41" s="438" t="s">
        <v>3547</v>
      </c>
      <c r="D41" s="438" t="s">
        <v>3580</v>
      </c>
      <c r="E41" s="438" t="s">
        <v>2760</v>
      </c>
      <c r="F41" s="438" t="s">
        <v>2600</v>
      </c>
      <c r="G41" s="438" t="s">
        <v>3491</v>
      </c>
      <c r="H41" s="438" t="s">
        <v>3492</v>
      </c>
      <c r="I41" s="438" t="s">
        <v>2757</v>
      </c>
      <c r="J41" s="438" t="s">
        <v>2757</v>
      </c>
      <c r="K41" s="438" t="s">
        <v>2556</v>
      </c>
      <c r="L41" s="438" t="s">
        <v>2557</v>
      </c>
      <c r="M41" s="456">
        <v>64128</v>
      </c>
      <c r="N41" s="456"/>
      <c r="O41" s="456"/>
      <c r="P41" s="456">
        <v>64114.995999999999</v>
      </c>
    </row>
    <row r="42" spans="1:16" hidden="1" x14ac:dyDescent="0.5">
      <c r="A42" s="438">
        <v>39</v>
      </c>
      <c r="B42" s="438" t="s">
        <v>3575</v>
      </c>
      <c r="C42" s="438" t="s">
        <v>3547</v>
      </c>
      <c r="D42" s="438" t="s">
        <v>3581</v>
      </c>
      <c r="E42" s="438" t="s">
        <v>2560</v>
      </c>
      <c r="F42" s="438" t="s">
        <v>2554</v>
      </c>
      <c r="G42" s="438" t="s">
        <v>2561</v>
      </c>
      <c r="H42" s="438" t="s">
        <v>2749</v>
      </c>
      <c r="I42" s="438" t="s">
        <v>2562</v>
      </c>
      <c r="J42" s="438" t="s">
        <v>2563</v>
      </c>
      <c r="K42" s="438" t="s">
        <v>2556</v>
      </c>
      <c r="L42" s="438" t="s">
        <v>2557</v>
      </c>
      <c r="M42" s="456">
        <v>897</v>
      </c>
      <c r="N42" s="456"/>
      <c r="O42" s="456"/>
      <c r="P42" s="456">
        <v>896.45399999999995</v>
      </c>
    </row>
    <row r="43" spans="1:16" hidden="1" x14ac:dyDescent="0.5">
      <c r="A43" s="438">
        <v>40</v>
      </c>
      <c r="B43" s="438" t="s">
        <v>3575</v>
      </c>
      <c r="C43" s="438" t="s">
        <v>3547</v>
      </c>
      <c r="D43" s="438" t="s">
        <v>3582</v>
      </c>
      <c r="E43" s="438" t="s">
        <v>2553</v>
      </c>
      <c r="F43" s="438" t="s">
        <v>2554</v>
      </c>
      <c r="G43" s="438" t="s">
        <v>3278</v>
      </c>
      <c r="H43" s="438" t="s">
        <v>3487</v>
      </c>
      <c r="I43" s="438" t="s">
        <v>3279</v>
      </c>
      <c r="J43" s="438" t="s">
        <v>3279</v>
      </c>
      <c r="K43" s="438" t="s">
        <v>2556</v>
      </c>
      <c r="L43" s="438" t="s">
        <v>2557</v>
      </c>
      <c r="M43" s="456">
        <v>32751</v>
      </c>
      <c r="N43" s="456"/>
      <c r="O43" s="456"/>
      <c r="P43" s="456">
        <v>32731.076000000001</v>
      </c>
    </row>
    <row r="44" spans="1:16" hidden="1" x14ac:dyDescent="0.5">
      <c r="A44" s="438">
        <v>41</v>
      </c>
      <c r="B44" s="438" t="s">
        <v>3583</v>
      </c>
      <c r="C44" s="438" t="s">
        <v>3547</v>
      </c>
      <c r="D44" s="438" t="s">
        <v>3584</v>
      </c>
      <c r="E44" s="438" t="s">
        <v>3266</v>
      </c>
      <c r="F44" s="438" t="s">
        <v>2554</v>
      </c>
      <c r="G44" s="438" t="s">
        <v>3267</v>
      </c>
      <c r="H44" s="438" t="s">
        <v>3296</v>
      </c>
      <c r="I44" s="438" t="s">
        <v>2558</v>
      </c>
      <c r="J44" s="438" t="s">
        <v>2558</v>
      </c>
      <c r="K44" s="438" t="s">
        <v>2556</v>
      </c>
      <c r="L44" s="438" t="s">
        <v>2557</v>
      </c>
      <c r="M44" s="456">
        <v>13898</v>
      </c>
      <c r="N44" s="456"/>
      <c r="O44" s="456"/>
      <c r="P44" s="456">
        <v>13899.409</v>
      </c>
    </row>
    <row r="45" spans="1:16" hidden="1" x14ac:dyDescent="0.5">
      <c r="A45" s="438">
        <v>42</v>
      </c>
      <c r="B45" s="438" t="s">
        <v>3583</v>
      </c>
      <c r="C45" s="438" t="s">
        <v>3547</v>
      </c>
      <c r="D45" s="438" t="s">
        <v>3585</v>
      </c>
      <c r="E45" s="438" t="s">
        <v>2566</v>
      </c>
      <c r="F45" s="438" t="s">
        <v>2559</v>
      </c>
      <c r="G45" s="438" t="s">
        <v>3282</v>
      </c>
      <c r="H45" s="438" t="s">
        <v>3300</v>
      </c>
      <c r="I45" s="438" t="s">
        <v>3284</v>
      </c>
      <c r="J45" s="438" t="s">
        <v>3284</v>
      </c>
      <c r="K45" s="438" t="s">
        <v>2556</v>
      </c>
      <c r="L45" s="438" t="s">
        <v>2557</v>
      </c>
      <c r="M45" s="456">
        <v>17522</v>
      </c>
      <c r="N45" s="456"/>
      <c r="O45" s="456"/>
      <c r="P45" s="456">
        <v>17523.776000000002</v>
      </c>
    </row>
    <row r="46" spans="1:16" hidden="1" x14ac:dyDescent="0.5">
      <c r="A46" s="438">
        <v>43</v>
      </c>
      <c r="B46" s="438" t="s">
        <v>3583</v>
      </c>
      <c r="C46" s="438" t="s">
        <v>3547</v>
      </c>
      <c r="D46" s="438" t="s">
        <v>3586</v>
      </c>
      <c r="E46" s="438" t="s">
        <v>2553</v>
      </c>
      <c r="F46" s="438" t="s">
        <v>2554</v>
      </c>
      <c r="G46" s="438" t="s">
        <v>3285</v>
      </c>
      <c r="H46" s="438" t="s">
        <v>3587</v>
      </c>
      <c r="I46" s="438" t="s">
        <v>2555</v>
      </c>
      <c r="J46" s="438" t="s">
        <v>2555</v>
      </c>
      <c r="K46" s="438" t="s">
        <v>2556</v>
      </c>
      <c r="L46" s="438" t="s">
        <v>2557</v>
      </c>
      <c r="M46" s="456">
        <v>12977</v>
      </c>
      <c r="N46" s="456"/>
      <c r="O46" s="456"/>
      <c r="P46" s="456">
        <v>12978.316000000001</v>
      </c>
    </row>
    <row r="47" spans="1:16" hidden="1" x14ac:dyDescent="0.5">
      <c r="A47" s="438">
        <v>44</v>
      </c>
      <c r="B47" s="438" t="s">
        <v>3583</v>
      </c>
      <c r="C47" s="438" t="s">
        <v>3588</v>
      </c>
      <c r="D47" s="438" t="s">
        <v>3589</v>
      </c>
      <c r="E47" s="438" t="s">
        <v>2568</v>
      </c>
      <c r="F47" s="438" t="s">
        <v>2559</v>
      </c>
      <c r="G47" s="438" t="s">
        <v>3446</v>
      </c>
      <c r="H47" s="438" t="s">
        <v>3476</v>
      </c>
      <c r="I47" s="438" t="s">
        <v>2577</v>
      </c>
      <c r="J47" s="438" t="s">
        <v>3447</v>
      </c>
      <c r="K47" s="438" t="s">
        <v>2556</v>
      </c>
      <c r="L47" s="438" t="s">
        <v>2557</v>
      </c>
      <c r="M47" s="456">
        <v>12624</v>
      </c>
      <c r="N47" s="456"/>
      <c r="O47" s="456"/>
      <c r="P47" s="456">
        <v>12625.28</v>
      </c>
    </row>
    <row r="48" spans="1:16" hidden="1" x14ac:dyDescent="0.5">
      <c r="A48" s="438">
        <v>45</v>
      </c>
      <c r="B48" s="438" t="s">
        <v>3583</v>
      </c>
      <c r="C48" s="438" t="s">
        <v>3588</v>
      </c>
      <c r="D48" s="438" t="s">
        <v>3590</v>
      </c>
      <c r="E48" s="438" t="s">
        <v>2568</v>
      </c>
      <c r="F48" s="438" t="s">
        <v>2559</v>
      </c>
      <c r="G48" s="438" t="s">
        <v>3286</v>
      </c>
      <c r="H48" s="438" t="s">
        <v>2616</v>
      </c>
      <c r="I48" s="438" t="s">
        <v>2577</v>
      </c>
      <c r="J48" s="438" t="s">
        <v>2691</v>
      </c>
      <c r="K48" s="438" t="s">
        <v>2556</v>
      </c>
      <c r="L48" s="438" t="s">
        <v>2557</v>
      </c>
      <c r="M48" s="456">
        <v>15692</v>
      </c>
      <c r="N48" s="456"/>
      <c r="O48" s="456"/>
      <c r="P48" s="456">
        <v>15693.591</v>
      </c>
    </row>
    <row r="49" spans="1:16" hidden="1" x14ac:dyDescent="0.5">
      <c r="A49" s="438">
        <v>46</v>
      </c>
      <c r="B49" s="438" t="s">
        <v>3583</v>
      </c>
      <c r="C49" s="438" t="s">
        <v>3588</v>
      </c>
      <c r="D49" s="438" t="s">
        <v>3591</v>
      </c>
      <c r="E49" s="438" t="s">
        <v>2599</v>
      </c>
      <c r="F49" s="438" t="s">
        <v>2600</v>
      </c>
      <c r="G49" s="438" t="s">
        <v>2601</v>
      </c>
      <c r="H49" s="438" t="s">
        <v>3448</v>
      </c>
      <c r="I49" s="438" t="s">
        <v>2562</v>
      </c>
      <c r="J49" s="438" t="s">
        <v>2562</v>
      </c>
      <c r="K49" s="438" t="s">
        <v>2556</v>
      </c>
      <c r="L49" s="438" t="s">
        <v>2557</v>
      </c>
      <c r="M49" s="456">
        <v>2612</v>
      </c>
      <c r="N49" s="456"/>
      <c r="O49" s="456"/>
      <c r="P49" s="456">
        <v>2610.9409999999998</v>
      </c>
    </row>
    <row r="50" spans="1:16" hidden="1" x14ac:dyDescent="0.5">
      <c r="A50" s="438">
        <v>47</v>
      </c>
      <c r="B50" s="438" t="s">
        <v>3583</v>
      </c>
      <c r="C50" s="438" t="s">
        <v>3588</v>
      </c>
      <c r="D50" s="438" t="s">
        <v>3592</v>
      </c>
      <c r="E50" s="438" t="s">
        <v>2568</v>
      </c>
      <c r="F50" s="438" t="s">
        <v>2559</v>
      </c>
      <c r="G50" s="438" t="s">
        <v>3287</v>
      </c>
      <c r="H50" s="438" t="s">
        <v>2616</v>
      </c>
      <c r="I50" s="438" t="s">
        <v>2691</v>
      </c>
      <c r="J50" s="438" t="s">
        <v>3273</v>
      </c>
      <c r="K50" s="438" t="s">
        <v>2556</v>
      </c>
      <c r="L50" s="438" t="s">
        <v>2557</v>
      </c>
      <c r="M50" s="456">
        <v>12436</v>
      </c>
      <c r="N50" s="456"/>
      <c r="O50" s="456"/>
      <c r="P50" s="456">
        <v>12430.957</v>
      </c>
    </row>
    <row r="51" spans="1:16" hidden="1" x14ac:dyDescent="0.5">
      <c r="A51" s="438">
        <v>48</v>
      </c>
      <c r="B51" s="438" t="s">
        <v>3583</v>
      </c>
      <c r="C51" s="438" t="s">
        <v>3588</v>
      </c>
      <c r="D51" s="438" t="s">
        <v>3593</v>
      </c>
      <c r="E51" s="438" t="s">
        <v>2560</v>
      </c>
      <c r="F51" s="438" t="s">
        <v>2554</v>
      </c>
      <c r="G51" s="438" t="s">
        <v>2561</v>
      </c>
      <c r="H51" s="438" t="s">
        <v>2749</v>
      </c>
      <c r="I51" s="438" t="s">
        <v>2562</v>
      </c>
      <c r="J51" s="438" t="s">
        <v>2563</v>
      </c>
      <c r="K51" s="438" t="s">
        <v>2556</v>
      </c>
      <c r="L51" s="438" t="s">
        <v>2557</v>
      </c>
      <c r="M51" s="456">
        <v>7031</v>
      </c>
      <c r="N51" s="456"/>
      <c r="O51" s="456"/>
      <c r="P51" s="456">
        <v>7028.1490000000003</v>
      </c>
    </row>
    <row r="52" spans="1:16" hidden="1" x14ac:dyDescent="0.5">
      <c r="A52" s="438">
        <v>49</v>
      </c>
      <c r="B52" s="438" t="s">
        <v>3583</v>
      </c>
      <c r="C52" s="438" t="s">
        <v>3588</v>
      </c>
      <c r="D52" s="438" t="s">
        <v>3594</v>
      </c>
      <c r="E52" s="438" t="s">
        <v>2553</v>
      </c>
      <c r="F52" s="438" t="s">
        <v>2559</v>
      </c>
      <c r="G52" s="438" t="s">
        <v>3261</v>
      </c>
      <c r="H52" s="438" t="s">
        <v>3403</v>
      </c>
      <c r="I52" s="438" t="s">
        <v>2558</v>
      </c>
      <c r="J52" s="438" t="s">
        <v>2558</v>
      </c>
      <c r="K52" s="438" t="s">
        <v>2556</v>
      </c>
      <c r="L52" s="438" t="s">
        <v>2557</v>
      </c>
      <c r="M52" s="456">
        <v>14099</v>
      </c>
      <c r="N52" s="456"/>
      <c r="O52" s="456"/>
      <c r="P52" s="456">
        <v>14093.282999999999</v>
      </c>
    </row>
    <row r="53" spans="1:16" hidden="1" x14ac:dyDescent="0.5">
      <c r="A53" s="438">
        <v>50</v>
      </c>
      <c r="B53" s="438" t="s">
        <v>3595</v>
      </c>
      <c r="C53" s="438" t="s">
        <v>3588</v>
      </c>
      <c r="D53" s="438" t="s">
        <v>3596</v>
      </c>
      <c r="E53" s="438" t="s">
        <v>3270</v>
      </c>
      <c r="F53" s="438" t="s">
        <v>2554</v>
      </c>
      <c r="G53" s="438" t="s">
        <v>3271</v>
      </c>
      <c r="H53" s="438" t="s">
        <v>3555</v>
      </c>
      <c r="I53" s="438" t="s">
        <v>2558</v>
      </c>
      <c r="J53" s="438" t="s">
        <v>2558</v>
      </c>
      <c r="K53" s="438" t="s">
        <v>2556</v>
      </c>
      <c r="L53" s="438" t="s">
        <v>2557</v>
      </c>
      <c r="M53" s="456">
        <v>12791</v>
      </c>
      <c r="N53" s="456"/>
      <c r="O53" s="456"/>
      <c r="P53" s="456">
        <v>12807.861000000001</v>
      </c>
    </row>
    <row r="54" spans="1:16" hidden="1" x14ac:dyDescent="0.5">
      <c r="A54" s="438">
        <v>51</v>
      </c>
      <c r="B54" s="438" t="s">
        <v>3595</v>
      </c>
      <c r="C54" s="438" t="s">
        <v>3588</v>
      </c>
      <c r="D54" s="438" t="s">
        <v>3597</v>
      </c>
      <c r="E54" s="438" t="s">
        <v>2553</v>
      </c>
      <c r="F54" s="438" t="s">
        <v>2559</v>
      </c>
      <c r="G54" s="438" t="s">
        <v>3268</v>
      </c>
      <c r="H54" s="438" t="s">
        <v>2603</v>
      </c>
      <c r="I54" s="438" t="s">
        <v>2573</v>
      </c>
      <c r="J54" s="438" t="s">
        <v>2573</v>
      </c>
      <c r="K54" s="438" t="s">
        <v>2556</v>
      </c>
      <c r="L54" s="438" t="s">
        <v>2557</v>
      </c>
      <c r="M54" s="456">
        <v>14167</v>
      </c>
      <c r="N54" s="456"/>
      <c r="O54" s="456"/>
      <c r="P54" s="456">
        <v>14185.674999999999</v>
      </c>
    </row>
    <row r="55" spans="1:16" hidden="1" x14ac:dyDescent="0.5">
      <c r="A55" s="438">
        <v>52</v>
      </c>
      <c r="B55" s="438" t="s">
        <v>3595</v>
      </c>
      <c r="C55" s="438" t="s">
        <v>3588</v>
      </c>
      <c r="D55" s="438" t="s">
        <v>3598</v>
      </c>
      <c r="E55" s="438" t="s">
        <v>2568</v>
      </c>
      <c r="F55" s="438" t="s">
        <v>2559</v>
      </c>
      <c r="G55" s="438" t="s">
        <v>3272</v>
      </c>
      <c r="H55" s="438" t="s">
        <v>2616</v>
      </c>
      <c r="I55" s="438" t="s">
        <v>3273</v>
      </c>
      <c r="J55" s="438" t="s">
        <v>2570</v>
      </c>
      <c r="K55" s="438" t="s">
        <v>2556</v>
      </c>
      <c r="L55" s="438" t="s">
        <v>2557</v>
      </c>
      <c r="M55" s="456">
        <v>10110</v>
      </c>
      <c r="N55" s="456"/>
      <c r="O55" s="456"/>
      <c r="P55" s="456">
        <v>10123.326999999999</v>
      </c>
    </row>
    <row r="56" spans="1:16" hidden="1" x14ac:dyDescent="0.5">
      <c r="A56" s="438">
        <v>53</v>
      </c>
      <c r="B56" s="438" t="s">
        <v>3595</v>
      </c>
      <c r="C56" s="438" t="s">
        <v>3588</v>
      </c>
      <c r="D56" s="438" t="s">
        <v>3599</v>
      </c>
      <c r="E56" s="438" t="s">
        <v>2568</v>
      </c>
      <c r="F56" s="438" t="s">
        <v>2559</v>
      </c>
      <c r="G56" s="438" t="s">
        <v>3274</v>
      </c>
      <c r="H56" s="438" t="s">
        <v>2616</v>
      </c>
      <c r="I56" s="438" t="s">
        <v>2570</v>
      </c>
      <c r="J56" s="438" t="s">
        <v>3273</v>
      </c>
      <c r="K56" s="438" t="s">
        <v>2556</v>
      </c>
      <c r="L56" s="438" t="s">
        <v>2557</v>
      </c>
      <c r="M56" s="456">
        <v>15179</v>
      </c>
      <c r="N56" s="456"/>
      <c r="O56" s="456"/>
      <c r="P56" s="456">
        <v>15174.383</v>
      </c>
    </row>
    <row r="57" spans="1:16" hidden="1" x14ac:dyDescent="0.5">
      <c r="A57" s="438">
        <v>54</v>
      </c>
      <c r="B57" s="438" t="s">
        <v>3595</v>
      </c>
      <c r="C57" s="438" t="s">
        <v>3588</v>
      </c>
      <c r="D57" s="438" t="s">
        <v>3600</v>
      </c>
      <c r="E57" s="438" t="s">
        <v>2560</v>
      </c>
      <c r="F57" s="438" t="s">
        <v>2554</v>
      </c>
      <c r="G57" s="438" t="s">
        <v>2561</v>
      </c>
      <c r="H57" s="438" t="s">
        <v>2749</v>
      </c>
      <c r="I57" s="438" t="s">
        <v>2577</v>
      </c>
      <c r="J57" s="438" t="s">
        <v>2563</v>
      </c>
      <c r="K57" s="438" t="s">
        <v>2556</v>
      </c>
      <c r="L57" s="438" t="s">
        <v>2557</v>
      </c>
      <c r="M57" s="456">
        <v>6482</v>
      </c>
      <c r="N57" s="456"/>
      <c r="O57" s="456"/>
      <c r="P57" s="456">
        <v>6480.0280000000002</v>
      </c>
    </row>
    <row r="58" spans="1:16" hidden="1" x14ac:dyDescent="0.5">
      <c r="A58" s="438">
        <v>55</v>
      </c>
      <c r="B58" s="438" t="s">
        <v>3595</v>
      </c>
      <c r="C58" s="438" t="s">
        <v>3588</v>
      </c>
      <c r="D58" s="438" t="s">
        <v>3601</v>
      </c>
      <c r="E58" s="438" t="s">
        <v>2553</v>
      </c>
      <c r="F58" s="438" t="s">
        <v>2554</v>
      </c>
      <c r="G58" s="438" t="s">
        <v>3278</v>
      </c>
      <c r="H58" s="438" t="s">
        <v>3297</v>
      </c>
      <c r="I58" s="438" t="s">
        <v>3279</v>
      </c>
      <c r="J58" s="438" t="s">
        <v>3279</v>
      </c>
      <c r="K58" s="438" t="s">
        <v>2556</v>
      </c>
      <c r="L58" s="438" t="s">
        <v>2557</v>
      </c>
      <c r="M58" s="456">
        <v>35988</v>
      </c>
      <c r="N58" s="456"/>
      <c r="O58" s="456"/>
      <c r="P58" s="456">
        <v>35977.053</v>
      </c>
    </row>
    <row r="59" spans="1:16" hidden="1" x14ac:dyDescent="0.5">
      <c r="A59" s="438">
        <v>56</v>
      </c>
      <c r="B59" s="438" t="s">
        <v>3602</v>
      </c>
      <c r="C59" s="438" t="s">
        <v>3588</v>
      </c>
      <c r="D59" s="438" t="s">
        <v>3603</v>
      </c>
      <c r="E59" s="438" t="s">
        <v>2566</v>
      </c>
      <c r="F59" s="438" t="s">
        <v>2559</v>
      </c>
      <c r="G59" s="438" t="s">
        <v>3263</v>
      </c>
      <c r="H59" s="438" t="s">
        <v>3604</v>
      </c>
      <c r="I59" s="438" t="s">
        <v>3265</v>
      </c>
      <c r="J59" s="438" t="s">
        <v>3265</v>
      </c>
      <c r="K59" s="438" t="s">
        <v>2556</v>
      </c>
      <c r="L59" s="438" t="s">
        <v>2557</v>
      </c>
      <c r="M59" s="456">
        <v>15536</v>
      </c>
      <c r="N59" s="456"/>
      <c r="O59" s="456"/>
      <c r="P59" s="456">
        <v>15531.275</v>
      </c>
    </row>
    <row r="60" spans="1:16" hidden="1" x14ac:dyDescent="0.5">
      <c r="A60" s="438">
        <v>57</v>
      </c>
      <c r="B60" s="438" t="s">
        <v>3602</v>
      </c>
      <c r="C60" s="438" t="s">
        <v>3588</v>
      </c>
      <c r="D60" s="438" t="s">
        <v>3605</v>
      </c>
      <c r="E60" s="438" t="s">
        <v>2566</v>
      </c>
      <c r="F60" s="438" t="s">
        <v>2559</v>
      </c>
      <c r="G60" s="438" t="s">
        <v>3281</v>
      </c>
      <c r="H60" s="438" t="s">
        <v>3606</v>
      </c>
      <c r="I60" s="438" t="s">
        <v>3276</v>
      </c>
      <c r="J60" s="438" t="s">
        <v>3276</v>
      </c>
      <c r="K60" s="438" t="s">
        <v>2556</v>
      </c>
      <c r="L60" s="438" t="s">
        <v>2557</v>
      </c>
      <c r="M60" s="456">
        <v>13550</v>
      </c>
      <c r="N60" s="456"/>
      <c r="O60" s="456"/>
      <c r="P60" s="456">
        <v>13545.879000000001</v>
      </c>
    </row>
    <row r="61" spans="1:16" hidden="1" x14ac:dyDescent="0.5">
      <c r="A61" s="438">
        <v>58</v>
      </c>
      <c r="B61" s="438" t="s">
        <v>3602</v>
      </c>
      <c r="C61" s="438" t="s">
        <v>3588</v>
      </c>
      <c r="D61" s="438" t="s">
        <v>3607</v>
      </c>
      <c r="E61" s="438" t="s">
        <v>2553</v>
      </c>
      <c r="F61" s="438" t="s">
        <v>2554</v>
      </c>
      <c r="G61" s="438" t="s">
        <v>3285</v>
      </c>
      <c r="H61" s="438" t="s">
        <v>2572</v>
      </c>
      <c r="I61" s="438" t="s">
        <v>2555</v>
      </c>
      <c r="J61" s="438" t="s">
        <v>2555</v>
      </c>
      <c r="K61" s="438" t="s">
        <v>2556</v>
      </c>
      <c r="L61" s="438" t="s">
        <v>2557</v>
      </c>
      <c r="M61" s="456">
        <v>12389</v>
      </c>
      <c r="N61" s="456"/>
      <c r="O61" s="456"/>
      <c r="P61" s="456">
        <v>12385.232</v>
      </c>
    </row>
    <row r="62" spans="1:16" hidden="1" x14ac:dyDescent="0.5">
      <c r="A62" s="438">
        <v>59</v>
      </c>
      <c r="B62" s="438" t="s">
        <v>3602</v>
      </c>
      <c r="C62" s="438" t="s">
        <v>3588</v>
      </c>
      <c r="D62" s="438" t="s">
        <v>3608</v>
      </c>
      <c r="E62" s="438" t="s">
        <v>2566</v>
      </c>
      <c r="F62" s="438" t="s">
        <v>2559</v>
      </c>
      <c r="G62" s="438" t="s">
        <v>3282</v>
      </c>
      <c r="H62" s="438" t="s">
        <v>3304</v>
      </c>
      <c r="I62" s="438" t="s">
        <v>3284</v>
      </c>
      <c r="J62" s="438" t="s">
        <v>3284</v>
      </c>
      <c r="K62" s="438" t="s">
        <v>2556</v>
      </c>
      <c r="L62" s="438" t="s">
        <v>2557</v>
      </c>
      <c r="M62" s="456">
        <v>18549</v>
      </c>
      <c r="N62" s="456"/>
      <c r="O62" s="456"/>
      <c r="P62" s="456">
        <v>18543.359</v>
      </c>
    </row>
    <row r="63" spans="1:16" hidden="1" x14ac:dyDescent="0.5">
      <c r="A63" s="438">
        <v>60</v>
      </c>
      <c r="B63" s="438" t="s">
        <v>3602</v>
      </c>
      <c r="C63" s="438" t="s">
        <v>3588</v>
      </c>
      <c r="D63" s="438" t="s">
        <v>3609</v>
      </c>
      <c r="E63" s="438" t="s">
        <v>2568</v>
      </c>
      <c r="F63" s="438" t="s">
        <v>2559</v>
      </c>
      <c r="G63" s="438" t="s">
        <v>3286</v>
      </c>
      <c r="H63" s="438" t="s">
        <v>2616</v>
      </c>
      <c r="I63" s="438" t="s">
        <v>3275</v>
      </c>
      <c r="J63" s="438" t="s">
        <v>2691</v>
      </c>
      <c r="K63" s="438" t="s">
        <v>2556</v>
      </c>
      <c r="L63" s="438" t="s">
        <v>2557</v>
      </c>
      <c r="M63" s="456">
        <v>14586</v>
      </c>
      <c r="N63" s="456"/>
      <c r="O63" s="456"/>
      <c r="P63" s="456">
        <v>14581.564</v>
      </c>
    </row>
    <row r="64" spans="1:16" hidden="1" x14ac:dyDescent="0.5">
      <c r="A64" s="438">
        <v>61</v>
      </c>
      <c r="B64" s="438" t="s">
        <v>3602</v>
      </c>
      <c r="C64" s="438" t="s">
        <v>3588</v>
      </c>
      <c r="D64" s="438" t="s">
        <v>3610</v>
      </c>
      <c r="E64" s="438" t="s">
        <v>2760</v>
      </c>
      <c r="F64" s="438" t="s">
        <v>2600</v>
      </c>
      <c r="G64" s="438" t="s">
        <v>3538</v>
      </c>
      <c r="H64" s="438" t="s">
        <v>3492</v>
      </c>
      <c r="I64" s="438" t="s">
        <v>2757</v>
      </c>
      <c r="J64" s="438" t="s">
        <v>2790</v>
      </c>
      <c r="K64" s="438" t="s">
        <v>2556</v>
      </c>
      <c r="L64" s="438" t="s">
        <v>2557</v>
      </c>
      <c r="M64" s="456">
        <v>62843</v>
      </c>
      <c r="N64" s="456"/>
      <c r="O64" s="456"/>
      <c r="P64" s="456">
        <v>62823.887000000002</v>
      </c>
    </row>
    <row r="65" spans="1:16" hidden="1" x14ac:dyDescent="0.5">
      <c r="A65" s="438">
        <v>62</v>
      </c>
      <c r="B65" s="438" t="s">
        <v>3602</v>
      </c>
      <c r="C65" s="438" t="s">
        <v>3588</v>
      </c>
      <c r="D65" s="438" t="s">
        <v>3611</v>
      </c>
      <c r="E65" s="438" t="s">
        <v>2566</v>
      </c>
      <c r="F65" s="438" t="s">
        <v>2559</v>
      </c>
      <c r="G65" s="438" t="s">
        <v>3612</v>
      </c>
      <c r="H65" s="438" t="s">
        <v>2780</v>
      </c>
      <c r="I65" s="438" t="s">
        <v>2842</v>
      </c>
      <c r="J65" s="438" t="s">
        <v>2808</v>
      </c>
      <c r="K65" s="438" t="s">
        <v>2556</v>
      </c>
      <c r="L65" s="438" t="s">
        <v>2557</v>
      </c>
      <c r="M65" s="456">
        <v>31950</v>
      </c>
      <c r="N65" s="456"/>
      <c r="O65" s="456"/>
      <c r="P65" s="456">
        <v>31937.044000000002</v>
      </c>
    </row>
    <row r="66" spans="1:16" hidden="1" x14ac:dyDescent="0.5">
      <c r="A66" s="438">
        <v>63</v>
      </c>
      <c r="B66" s="438" t="s">
        <v>3602</v>
      </c>
      <c r="C66" s="438" t="s">
        <v>3588</v>
      </c>
      <c r="D66" s="438" t="s">
        <v>3613</v>
      </c>
      <c r="E66" s="438" t="s">
        <v>2568</v>
      </c>
      <c r="F66" s="438" t="s">
        <v>2559</v>
      </c>
      <c r="G66" s="438" t="s">
        <v>3287</v>
      </c>
      <c r="H66" s="438" t="s">
        <v>2616</v>
      </c>
      <c r="I66" s="438" t="s">
        <v>2691</v>
      </c>
      <c r="J66" s="438" t="s">
        <v>3273</v>
      </c>
      <c r="K66" s="438" t="s">
        <v>2556</v>
      </c>
      <c r="L66" s="438" t="s">
        <v>2557</v>
      </c>
      <c r="M66" s="456">
        <v>12763</v>
      </c>
      <c r="N66" s="456"/>
      <c r="O66" s="456"/>
      <c r="P66" s="456">
        <v>12757.824000000001</v>
      </c>
    </row>
    <row r="67" spans="1:16" hidden="1" x14ac:dyDescent="0.5">
      <c r="A67" s="438">
        <v>64</v>
      </c>
      <c r="B67" s="438" t="s">
        <v>3602</v>
      </c>
      <c r="C67" s="438" t="s">
        <v>3588</v>
      </c>
      <c r="D67" s="438" t="s">
        <v>3614</v>
      </c>
      <c r="E67" s="438" t="s">
        <v>2560</v>
      </c>
      <c r="F67" s="438" t="s">
        <v>2554</v>
      </c>
      <c r="G67" s="438" t="s">
        <v>2561</v>
      </c>
      <c r="H67" s="438" t="s">
        <v>2749</v>
      </c>
      <c r="I67" s="438" t="s">
        <v>2562</v>
      </c>
      <c r="J67" s="438" t="s">
        <v>2563</v>
      </c>
      <c r="K67" s="438" t="s">
        <v>2556</v>
      </c>
      <c r="L67" s="438" t="s">
        <v>2557</v>
      </c>
      <c r="M67" s="456">
        <v>3902</v>
      </c>
      <c r="N67" s="456"/>
      <c r="O67" s="456"/>
      <c r="P67" s="456">
        <v>3900.4180000000001</v>
      </c>
    </row>
    <row r="68" spans="1:16" hidden="1" x14ac:dyDescent="0.5">
      <c r="A68" s="438">
        <v>65</v>
      </c>
      <c r="B68" s="438" t="s">
        <v>3602</v>
      </c>
      <c r="C68" s="438" t="s">
        <v>3588</v>
      </c>
      <c r="D68" s="438" t="s">
        <v>3615</v>
      </c>
      <c r="E68" s="438" t="s">
        <v>2553</v>
      </c>
      <c r="F68" s="438" t="s">
        <v>2559</v>
      </c>
      <c r="G68" s="438" t="s">
        <v>3261</v>
      </c>
      <c r="H68" s="438" t="s">
        <v>2587</v>
      </c>
      <c r="I68" s="438" t="s">
        <v>2558</v>
      </c>
      <c r="J68" s="438" t="s">
        <v>2558</v>
      </c>
      <c r="K68" s="438" t="s">
        <v>2556</v>
      </c>
      <c r="L68" s="438" t="s">
        <v>2557</v>
      </c>
      <c r="M68" s="456">
        <v>14829</v>
      </c>
      <c r="N68" s="456"/>
      <c r="O68" s="456"/>
      <c r="P68" s="456">
        <v>14822.986999999999</v>
      </c>
    </row>
    <row r="69" spans="1:16" hidden="1" x14ac:dyDescent="0.5">
      <c r="A69" s="438">
        <v>66</v>
      </c>
      <c r="B69" s="438" t="s">
        <v>3616</v>
      </c>
      <c r="C69" s="438" t="s">
        <v>3588</v>
      </c>
      <c r="D69" s="438" t="s">
        <v>3617</v>
      </c>
      <c r="E69" s="438" t="s">
        <v>3266</v>
      </c>
      <c r="F69" s="438" t="s">
        <v>2554</v>
      </c>
      <c r="G69" s="438" t="s">
        <v>3267</v>
      </c>
      <c r="H69" s="438" t="s">
        <v>3618</v>
      </c>
      <c r="I69" s="438" t="s">
        <v>2558</v>
      </c>
      <c r="J69" s="438" t="s">
        <v>2558</v>
      </c>
      <c r="K69" s="438" t="s">
        <v>2556</v>
      </c>
      <c r="L69" s="438" t="s">
        <v>2557</v>
      </c>
      <c r="M69" s="456">
        <v>14307</v>
      </c>
      <c r="N69" s="456"/>
      <c r="O69" s="456"/>
      <c r="P69" s="456">
        <v>14308.45</v>
      </c>
    </row>
    <row r="70" spans="1:16" hidden="1" x14ac:dyDescent="0.5">
      <c r="A70" s="438">
        <v>67</v>
      </c>
      <c r="B70" s="438" t="s">
        <v>3616</v>
      </c>
      <c r="C70" s="438" t="s">
        <v>3588</v>
      </c>
      <c r="D70" s="438" t="s">
        <v>3619</v>
      </c>
      <c r="E70" s="438" t="s">
        <v>3270</v>
      </c>
      <c r="F70" s="438" t="s">
        <v>2554</v>
      </c>
      <c r="G70" s="438" t="s">
        <v>3271</v>
      </c>
      <c r="H70" s="438" t="s">
        <v>3620</v>
      </c>
      <c r="I70" s="438" t="s">
        <v>2558</v>
      </c>
      <c r="J70" s="438" t="s">
        <v>2558</v>
      </c>
      <c r="K70" s="438" t="s">
        <v>2556</v>
      </c>
      <c r="L70" s="438" t="s">
        <v>2557</v>
      </c>
      <c r="M70" s="456">
        <v>13381</v>
      </c>
      <c r="N70" s="456"/>
      <c r="O70" s="456"/>
      <c r="P70" s="456">
        <v>13382.356</v>
      </c>
    </row>
    <row r="71" spans="1:16" hidden="1" x14ac:dyDescent="0.5">
      <c r="A71" s="438">
        <v>68</v>
      </c>
      <c r="B71" s="438" t="s">
        <v>3616</v>
      </c>
      <c r="C71" s="438" t="s">
        <v>3588</v>
      </c>
      <c r="D71" s="438" t="s">
        <v>3621</v>
      </c>
      <c r="E71" s="438" t="s">
        <v>2566</v>
      </c>
      <c r="F71" s="438" t="s">
        <v>2559</v>
      </c>
      <c r="G71" s="438" t="s">
        <v>3295</v>
      </c>
      <c r="H71" s="438" t="s">
        <v>3484</v>
      </c>
      <c r="I71" s="438" t="s">
        <v>2567</v>
      </c>
      <c r="J71" s="438" t="s">
        <v>2567</v>
      </c>
      <c r="K71" s="438" t="s">
        <v>2556</v>
      </c>
      <c r="L71" s="438" t="s">
        <v>2557</v>
      </c>
      <c r="M71" s="456">
        <v>12524</v>
      </c>
      <c r="N71" s="456"/>
      <c r="O71" s="456"/>
      <c r="P71" s="456">
        <v>12525.27</v>
      </c>
    </row>
    <row r="72" spans="1:16" hidden="1" x14ac:dyDescent="0.5">
      <c r="A72" s="438">
        <v>69</v>
      </c>
      <c r="B72" s="438" t="s">
        <v>3616</v>
      </c>
      <c r="C72" s="438" t="s">
        <v>3588</v>
      </c>
      <c r="D72" s="438" t="s">
        <v>3622</v>
      </c>
      <c r="E72" s="438" t="s">
        <v>2553</v>
      </c>
      <c r="F72" s="438" t="s">
        <v>2554</v>
      </c>
      <c r="G72" s="438" t="s">
        <v>3285</v>
      </c>
      <c r="H72" s="438" t="s">
        <v>3464</v>
      </c>
      <c r="I72" s="438" t="s">
        <v>2555</v>
      </c>
      <c r="J72" s="438" t="s">
        <v>2555</v>
      </c>
      <c r="K72" s="438" t="s">
        <v>2556</v>
      </c>
      <c r="L72" s="438" t="s">
        <v>2557</v>
      </c>
      <c r="M72" s="456">
        <v>12607</v>
      </c>
      <c r="N72" s="456"/>
      <c r="O72" s="456"/>
      <c r="P72" s="456">
        <v>12608.278</v>
      </c>
    </row>
    <row r="73" spans="1:16" hidden="1" x14ac:dyDescent="0.5">
      <c r="A73" s="438">
        <v>70</v>
      </c>
      <c r="B73" s="438" t="s">
        <v>3616</v>
      </c>
      <c r="C73" s="438" t="s">
        <v>3588</v>
      </c>
      <c r="D73" s="438" t="s">
        <v>3623</v>
      </c>
      <c r="E73" s="438" t="s">
        <v>2568</v>
      </c>
      <c r="F73" s="438" t="s">
        <v>2559</v>
      </c>
      <c r="G73" s="438" t="s">
        <v>3446</v>
      </c>
      <c r="H73" s="438" t="s">
        <v>2616</v>
      </c>
      <c r="I73" s="438" t="s">
        <v>3273</v>
      </c>
      <c r="J73" s="438" t="s">
        <v>3447</v>
      </c>
      <c r="K73" s="438" t="s">
        <v>2556</v>
      </c>
      <c r="L73" s="438" t="s">
        <v>2557</v>
      </c>
      <c r="M73" s="456">
        <v>12222</v>
      </c>
      <c r="N73" s="456"/>
      <c r="O73" s="456"/>
      <c r="P73" s="456">
        <v>12223.239</v>
      </c>
    </row>
    <row r="74" spans="1:16" hidden="1" x14ac:dyDescent="0.5">
      <c r="A74" s="438">
        <v>71</v>
      </c>
      <c r="B74" s="438" t="s">
        <v>3616</v>
      </c>
      <c r="C74" s="438" t="s">
        <v>3624</v>
      </c>
      <c r="D74" s="438" t="s">
        <v>3625</v>
      </c>
      <c r="E74" s="438" t="s">
        <v>2560</v>
      </c>
      <c r="F74" s="438" t="s">
        <v>2554</v>
      </c>
      <c r="G74" s="438" t="s">
        <v>2561</v>
      </c>
      <c r="H74" s="438" t="s">
        <v>2749</v>
      </c>
      <c r="I74" s="438" t="s">
        <v>2562</v>
      </c>
      <c r="J74" s="438" t="s">
        <v>2563</v>
      </c>
      <c r="K74" s="438" t="s">
        <v>2556</v>
      </c>
      <c r="L74" s="438" t="s">
        <v>2557</v>
      </c>
      <c r="M74" s="456">
        <v>5104</v>
      </c>
      <c r="N74" s="456"/>
      <c r="O74" s="456"/>
      <c r="P74" s="456">
        <v>5101.4129999999996</v>
      </c>
    </row>
    <row r="75" spans="1:16" hidden="1" x14ac:dyDescent="0.5">
      <c r="A75" s="438">
        <v>72</v>
      </c>
      <c r="B75" s="438" t="s">
        <v>3626</v>
      </c>
      <c r="C75" s="438" t="s">
        <v>3624</v>
      </c>
      <c r="D75" s="438" t="s">
        <v>3627</v>
      </c>
      <c r="E75" s="438" t="s">
        <v>3266</v>
      </c>
      <c r="F75" s="438" t="s">
        <v>2554</v>
      </c>
      <c r="G75" s="438" t="s">
        <v>3267</v>
      </c>
      <c r="H75" s="438" t="s">
        <v>3628</v>
      </c>
      <c r="I75" s="438" t="s">
        <v>2558</v>
      </c>
      <c r="J75" s="438" t="s">
        <v>2558</v>
      </c>
      <c r="K75" s="438" t="s">
        <v>2556</v>
      </c>
      <c r="L75" s="438" t="s">
        <v>2557</v>
      </c>
      <c r="M75" s="456">
        <v>13108</v>
      </c>
      <c r="N75" s="456"/>
      <c r="O75" s="456"/>
      <c r="P75" s="456">
        <v>13100.026</v>
      </c>
    </row>
    <row r="76" spans="1:16" hidden="1" x14ac:dyDescent="0.5">
      <c r="A76" s="438">
        <v>73</v>
      </c>
      <c r="B76" s="438" t="s">
        <v>3626</v>
      </c>
      <c r="C76" s="438" t="s">
        <v>3624</v>
      </c>
      <c r="D76" s="438" t="s">
        <v>3629</v>
      </c>
      <c r="E76" s="438" t="s">
        <v>3270</v>
      </c>
      <c r="F76" s="438" t="s">
        <v>2554</v>
      </c>
      <c r="G76" s="438" t="s">
        <v>3271</v>
      </c>
      <c r="H76" s="438" t="s">
        <v>3469</v>
      </c>
      <c r="I76" s="438" t="s">
        <v>2558</v>
      </c>
      <c r="J76" s="438" t="s">
        <v>2558</v>
      </c>
      <c r="K76" s="438" t="s">
        <v>2556</v>
      </c>
      <c r="L76" s="438" t="s">
        <v>2557</v>
      </c>
      <c r="M76" s="456">
        <v>13364</v>
      </c>
      <c r="N76" s="456"/>
      <c r="O76" s="456"/>
      <c r="P76" s="456">
        <v>13355.87</v>
      </c>
    </row>
    <row r="77" spans="1:16" hidden="1" x14ac:dyDescent="0.5">
      <c r="A77" s="438">
        <v>74</v>
      </c>
      <c r="B77" s="438" t="s">
        <v>3626</v>
      </c>
      <c r="C77" s="438" t="s">
        <v>3624</v>
      </c>
      <c r="D77" s="438" t="s">
        <v>3630</v>
      </c>
      <c r="E77" s="438" t="s">
        <v>2566</v>
      </c>
      <c r="F77" s="438" t="s">
        <v>2559</v>
      </c>
      <c r="G77" s="438" t="s">
        <v>3295</v>
      </c>
      <c r="H77" s="438" t="s">
        <v>3304</v>
      </c>
      <c r="I77" s="438" t="s">
        <v>3284</v>
      </c>
      <c r="J77" s="438" t="s">
        <v>3284</v>
      </c>
      <c r="K77" s="438" t="s">
        <v>2556</v>
      </c>
      <c r="L77" s="438" t="s">
        <v>2557</v>
      </c>
      <c r="M77" s="456">
        <v>17384</v>
      </c>
      <c r="N77" s="456"/>
      <c r="O77" s="456"/>
      <c r="P77" s="456">
        <v>17373.424999999999</v>
      </c>
    </row>
    <row r="78" spans="1:16" hidden="1" x14ac:dyDescent="0.5">
      <c r="A78" s="438">
        <v>75</v>
      </c>
      <c r="B78" s="438" t="s">
        <v>3626</v>
      </c>
      <c r="C78" s="438" t="s">
        <v>3624</v>
      </c>
      <c r="D78" s="438" t="s">
        <v>3631</v>
      </c>
      <c r="E78" s="438" t="s">
        <v>2553</v>
      </c>
      <c r="F78" s="438" t="s">
        <v>2559</v>
      </c>
      <c r="G78" s="438" t="s">
        <v>3268</v>
      </c>
      <c r="H78" s="438" t="s">
        <v>2686</v>
      </c>
      <c r="I78" s="438" t="s">
        <v>2573</v>
      </c>
      <c r="J78" s="438" t="s">
        <v>2573</v>
      </c>
      <c r="K78" s="438" t="s">
        <v>2556</v>
      </c>
      <c r="L78" s="438" t="s">
        <v>2557</v>
      </c>
      <c r="M78" s="456">
        <v>15357</v>
      </c>
      <c r="N78" s="456"/>
      <c r="O78" s="456"/>
      <c r="P78" s="456">
        <v>15347.657999999999</v>
      </c>
    </row>
    <row r="79" spans="1:16" hidden="1" x14ac:dyDescent="0.5">
      <c r="A79" s="438">
        <v>76</v>
      </c>
      <c r="B79" s="438" t="s">
        <v>3626</v>
      </c>
      <c r="C79" s="438" t="s">
        <v>3624</v>
      </c>
      <c r="D79" s="438" t="s">
        <v>3632</v>
      </c>
      <c r="E79" s="438" t="s">
        <v>2568</v>
      </c>
      <c r="F79" s="438" t="s">
        <v>2559</v>
      </c>
      <c r="G79" s="438" t="s">
        <v>3272</v>
      </c>
      <c r="H79" s="438" t="s">
        <v>2616</v>
      </c>
      <c r="I79" s="438" t="s">
        <v>2570</v>
      </c>
      <c r="J79" s="438" t="s">
        <v>2570</v>
      </c>
      <c r="K79" s="438" t="s">
        <v>2556</v>
      </c>
      <c r="L79" s="438" t="s">
        <v>2557</v>
      </c>
      <c r="M79" s="456">
        <v>11034</v>
      </c>
      <c r="N79" s="456"/>
      <c r="O79" s="456"/>
      <c r="P79" s="456">
        <v>11027.288</v>
      </c>
    </row>
    <row r="80" spans="1:16" hidden="1" x14ac:dyDescent="0.5">
      <c r="A80" s="438">
        <v>77</v>
      </c>
      <c r="B80" s="438" t="s">
        <v>3626</v>
      </c>
      <c r="C80" s="438" t="s">
        <v>3624</v>
      </c>
      <c r="D80" s="438" t="s">
        <v>3633</v>
      </c>
      <c r="E80" s="438" t="s">
        <v>2560</v>
      </c>
      <c r="F80" s="438" t="s">
        <v>2554</v>
      </c>
      <c r="G80" s="438" t="s">
        <v>2561</v>
      </c>
      <c r="H80" s="438" t="s">
        <v>2749</v>
      </c>
      <c r="I80" s="438" t="s">
        <v>2562</v>
      </c>
      <c r="J80" s="438" t="s">
        <v>2563</v>
      </c>
      <c r="K80" s="438" t="s">
        <v>2556</v>
      </c>
      <c r="L80" s="438" t="s">
        <v>2557</v>
      </c>
      <c r="M80" s="456">
        <v>3953</v>
      </c>
      <c r="N80" s="456"/>
      <c r="O80" s="456"/>
      <c r="P80" s="456">
        <v>3950.1950000000002</v>
      </c>
    </row>
    <row r="81" spans="1:16" hidden="1" x14ac:dyDescent="0.5">
      <c r="A81" s="438">
        <v>78</v>
      </c>
      <c r="B81" s="438" t="s">
        <v>3626</v>
      </c>
      <c r="C81" s="438" t="s">
        <v>3624</v>
      </c>
      <c r="D81" s="438" t="s">
        <v>3634</v>
      </c>
      <c r="E81" s="438" t="s">
        <v>2553</v>
      </c>
      <c r="F81" s="438" t="s">
        <v>2559</v>
      </c>
      <c r="G81" s="438" t="s">
        <v>3261</v>
      </c>
      <c r="H81" s="438" t="s">
        <v>2587</v>
      </c>
      <c r="I81" s="438" t="s">
        <v>2558</v>
      </c>
      <c r="J81" s="438" t="s">
        <v>2558</v>
      </c>
      <c r="K81" s="438" t="s">
        <v>2556</v>
      </c>
      <c r="L81" s="438" t="s">
        <v>2557</v>
      </c>
      <c r="M81" s="456">
        <v>14174</v>
      </c>
      <c r="N81" s="456"/>
      <c r="O81" s="456"/>
      <c r="P81" s="456">
        <v>14163.94</v>
      </c>
    </row>
    <row r="82" spans="1:16" hidden="1" x14ac:dyDescent="0.5">
      <c r="A82" s="438">
        <v>79</v>
      </c>
      <c r="B82" s="438" t="s">
        <v>3626</v>
      </c>
      <c r="C82" s="438" t="s">
        <v>3624</v>
      </c>
      <c r="D82" s="438" t="s">
        <v>3635</v>
      </c>
      <c r="E82" s="438" t="s">
        <v>2553</v>
      </c>
      <c r="F82" s="438" t="s">
        <v>2554</v>
      </c>
      <c r="G82" s="438" t="s">
        <v>3278</v>
      </c>
      <c r="H82" s="438" t="s">
        <v>3636</v>
      </c>
      <c r="I82" s="438" t="s">
        <v>3279</v>
      </c>
      <c r="J82" s="438" t="s">
        <v>3279</v>
      </c>
      <c r="K82" s="438" t="s">
        <v>2556</v>
      </c>
      <c r="L82" s="438" t="s">
        <v>2557</v>
      </c>
      <c r="M82" s="456">
        <v>31234</v>
      </c>
      <c r="N82" s="456"/>
      <c r="O82" s="456"/>
      <c r="P82" s="456">
        <v>31211.832999999999</v>
      </c>
    </row>
    <row r="83" spans="1:16" hidden="1" x14ac:dyDescent="0.5">
      <c r="A83" s="438">
        <v>80</v>
      </c>
      <c r="B83" s="438" t="s">
        <v>3637</v>
      </c>
      <c r="C83" s="438" t="s">
        <v>3624</v>
      </c>
      <c r="D83" s="438" t="s">
        <v>3638</v>
      </c>
      <c r="E83" s="438" t="s">
        <v>3266</v>
      </c>
      <c r="F83" s="438" t="s">
        <v>2554</v>
      </c>
      <c r="G83" s="438" t="s">
        <v>3267</v>
      </c>
      <c r="H83" s="438" t="s">
        <v>3311</v>
      </c>
      <c r="I83" s="438" t="s">
        <v>2558</v>
      </c>
      <c r="J83" s="438" t="s">
        <v>2558</v>
      </c>
      <c r="K83" s="438" t="s">
        <v>2556</v>
      </c>
      <c r="L83" s="438" t="s">
        <v>2557</v>
      </c>
      <c r="M83" s="456">
        <v>12807</v>
      </c>
      <c r="N83" s="456"/>
      <c r="O83" s="456"/>
      <c r="P83" s="456">
        <v>12810.895</v>
      </c>
    </row>
    <row r="84" spans="1:16" hidden="1" x14ac:dyDescent="0.5">
      <c r="A84" s="438">
        <v>81</v>
      </c>
      <c r="B84" s="438" t="s">
        <v>3637</v>
      </c>
      <c r="C84" s="438" t="s">
        <v>3624</v>
      </c>
      <c r="D84" s="438" t="s">
        <v>3639</v>
      </c>
      <c r="E84" s="438" t="s">
        <v>2566</v>
      </c>
      <c r="F84" s="438" t="s">
        <v>2559</v>
      </c>
      <c r="G84" s="438" t="s">
        <v>3282</v>
      </c>
      <c r="H84" s="438" t="s">
        <v>3304</v>
      </c>
      <c r="I84" s="438" t="s">
        <v>3284</v>
      </c>
      <c r="J84" s="438" t="s">
        <v>3284</v>
      </c>
      <c r="K84" s="438" t="s">
        <v>2556</v>
      </c>
      <c r="L84" s="438" t="s">
        <v>2557</v>
      </c>
      <c r="M84" s="456">
        <v>17723</v>
      </c>
      <c r="N84" s="456"/>
      <c r="O84" s="456"/>
      <c r="P84" s="456">
        <v>17728.39</v>
      </c>
    </row>
    <row r="85" spans="1:16" hidden="1" x14ac:dyDescent="0.5">
      <c r="A85" s="438">
        <v>82</v>
      </c>
      <c r="B85" s="438" t="s">
        <v>3637</v>
      </c>
      <c r="C85" s="438" t="s">
        <v>3624</v>
      </c>
      <c r="D85" s="438" t="s">
        <v>3640</v>
      </c>
      <c r="E85" s="438" t="s">
        <v>2553</v>
      </c>
      <c r="F85" s="438" t="s">
        <v>2554</v>
      </c>
      <c r="G85" s="438" t="s">
        <v>3285</v>
      </c>
      <c r="H85" s="438" t="s">
        <v>3569</v>
      </c>
      <c r="I85" s="438" t="s">
        <v>2555</v>
      </c>
      <c r="J85" s="438" t="s">
        <v>2555</v>
      </c>
      <c r="K85" s="438" t="s">
        <v>2556</v>
      </c>
      <c r="L85" s="438" t="s">
        <v>2557</v>
      </c>
      <c r="M85" s="456">
        <v>11784</v>
      </c>
      <c r="N85" s="456"/>
      <c r="O85" s="456"/>
      <c r="P85" s="456">
        <v>11787.584000000001</v>
      </c>
    </row>
    <row r="86" spans="1:16" hidden="1" x14ac:dyDescent="0.5">
      <c r="A86" s="438">
        <v>83</v>
      </c>
      <c r="B86" s="438" t="s">
        <v>3637</v>
      </c>
      <c r="C86" s="438" t="s">
        <v>3624</v>
      </c>
      <c r="D86" s="438" t="s">
        <v>3641</v>
      </c>
      <c r="E86" s="438" t="s">
        <v>2568</v>
      </c>
      <c r="F86" s="438" t="s">
        <v>2559</v>
      </c>
      <c r="G86" s="438" t="s">
        <v>3286</v>
      </c>
      <c r="H86" s="438" t="s">
        <v>2616</v>
      </c>
      <c r="I86" s="438" t="s">
        <v>2570</v>
      </c>
      <c r="J86" s="438" t="s">
        <v>2691</v>
      </c>
      <c r="K86" s="438" t="s">
        <v>2556</v>
      </c>
      <c r="L86" s="438" t="s">
        <v>2557</v>
      </c>
      <c r="M86" s="456">
        <v>15474</v>
      </c>
      <c r="N86" s="456"/>
      <c r="O86" s="456"/>
      <c r="P86" s="456">
        <v>15478.706</v>
      </c>
    </row>
    <row r="87" spans="1:16" hidden="1" x14ac:dyDescent="0.5">
      <c r="A87" s="438">
        <v>84</v>
      </c>
      <c r="B87" s="438" t="s">
        <v>3637</v>
      </c>
      <c r="C87" s="438" t="s">
        <v>3624</v>
      </c>
      <c r="D87" s="438" t="s">
        <v>3642</v>
      </c>
      <c r="E87" s="438" t="s">
        <v>2568</v>
      </c>
      <c r="F87" s="438" t="s">
        <v>2559</v>
      </c>
      <c r="G87" s="438" t="s">
        <v>3446</v>
      </c>
      <c r="H87" s="438" t="s">
        <v>3476</v>
      </c>
      <c r="I87" s="438" t="s">
        <v>2576</v>
      </c>
      <c r="J87" s="438" t="s">
        <v>3447</v>
      </c>
      <c r="K87" s="438" t="s">
        <v>2556</v>
      </c>
      <c r="L87" s="438" t="s">
        <v>2557</v>
      </c>
      <c r="M87" s="456">
        <v>13100</v>
      </c>
      <c r="N87" s="456"/>
      <c r="O87" s="456"/>
      <c r="P87" s="456">
        <v>13103.984</v>
      </c>
    </row>
    <row r="88" spans="1:16" hidden="1" x14ac:dyDescent="0.5">
      <c r="A88" s="438">
        <v>85</v>
      </c>
      <c r="B88" s="438" t="s">
        <v>3637</v>
      </c>
      <c r="C88" s="438" t="s">
        <v>3624</v>
      </c>
      <c r="D88" s="438" t="s">
        <v>3643</v>
      </c>
      <c r="E88" s="438" t="s">
        <v>2760</v>
      </c>
      <c r="F88" s="438" t="s">
        <v>2600</v>
      </c>
      <c r="G88" s="438" t="s">
        <v>2825</v>
      </c>
      <c r="H88" s="438" t="s">
        <v>2859</v>
      </c>
      <c r="I88" s="438" t="s">
        <v>2823</v>
      </c>
      <c r="J88" s="438" t="s">
        <v>2823</v>
      </c>
      <c r="K88" s="438" t="s">
        <v>2556</v>
      </c>
      <c r="L88" s="438" t="s">
        <v>2557</v>
      </c>
      <c r="M88" s="456">
        <v>58699</v>
      </c>
      <c r="N88" s="456"/>
      <c r="O88" s="456"/>
      <c r="P88" s="456">
        <v>58716.851000000002</v>
      </c>
    </row>
    <row r="89" spans="1:16" hidden="1" x14ac:dyDescent="0.5">
      <c r="A89" s="438">
        <v>86</v>
      </c>
      <c r="B89" s="438" t="s">
        <v>3637</v>
      </c>
      <c r="C89" s="438" t="s">
        <v>3624</v>
      </c>
      <c r="D89" s="438" t="s">
        <v>3644</v>
      </c>
      <c r="E89" s="438" t="s">
        <v>3290</v>
      </c>
      <c r="F89" s="438" t="s">
        <v>2559</v>
      </c>
      <c r="G89" s="438" t="s">
        <v>3291</v>
      </c>
      <c r="H89" s="438" t="s">
        <v>3467</v>
      </c>
      <c r="I89" s="438" t="s">
        <v>3292</v>
      </c>
      <c r="J89" s="438" t="s">
        <v>3292</v>
      </c>
      <c r="K89" s="438" t="s">
        <v>2556</v>
      </c>
      <c r="L89" s="438" t="s">
        <v>2557</v>
      </c>
      <c r="M89" s="456">
        <v>9062</v>
      </c>
      <c r="N89" s="456"/>
      <c r="O89" s="456"/>
      <c r="P89" s="456">
        <v>9064.7559999999994</v>
      </c>
    </row>
    <row r="90" spans="1:16" hidden="1" x14ac:dyDescent="0.5">
      <c r="A90" s="438">
        <v>87</v>
      </c>
      <c r="B90" s="438" t="s">
        <v>3637</v>
      </c>
      <c r="C90" s="438" t="s">
        <v>3624</v>
      </c>
      <c r="D90" s="438" t="s">
        <v>3645</v>
      </c>
      <c r="E90" s="438" t="s">
        <v>2568</v>
      </c>
      <c r="F90" s="438" t="s">
        <v>2559</v>
      </c>
      <c r="G90" s="438" t="s">
        <v>3287</v>
      </c>
      <c r="H90" s="438" t="s">
        <v>2616</v>
      </c>
      <c r="I90" s="438" t="s">
        <v>2691</v>
      </c>
      <c r="J90" s="438" t="s">
        <v>3273</v>
      </c>
      <c r="K90" s="438" t="s">
        <v>2556</v>
      </c>
      <c r="L90" s="438" t="s">
        <v>2557</v>
      </c>
      <c r="M90" s="456">
        <v>12115</v>
      </c>
      <c r="N90" s="456"/>
      <c r="O90" s="456"/>
      <c r="P90" s="456">
        <v>12108.86</v>
      </c>
    </row>
    <row r="91" spans="1:16" hidden="1" x14ac:dyDescent="0.5">
      <c r="A91" s="438">
        <v>88</v>
      </c>
      <c r="B91" s="438" t="s">
        <v>3637</v>
      </c>
      <c r="C91" s="438" t="s">
        <v>3624</v>
      </c>
      <c r="D91" s="438" t="s">
        <v>3646</v>
      </c>
      <c r="E91" s="438" t="s">
        <v>2560</v>
      </c>
      <c r="F91" s="438" t="s">
        <v>2554</v>
      </c>
      <c r="G91" s="438" t="s">
        <v>2561</v>
      </c>
      <c r="H91" s="438" t="s">
        <v>2749</v>
      </c>
      <c r="I91" s="438" t="s">
        <v>2562</v>
      </c>
      <c r="J91" s="438" t="s">
        <v>2563</v>
      </c>
      <c r="K91" s="438" t="s">
        <v>2556</v>
      </c>
      <c r="L91" s="438" t="s">
        <v>2557</v>
      </c>
      <c r="M91" s="456">
        <v>2967</v>
      </c>
      <c r="N91" s="456"/>
      <c r="O91" s="456"/>
      <c r="P91" s="456">
        <v>2965.4960000000001</v>
      </c>
    </row>
    <row r="92" spans="1:16" hidden="1" x14ac:dyDescent="0.5">
      <c r="A92" s="438">
        <v>89</v>
      </c>
      <c r="B92" s="438" t="s">
        <v>3637</v>
      </c>
      <c r="C92" s="438" t="s">
        <v>3624</v>
      </c>
      <c r="D92" s="438" t="s">
        <v>3647</v>
      </c>
      <c r="E92" s="438" t="s">
        <v>2553</v>
      </c>
      <c r="F92" s="438" t="s">
        <v>2559</v>
      </c>
      <c r="G92" s="438" t="s">
        <v>3261</v>
      </c>
      <c r="H92" s="438" t="s">
        <v>3262</v>
      </c>
      <c r="I92" s="438" t="s">
        <v>2558</v>
      </c>
      <c r="J92" s="438" t="s">
        <v>2558</v>
      </c>
      <c r="K92" s="438" t="s">
        <v>2556</v>
      </c>
      <c r="L92" s="438" t="s">
        <v>2557</v>
      </c>
      <c r="M92" s="456">
        <v>11300</v>
      </c>
      <c r="N92" s="456"/>
      <c r="O92" s="456"/>
      <c r="P92" s="456">
        <v>11294.272999999999</v>
      </c>
    </row>
    <row r="93" spans="1:16" hidden="1" x14ac:dyDescent="0.5">
      <c r="A93" s="438">
        <v>90</v>
      </c>
      <c r="B93" s="438" t="s">
        <v>3648</v>
      </c>
      <c r="C93" s="438" t="s">
        <v>3624</v>
      </c>
      <c r="D93" s="438" t="s">
        <v>3649</v>
      </c>
      <c r="E93" s="438" t="s">
        <v>3266</v>
      </c>
      <c r="F93" s="438" t="s">
        <v>2554</v>
      </c>
      <c r="G93" s="438" t="s">
        <v>3267</v>
      </c>
      <c r="H93" s="438" t="s">
        <v>3296</v>
      </c>
      <c r="I93" s="438" t="s">
        <v>2558</v>
      </c>
      <c r="J93" s="438" t="s">
        <v>2558</v>
      </c>
      <c r="K93" s="438" t="s">
        <v>2556</v>
      </c>
      <c r="L93" s="438" t="s">
        <v>2557</v>
      </c>
      <c r="M93" s="456">
        <v>12670</v>
      </c>
      <c r="N93" s="456"/>
      <c r="O93" s="456"/>
      <c r="P93" s="456">
        <v>12672.567999999999</v>
      </c>
    </row>
    <row r="94" spans="1:16" hidden="1" x14ac:dyDescent="0.5">
      <c r="A94" s="438">
        <v>91</v>
      </c>
      <c r="B94" s="438" t="s">
        <v>3648</v>
      </c>
      <c r="C94" s="438" t="s">
        <v>3624</v>
      </c>
      <c r="D94" s="438" t="s">
        <v>3650</v>
      </c>
      <c r="E94" s="438" t="s">
        <v>3270</v>
      </c>
      <c r="F94" s="438" t="s">
        <v>2554</v>
      </c>
      <c r="G94" s="438" t="s">
        <v>3271</v>
      </c>
      <c r="H94" s="438" t="s">
        <v>3651</v>
      </c>
      <c r="I94" s="438" t="s">
        <v>2558</v>
      </c>
      <c r="J94" s="438" t="s">
        <v>2558</v>
      </c>
      <c r="K94" s="438" t="s">
        <v>2556</v>
      </c>
      <c r="L94" s="438" t="s">
        <v>2557</v>
      </c>
      <c r="M94" s="456">
        <v>13360</v>
      </c>
      <c r="N94" s="456"/>
      <c r="O94" s="456"/>
      <c r="P94" s="456">
        <v>13362.708000000001</v>
      </c>
    </row>
    <row r="95" spans="1:16" hidden="1" x14ac:dyDescent="0.5">
      <c r="A95" s="438">
        <v>92</v>
      </c>
      <c r="B95" s="438" t="s">
        <v>3648</v>
      </c>
      <c r="C95" s="438" t="s">
        <v>3624</v>
      </c>
      <c r="D95" s="438" t="s">
        <v>3652</v>
      </c>
      <c r="E95" s="438" t="s">
        <v>2553</v>
      </c>
      <c r="F95" s="438" t="s">
        <v>2559</v>
      </c>
      <c r="G95" s="438" t="s">
        <v>3268</v>
      </c>
      <c r="H95" s="438" t="s">
        <v>2674</v>
      </c>
      <c r="I95" s="438" t="s">
        <v>2573</v>
      </c>
      <c r="J95" s="438" t="s">
        <v>2573</v>
      </c>
      <c r="K95" s="438" t="s">
        <v>2556</v>
      </c>
      <c r="L95" s="438" t="s">
        <v>2557</v>
      </c>
      <c r="M95" s="456">
        <v>14509</v>
      </c>
      <c r="N95" s="456"/>
      <c r="O95" s="456"/>
      <c r="P95" s="456">
        <v>14511.941000000001</v>
      </c>
    </row>
    <row r="96" spans="1:16" hidden="1" x14ac:dyDescent="0.5">
      <c r="A96" s="438">
        <v>93</v>
      </c>
      <c r="B96" s="438" t="s">
        <v>3648</v>
      </c>
      <c r="C96" s="438" t="s">
        <v>3624</v>
      </c>
      <c r="D96" s="438" t="s">
        <v>3653</v>
      </c>
      <c r="E96" s="438" t="s">
        <v>2568</v>
      </c>
      <c r="F96" s="438" t="s">
        <v>2559</v>
      </c>
      <c r="G96" s="438" t="s">
        <v>3272</v>
      </c>
      <c r="H96" s="438" t="s">
        <v>2616</v>
      </c>
      <c r="I96" s="438" t="s">
        <v>3273</v>
      </c>
      <c r="J96" s="438" t="s">
        <v>2570</v>
      </c>
      <c r="K96" s="438" t="s">
        <v>2556</v>
      </c>
      <c r="L96" s="438" t="s">
        <v>2557</v>
      </c>
      <c r="M96" s="456">
        <v>9932</v>
      </c>
      <c r="N96" s="456"/>
      <c r="O96" s="456"/>
      <c r="P96" s="456">
        <v>9934.0130000000008</v>
      </c>
    </row>
    <row r="97" spans="1:16" hidden="1" x14ac:dyDescent="0.5">
      <c r="A97" s="438">
        <v>94</v>
      </c>
      <c r="B97" s="438" t="s">
        <v>3648</v>
      </c>
      <c r="C97" s="438" t="s">
        <v>3624</v>
      </c>
      <c r="D97" s="438" t="s">
        <v>3654</v>
      </c>
      <c r="E97" s="438" t="s">
        <v>2760</v>
      </c>
      <c r="F97" s="438" t="s">
        <v>2600</v>
      </c>
      <c r="G97" s="438" t="s">
        <v>2866</v>
      </c>
      <c r="H97" s="438" t="s">
        <v>3492</v>
      </c>
      <c r="I97" s="438" t="s">
        <v>2761</v>
      </c>
      <c r="J97" s="438" t="s">
        <v>2761</v>
      </c>
      <c r="K97" s="438" t="s">
        <v>2556</v>
      </c>
      <c r="L97" s="438" t="s">
        <v>2557</v>
      </c>
      <c r="M97" s="456">
        <v>80005</v>
      </c>
      <c r="N97" s="456"/>
      <c r="O97" s="456"/>
      <c r="P97" s="456">
        <v>79980.67</v>
      </c>
    </row>
    <row r="98" spans="1:16" hidden="1" x14ac:dyDescent="0.5">
      <c r="A98" s="438">
        <v>95</v>
      </c>
      <c r="B98" s="438" t="s">
        <v>3648</v>
      </c>
      <c r="C98" s="438" t="s">
        <v>3624</v>
      </c>
      <c r="D98" s="438" t="s">
        <v>3655</v>
      </c>
      <c r="E98" s="438" t="s">
        <v>2568</v>
      </c>
      <c r="F98" s="438" t="s">
        <v>2559</v>
      </c>
      <c r="G98" s="438" t="s">
        <v>3274</v>
      </c>
      <c r="H98" s="438" t="s">
        <v>2616</v>
      </c>
      <c r="I98" s="438" t="s">
        <v>2570</v>
      </c>
      <c r="J98" s="438" t="s">
        <v>3275</v>
      </c>
      <c r="K98" s="438" t="s">
        <v>2556</v>
      </c>
      <c r="L98" s="438" t="s">
        <v>2557</v>
      </c>
      <c r="M98" s="456">
        <v>13411</v>
      </c>
      <c r="N98" s="456"/>
      <c r="O98" s="456"/>
      <c r="P98" s="456">
        <v>13406.922</v>
      </c>
    </row>
    <row r="99" spans="1:16" hidden="1" x14ac:dyDescent="0.5">
      <c r="A99" s="438">
        <v>96</v>
      </c>
      <c r="B99" s="438" t="s">
        <v>3648</v>
      </c>
      <c r="C99" s="438" t="s">
        <v>3624</v>
      </c>
      <c r="D99" s="438" t="s">
        <v>3656</v>
      </c>
      <c r="E99" s="438" t="s">
        <v>3657</v>
      </c>
      <c r="F99" s="438" t="s">
        <v>2559</v>
      </c>
      <c r="G99" s="438" t="s">
        <v>2612</v>
      </c>
      <c r="H99" s="438" t="s">
        <v>3658</v>
      </c>
      <c r="I99" s="438" t="s">
        <v>3659</v>
      </c>
      <c r="J99" s="438" t="s">
        <v>3660</v>
      </c>
      <c r="K99" s="438" t="s">
        <v>2556</v>
      </c>
      <c r="L99" s="438" t="s">
        <v>2557</v>
      </c>
      <c r="M99" s="456">
        <v>1800</v>
      </c>
      <c r="N99" s="456"/>
      <c r="O99" s="456"/>
      <c r="P99" s="456">
        <v>1799.453</v>
      </c>
    </row>
    <row r="100" spans="1:16" hidden="1" x14ac:dyDescent="0.5">
      <c r="A100" s="438">
        <v>97</v>
      </c>
      <c r="B100" s="438" t="s">
        <v>3648</v>
      </c>
      <c r="C100" s="438" t="s">
        <v>3624</v>
      </c>
      <c r="D100" s="438" t="s">
        <v>3661</v>
      </c>
      <c r="E100" s="438" t="s">
        <v>2560</v>
      </c>
      <c r="F100" s="438" t="s">
        <v>2554</v>
      </c>
      <c r="G100" s="438" t="s">
        <v>2561</v>
      </c>
      <c r="H100" s="438" t="s">
        <v>2749</v>
      </c>
      <c r="I100" s="438" t="s">
        <v>2562</v>
      </c>
      <c r="J100" s="438" t="s">
        <v>2563</v>
      </c>
      <c r="K100" s="438" t="s">
        <v>2556</v>
      </c>
      <c r="L100" s="438" t="s">
        <v>2557</v>
      </c>
      <c r="M100" s="456">
        <v>3721</v>
      </c>
      <c r="N100" s="456"/>
      <c r="O100" s="456"/>
      <c r="P100" s="456">
        <v>3719.8679999999999</v>
      </c>
    </row>
    <row r="101" spans="1:16" hidden="1" x14ac:dyDescent="0.5">
      <c r="A101" s="438">
        <v>98</v>
      </c>
      <c r="B101" s="438" t="s">
        <v>3648</v>
      </c>
      <c r="C101" s="438" t="s">
        <v>3624</v>
      </c>
      <c r="D101" s="438" t="s">
        <v>3662</v>
      </c>
      <c r="E101" s="438" t="s">
        <v>2553</v>
      </c>
      <c r="F101" s="438" t="s">
        <v>2554</v>
      </c>
      <c r="G101" s="438" t="s">
        <v>3278</v>
      </c>
      <c r="H101" s="438" t="s">
        <v>3636</v>
      </c>
      <c r="I101" s="438" t="s">
        <v>3279</v>
      </c>
      <c r="J101" s="438" t="s">
        <v>3279</v>
      </c>
      <c r="K101" s="438" t="s">
        <v>2556</v>
      </c>
      <c r="L101" s="438" t="s">
        <v>2557</v>
      </c>
      <c r="M101" s="456">
        <v>33593</v>
      </c>
      <c r="N101" s="456"/>
      <c r="O101" s="456"/>
      <c r="P101" s="456">
        <v>33582.784</v>
      </c>
    </row>
    <row r="102" spans="1:16" hidden="1" x14ac:dyDescent="0.5">
      <c r="A102" s="438">
        <v>99</v>
      </c>
      <c r="B102" s="438" t="s">
        <v>3648</v>
      </c>
      <c r="C102" s="438" t="s">
        <v>3624</v>
      </c>
      <c r="D102" s="438" t="s">
        <v>3663</v>
      </c>
      <c r="E102" s="438" t="s">
        <v>2553</v>
      </c>
      <c r="F102" s="438" t="s">
        <v>2559</v>
      </c>
      <c r="G102" s="438" t="s">
        <v>3261</v>
      </c>
      <c r="H102" s="438" t="s">
        <v>3293</v>
      </c>
      <c r="I102" s="438" t="s">
        <v>2558</v>
      </c>
      <c r="J102" s="438" t="s">
        <v>2558</v>
      </c>
      <c r="K102" s="438" t="s">
        <v>2556</v>
      </c>
      <c r="L102" s="438" t="s">
        <v>2557</v>
      </c>
      <c r="M102" s="456">
        <v>11067</v>
      </c>
      <c r="N102" s="456"/>
      <c r="O102" s="456"/>
      <c r="P102" s="456">
        <v>11063.635</v>
      </c>
    </row>
    <row r="103" spans="1:16" hidden="1" x14ac:dyDescent="0.5">
      <c r="A103" s="438">
        <v>100</v>
      </c>
      <c r="B103" s="438" t="s">
        <v>3664</v>
      </c>
      <c r="C103" s="438" t="s">
        <v>3624</v>
      </c>
      <c r="D103" s="438" t="s">
        <v>3665</v>
      </c>
      <c r="E103" s="438" t="s">
        <v>3266</v>
      </c>
      <c r="F103" s="438" t="s">
        <v>2554</v>
      </c>
      <c r="G103" s="438" t="s">
        <v>3267</v>
      </c>
      <c r="H103" s="438" t="s">
        <v>3495</v>
      </c>
      <c r="I103" s="438" t="s">
        <v>2558</v>
      </c>
      <c r="J103" s="438" t="s">
        <v>2558</v>
      </c>
      <c r="K103" s="438" t="s">
        <v>2556</v>
      </c>
      <c r="L103" s="438" t="s">
        <v>2557</v>
      </c>
      <c r="M103" s="456">
        <v>12421</v>
      </c>
      <c r="N103" s="456"/>
      <c r="O103" s="456"/>
      <c r="P103" s="456">
        <v>12413.445</v>
      </c>
    </row>
    <row r="104" spans="1:16" hidden="1" x14ac:dyDescent="0.5">
      <c r="A104" s="438">
        <v>101</v>
      </c>
      <c r="B104" s="438" t="s">
        <v>3664</v>
      </c>
      <c r="C104" s="438" t="s">
        <v>3624</v>
      </c>
      <c r="D104" s="438" t="s">
        <v>3666</v>
      </c>
      <c r="E104" s="438" t="s">
        <v>2566</v>
      </c>
      <c r="F104" s="438" t="s">
        <v>2559</v>
      </c>
      <c r="G104" s="438" t="s">
        <v>3263</v>
      </c>
      <c r="H104" s="438" t="s">
        <v>3604</v>
      </c>
      <c r="I104" s="438" t="s">
        <v>3265</v>
      </c>
      <c r="J104" s="438" t="s">
        <v>3265</v>
      </c>
      <c r="K104" s="438" t="s">
        <v>2556</v>
      </c>
      <c r="L104" s="438" t="s">
        <v>2557</v>
      </c>
      <c r="M104" s="456">
        <v>13281</v>
      </c>
      <c r="N104" s="456"/>
      <c r="O104" s="456"/>
      <c r="P104" s="456">
        <v>13272.922</v>
      </c>
    </row>
    <row r="105" spans="1:16" hidden="1" x14ac:dyDescent="0.5">
      <c r="A105" s="438">
        <v>102</v>
      </c>
      <c r="B105" s="438" t="s">
        <v>3664</v>
      </c>
      <c r="C105" s="438" t="s">
        <v>3624</v>
      </c>
      <c r="D105" s="438" t="s">
        <v>3667</v>
      </c>
      <c r="E105" s="438" t="s">
        <v>2566</v>
      </c>
      <c r="F105" s="438" t="s">
        <v>2559</v>
      </c>
      <c r="G105" s="438" t="s">
        <v>3281</v>
      </c>
      <c r="H105" s="438" t="s">
        <v>3332</v>
      </c>
      <c r="I105" s="438" t="s">
        <v>3276</v>
      </c>
      <c r="J105" s="438" t="s">
        <v>3276</v>
      </c>
      <c r="K105" s="438" t="s">
        <v>2556</v>
      </c>
      <c r="L105" s="438" t="s">
        <v>2557</v>
      </c>
      <c r="M105" s="456">
        <v>13262</v>
      </c>
      <c r="N105" s="456"/>
      <c r="O105" s="456"/>
      <c r="P105" s="456">
        <v>13253.933999999999</v>
      </c>
    </row>
    <row r="106" spans="1:16" hidden="1" x14ac:dyDescent="0.5">
      <c r="A106" s="438">
        <v>103</v>
      </c>
      <c r="B106" s="438" t="s">
        <v>3664</v>
      </c>
      <c r="C106" s="438" t="s">
        <v>3624</v>
      </c>
      <c r="D106" s="438" t="s">
        <v>3668</v>
      </c>
      <c r="E106" s="438" t="s">
        <v>2566</v>
      </c>
      <c r="F106" s="438" t="s">
        <v>2559</v>
      </c>
      <c r="G106" s="438" t="s">
        <v>3282</v>
      </c>
      <c r="H106" s="438" t="s">
        <v>3283</v>
      </c>
      <c r="I106" s="438" t="s">
        <v>3284</v>
      </c>
      <c r="J106" s="438" t="s">
        <v>3284</v>
      </c>
      <c r="K106" s="438" t="s">
        <v>2556</v>
      </c>
      <c r="L106" s="438" t="s">
        <v>2557</v>
      </c>
      <c r="M106" s="456">
        <v>18043</v>
      </c>
      <c r="N106" s="456"/>
      <c r="O106" s="456"/>
      <c r="P106" s="456">
        <v>18032.026000000002</v>
      </c>
    </row>
    <row r="107" spans="1:16" hidden="1" x14ac:dyDescent="0.5">
      <c r="A107" s="438">
        <v>104</v>
      </c>
      <c r="B107" s="438" t="s">
        <v>3664</v>
      </c>
      <c r="C107" s="438" t="s">
        <v>3624</v>
      </c>
      <c r="D107" s="438" t="s">
        <v>3669</v>
      </c>
      <c r="E107" s="438" t="s">
        <v>2553</v>
      </c>
      <c r="F107" s="438" t="s">
        <v>2554</v>
      </c>
      <c r="G107" s="438" t="s">
        <v>3285</v>
      </c>
      <c r="H107" s="438" t="s">
        <v>3306</v>
      </c>
      <c r="I107" s="438" t="s">
        <v>2555</v>
      </c>
      <c r="J107" s="438" t="s">
        <v>2555</v>
      </c>
      <c r="K107" s="438" t="s">
        <v>2556</v>
      </c>
      <c r="L107" s="438" t="s">
        <v>2557</v>
      </c>
      <c r="M107" s="456">
        <v>11064</v>
      </c>
      <c r="N107" s="456"/>
      <c r="O107" s="456"/>
      <c r="P107" s="456">
        <v>11057.271000000001</v>
      </c>
    </row>
    <row r="108" spans="1:16" hidden="1" x14ac:dyDescent="0.5">
      <c r="A108" s="438">
        <v>105</v>
      </c>
      <c r="B108" s="438" t="s">
        <v>3664</v>
      </c>
      <c r="C108" s="438" t="s">
        <v>3624</v>
      </c>
      <c r="D108" s="438" t="s">
        <v>3670</v>
      </c>
      <c r="E108" s="438" t="s">
        <v>2566</v>
      </c>
      <c r="F108" s="438" t="s">
        <v>2559</v>
      </c>
      <c r="G108" s="438" t="s">
        <v>3671</v>
      </c>
      <c r="H108" s="438" t="s">
        <v>3672</v>
      </c>
      <c r="I108" s="438" t="s">
        <v>2785</v>
      </c>
      <c r="J108" s="438" t="s">
        <v>2785</v>
      </c>
      <c r="K108" s="438" t="s">
        <v>2556</v>
      </c>
      <c r="L108" s="438" t="s">
        <v>2557</v>
      </c>
      <c r="M108" s="456">
        <v>9833</v>
      </c>
      <c r="N108" s="456"/>
      <c r="O108" s="456"/>
      <c r="P108" s="456">
        <v>9827.02</v>
      </c>
    </row>
    <row r="109" spans="1:16" hidden="1" x14ac:dyDescent="0.5">
      <c r="A109" s="438">
        <v>106</v>
      </c>
      <c r="B109" s="438" t="s">
        <v>3664</v>
      </c>
      <c r="C109" s="438" t="s">
        <v>3624</v>
      </c>
      <c r="D109" s="438" t="s">
        <v>3673</v>
      </c>
      <c r="E109" s="438" t="s">
        <v>2568</v>
      </c>
      <c r="F109" s="438" t="s">
        <v>2559</v>
      </c>
      <c r="G109" s="438" t="s">
        <v>3286</v>
      </c>
      <c r="H109" s="438" t="s">
        <v>2616</v>
      </c>
      <c r="I109" s="438" t="s">
        <v>2577</v>
      </c>
      <c r="J109" s="438" t="s">
        <v>2691</v>
      </c>
      <c r="K109" s="438" t="s">
        <v>2556</v>
      </c>
      <c r="L109" s="438" t="s">
        <v>2557</v>
      </c>
      <c r="M109" s="456">
        <v>15206</v>
      </c>
      <c r="N109" s="456"/>
      <c r="O109" s="456"/>
      <c r="P109" s="456">
        <v>15196.752</v>
      </c>
    </row>
    <row r="110" spans="1:16" hidden="1" x14ac:dyDescent="0.5">
      <c r="A110" s="438">
        <v>107</v>
      </c>
      <c r="B110" s="438" t="s">
        <v>3664</v>
      </c>
      <c r="C110" s="438" t="s">
        <v>3624</v>
      </c>
      <c r="D110" s="438" t="s">
        <v>3674</v>
      </c>
      <c r="E110" s="438" t="s">
        <v>2568</v>
      </c>
      <c r="F110" s="438" t="s">
        <v>2559</v>
      </c>
      <c r="G110" s="438" t="s">
        <v>3446</v>
      </c>
      <c r="H110" s="438" t="s">
        <v>3476</v>
      </c>
      <c r="I110" s="438" t="s">
        <v>2577</v>
      </c>
      <c r="J110" s="438" t="s">
        <v>3447</v>
      </c>
      <c r="K110" s="438" t="s">
        <v>2556</v>
      </c>
      <c r="L110" s="438" t="s">
        <v>2557</v>
      </c>
      <c r="M110" s="456">
        <v>14003</v>
      </c>
      <c r="N110" s="456"/>
      <c r="O110" s="456"/>
      <c r="P110" s="456">
        <v>13994.483</v>
      </c>
    </row>
    <row r="111" spans="1:16" hidden="1" x14ac:dyDescent="0.5">
      <c r="A111" s="438">
        <v>108</v>
      </c>
      <c r="B111" s="438" t="s">
        <v>3664</v>
      </c>
      <c r="C111" s="438" t="s">
        <v>3675</v>
      </c>
      <c r="D111" s="438" t="s">
        <v>3676</v>
      </c>
      <c r="E111" s="438" t="s">
        <v>2568</v>
      </c>
      <c r="F111" s="438" t="s">
        <v>2559</v>
      </c>
      <c r="G111" s="438" t="s">
        <v>3287</v>
      </c>
      <c r="H111" s="438" t="s">
        <v>2616</v>
      </c>
      <c r="I111" s="438" t="s">
        <v>2691</v>
      </c>
      <c r="J111" s="438" t="s">
        <v>3273</v>
      </c>
      <c r="K111" s="438" t="s">
        <v>2556</v>
      </c>
      <c r="L111" s="438" t="s">
        <v>2557</v>
      </c>
      <c r="M111" s="456">
        <v>13455</v>
      </c>
      <c r="N111" s="456"/>
      <c r="O111" s="456"/>
      <c r="P111" s="456">
        <v>13444.088</v>
      </c>
    </row>
    <row r="112" spans="1:16" hidden="1" x14ac:dyDescent="0.5">
      <c r="A112" s="438">
        <v>109</v>
      </c>
      <c r="B112" s="438" t="s">
        <v>3664</v>
      </c>
      <c r="C112" s="438" t="s">
        <v>3675</v>
      </c>
      <c r="D112" s="438" t="s">
        <v>3677</v>
      </c>
      <c r="E112" s="438" t="s">
        <v>2560</v>
      </c>
      <c r="F112" s="438" t="s">
        <v>2554</v>
      </c>
      <c r="G112" s="438" t="s">
        <v>2561</v>
      </c>
      <c r="H112" s="438" t="s">
        <v>2749</v>
      </c>
      <c r="I112" s="438" t="s">
        <v>2562</v>
      </c>
      <c r="J112" s="438" t="s">
        <v>2563</v>
      </c>
      <c r="K112" s="438" t="s">
        <v>2556</v>
      </c>
      <c r="L112" s="438" t="s">
        <v>2557</v>
      </c>
      <c r="M112" s="456">
        <v>2298</v>
      </c>
      <c r="N112" s="456"/>
      <c r="O112" s="456"/>
      <c r="P112" s="456">
        <v>2296.136</v>
      </c>
    </row>
    <row r="113" spans="1:16" hidden="1" x14ac:dyDescent="0.5">
      <c r="A113" s="438">
        <v>110</v>
      </c>
      <c r="B113" s="438" t="s">
        <v>3664</v>
      </c>
      <c r="C113" s="438" t="s">
        <v>3675</v>
      </c>
      <c r="D113" s="438" t="s">
        <v>3678</v>
      </c>
      <c r="E113" s="438" t="s">
        <v>2553</v>
      </c>
      <c r="F113" s="438" t="s">
        <v>2559</v>
      </c>
      <c r="G113" s="438" t="s">
        <v>3261</v>
      </c>
      <c r="H113" s="438" t="s">
        <v>3277</v>
      </c>
      <c r="I113" s="438" t="s">
        <v>2558</v>
      </c>
      <c r="J113" s="438" t="s">
        <v>2558</v>
      </c>
      <c r="K113" s="438" t="s">
        <v>2556</v>
      </c>
      <c r="L113" s="438" t="s">
        <v>2557</v>
      </c>
      <c r="M113" s="456">
        <v>11160</v>
      </c>
      <c r="N113" s="456"/>
      <c r="O113" s="456"/>
      <c r="P113" s="456">
        <v>11150.949000000001</v>
      </c>
    </row>
    <row r="114" spans="1:16" hidden="1" x14ac:dyDescent="0.5">
      <c r="A114" s="438">
        <v>111</v>
      </c>
      <c r="B114" s="438" t="s">
        <v>3679</v>
      </c>
      <c r="C114" s="438" t="s">
        <v>3675</v>
      </c>
      <c r="D114" s="438" t="s">
        <v>3680</v>
      </c>
      <c r="E114" s="438" t="s">
        <v>3266</v>
      </c>
      <c r="F114" s="438" t="s">
        <v>2554</v>
      </c>
      <c r="G114" s="438" t="s">
        <v>3267</v>
      </c>
      <c r="H114" s="438" t="s">
        <v>3618</v>
      </c>
      <c r="I114" s="438" t="s">
        <v>2558</v>
      </c>
      <c r="J114" s="438" t="s">
        <v>2558</v>
      </c>
      <c r="K114" s="438" t="s">
        <v>2556</v>
      </c>
      <c r="L114" s="438" t="s">
        <v>2557</v>
      </c>
      <c r="M114" s="456">
        <v>11213</v>
      </c>
      <c r="N114" s="456"/>
      <c r="O114" s="456"/>
      <c r="P114" s="456">
        <v>11217.546</v>
      </c>
    </row>
    <row r="115" spans="1:16" hidden="1" x14ac:dyDescent="0.5">
      <c r="A115" s="438">
        <v>112</v>
      </c>
      <c r="B115" s="438" t="s">
        <v>3679</v>
      </c>
      <c r="C115" s="438" t="s">
        <v>3675</v>
      </c>
      <c r="D115" s="438" t="s">
        <v>3681</v>
      </c>
      <c r="E115" s="438" t="s">
        <v>3270</v>
      </c>
      <c r="F115" s="438" t="s">
        <v>2554</v>
      </c>
      <c r="G115" s="438" t="s">
        <v>3271</v>
      </c>
      <c r="H115" s="438" t="s">
        <v>3496</v>
      </c>
      <c r="I115" s="438" t="s">
        <v>2558</v>
      </c>
      <c r="J115" s="438" t="s">
        <v>2558</v>
      </c>
      <c r="K115" s="438" t="s">
        <v>2556</v>
      </c>
      <c r="L115" s="438" t="s">
        <v>2557</v>
      </c>
      <c r="M115" s="456">
        <v>11926</v>
      </c>
      <c r="N115" s="456"/>
      <c r="O115" s="456"/>
      <c r="P115" s="456">
        <v>11930.834999999999</v>
      </c>
    </row>
    <row r="116" spans="1:16" hidden="1" x14ac:dyDescent="0.5">
      <c r="A116" s="438">
        <v>113</v>
      </c>
      <c r="B116" s="438" t="s">
        <v>3679</v>
      </c>
      <c r="C116" s="438" t="s">
        <v>3675</v>
      </c>
      <c r="D116" s="438" t="s">
        <v>3682</v>
      </c>
      <c r="E116" s="438" t="s">
        <v>2566</v>
      </c>
      <c r="F116" s="438" t="s">
        <v>2559</v>
      </c>
      <c r="G116" s="438" t="s">
        <v>3295</v>
      </c>
      <c r="H116" s="438" t="s">
        <v>3484</v>
      </c>
      <c r="I116" s="438" t="s">
        <v>2567</v>
      </c>
      <c r="J116" s="438" t="s">
        <v>2567</v>
      </c>
      <c r="K116" s="438" t="s">
        <v>2556</v>
      </c>
      <c r="L116" s="438" t="s">
        <v>2557</v>
      </c>
      <c r="M116" s="456">
        <v>13362</v>
      </c>
      <c r="N116" s="456"/>
      <c r="O116" s="456"/>
      <c r="P116" s="456">
        <v>13367.416999999999</v>
      </c>
    </row>
    <row r="117" spans="1:16" hidden="1" x14ac:dyDescent="0.5">
      <c r="A117" s="438">
        <v>114</v>
      </c>
      <c r="B117" s="438" t="s">
        <v>3679</v>
      </c>
      <c r="C117" s="438" t="s">
        <v>3675</v>
      </c>
      <c r="D117" s="438" t="s">
        <v>3683</v>
      </c>
      <c r="E117" s="438" t="s">
        <v>2553</v>
      </c>
      <c r="F117" s="438" t="s">
        <v>2559</v>
      </c>
      <c r="G117" s="438" t="s">
        <v>3268</v>
      </c>
      <c r="H117" s="438" t="s">
        <v>2701</v>
      </c>
      <c r="I117" s="438" t="s">
        <v>2573</v>
      </c>
      <c r="J117" s="438" t="s">
        <v>2573</v>
      </c>
      <c r="K117" s="438" t="s">
        <v>2556</v>
      </c>
      <c r="L117" s="438" t="s">
        <v>2557</v>
      </c>
      <c r="M117" s="456">
        <v>14507</v>
      </c>
      <c r="N117" s="456"/>
      <c r="O117" s="456"/>
      <c r="P117" s="456">
        <v>14512.882</v>
      </c>
    </row>
    <row r="118" spans="1:16" hidden="1" x14ac:dyDescent="0.5">
      <c r="A118" s="438">
        <v>115</v>
      </c>
      <c r="B118" s="438" t="s">
        <v>3679</v>
      </c>
      <c r="C118" s="438" t="s">
        <v>3675</v>
      </c>
      <c r="D118" s="438" t="s">
        <v>3684</v>
      </c>
      <c r="E118" s="438" t="s">
        <v>2568</v>
      </c>
      <c r="F118" s="438" t="s">
        <v>2559</v>
      </c>
      <c r="G118" s="438" t="s">
        <v>3272</v>
      </c>
      <c r="H118" s="438" t="s">
        <v>2616</v>
      </c>
      <c r="I118" s="438" t="s">
        <v>3273</v>
      </c>
      <c r="J118" s="438" t="s">
        <v>2570</v>
      </c>
      <c r="K118" s="438" t="s">
        <v>2556</v>
      </c>
      <c r="L118" s="438" t="s">
        <v>2557</v>
      </c>
      <c r="M118" s="456">
        <v>9029</v>
      </c>
      <c r="N118" s="456"/>
      <c r="O118" s="456"/>
      <c r="P118" s="456">
        <v>9032.6610000000001</v>
      </c>
    </row>
    <row r="119" spans="1:16" hidden="1" x14ac:dyDescent="0.5">
      <c r="A119" s="438">
        <v>116</v>
      </c>
      <c r="B119" s="438" t="s">
        <v>3679</v>
      </c>
      <c r="C119" s="438" t="s">
        <v>3675</v>
      </c>
      <c r="D119" s="438" t="s">
        <v>3685</v>
      </c>
      <c r="E119" s="438" t="s">
        <v>2560</v>
      </c>
      <c r="F119" s="438" t="s">
        <v>2554</v>
      </c>
      <c r="G119" s="438" t="s">
        <v>2561</v>
      </c>
      <c r="H119" s="438" t="s">
        <v>2749</v>
      </c>
      <c r="I119" s="438" t="s">
        <v>2562</v>
      </c>
      <c r="J119" s="438" t="s">
        <v>2563</v>
      </c>
      <c r="K119" s="438" t="s">
        <v>2556</v>
      </c>
      <c r="L119" s="438" t="s">
        <v>2557</v>
      </c>
      <c r="M119" s="456">
        <v>1932</v>
      </c>
      <c r="N119" s="456"/>
      <c r="O119" s="456"/>
      <c r="P119" s="456">
        <v>1931.413</v>
      </c>
    </row>
    <row r="120" spans="1:16" hidden="1" x14ac:dyDescent="0.5">
      <c r="A120" s="438">
        <v>117</v>
      </c>
      <c r="B120" s="438" t="s">
        <v>3679</v>
      </c>
      <c r="C120" s="438" t="s">
        <v>3675</v>
      </c>
      <c r="D120" s="438" t="s">
        <v>3686</v>
      </c>
      <c r="E120" s="438" t="s">
        <v>2553</v>
      </c>
      <c r="F120" s="438" t="s">
        <v>2559</v>
      </c>
      <c r="G120" s="438" t="s">
        <v>3261</v>
      </c>
      <c r="H120" s="438" t="s">
        <v>3307</v>
      </c>
      <c r="I120" s="438" t="s">
        <v>2558</v>
      </c>
      <c r="J120" s="438" t="s">
        <v>2558</v>
      </c>
      <c r="K120" s="438" t="s">
        <v>2556</v>
      </c>
      <c r="L120" s="438" t="s">
        <v>2557</v>
      </c>
      <c r="M120" s="456">
        <v>12106</v>
      </c>
      <c r="N120" s="456"/>
      <c r="O120" s="456"/>
      <c r="P120" s="456">
        <v>12102.319</v>
      </c>
    </row>
    <row r="121" spans="1:16" hidden="1" x14ac:dyDescent="0.5">
      <c r="A121" s="438">
        <v>118</v>
      </c>
      <c r="B121" s="438" t="s">
        <v>3679</v>
      </c>
      <c r="C121" s="438" t="s">
        <v>3675</v>
      </c>
      <c r="D121" s="438" t="s">
        <v>3687</v>
      </c>
      <c r="E121" s="438" t="s">
        <v>2553</v>
      </c>
      <c r="F121" s="438" t="s">
        <v>2554</v>
      </c>
      <c r="G121" s="438" t="s">
        <v>3278</v>
      </c>
      <c r="H121" s="438" t="s">
        <v>3688</v>
      </c>
      <c r="I121" s="438" t="s">
        <v>3279</v>
      </c>
      <c r="J121" s="438" t="s">
        <v>3279</v>
      </c>
      <c r="K121" s="438" t="s">
        <v>2556</v>
      </c>
      <c r="L121" s="438" t="s">
        <v>2557</v>
      </c>
      <c r="M121" s="456">
        <v>38302</v>
      </c>
      <c r="N121" s="456"/>
      <c r="O121" s="456"/>
      <c r="P121" s="456">
        <v>38290.351999999999</v>
      </c>
    </row>
    <row r="122" spans="1:16" hidden="1" x14ac:dyDescent="0.5">
      <c r="A122" s="438">
        <v>119</v>
      </c>
      <c r="B122" s="438" t="s">
        <v>3689</v>
      </c>
      <c r="C122" s="438" t="s">
        <v>3675</v>
      </c>
      <c r="D122" s="438" t="s">
        <v>3690</v>
      </c>
      <c r="E122" s="438" t="s">
        <v>3266</v>
      </c>
      <c r="F122" s="438" t="s">
        <v>2554</v>
      </c>
      <c r="G122" s="438" t="s">
        <v>3267</v>
      </c>
      <c r="H122" s="438" t="s">
        <v>3324</v>
      </c>
      <c r="I122" s="438" t="s">
        <v>2558</v>
      </c>
      <c r="J122" s="438" t="s">
        <v>2558</v>
      </c>
      <c r="K122" s="438" t="s">
        <v>2556</v>
      </c>
      <c r="L122" s="438" t="s">
        <v>2557</v>
      </c>
      <c r="M122" s="456">
        <v>11963</v>
      </c>
      <c r="N122" s="456"/>
      <c r="O122" s="456"/>
      <c r="P122" s="456">
        <v>11956.934999999999</v>
      </c>
    </row>
    <row r="123" spans="1:16" hidden="1" x14ac:dyDescent="0.5">
      <c r="A123" s="438">
        <v>120</v>
      </c>
      <c r="B123" s="438" t="s">
        <v>3689</v>
      </c>
      <c r="C123" s="438" t="s">
        <v>3675</v>
      </c>
      <c r="D123" s="438" t="s">
        <v>3691</v>
      </c>
      <c r="E123" s="438" t="s">
        <v>2566</v>
      </c>
      <c r="F123" s="438" t="s">
        <v>2559</v>
      </c>
      <c r="G123" s="438" t="s">
        <v>3282</v>
      </c>
      <c r="H123" s="438" t="s">
        <v>3304</v>
      </c>
      <c r="I123" s="438" t="s">
        <v>3284</v>
      </c>
      <c r="J123" s="438" t="s">
        <v>3284</v>
      </c>
      <c r="K123" s="438" t="s">
        <v>2556</v>
      </c>
      <c r="L123" s="438" t="s">
        <v>2557</v>
      </c>
      <c r="M123" s="456">
        <v>17912</v>
      </c>
      <c r="N123" s="456"/>
      <c r="O123" s="456"/>
      <c r="P123" s="456">
        <v>17902.919999999998</v>
      </c>
    </row>
    <row r="124" spans="1:16" hidden="1" x14ac:dyDescent="0.5">
      <c r="A124" s="438">
        <v>121</v>
      </c>
      <c r="B124" s="438" t="s">
        <v>3689</v>
      </c>
      <c r="C124" s="438" t="s">
        <v>3675</v>
      </c>
      <c r="D124" s="438" t="s">
        <v>3692</v>
      </c>
      <c r="E124" s="438" t="s">
        <v>2553</v>
      </c>
      <c r="F124" s="438" t="s">
        <v>2554</v>
      </c>
      <c r="G124" s="438" t="s">
        <v>3285</v>
      </c>
      <c r="H124" s="438" t="s">
        <v>3323</v>
      </c>
      <c r="I124" s="438" t="s">
        <v>2555</v>
      </c>
      <c r="J124" s="438" t="s">
        <v>2555</v>
      </c>
      <c r="K124" s="438" t="s">
        <v>2556</v>
      </c>
      <c r="L124" s="438" t="s">
        <v>2557</v>
      </c>
      <c r="M124" s="456">
        <v>12068</v>
      </c>
      <c r="N124" s="456"/>
      <c r="O124" s="456"/>
      <c r="P124" s="456">
        <v>12061.882</v>
      </c>
    </row>
    <row r="125" spans="1:16" hidden="1" x14ac:dyDescent="0.5">
      <c r="A125" s="438">
        <v>122</v>
      </c>
      <c r="B125" s="438" t="s">
        <v>3689</v>
      </c>
      <c r="C125" s="438" t="s">
        <v>3675</v>
      </c>
      <c r="D125" s="438" t="s">
        <v>3693</v>
      </c>
      <c r="E125" s="438" t="s">
        <v>2566</v>
      </c>
      <c r="F125" s="438" t="s">
        <v>2559</v>
      </c>
      <c r="G125" s="438" t="s">
        <v>3671</v>
      </c>
      <c r="H125" s="438" t="s">
        <v>3672</v>
      </c>
      <c r="I125" s="438" t="s">
        <v>2785</v>
      </c>
      <c r="J125" s="438" t="s">
        <v>2785</v>
      </c>
      <c r="K125" s="438" t="s">
        <v>2556</v>
      </c>
      <c r="L125" s="438" t="s">
        <v>2557</v>
      </c>
      <c r="M125" s="456">
        <v>8244</v>
      </c>
      <c r="N125" s="456"/>
      <c r="O125" s="456"/>
      <c r="P125" s="456">
        <v>8239.8209999999999</v>
      </c>
    </row>
    <row r="126" spans="1:16" hidden="1" x14ac:dyDescent="0.5">
      <c r="A126" s="438">
        <v>123</v>
      </c>
      <c r="B126" s="438" t="s">
        <v>3689</v>
      </c>
      <c r="C126" s="438" t="s">
        <v>3675</v>
      </c>
      <c r="D126" s="438" t="s">
        <v>3694</v>
      </c>
      <c r="E126" s="438" t="s">
        <v>2568</v>
      </c>
      <c r="F126" s="438" t="s">
        <v>2559</v>
      </c>
      <c r="G126" s="438" t="s">
        <v>3286</v>
      </c>
      <c r="H126" s="438" t="s">
        <v>2616</v>
      </c>
      <c r="I126" s="438" t="s">
        <v>3275</v>
      </c>
      <c r="J126" s="438" t="s">
        <v>2691</v>
      </c>
      <c r="K126" s="438" t="s">
        <v>2556</v>
      </c>
      <c r="L126" s="438" t="s">
        <v>2557</v>
      </c>
      <c r="M126" s="456">
        <v>16787</v>
      </c>
      <c r="N126" s="456"/>
      <c r="O126" s="456"/>
      <c r="P126" s="456">
        <v>16778.490000000002</v>
      </c>
    </row>
    <row r="127" spans="1:16" hidden="1" x14ac:dyDescent="0.5">
      <c r="A127" s="438">
        <v>124</v>
      </c>
      <c r="B127" s="438" t="s">
        <v>3689</v>
      </c>
      <c r="C127" s="438" t="s">
        <v>3675</v>
      </c>
      <c r="D127" s="438" t="s">
        <v>3695</v>
      </c>
      <c r="E127" s="438" t="s">
        <v>3290</v>
      </c>
      <c r="F127" s="438" t="s">
        <v>2559</v>
      </c>
      <c r="G127" s="438" t="s">
        <v>3291</v>
      </c>
      <c r="H127" s="438" t="s">
        <v>3453</v>
      </c>
      <c r="I127" s="438" t="s">
        <v>3292</v>
      </c>
      <c r="J127" s="438" t="s">
        <v>3292</v>
      </c>
      <c r="K127" s="438" t="s">
        <v>2556</v>
      </c>
      <c r="L127" s="438" t="s">
        <v>2557</v>
      </c>
      <c r="M127" s="456">
        <v>9469</v>
      </c>
      <c r="N127" s="456"/>
      <c r="O127" s="456"/>
      <c r="P127" s="456">
        <v>9464.2000000000007</v>
      </c>
    </row>
    <row r="128" spans="1:16" hidden="1" x14ac:dyDescent="0.5">
      <c r="A128" s="438">
        <v>125</v>
      </c>
      <c r="B128" s="438" t="s">
        <v>3689</v>
      </c>
      <c r="C128" s="438" t="s">
        <v>3675</v>
      </c>
      <c r="D128" s="438" t="s">
        <v>3696</v>
      </c>
      <c r="E128" s="438" t="s">
        <v>2568</v>
      </c>
      <c r="F128" s="438" t="s">
        <v>2559</v>
      </c>
      <c r="G128" s="438" t="s">
        <v>3287</v>
      </c>
      <c r="H128" s="438" t="s">
        <v>2616</v>
      </c>
      <c r="I128" s="438" t="s">
        <v>2691</v>
      </c>
      <c r="J128" s="438" t="s">
        <v>3273</v>
      </c>
      <c r="K128" s="438" t="s">
        <v>2556</v>
      </c>
      <c r="L128" s="438" t="s">
        <v>2557</v>
      </c>
      <c r="M128" s="456">
        <v>11905</v>
      </c>
      <c r="N128" s="456"/>
      <c r="O128" s="456"/>
      <c r="P128" s="456">
        <v>11898.965</v>
      </c>
    </row>
    <row r="129" spans="1:16" hidden="1" x14ac:dyDescent="0.5">
      <c r="A129" s="438">
        <v>126</v>
      </c>
      <c r="B129" s="438" t="s">
        <v>3689</v>
      </c>
      <c r="C129" s="438" t="s">
        <v>3675</v>
      </c>
      <c r="D129" s="438" t="s">
        <v>3697</v>
      </c>
      <c r="E129" s="438" t="s">
        <v>2560</v>
      </c>
      <c r="F129" s="438" t="s">
        <v>2554</v>
      </c>
      <c r="G129" s="438" t="s">
        <v>2561</v>
      </c>
      <c r="H129" s="438" t="s">
        <v>2749</v>
      </c>
      <c r="I129" s="438" t="s">
        <v>2562</v>
      </c>
      <c r="J129" s="438" t="s">
        <v>2563</v>
      </c>
      <c r="K129" s="438" t="s">
        <v>2556</v>
      </c>
      <c r="L129" s="438" t="s">
        <v>2557</v>
      </c>
      <c r="M129" s="456">
        <v>2682</v>
      </c>
      <c r="N129" s="456"/>
      <c r="O129" s="456"/>
      <c r="P129" s="456">
        <v>2680.64</v>
      </c>
    </row>
    <row r="130" spans="1:16" hidden="1" x14ac:dyDescent="0.5">
      <c r="A130" s="438">
        <v>127</v>
      </c>
      <c r="B130" s="438" t="s">
        <v>3689</v>
      </c>
      <c r="C130" s="438" t="s">
        <v>3675</v>
      </c>
      <c r="D130" s="438" t="s">
        <v>3698</v>
      </c>
      <c r="E130" s="438" t="s">
        <v>2553</v>
      </c>
      <c r="F130" s="438" t="s">
        <v>2559</v>
      </c>
      <c r="G130" s="438" t="s">
        <v>3261</v>
      </c>
      <c r="H130" s="438" t="s">
        <v>3403</v>
      </c>
      <c r="I130" s="438" t="s">
        <v>2558</v>
      </c>
      <c r="J130" s="438" t="s">
        <v>2558</v>
      </c>
      <c r="K130" s="438" t="s">
        <v>2556</v>
      </c>
      <c r="L130" s="438" t="s">
        <v>2557</v>
      </c>
      <c r="M130" s="456">
        <v>11990</v>
      </c>
      <c r="N130" s="456"/>
      <c r="O130" s="456"/>
      <c r="P130" s="456">
        <v>11983.922</v>
      </c>
    </row>
    <row r="131" spans="1:16" hidden="1" x14ac:dyDescent="0.5">
      <c r="A131" s="438">
        <v>128</v>
      </c>
      <c r="B131" s="438" t="s">
        <v>3699</v>
      </c>
      <c r="C131" s="438" t="s">
        <v>3675</v>
      </c>
      <c r="D131" s="438" t="s">
        <v>3700</v>
      </c>
      <c r="E131" s="438" t="s">
        <v>2760</v>
      </c>
      <c r="F131" s="438" t="s">
        <v>2600</v>
      </c>
      <c r="G131" s="438" t="s">
        <v>2789</v>
      </c>
      <c r="H131" s="438" t="s">
        <v>2758</v>
      </c>
      <c r="I131" s="438" t="s">
        <v>2757</v>
      </c>
      <c r="J131" s="438" t="s">
        <v>2757</v>
      </c>
      <c r="K131" s="438" t="s">
        <v>2556</v>
      </c>
      <c r="L131" s="438" t="s">
        <v>2557</v>
      </c>
      <c r="M131" s="456">
        <v>79141</v>
      </c>
      <c r="N131" s="456"/>
      <c r="O131" s="456"/>
      <c r="P131" s="456">
        <v>79165.072</v>
      </c>
    </row>
    <row r="132" spans="1:16" hidden="1" x14ac:dyDescent="0.5">
      <c r="A132" s="438">
        <v>129</v>
      </c>
      <c r="B132" s="438" t="s">
        <v>3699</v>
      </c>
      <c r="C132" s="438" t="s">
        <v>3675</v>
      </c>
      <c r="D132" s="438" t="s">
        <v>3701</v>
      </c>
      <c r="E132" s="438" t="s">
        <v>3266</v>
      </c>
      <c r="F132" s="438" t="s">
        <v>2554</v>
      </c>
      <c r="G132" s="438" t="s">
        <v>3267</v>
      </c>
      <c r="H132" s="438" t="s">
        <v>3296</v>
      </c>
      <c r="I132" s="438" t="s">
        <v>2558</v>
      </c>
      <c r="J132" s="438" t="s">
        <v>2558</v>
      </c>
      <c r="K132" s="438" t="s">
        <v>2556</v>
      </c>
      <c r="L132" s="438" t="s">
        <v>2557</v>
      </c>
      <c r="M132" s="456">
        <v>13331</v>
      </c>
      <c r="N132" s="456"/>
      <c r="O132" s="456"/>
      <c r="P132" s="456">
        <v>13335.055</v>
      </c>
    </row>
    <row r="133" spans="1:16" hidden="1" x14ac:dyDescent="0.5">
      <c r="A133" s="438">
        <v>130</v>
      </c>
      <c r="B133" s="438" t="s">
        <v>3699</v>
      </c>
      <c r="C133" s="438" t="s">
        <v>3675</v>
      </c>
      <c r="D133" s="438" t="s">
        <v>3702</v>
      </c>
      <c r="E133" s="438" t="s">
        <v>3270</v>
      </c>
      <c r="F133" s="438" t="s">
        <v>2554</v>
      </c>
      <c r="G133" s="438" t="s">
        <v>3271</v>
      </c>
      <c r="H133" s="438" t="s">
        <v>3651</v>
      </c>
      <c r="I133" s="438" t="s">
        <v>2558</v>
      </c>
      <c r="J133" s="438" t="s">
        <v>2558</v>
      </c>
      <c r="K133" s="438" t="s">
        <v>2556</v>
      </c>
      <c r="L133" s="438" t="s">
        <v>2557</v>
      </c>
      <c r="M133" s="456">
        <v>13153</v>
      </c>
      <c r="N133" s="456"/>
      <c r="O133" s="456"/>
      <c r="P133" s="456">
        <v>13157.001</v>
      </c>
    </row>
    <row r="134" spans="1:16" hidden="1" x14ac:dyDescent="0.5">
      <c r="A134" s="438">
        <v>131</v>
      </c>
      <c r="B134" s="438" t="s">
        <v>3699</v>
      </c>
      <c r="C134" s="438" t="s">
        <v>3675</v>
      </c>
      <c r="D134" s="438" t="s">
        <v>3703</v>
      </c>
      <c r="E134" s="438" t="s">
        <v>2553</v>
      </c>
      <c r="F134" s="438" t="s">
        <v>2554</v>
      </c>
      <c r="G134" s="438" t="s">
        <v>3285</v>
      </c>
      <c r="H134" s="438" t="s">
        <v>3306</v>
      </c>
      <c r="I134" s="438" t="s">
        <v>2555</v>
      </c>
      <c r="J134" s="438" t="s">
        <v>2555</v>
      </c>
      <c r="K134" s="438" t="s">
        <v>2556</v>
      </c>
      <c r="L134" s="438" t="s">
        <v>2557</v>
      </c>
      <c r="M134" s="456">
        <v>13170</v>
      </c>
      <c r="N134" s="456"/>
      <c r="O134" s="456"/>
      <c r="P134" s="456">
        <v>13174.005999999999</v>
      </c>
    </row>
    <row r="135" spans="1:16" hidden="1" x14ac:dyDescent="0.5">
      <c r="A135" s="438">
        <v>132</v>
      </c>
      <c r="B135" s="438" t="s">
        <v>3699</v>
      </c>
      <c r="C135" s="438" t="s">
        <v>3675</v>
      </c>
      <c r="D135" s="438" t="s">
        <v>3704</v>
      </c>
      <c r="E135" s="438" t="s">
        <v>2566</v>
      </c>
      <c r="F135" s="438" t="s">
        <v>2559</v>
      </c>
      <c r="G135" s="438" t="s">
        <v>3671</v>
      </c>
      <c r="H135" s="438" t="s">
        <v>3672</v>
      </c>
      <c r="I135" s="438" t="s">
        <v>2785</v>
      </c>
      <c r="J135" s="438" t="s">
        <v>2785</v>
      </c>
      <c r="K135" s="438" t="s">
        <v>2556</v>
      </c>
      <c r="L135" s="438" t="s">
        <v>2557</v>
      </c>
      <c r="M135" s="456">
        <v>8427</v>
      </c>
      <c r="N135" s="456"/>
      <c r="O135" s="456"/>
      <c r="P135" s="456">
        <v>8429.5630000000001</v>
      </c>
    </row>
    <row r="136" spans="1:16" hidden="1" x14ac:dyDescent="0.5">
      <c r="A136" s="438">
        <v>133</v>
      </c>
      <c r="B136" s="438" t="s">
        <v>3699</v>
      </c>
      <c r="C136" s="438" t="s">
        <v>3675</v>
      </c>
      <c r="D136" s="438" t="s">
        <v>3705</v>
      </c>
      <c r="E136" s="438" t="s">
        <v>2568</v>
      </c>
      <c r="F136" s="438" t="s">
        <v>2559</v>
      </c>
      <c r="G136" s="438" t="s">
        <v>3446</v>
      </c>
      <c r="H136" s="438" t="s">
        <v>2616</v>
      </c>
      <c r="I136" s="438" t="s">
        <v>3273</v>
      </c>
      <c r="J136" s="438" t="s">
        <v>3447</v>
      </c>
      <c r="K136" s="438" t="s">
        <v>2556</v>
      </c>
      <c r="L136" s="438" t="s">
        <v>2557</v>
      </c>
      <c r="M136" s="456">
        <v>13545</v>
      </c>
      <c r="N136" s="456"/>
      <c r="O136" s="456"/>
      <c r="P136" s="456">
        <v>13549.12</v>
      </c>
    </row>
    <row r="137" spans="1:16" hidden="1" x14ac:dyDescent="0.5">
      <c r="A137" s="438">
        <v>134</v>
      </c>
      <c r="B137" s="438" t="s">
        <v>3699</v>
      </c>
      <c r="C137" s="438" t="s">
        <v>3675</v>
      </c>
      <c r="D137" s="438" t="s">
        <v>3706</v>
      </c>
      <c r="E137" s="438" t="s">
        <v>2560</v>
      </c>
      <c r="F137" s="438" t="s">
        <v>2554</v>
      </c>
      <c r="G137" s="438" t="s">
        <v>2561</v>
      </c>
      <c r="H137" s="438" t="s">
        <v>2749</v>
      </c>
      <c r="I137" s="438" t="s">
        <v>2577</v>
      </c>
      <c r="J137" s="438" t="s">
        <v>2563</v>
      </c>
      <c r="K137" s="438" t="s">
        <v>2556</v>
      </c>
      <c r="L137" s="438" t="s">
        <v>2557</v>
      </c>
      <c r="M137" s="456">
        <v>2494</v>
      </c>
      <c r="N137" s="456"/>
      <c r="O137" s="456"/>
      <c r="P137" s="456">
        <v>2493.241</v>
      </c>
    </row>
    <row r="138" spans="1:16" hidden="1" x14ac:dyDescent="0.5">
      <c r="A138" s="438">
        <v>135</v>
      </c>
      <c r="B138" s="438" t="s">
        <v>3699</v>
      </c>
      <c r="C138" s="438" t="s">
        <v>3675</v>
      </c>
      <c r="D138" s="438" t="s">
        <v>3707</v>
      </c>
      <c r="E138" s="438" t="s">
        <v>2553</v>
      </c>
      <c r="F138" s="438" t="s">
        <v>2559</v>
      </c>
      <c r="G138" s="438" t="s">
        <v>3261</v>
      </c>
      <c r="H138" s="438" t="s">
        <v>3708</v>
      </c>
      <c r="I138" s="438" t="s">
        <v>2558</v>
      </c>
      <c r="J138" s="438" t="s">
        <v>2558</v>
      </c>
      <c r="K138" s="438" t="s">
        <v>2556</v>
      </c>
      <c r="L138" s="438" t="s">
        <v>2557</v>
      </c>
      <c r="M138" s="456">
        <v>13240</v>
      </c>
      <c r="N138" s="456"/>
      <c r="O138" s="456"/>
      <c r="P138" s="456">
        <v>13235.973</v>
      </c>
    </row>
    <row r="139" spans="1:16" hidden="1" x14ac:dyDescent="0.5">
      <c r="A139" s="438">
        <v>136</v>
      </c>
      <c r="B139" s="438" t="s">
        <v>3709</v>
      </c>
      <c r="C139" s="438" t="s">
        <v>3675</v>
      </c>
      <c r="D139" s="438" t="s">
        <v>3710</v>
      </c>
      <c r="E139" s="438" t="s">
        <v>2566</v>
      </c>
      <c r="F139" s="438" t="s">
        <v>2559</v>
      </c>
      <c r="G139" s="438" t="s">
        <v>3282</v>
      </c>
      <c r="H139" s="438" t="s">
        <v>3300</v>
      </c>
      <c r="I139" s="438" t="s">
        <v>3284</v>
      </c>
      <c r="J139" s="438" t="s">
        <v>3284</v>
      </c>
      <c r="K139" s="438" t="s">
        <v>2556</v>
      </c>
      <c r="L139" s="438" t="s">
        <v>2557</v>
      </c>
      <c r="M139" s="456">
        <v>17236</v>
      </c>
      <c r="N139" s="456"/>
      <c r="O139" s="456"/>
      <c r="P139" s="456">
        <v>17249.98</v>
      </c>
    </row>
    <row r="140" spans="1:16" hidden="1" x14ac:dyDescent="0.5">
      <c r="A140" s="438">
        <v>137</v>
      </c>
      <c r="B140" s="438" t="s">
        <v>3709</v>
      </c>
      <c r="C140" s="438" t="s">
        <v>3675</v>
      </c>
      <c r="D140" s="438" t="s">
        <v>3711</v>
      </c>
      <c r="E140" s="438" t="s">
        <v>2553</v>
      </c>
      <c r="F140" s="438" t="s">
        <v>2554</v>
      </c>
      <c r="G140" s="438" t="s">
        <v>3712</v>
      </c>
      <c r="H140" s="438" t="s">
        <v>3713</v>
      </c>
      <c r="I140" s="438" t="s">
        <v>2567</v>
      </c>
      <c r="J140" s="438" t="s">
        <v>2567</v>
      </c>
      <c r="K140" s="438" t="s">
        <v>2556</v>
      </c>
      <c r="L140" s="438" t="s">
        <v>2557</v>
      </c>
      <c r="M140" s="456">
        <v>14656</v>
      </c>
      <c r="N140" s="456"/>
      <c r="O140" s="456"/>
      <c r="P140" s="456">
        <v>14667.888000000001</v>
      </c>
    </row>
    <row r="141" spans="1:16" hidden="1" x14ac:dyDescent="0.5">
      <c r="A141" s="438">
        <v>138</v>
      </c>
      <c r="B141" s="438" t="s">
        <v>3709</v>
      </c>
      <c r="C141" s="438" t="s">
        <v>3675</v>
      </c>
      <c r="D141" s="438" t="s">
        <v>3714</v>
      </c>
      <c r="E141" s="438" t="s">
        <v>2553</v>
      </c>
      <c r="F141" s="438" t="s">
        <v>2559</v>
      </c>
      <c r="G141" s="438" t="s">
        <v>3268</v>
      </c>
      <c r="H141" s="438" t="s">
        <v>2603</v>
      </c>
      <c r="I141" s="438" t="s">
        <v>2573</v>
      </c>
      <c r="J141" s="438" t="s">
        <v>2573</v>
      </c>
      <c r="K141" s="438" t="s">
        <v>2556</v>
      </c>
      <c r="L141" s="438" t="s">
        <v>2557</v>
      </c>
      <c r="M141" s="456">
        <v>15905</v>
      </c>
      <c r="N141" s="456"/>
      <c r="O141" s="456"/>
      <c r="P141" s="456">
        <v>15917.901</v>
      </c>
    </row>
    <row r="142" spans="1:16" hidden="1" x14ac:dyDescent="0.5">
      <c r="A142" s="438">
        <v>139</v>
      </c>
      <c r="B142" s="438" t="s">
        <v>3709</v>
      </c>
      <c r="C142" s="438" t="s">
        <v>3715</v>
      </c>
      <c r="D142" s="438" t="s">
        <v>3716</v>
      </c>
      <c r="E142" s="438" t="s">
        <v>3266</v>
      </c>
      <c r="F142" s="438" t="s">
        <v>2554</v>
      </c>
      <c r="G142" s="438" t="s">
        <v>3267</v>
      </c>
      <c r="H142" s="438" t="s">
        <v>3495</v>
      </c>
      <c r="I142" s="438" t="s">
        <v>2558</v>
      </c>
      <c r="J142" s="438" t="s">
        <v>2558</v>
      </c>
      <c r="K142" s="438" t="s">
        <v>2556</v>
      </c>
      <c r="L142" s="438" t="s">
        <v>2557</v>
      </c>
      <c r="M142" s="456">
        <v>13372</v>
      </c>
      <c r="N142" s="456"/>
      <c r="O142" s="456"/>
      <c r="P142" s="456">
        <v>13382.846</v>
      </c>
    </row>
    <row r="143" spans="1:16" hidden="1" x14ac:dyDescent="0.5">
      <c r="A143" s="438">
        <v>140</v>
      </c>
      <c r="B143" s="438" t="s">
        <v>3709</v>
      </c>
      <c r="C143" s="438" t="s">
        <v>3715</v>
      </c>
      <c r="D143" s="438" t="s">
        <v>3717</v>
      </c>
      <c r="E143" s="438" t="s">
        <v>3270</v>
      </c>
      <c r="F143" s="438" t="s">
        <v>2554</v>
      </c>
      <c r="G143" s="438" t="s">
        <v>3271</v>
      </c>
      <c r="H143" s="438" t="s">
        <v>3455</v>
      </c>
      <c r="I143" s="438" t="s">
        <v>2558</v>
      </c>
      <c r="J143" s="438" t="s">
        <v>2558</v>
      </c>
      <c r="K143" s="438" t="s">
        <v>2556</v>
      </c>
      <c r="L143" s="438" t="s">
        <v>2557</v>
      </c>
      <c r="M143" s="456">
        <v>12626</v>
      </c>
      <c r="N143" s="456"/>
      <c r="O143" s="456"/>
      <c r="P143" s="456">
        <v>12636.241</v>
      </c>
    </row>
    <row r="144" spans="1:16" hidden="1" x14ac:dyDescent="0.5">
      <c r="A144" s="438">
        <v>141</v>
      </c>
      <c r="B144" s="438" t="s">
        <v>3709</v>
      </c>
      <c r="C144" s="438" t="s">
        <v>3715</v>
      </c>
      <c r="D144" s="438" t="s">
        <v>3718</v>
      </c>
      <c r="E144" s="438" t="s">
        <v>2566</v>
      </c>
      <c r="F144" s="438" t="s">
        <v>2559</v>
      </c>
      <c r="G144" s="438" t="s">
        <v>3671</v>
      </c>
      <c r="H144" s="438" t="s">
        <v>3672</v>
      </c>
      <c r="I144" s="438" t="s">
        <v>2785</v>
      </c>
      <c r="J144" s="438" t="s">
        <v>2785</v>
      </c>
      <c r="K144" s="438" t="s">
        <v>2556</v>
      </c>
      <c r="L144" s="438" t="s">
        <v>2557</v>
      </c>
      <c r="M144" s="456">
        <v>8190</v>
      </c>
      <c r="N144" s="456"/>
      <c r="O144" s="456"/>
      <c r="P144" s="456">
        <v>8196.643</v>
      </c>
    </row>
    <row r="145" spans="1:16" hidden="1" x14ac:dyDescent="0.5">
      <c r="A145" s="438">
        <v>142</v>
      </c>
      <c r="B145" s="438" t="s">
        <v>3709</v>
      </c>
      <c r="C145" s="438" t="s">
        <v>3715</v>
      </c>
      <c r="D145" s="438" t="s">
        <v>3719</v>
      </c>
      <c r="E145" s="438" t="s">
        <v>2568</v>
      </c>
      <c r="F145" s="438" t="s">
        <v>2559</v>
      </c>
      <c r="G145" s="438" t="s">
        <v>3272</v>
      </c>
      <c r="H145" s="438" t="s">
        <v>2616</v>
      </c>
      <c r="I145" s="438" t="s">
        <v>3447</v>
      </c>
      <c r="J145" s="438" t="s">
        <v>2570</v>
      </c>
      <c r="K145" s="438" t="s">
        <v>2556</v>
      </c>
      <c r="L145" s="438" t="s">
        <v>2557</v>
      </c>
      <c r="M145" s="456">
        <v>9828</v>
      </c>
      <c r="N145" s="456"/>
      <c r="O145" s="456"/>
      <c r="P145" s="456">
        <v>9835.9719999999998</v>
      </c>
    </row>
    <row r="146" spans="1:16" hidden="1" x14ac:dyDescent="0.5">
      <c r="A146" s="438">
        <v>143</v>
      </c>
      <c r="B146" s="438" t="s">
        <v>3709</v>
      </c>
      <c r="C146" s="438" t="s">
        <v>3715</v>
      </c>
      <c r="D146" s="438" t="s">
        <v>3720</v>
      </c>
      <c r="E146" s="438" t="s">
        <v>2568</v>
      </c>
      <c r="F146" s="438" t="s">
        <v>2559</v>
      </c>
      <c r="G146" s="438" t="s">
        <v>3274</v>
      </c>
      <c r="H146" s="438" t="s">
        <v>2616</v>
      </c>
      <c r="I146" s="438" t="s">
        <v>2570</v>
      </c>
      <c r="J146" s="438" t="s">
        <v>3275</v>
      </c>
      <c r="K146" s="438" t="s">
        <v>2556</v>
      </c>
      <c r="L146" s="438" t="s">
        <v>2557</v>
      </c>
      <c r="M146" s="456">
        <v>14301</v>
      </c>
      <c r="N146" s="456"/>
      <c r="O146" s="456"/>
      <c r="P146" s="456">
        <v>14296.65</v>
      </c>
    </row>
    <row r="147" spans="1:16" hidden="1" x14ac:dyDescent="0.5">
      <c r="A147" s="438">
        <v>144</v>
      </c>
      <c r="B147" s="438" t="s">
        <v>3709</v>
      </c>
      <c r="C147" s="438" t="s">
        <v>3715</v>
      </c>
      <c r="D147" s="438" t="s">
        <v>3721</v>
      </c>
      <c r="E147" s="438" t="s">
        <v>2568</v>
      </c>
      <c r="F147" s="438" t="s">
        <v>2559</v>
      </c>
      <c r="G147" s="438" t="s">
        <v>3722</v>
      </c>
      <c r="H147" s="438" t="s">
        <v>3723</v>
      </c>
      <c r="I147" s="438" t="s">
        <v>2577</v>
      </c>
      <c r="J147" s="438" t="s">
        <v>3724</v>
      </c>
      <c r="K147" s="438" t="s">
        <v>2556</v>
      </c>
      <c r="L147" s="438" t="s">
        <v>2557</v>
      </c>
      <c r="M147" s="456">
        <v>13588</v>
      </c>
      <c r="N147" s="456"/>
      <c r="O147" s="456"/>
      <c r="P147" s="456">
        <v>13583.867</v>
      </c>
    </row>
    <row r="148" spans="1:16" hidden="1" x14ac:dyDescent="0.5">
      <c r="A148" s="438">
        <v>145</v>
      </c>
      <c r="B148" s="438" t="s">
        <v>3709</v>
      </c>
      <c r="C148" s="438" t="s">
        <v>3715</v>
      </c>
      <c r="D148" s="438" t="s">
        <v>3725</v>
      </c>
      <c r="E148" s="438" t="s">
        <v>2560</v>
      </c>
      <c r="F148" s="438" t="s">
        <v>2554</v>
      </c>
      <c r="G148" s="438" t="s">
        <v>2561</v>
      </c>
      <c r="H148" s="438" t="s">
        <v>2749</v>
      </c>
      <c r="I148" s="438" t="s">
        <v>2562</v>
      </c>
      <c r="J148" s="438" t="s">
        <v>2563</v>
      </c>
      <c r="K148" s="438" t="s">
        <v>2556</v>
      </c>
      <c r="L148" s="438" t="s">
        <v>2557</v>
      </c>
      <c r="M148" s="456">
        <v>298</v>
      </c>
      <c r="N148" s="456"/>
      <c r="O148" s="456"/>
      <c r="P148" s="456">
        <v>297.90899999999999</v>
      </c>
    </row>
    <row r="149" spans="1:16" hidden="1" x14ac:dyDescent="0.5">
      <c r="A149" s="438">
        <v>146</v>
      </c>
      <c r="B149" s="438" t="s">
        <v>3709</v>
      </c>
      <c r="C149" s="438" t="s">
        <v>3715</v>
      </c>
      <c r="D149" s="438" t="s">
        <v>3726</v>
      </c>
      <c r="E149" s="438" t="s">
        <v>2553</v>
      </c>
      <c r="F149" s="438" t="s">
        <v>2559</v>
      </c>
      <c r="G149" s="438" t="s">
        <v>3261</v>
      </c>
      <c r="H149" s="438" t="s">
        <v>2587</v>
      </c>
      <c r="I149" s="438" t="s">
        <v>2558</v>
      </c>
      <c r="J149" s="438" t="s">
        <v>2558</v>
      </c>
      <c r="K149" s="438" t="s">
        <v>2556</v>
      </c>
      <c r="L149" s="438" t="s">
        <v>2557</v>
      </c>
      <c r="M149" s="456">
        <v>13457</v>
      </c>
      <c r="N149" s="456"/>
      <c r="O149" s="456"/>
      <c r="P149" s="456">
        <v>13452.906999999999</v>
      </c>
    </row>
    <row r="150" spans="1:16" hidden="1" x14ac:dyDescent="0.5">
      <c r="A150" s="438">
        <v>147</v>
      </c>
      <c r="B150" s="438" t="s">
        <v>3709</v>
      </c>
      <c r="C150" s="438" t="s">
        <v>3715</v>
      </c>
      <c r="D150" s="438" t="s">
        <v>3727</v>
      </c>
      <c r="E150" s="438" t="s">
        <v>2553</v>
      </c>
      <c r="F150" s="438" t="s">
        <v>2554</v>
      </c>
      <c r="G150" s="438" t="s">
        <v>3278</v>
      </c>
      <c r="H150" s="438" t="s">
        <v>3728</v>
      </c>
      <c r="I150" s="438" t="s">
        <v>3279</v>
      </c>
      <c r="J150" s="438" t="s">
        <v>3279</v>
      </c>
      <c r="K150" s="438" t="s">
        <v>2556</v>
      </c>
      <c r="L150" s="438" t="s">
        <v>2557</v>
      </c>
      <c r="M150" s="456">
        <v>33765</v>
      </c>
      <c r="N150" s="456"/>
      <c r="O150" s="456"/>
      <c r="P150" s="456">
        <v>33754.730000000003</v>
      </c>
    </row>
    <row r="151" spans="1:16" hidden="1" x14ac:dyDescent="0.5">
      <c r="A151" s="438">
        <v>148</v>
      </c>
      <c r="B151" s="438" t="s">
        <v>3729</v>
      </c>
      <c r="C151" s="438" t="s">
        <v>3715</v>
      </c>
      <c r="D151" s="438" t="s">
        <v>3730</v>
      </c>
      <c r="E151" s="438" t="s">
        <v>3266</v>
      </c>
      <c r="F151" s="438" t="s">
        <v>2554</v>
      </c>
      <c r="G151" s="438" t="s">
        <v>3267</v>
      </c>
      <c r="H151" s="438" t="s">
        <v>3339</v>
      </c>
      <c r="I151" s="438" t="s">
        <v>2558</v>
      </c>
      <c r="J151" s="438" t="s">
        <v>2558</v>
      </c>
      <c r="K151" s="438" t="s">
        <v>2556</v>
      </c>
      <c r="L151" s="438" t="s">
        <v>2557</v>
      </c>
      <c r="M151" s="456">
        <v>14573</v>
      </c>
      <c r="N151" s="456"/>
      <c r="O151" s="456"/>
      <c r="P151" s="456">
        <v>14574.477000000001</v>
      </c>
    </row>
    <row r="152" spans="1:16" hidden="1" x14ac:dyDescent="0.5">
      <c r="A152" s="438">
        <v>149</v>
      </c>
      <c r="B152" s="438" t="s">
        <v>3729</v>
      </c>
      <c r="C152" s="438" t="s">
        <v>3715</v>
      </c>
      <c r="D152" s="438" t="s">
        <v>3731</v>
      </c>
      <c r="E152" s="438" t="s">
        <v>2566</v>
      </c>
      <c r="F152" s="438" t="s">
        <v>2559</v>
      </c>
      <c r="G152" s="438" t="s">
        <v>3263</v>
      </c>
      <c r="H152" s="438" t="s">
        <v>3732</v>
      </c>
      <c r="I152" s="438" t="s">
        <v>3265</v>
      </c>
      <c r="J152" s="438" t="s">
        <v>3265</v>
      </c>
      <c r="K152" s="438" t="s">
        <v>2556</v>
      </c>
      <c r="L152" s="438" t="s">
        <v>2557</v>
      </c>
      <c r="M152" s="456">
        <v>12806</v>
      </c>
      <c r="N152" s="456"/>
      <c r="O152" s="456"/>
      <c r="P152" s="456">
        <v>12807.298000000001</v>
      </c>
    </row>
    <row r="153" spans="1:16" hidden="1" x14ac:dyDescent="0.5">
      <c r="A153" s="438">
        <v>150</v>
      </c>
      <c r="B153" s="438" t="s">
        <v>3729</v>
      </c>
      <c r="C153" s="438" t="s">
        <v>3715</v>
      </c>
      <c r="D153" s="438" t="s">
        <v>3733</v>
      </c>
      <c r="E153" s="438" t="s">
        <v>2566</v>
      </c>
      <c r="F153" s="438" t="s">
        <v>2559</v>
      </c>
      <c r="G153" s="438" t="s">
        <v>3281</v>
      </c>
      <c r="H153" s="438" t="s">
        <v>3264</v>
      </c>
      <c r="I153" s="438" t="s">
        <v>3276</v>
      </c>
      <c r="J153" s="438" t="s">
        <v>3276</v>
      </c>
      <c r="K153" s="438" t="s">
        <v>2556</v>
      </c>
      <c r="L153" s="438" t="s">
        <v>2557</v>
      </c>
      <c r="M153" s="456">
        <v>13348</v>
      </c>
      <c r="N153" s="456"/>
      <c r="O153" s="456"/>
      <c r="P153" s="456">
        <v>13349.352999999999</v>
      </c>
    </row>
    <row r="154" spans="1:16" hidden="1" x14ac:dyDescent="0.5">
      <c r="A154" s="438">
        <v>151</v>
      </c>
      <c r="B154" s="438" t="s">
        <v>3729</v>
      </c>
      <c r="C154" s="438" t="s">
        <v>3715</v>
      </c>
      <c r="D154" s="438" t="s">
        <v>3734</v>
      </c>
      <c r="E154" s="438" t="s">
        <v>2566</v>
      </c>
      <c r="F154" s="438" t="s">
        <v>2559</v>
      </c>
      <c r="G154" s="438" t="s">
        <v>3282</v>
      </c>
      <c r="H154" s="438" t="s">
        <v>3283</v>
      </c>
      <c r="I154" s="438" t="s">
        <v>3284</v>
      </c>
      <c r="J154" s="438" t="s">
        <v>3284</v>
      </c>
      <c r="K154" s="438" t="s">
        <v>2556</v>
      </c>
      <c r="L154" s="438" t="s">
        <v>2557</v>
      </c>
      <c r="M154" s="456">
        <v>17575</v>
      </c>
      <c r="N154" s="456"/>
      <c r="O154" s="456"/>
      <c r="P154" s="456">
        <v>17576.780999999999</v>
      </c>
    </row>
    <row r="155" spans="1:16" hidden="1" x14ac:dyDescent="0.5">
      <c r="A155" s="438">
        <v>152</v>
      </c>
      <c r="B155" s="438" t="s">
        <v>3729</v>
      </c>
      <c r="C155" s="438" t="s">
        <v>3715</v>
      </c>
      <c r="D155" s="438" t="s">
        <v>3735</v>
      </c>
      <c r="E155" s="438" t="s">
        <v>2553</v>
      </c>
      <c r="F155" s="438" t="s">
        <v>2554</v>
      </c>
      <c r="G155" s="438" t="s">
        <v>3285</v>
      </c>
      <c r="H155" s="438" t="s">
        <v>3464</v>
      </c>
      <c r="I155" s="438" t="s">
        <v>2555</v>
      </c>
      <c r="J155" s="438" t="s">
        <v>2555</v>
      </c>
      <c r="K155" s="438" t="s">
        <v>2556</v>
      </c>
      <c r="L155" s="438" t="s">
        <v>2557</v>
      </c>
      <c r="M155" s="456">
        <v>11296</v>
      </c>
      <c r="N155" s="456"/>
      <c r="O155" s="456"/>
      <c r="P155" s="456">
        <v>11297.145</v>
      </c>
    </row>
    <row r="156" spans="1:16" hidden="1" x14ac:dyDescent="0.5">
      <c r="A156" s="438">
        <v>153</v>
      </c>
      <c r="B156" s="438" t="s">
        <v>3729</v>
      </c>
      <c r="C156" s="438" t="s">
        <v>3715</v>
      </c>
      <c r="D156" s="438" t="s">
        <v>3736</v>
      </c>
      <c r="E156" s="438" t="s">
        <v>2566</v>
      </c>
      <c r="F156" s="438" t="s">
        <v>2559</v>
      </c>
      <c r="G156" s="438" t="s">
        <v>3671</v>
      </c>
      <c r="H156" s="438" t="s">
        <v>3737</v>
      </c>
      <c r="I156" s="438" t="s">
        <v>2785</v>
      </c>
      <c r="J156" s="438" t="s">
        <v>2785</v>
      </c>
      <c r="K156" s="438" t="s">
        <v>2556</v>
      </c>
      <c r="L156" s="438" t="s">
        <v>2557</v>
      </c>
      <c r="M156" s="456">
        <v>10377</v>
      </c>
      <c r="N156" s="456"/>
      <c r="O156" s="456"/>
      <c r="P156" s="456">
        <v>10378.052</v>
      </c>
    </row>
    <row r="157" spans="1:16" hidden="1" x14ac:dyDescent="0.5">
      <c r="A157" s="438">
        <v>154</v>
      </c>
      <c r="B157" s="438" t="s">
        <v>3729</v>
      </c>
      <c r="C157" s="438" t="s">
        <v>3715</v>
      </c>
      <c r="D157" s="438" t="s">
        <v>3738</v>
      </c>
      <c r="E157" s="438" t="s">
        <v>2568</v>
      </c>
      <c r="F157" s="438" t="s">
        <v>2559</v>
      </c>
      <c r="G157" s="438" t="s">
        <v>3286</v>
      </c>
      <c r="H157" s="438" t="s">
        <v>2616</v>
      </c>
      <c r="I157" s="438" t="s">
        <v>3275</v>
      </c>
      <c r="J157" s="438" t="s">
        <v>2691</v>
      </c>
      <c r="K157" s="438" t="s">
        <v>2556</v>
      </c>
      <c r="L157" s="438" t="s">
        <v>2557</v>
      </c>
      <c r="M157" s="456">
        <v>15880</v>
      </c>
      <c r="N157" s="456"/>
      <c r="O157" s="456"/>
      <c r="P157" s="456">
        <v>15881.61</v>
      </c>
    </row>
    <row r="158" spans="1:16" hidden="1" x14ac:dyDescent="0.5">
      <c r="A158" s="438">
        <v>155</v>
      </c>
      <c r="B158" s="438" t="s">
        <v>3729</v>
      </c>
      <c r="C158" s="438" t="s">
        <v>3715</v>
      </c>
      <c r="D158" s="438" t="s">
        <v>3739</v>
      </c>
      <c r="E158" s="438" t="s">
        <v>2568</v>
      </c>
      <c r="F158" s="438" t="s">
        <v>2559</v>
      </c>
      <c r="G158" s="438" t="s">
        <v>3446</v>
      </c>
      <c r="H158" s="438" t="s">
        <v>3476</v>
      </c>
      <c r="I158" s="438" t="s">
        <v>2576</v>
      </c>
      <c r="J158" s="438" t="s">
        <v>3447</v>
      </c>
      <c r="K158" s="438" t="s">
        <v>2556</v>
      </c>
      <c r="L158" s="438" t="s">
        <v>2557</v>
      </c>
      <c r="M158" s="456">
        <v>9158</v>
      </c>
      <c r="N158" s="456"/>
      <c r="O158" s="456"/>
      <c r="P158" s="456">
        <v>9158.9279999999999</v>
      </c>
    </row>
    <row r="159" spans="1:16" hidden="1" x14ac:dyDescent="0.5">
      <c r="A159" s="438">
        <v>156</v>
      </c>
      <c r="B159" s="438" t="s">
        <v>3729</v>
      </c>
      <c r="C159" s="438" t="s">
        <v>3715</v>
      </c>
      <c r="D159" s="438" t="s">
        <v>3740</v>
      </c>
      <c r="E159" s="438" t="s">
        <v>2760</v>
      </c>
      <c r="F159" s="438" t="s">
        <v>2600</v>
      </c>
      <c r="G159" s="438" t="s">
        <v>3741</v>
      </c>
      <c r="H159" s="438" t="s">
        <v>2758</v>
      </c>
      <c r="I159" s="438" t="s">
        <v>2761</v>
      </c>
      <c r="J159" s="438" t="s">
        <v>2761</v>
      </c>
      <c r="K159" s="438" t="s">
        <v>2556</v>
      </c>
      <c r="L159" s="438" t="s">
        <v>2557</v>
      </c>
      <c r="M159" s="456">
        <v>67990</v>
      </c>
      <c r="N159" s="456"/>
      <c r="O159" s="456"/>
      <c r="P159" s="456">
        <v>67962.432000000001</v>
      </c>
    </row>
    <row r="160" spans="1:16" hidden="1" x14ac:dyDescent="0.5">
      <c r="A160" s="438">
        <v>157</v>
      </c>
      <c r="B160" s="438" t="s">
        <v>3729</v>
      </c>
      <c r="C160" s="438" t="s">
        <v>3715</v>
      </c>
      <c r="D160" s="438" t="s">
        <v>3742</v>
      </c>
      <c r="E160" s="438" t="s">
        <v>2568</v>
      </c>
      <c r="F160" s="438" t="s">
        <v>2559</v>
      </c>
      <c r="G160" s="438" t="s">
        <v>3743</v>
      </c>
      <c r="H160" s="438" t="s">
        <v>3723</v>
      </c>
      <c r="I160" s="438" t="s">
        <v>2577</v>
      </c>
      <c r="J160" s="438" t="s">
        <v>3744</v>
      </c>
      <c r="K160" s="438" t="s">
        <v>2556</v>
      </c>
      <c r="L160" s="438" t="s">
        <v>2557</v>
      </c>
      <c r="M160" s="456">
        <v>17859</v>
      </c>
      <c r="N160" s="456"/>
      <c r="O160" s="456"/>
      <c r="P160" s="456">
        <v>17851.758999999998</v>
      </c>
    </row>
    <row r="161" spans="1:16" hidden="1" x14ac:dyDescent="0.5">
      <c r="A161" s="438">
        <v>158</v>
      </c>
      <c r="B161" s="438" t="s">
        <v>3729</v>
      </c>
      <c r="C161" s="438" t="s">
        <v>3715</v>
      </c>
      <c r="D161" s="438" t="s">
        <v>3745</v>
      </c>
      <c r="E161" s="438" t="s">
        <v>2568</v>
      </c>
      <c r="F161" s="438" t="s">
        <v>2559</v>
      </c>
      <c r="G161" s="438" t="s">
        <v>3743</v>
      </c>
      <c r="H161" s="438" t="s">
        <v>3723</v>
      </c>
      <c r="I161" s="438" t="s">
        <v>2577</v>
      </c>
      <c r="J161" s="438" t="s">
        <v>3744</v>
      </c>
      <c r="K161" s="438" t="s">
        <v>2556</v>
      </c>
      <c r="L161" s="438" t="s">
        <v>2557</v>
      </c>
      <c r="M161" s="456">
        <v>2764</v>
      </c>
      <c r="N161" s="456"/>
      <c r="O161" s="456"/>
      <c r="P161" s="456">
        <v>2762.8789999999999</v>
      </c>
    </row>
    <row r="162" spans="1:16" hidden="1" x14ac:dyDescent="0.5">
      <c r="A162" s="438">
        <v>159</v>
      </c>
      <c r="B162" s="438" t="s">
        <v>3729</v>
      </c>
      <c r="C162" s="438" t="s">
        <v>3715</v>
      </c>
      <c r="D162" s="438" t="s">
        <v>3746</v>
      </c>
      <c r="E162" s="438" t="s">
        <v>2568</v>
      </c>
      <c r="F162" s="438" t="s">
        <v>2559</v>
      </c>
      <c r="G162" s="438" t="s">
        <v>3287</v>
      </c>
      <c r="H162" s="438" t="s">
        <v>2616</v>
      </c>
      <c r="I162" s="438" t="s">
        <v>2691</v>
      </c>
      <c r="J162" s="438" t="s">
        <v>3273</v>
      </c>
      <c r="K162" s="438" t="s">
        <v>2556</v>
      </c>
      <c r="L162" s="438" t="s">
        <v>2557</v>
      </c>
      <c r="M162" s="456">
        <v>12703</v>
      </c>
      <c r="N162" s="456"/>
      <c r="O162" s="456"/>
      <c r="P162" s="456">
        <v>12697.849</v>
      </c>
    </row>
    <row r="163" spans="1:16" hidden="1" x14ac:dyDescent="0.5">
      <c r="A163" s="438">
        <v>160</v>
      </c>
      <c r="B163" s="438" t="s">
        <v>3729</v>
      </c>
      <c r="C163" s="438" t="s">
        <v>3715</v>
      </c>
      <c r="D163" s="438" t="s">
        <v>3747</v>
      </c>
      <c r="E163" s="438" t="s">
        <v>2560</v>
      </c>
      <c r="F163" s="438" t="s">
        <v>2554</v>
      </c>
      <c r="G163" s="438" t="s">
        <v>2561</v>
      </c>
      <c r="H163" s="438" t="s">
        <v>2749</v>
      </c>
      <c r="I163" s="438" t="s">
        <v>2562</v>
      </c>
      <c r="J163" s="438" t="s">
        <v>2563</v>
      </c>
      <c r="K163" s="438" t="s">
        <v>2556</v>
      </c>
      <c r="L163" s="438" t="s">
        <v>2557</v>
      </c>
      <c r="M163" s="456">
        <v>2456</v>
      </c>
      <c r="N163" s="456"/>
      <c r="O163" s="456"/>
      <c r="P163" s="456">
        <v>2455.0039999999999</v>
      </c>
    </row>
    <row r="164" spans="1:16" hidden="1" x14ac:dyDescent="0.5">
      <c r="A164" s="438">
        <v>161</v>
      </c>
      <c r="B164" s="438" t="s">
        <v>3729</v>
      </c>
      <c r="C164" s="438" t="s">
        <v>3715</v>
      </c>
      <c r="D164" s="438" t="s">
        <v>3748</v>
      </c>
      <c r="E164" s="438" t="s">
        <v>2553</v>
      </c>
      <c r="F164" s="438" t="s">
        <v>2559</v>
      </c>
      <c r="G164" s="438" t="s">
        <v>3261</v>
      </c>
      <c r="H164" s="438" t="s">
        <v>3400</v>
      </c>
      <c r="I164" s="438" t="s">
        <v>2558</v>
      </c>
      <c r="J164" s="438" t="s">
        <v>2558</v>
      </c>
      <c r="K164" s="438" t="s">
        <v>2556</v>
      </c>
      <c r="L164" s="438" t="s">
        <v>2557</v>
      </c>
      <c r="M164" s="456">
        <v>13181</v>
      </c>
      <c r="N164" s="456"/>
      <c r="O164" s="456"/>
      <c r="P164" s="456">
        <v>13175.655000000001</v>
      </c>
    </row>
    <row r="165" spans="1:16" hidden="1" x14ac:dyDescent="0.5">
      <c r="A165" s="438">
        <v>162</v>
      </c>
      <c r="B165" s="438" t="s">
        <v>3749</v>
      </c>
      <c r="C165" s="438" t="s">
        <v>3750</v>
      </c>
      <c r="D165" s="438" t="s">
        <v>3751</v>
      </c>
      <c r="E165" s="438" t="s">
        <v>2560</v>
      </c>
      <c r="F165" s="438" t="s">
        <v>2554</v>
      </c>
      <c r="G165" s="438" t="s">
        <v>2561</v>
      </c>
      <c r="H165" s="438" t="s">
        <v>3480</v>
      </c>
      <c r="I165" s="438" t="s">
        <v>2562</v>
      </c>
      <c r="J165" s="438" t="s">
        <v>2563</v>
      </c>
      <c r="K165" s="438" t="s">
        <v>2556</v>
      </c>
      <c r="L165" s="438" t="s">
        <v>2557</v>
      </c>
      <c r="M165" s="456">
        <v>1642</v>
      </c>
      <c r="N165" s="456"/>
      <c r="O165" s="456"/>
      <c r="P165" s="456">
        <v>1641.501</v>
      </c>
    </row>
    <row r="166" spans="1:16" hidden="1" x14ac:dyDescent="0.5">
      <c r="A166" s="438">
        <v>163</v>
      </c>
      <c r="B166" s="438" t="s">
        <v>3749</v>
      </c>
      <c r="C166" s="438" t="s">
        <v>3750</v>
      </c>
      <c r="D166" s="438" t="s">
        <v>3752</v>
      </c>
      <c r="E166" s="438" t="s">
        <v>2553</v>
      </c>
      <c r="F166" s="438" t="s">
        <v>2559</v>
      </c>
      <c r="G166" s="438" t="s">
        <v>3261</v>
      </c>
      <c r="H166" s="438" t="s">
        <v>3262</v>
      </c>
      <c r="I166" s="438" t="s">
        <v>2558</v>
      </c>
      <c r="J166" s="438" t="s">
        <v>2558</v>
      </c>
      <c r="K166" s="438" t="s">
        <v>2556</v>
      </c>
      <c r="L166" s="438" t="s">
        <v>2557</v>
      </c>
      <c r="M166" s="456">
        <v>14077</v>
      </c>
      <c r="N166" s="456"/>
      <c r="O166" s="456"/>
      <c r="P166" s="456">
        <v>14072.718000000001</v>
      </c>
    </row>
    <row r="167" spans="1:16" hidden="1" x14ac:dyDescent="0.5">
      <c r="A167" s="438">
        <v>164</v>
      </c>
      <c r="B167" s="438" t="s">
        <v>3749</v>
      </c>
      <c r="C167" s="438" t="s">
        <v>3750</v>
      </c>
      <c r="D167" s="438" t="s">
        <v>3753</v>
      </c>
      <c r="E167" s="438" t="s">
        <v>2553</v>
      </c>
      <c r="F167" s="438" t="s">
        <v>2554</v>
      </c>
      <c r="G167" s="438" t="s">
        <v>3278</v>
      </c>
      <c r="H167" s="438" t="s">
        <v>3297</v>
      </c>
      <c r="I167" s="438" t="s">
        <v>3279</v>
      </c>
      <c r="J167" s="438" t="s">
        <v>3279</v>
      </c>
      <c r="K167" s="438" t="s">
        <v>2556</v>
      </c>
      <c r="L167" s="438" t="s">
        <v>2557</v>
      </c>
      <c r="M167" s="456">
        <v>31343</v>
      </c>
      <c r="N167" s="456"/>
      <c r="O167" s="456"/>
      <c r="P167" s="456">
        <v>31333.467000000001</v>
      </c>
    </row>
    <row r="168" spans="1:16" hidden="1" x14ac:dyDescent="0.5">
      <c r="A168" s="438">
        <v>165</v>
      </c>
      <c r="B168" s="438" t="s">
        <v>3749</v>
      </c>
      <c r="C168" s="438" t="s">
        <v>3715</v>
      </c>
      <c r="D168" s="438" t="s">
        <v>3754</v>
      </c>
      <c r="E168" s="438" t="s">
        <v>3266</v>
      </c>
      <c r="F168" s="438" t="s">
        <v>2554</v>
      </c>
      <c r="G168" s="438" t="s">
        <v>3267</v>
      </c>
      <c r="H168" s="438" t="s">
        <v>3289</v>
      </c>
      <c r="I168" s="438" t="s">
        <v>2558</v>
      </c>
      <c r="J168" s="438" t="s">
        <v>2558</v>
      </c>
      <c r="K168" s="438" t="s">
        <v>2556</v>
      </c>
      <c r="L168" s="438" t="s">
        <v>2557</v>
      </c>
      <c r="M168" s="456">
        <v>13138</v>
      </c>
      <c r="N168" s="456"/>
      <c r="O168" s="456"/>
      <c r="P168" s="456">
        <v>13141.995999999999</v>
      </c>
    </row>
    <row r="169" spans="1:16" hidden="1" x14ac:dyDescent="0.5">
      <c r="A169" s="438">
        <v>166</v>
      </c>
      <c r="B169" s="438" t="s">
        <v>3749</v>
      </c>
      <c r="C169" s="438" t="s">
        <v>3715</v>
      </c>
      <c r="D169" s="438" t="s">
        <v>3755</v>
      </c>
      <c r="E169" s="438" t="s">
        <v>3270</v>
      </c>
      <c r="F169" s="438" t="s">
        <v>2554</v>
      </c>
      <c r="G169" s="438" t="s">
        <v>3271</v>
      </c>
      <c r="H169" s="438" t="s">
        <v>3320</v>
      </c>
      <c r="I169" s="438" t="s">
        <v>2558</v>
      </c>
      <c r="J169" s="438" t="s">
        <v>2558</v>
      </c>
      <c r="K169" s="438" t="s">
        <v>2556</v>
      </c>
      <c r="L169" s="438" t="s">
        <v>2557</v>
      </c>
      <c r="M169" s="456">
        <v>13210</v>
      </c>
      <c r="N169" s="456"/>
      <c r="O169" s="456"/>
      <c r="P169" s="456">
        <v>13214.018</v>
      </c>
    </row>
    <row r="170" spans="1:16" hidden="1" x14ac:dyDescent="0.5">
      <c r="A170" s="438">
        <v>167</v>
      </c>
      <c r="B170" s="438" t="s">
        <v>3749</v>
      </c>
      <c r="C170" s="438" t="s">
        <v>3715</v>
      </c>
      <c r="D170" s="438" t="s">
        <v>3756</v>
      </c>
      <c r="E170" s="438" t="s">
        <v>2553</v>
      </c>
      <c r="F170" s="438" t="s">
        <v>2554</v>
      </c>
      <c r="G170" s="438" t="s">
        <v>3712</v>
      </c>
      <c r="H170" s="438" t="s">
        <v>3713</v>
      </c>
      <c r="I170" s="438" t="s">
        <v>2567</v>
      </c>
      <c r="J170" s="438" t="s">
        <v>2567</v>
      </c>
      <c r="K170" s="438" t="s">
        <v>2556</v>
      </c>
      <c r="L170" s="438" t="s">
        <v>2557</v>
      </c>
      <c r="M170" s="456">
        <v>14936</v>
      </c>
      <c r="N170" s="456"/>
      <c r="O170" s="456"/>
      <c r="P170" s="456">
        <v>14940.543</v>
      </c>
    </row>
    <row r="171" spans="1:16" hidden="1" x14ac:dyDescent="0.5">
      <c r="A171" s="438">
        <v>168</v>
      </c>
      <c r="B171" s="438" t="s">
        <v>3749</v>
      </c>
      <c r="C171" s="438" t="s">
        <v>3715</v>
      </c>
      <c r="D171" s="438" t="s">
        <v>3757</v>
      </c>
      <c r="E171" s="438" t="s">
        <v>2566</v>
      </c>
      <c r="F171" s="438" t="s">
        <v>2559</v>
      </c>
      <c r="G171" s="438" t="s">
        <v>3295</v>
      </c>
      <c r="H171" s="438" t="s">
        <v>3758</v>
      </c>
      <c r="I171" s="438" t="s">
        <v>2567</v>
      </c>
      <c r="J171" s="438" t="s">
        <v>2567</v>
      </c>
      <c r="K171" s="438" t="s">
        <v>2556</v>
      </c>
      <c r="L171" s="438" t="s">
        <v>2557</v>
      </c>
      <c r="M171" s="456">
        <v>11935</v>
      </c>
      <c r="N171" s="456"/>
      <c r="O171" s="456"/>
      <c r="P171" s="456">
        <v>11938.63</v>
      </c>
    </row>
    <row r="172" spans="1:16" hidden="1" x14ac:dyDescent="0.5">
      <c r="A172" s="438">
        <v>169</v>
      </c>
      <c r="B172" s="438" t="s">
        <v>3749</v>
      </c>
      <c r="C172" s="438" t="s">
        <v>3715</v>
      </c>
      <c r="D172" s="438" t="s">
        <v>3759</v>
      </c>
      <c r="E172" s="438" t="s">
        <v>2566</v>
      </c>
      <c r="F172" s="438" t="s">
        <v>2559</v>
      </c>
      <c r="G172" s="438" t="s">
        <v>3671</v>
      </c>
      <c r="H172" s="438" t="s">
        <v>3760</v>
      </c>
      <c r="I172" s="438" t="s">
        <v>2785</v>
      </c>
      <c r="J172" s="438" t="s">
        <v>2785</v>
      </c>
      <c r="K172" s="438" t="s">
        <v>2556</v>
      </c>
      <c r="L172" s="438" t="s">
        <v>2557</v>
      </c>
      <c r="M172" s="456">
        <v>8359</v>
      </c>
      <c r="N172" s="456"/>
      <c r="O172" s="456"/>
      <c r="P172" s="456">
        <v>8361.5429999999997</v>
      </c>
    </row>
    <row r="173" spans="1:16" hidden="1" x14ac:dyDescent="0.5">
      <c r="A173" s="438">
        <v>170</v>
      </c>
      <c r="B173" s="438" t="s">
        <v>3749</v>
      </c>
      <c r="C173" s="438" t="s">
        <v>3715</v>
      </c>
      <c r="D173" s="438" t="s">
        <v>3761</v>
      </c>
      <c r="E173" s="438" t="s">
        <v>2553</v>
      </c>
      <c r="F173" s="438" t="s">
        <v>2559</v>
      </c>
      <c r="G173" s="438" t="s">
        <v>3268</v>
      </c>
      <c r="H173" s="438" t="s">
        <v>2674</v>
      </c>
      <c r="I173" s="438" t="s">
        <v>2573</v>
      </c>
      <c r="J173" s="438" t="s">
        <v>2573</v>
      </c>
      <c r="K173" s="438" t="s">
        <v>2556</v>
      </c>
      <c r="L173" s="438" t="s">
        <v>2557</v>
      </c>
      <c r="M173" s="456">
        <v>15900</v>
      </c>
      <c r="N173" s="456"/>
      <c r="O173" s="456"/>
      <c r="P173" s="456">
        <v>15904.835999999999</v>
      </c>
    </row>
    <row r="174" spans="1:16" hidden="1" x14ac:dyDescent="0.5">
      <c r="A174" s="438">
        <v>171</v>
      </c>
      <c r="B174" s="438" t="s">
        <v>3749</v>
      </c>
      <c r="C174" s="438" t="s">
        <v>3715</v>
      </c>
      <c r="D174" s="438" t="s">
        <v>3762</v>
      </c>
      <c r="E174" s="438" t="s">
        <v>2553</v>
      </c>
      <c r="F174" s="438" t="s">
        <v>2559</v>
      </c>
      <c r="G174" s="438" t="s">
        <v>3268</v>
      </c>
      <c r="H174" s="438" t="s">
        <v>2674</v>
      </c>
      <c r="I174" s="438" t="s">
        <v>2573</v>
      </c>
      <c r="J174" s="438" t="s">
        <v>2573</v>
      </c>
      <c r="K174" s="438" t="s">
        <v>2556</v>
      </c>
      <c r="L174" s="438" t="s">
        <v>2557</v>
      </c>
      <c r="M174" s="456">
        <v>1578</v>
      </c>
      <c r="N174" s="456"/>
      <c r="O174" s="456"/>
      <c r="P174" s="456">
        <v>1578.48</v>
      </c>
    </row>
    <row r="175" spans="1:16" hidden="1" x14ac:dyDescent="0.5">
      <c r="A175" s="438">
        <v>172</v>
      </c>
      <c r="B175" s="438" t="s">
        <v>3749</v>
      </c>
      <c r="C175" s="438" t="s">
        <v>3715</v>
      </c>
      <c r="D175" s="438" t="s">
        <v>3763</v>
      </c>
      <c r="E175" s="438" t="s">
        <v>2568</v>
      </c>
      <c r="F175" s="438" t="s">
        <v>2559</v>
      </c>
      <c r="G175" s="438" t="s">
        <v>3272</v>
      </c>
      <c r="H175" s="438" t="s">
        <v>2616</v>
      </c>
      <c r="I175" s="438" t="s">
        <v>3273</v>
      </c>
      <c r="J175" s="438" t="s">
        <v>2570</v>
      </c>
      <c r="K175" s="438" t="s">
        <v>2556</v>
      </c>
      <c r="L175" s="438" t="s">
        <v>2557</v>
      </c>
      <c r="M175" s="456">
        <v>9309</v>
      </c>
      <c r="N175" s="456"/>
      <c r="O175" s="456"/>
      <c r="P175" s="456">
        <v>9311.8320000000003</v>
      </c>
    </row>
    <row r="176" spans="1:16" hidden="1" x14ac:dyDescent="0.5">
      <c r="A176" s="438">
        <v>173</v>
      </c>
      <c r="B176" s="438" t="s">
        <v>3749</v>
      </c>
      <c r="C176" s="438" t="s">
        <v>3715</v>
      </c>
      <c r="D176" s="438" t="s">
        <v>3764</v>
      </c>
      <c r="E176" s="438" t="s">
        <v>2764</v>
      </c>
      <c r="F176" s="438" t="s">
        <v>2554</v>
      </c>
      <c r="G176" s="438" t="s">
        <v>3765</v>
      </c>
      <c r="H176" s="438" t="s">
        <v>2762</v>
      </c>
      <c r="I176" s="438" t="s">
        <v>2761</v>
      </c>
      <c r="J176" s="438" t="s">
        <v>2761</v>
      </c>
      <c r="K176" s="438" t="s">
        <v>2556</v>
      </c>
      <c r="L176" s="438" t="s">
        <v>2557</v>
      </c>
      <c r="M176" s="456">
        <v>79617</v>
      </c>
      <c r="N176" s="456"/>
      <c r="O176" s="456"/>
      <c r="P176" s="456">
        <v>79641.217000000004</v>
      </c>
    </row>
    <row r="177" spans="1:16" hidden="1" x14ac:dyDescent="0.5">
      <c r="A177" s="438">
        <v>174</v>
      </c>
      <c r="B177" s="438" t="s">
        <v>3749</v>
      </c>
      <c r="C177" s="438" t="s">
        <v>3715</v>
      </c>
      <c r="D177" s="438" t="s">
        <v>3766</v>
      </c>
      <c r="E177" s="438" t="s">
        <v>2568</v>
      </c>
      <c r="F177" s="438" t="s">
        <v>2559</v>
      </c>
      <c r="G177" s="438" t="s">
        <v>3274</v>
      </c>
      <c r="H177" s="438" t="s">
        <v>2616</v>
      </c>
      <c r="I177" s="438" t="s">
        <v>2570</v>
      </c>
      <c r="J177" s="438" t="s">
        <v>3275</v>
      </c>
      <c r="K177" s="438" t="s">
        <v>2556</v>
      </c>
      <c r="L177" s="438" t="s">
        <v>2557</v>
      </c>
      <c r="M177" s="456">
        <v>12185</v>
      </c>
      <c r="N177" s="456"/>
      <c r="O177" s="456"/>
      <c r="P177" s="456">
        <v>12181.294</v>
      </c>
    </row>
    <row r="178" spans="1:16" hidden="1" x14ac:dyDescent="0.5">
      <c r="A178" s="438">
        <v>175</v>
      </c>
      <c r="B178" s="438" t="s">
        <v>3749</v>
      </c>
      <c r="C178" s="438" t="s">
        <v>3715</v>
      </c>
      <c r="D178" s="438" t="s">
        <v>3767</v>
      </c>
      <c r="E178" s="438" t="s">
        <v>2568</v>
      </c>
      <c r="F178" s="438" t="s">
        <v>2559</v>
      </c>
      <c r="G178" s="438" t="s">
        <v>3722</v>
      </c>
      <c r="H178" s="438" t="s">
        <v>3723</v>
      </c>
      <c r="I178" s="438" t="s">
        <v>2577</v>
      </c>
      <c r="J178" s="438" t="s">
        <v>3724</v>
      </c>
      <c r="K178" s="438" t="s">
        <v>2556</v>
      </c>
      <c r="L178" s="438" t="s">
        <v>2557</v>
      </c>
      <c r="M178" s="456">
        <v>15132</v>
      </c>
      <c r="N178" s="456"/>
      <c r="O178" s="456"/>
      <c r="P178" s="456">
        <v>15127.397000000001</v>
      </c>
    </row>
    <row r="179" spans="1:16" hidden="1" x14ac:dyDescent="0.5">
      <c r="A179" s="438">
        <v>176</v>
      </c>
      <c r="B179" s="438" t="s">
        <v>3768</v>
      </c>
      <c r="C179" s="438" t="s">
        <v>3750</v>
      </c>
      <c r="D179" s="438" t="s">
        <v>3769</v>
      </c>
      <c r="E179" s="438" t="s">
        <v>3266</v>
      </c>
      <c r="F179" s="438" t="s">
        <v>2554</v>
      </c>
      <c r="G179" s="438" t="s">
        <v>3267</v>
      </c>
      <c r="H179" s="438" t="s">
        <v>3770</v>
      </c>
      <c r="I179" s="438" t="s">
        <v>2558</v>
      </c>
      <c r="J179" s="438" t="s">
        <v>2558</v>
      </c>
      <c r="K179" s="438" t="s">
        <v>2556</v>
      </c>
      <c r="L179" s="438" t="s">
        <v>2557</v>
      </c>
      <c r="M179" s="456">
        <v>14353</v>
      </c>
      <c r="N179" s="456"/>
      <c r="O179" s="456"/>
      <c r="P179" s="456">
        <v>14360.276</v>
      </c>
    </row>
    <row r="180" spans="1:16" hidden="1" x14ac:dyDescent="0.5">
      <c r="A180" s="438">
        <v>177</v>
      </c>
      <c r="B180" s="438" t="s">
        <v>3768</v>
      </c>
      <c r="C180" s="438" t="s">
        <v>3750</v>
      </c>
      <c r="D180" s="438" t="s">
        <v>3771</v>
      </c>
      <c r="E180" s="438" t="s">
        <v>2566</v>
      </c>
      <c r="F180" s="438" t="s">
        <v>2559</v>
      </c>
      <c r="G180" s="438" t="s">
        <v>3282</v>
      </c>
      <c r="H180" s="438" t="s">
        <v>3283</v>
      </c>
      <c r="I180" s="438" t="s">
        <v>3284</v>
      </c>
      <c r="J180" s="438" t="s">
        <v>3284</v>
      </c>
      <c r="K180" s="438" t="s">
        <v>2556</v>
      </c>
      <c r="L180" s="438" t="s">
        <v>2557</v>
      </c>
      <c r="M180" s="456">
        <v>17676</v>
      </c>
      <c r="N180" s="456"/>
      <c r="O180" s="456"/>
      <c r="P180" s="456">
        <v>17684.960999999999</v>
      </c>
    </row>
    <row r="181" spans="1:16" hidden="1" x14ac:dyDescent="0.5">
      <c r="A181" s="438">
        <v>178</v>
      </c>
      <c r="B181" s="438" t="s">
        <v>3768</v>
      </c>
      <c r="C181" s="438" t="s">
        <v>3750</v>
      </c>
      <c r="D181" s="438" t="s">
        <v>3772</v>
      </c>
      <c r="E181" s="438" t="s">
        <v>2566</v>
      </c>
      <c r="F181" s="438" t="s">
        <v>2559</v>
      </c>
      <c r="G181" s="438" t="s">
        <v>3671</v>
      </c>
      <c r="H181" s="438" t="s">
        <v>3773</v>
      </c>
      <c r="I181" s="438" t="s">
        <v>2785</v>
      </c>
      <c r="J181" s="438" t="s">
        <v>2785</v>
      </c>
      <c r="K181" s="438" t="s">
        <v>2556</v>
      </c>
      <c r="L181" s="438" t="s">
        <v>2557</v>
      </c>
      <c r="M181" s="456">
        <v>6305</v>
      </c>
      <c r="N181" s="456"/>
      <c r="O181" s="456"/>
      <c r="P181" s="456">
        <v>6308.1959999999999</v>
      </c>
    </row>
    <row r="182" spans="1:16" hidden="1" x14ac:dyDescent="0.5">
      <c r="A182" s="438">
        <v>179</v>
      </c>
      <c r="B182" s="438" t="s">
        <v>3768</v>
      </c>
      <c r="C182" s="438" t="s">
        <v>3750</v>
      </c>
      <c r="D182" s="438" t="s">
        <v>3774</v>
      </c>
      <c r="E182" s="438" t="s">
        <v>2553</v>
      </c>
      <c r="F182" s="438" t="s">
        <v>2554</v>
      </c>
      <c r="G182" s="438" t="s">
        <v>3285</v>
      </c>
      <c r="H182" s="438" t="s">
        <v>2575</v>
      </c>
      <c r="I182" s="438" t="s">
        <v>2555</v>
      </c>
      <c r="J182" s="438" t="s">
        <v>2555</v>
      </c>
      <c r="K182" s="438" t="s">
        <v>2556</v>
      </c>
      <c r="L182" s="438" t="s">
        <v>2557</v>
      </c>
      <c r="M182" s="456">
        <v>11910</v>
      </c>
      <c r="N182" s="456"/>
      <c r="O182" s="456"/>
      <c r="P182" s="456">
        <v>11916.038</v>
      </c>
    </row>
    <row r="183" spans="1:16" hidden="1" x14ac:dyDescent="0.5">
      <c r="A183" s="438">
        <v>180</v>
      </c>
      <c r="B183" s="438" t="s">
        <v>3768</v>
      </c>
      <c r="C183" s="438" t="s">
        <v>3750</v>
      </c>
      <c r="D183" s="438" t="s">
        <v>3775</v>
      </c>
      <c r="E183" s="438" t="s">
        <v>2568</v>
      </c>
      <c r="F183" s="438" t="s">
        <v>2559</v>
      </c>
      <c r="G183" s="438" t="s">
        <v>3286</v>
      </c>
      <c r="H183" s="438" t="s">
        <v>2616</v>
      </c>
      <c r="I183" s="438" t="s">
        <v>3275</v>
      </c>
      <c r="J183" s="438" t="s">
        <v>3275</v>
      </c>
      <c r="K183" s="438" t="s">
        <v>2556</v>
      </c>
      <c r="L183" s="438" t="s">
        <v>2557</v>
      </c>
      <c r="M183" s="456">
        <v>15741</v>
      </c>
      <c r="N183" s="456"/>
      <c r="O183" s="456"/>
      <c r="P183" s="456">
        <v>15748.98</v>
      </c>
    </row>
    <row r="184" spans="1:16" hidden="1" x14ac:dyDescent="0.5">
      <c r="A184" s="438">
        <v>181</v>
      </c>
      <c r="B184" s="438" t="s">
        <v>3768</v>
      </c>
      <c r="C184" s="438" t="s">
        <v>3750</v>
      </c>
      <c r="D184" s="438" t="s">
        <v>3776</v>
      </c>
      <c r="E184" s="438" t="s">
        <v>2568</v>
      </c>
      <c r="F184" s="438" t="s">
        <v>2559</v>
      </c>
      <c r="G184" s="438" t="s">
        <v>3777</v>
      </c>
      <c r="H184" s="438" t="s">
        <v>3476</v>
      </c>
      <c r="I184" s="438" t="s">
        <v>2576</v>
      </c>
      <c r="J184" s="438" t="s">
        <v>3447</v>
      </c>
      <c r="K184" s="438" t="s">
        <v>2556</v>
      </c>
      <c r="L184" s="438" t="s">
        <v>2557</v>
      </c>
      <c r="M184" s="456">
        <v>13464</v>
      </c>
      <c r="N184" s="456"/>
      <c r="O184" s="456"/>
      <c r="P184" s="456">
        <v>13470.825999999999</v>
      </c>
    </row>
    <row r="185" spans="1:16" hidden="1" x14ac:dyDescent="0.5">
      <c r="A185" s="438">
        <v>182</v>
      </c>
      <c r="B185" s="438" t="s">
        <v>3768</v>
      </c>
      <c r="C185" s="438" t="s">
        <v>3750</v>
      </c>
      <c r="D185" s="438" t="s">
        <v>3778</v>
      </c>
      <c r="E185" s="438" t="s">
        <v>3290</v>
      </c>
      <c r="F185" s="438" t="s">
        <v>2559</v>
      </c>
      <c r="G185" s="438" t="s">
        <v>3291</v>
      </c>
      <c r="H185" s="438" t="s">
        <v>3467</v>
      </c>
      <c r="I185" s="438" t="s">
        <v>3292</v>
      </c>
      <c r="J185" s="438" t="s">
        <v>3292</v>
      </c>
      <c r="K185" s="438" t="s">
        <v>2556</v>
      </c>
      <c r="L185" s="438" t="s">
        <v>2557</v>
      </c>
      <c r="M185" s="456">
        <v>9788</v>
      </c>
      <c r="N185" s="456"/>
      <c r="O185" s="456"/>
      <c r="P185" s="456">
        <v>9785.0229999999992</v>
      </c>
    </row>
    <row r="186" spans="1:16" hidden="1" x14ac:dyDescent="0.5">
      <c r="A186" s="438">
        <v>183</v>
      </c>
      <c r="B186" s="438" t="s">
        <v>3768</v>
      </c>
      <c r="C186" s="438" t="s">
        <v>3750</v>
      </c>
      <c r="D186" s="438" t="s">
        <v>3779</v>
      </c>
      <c r="E186" s="438" t="s">
        <v>2568</v>
      </c>
      <c r="F186" s="438" t="s">
        <v>2559</v>
      </c>
      <c r="G186" s="438" t="s">
        <v>3287</v>
      </c>
      <c r="H186" s="438" t="s">
        <v>2616</v>
      </c>
      <c r="I186" s="438" t="s">
        <v>2577</v>
      </c>
      <c r="J186" s="438" t="s">
        <v>3273</v>
      </c>
      <c r="K186" s="438" t="s">
        <v>2556</v>
      </c>
      <c r="L186" s="438" t="s">
        <v>2557</v>
      </c>
      <c r="M186" s="456">
        <v>12336</v>
      </c>
      <c r="N186" s="456"/>
      <c r="O186" s="456"/>
      <c r="P186" s="456">
        <v>12332.248</v>
      </c>
    </row>
    <row r="187" spans="1:16" hidden="1" x14ac:dyDescent="0.5">
      <c r="A187" s="438">
        <v>184</v>
      </c>
      <c r="B187" s="438" t="s">
        <v>3768</v>
      </c>
      <c r="C187" s="438" t="s">
        <v>3750</v>
      </c>
      <c r="D187" s="438" t="s">
        <v>3780</v>
      </c>
      <c r="E187" s="438" t="s">
        <v>2560</v>
      </c>
      <c r="F187" s="438" t="s">
        <v>2554</v>
      </c>
      <c r="G187" s="438" t="s">
        <v>2561</v>
      </c>
      <c r="H187" s="438" t="s">
        <v>3480</v>
      </c>
      <c r="I187" s="438" t="s">
        <v>2577</v>
      </c>
      <c r="J187" s="438" t="s">
        <v>2563</v>
      </c>
      <c r="K187" s="438" t="s">
        <v>2556</v>
      </c>
      <c r="L187" s="438" t="s">
        <v>2557</v>
      </c>
      <c r="M187" s="456">
        <v>4528</v>
      </c>
      <c r="N187" s="456"/>
      <c r="O187" s="456"/>
      <c r="P187" s="456">
        <v>4526.6229999999996</v>
      </c>
    </row>
    <row r="188" spans="1:16" hidden="1" x14ac:dyDescent="0.5">
      <c r="A188" s="438">
        <v>185</v>
      </c>
      <c r="B188" s="438" t="s">
        <v>3768</v>
      </c>
      <c r="C188" s="438" t="s">
        <v>3750</v>
      </c>
      <c r="D188" s="438" t="s">
        <v>3781</v>
      </c>
      <c r="E188" s="438" t="s">
        <v>2553</v>
      </c>
      <c r="F188" s="438" t="s">
        <v>2559</v>
      </c>
      <c r="G188" s="438" t="s">
        <v>3261</v>
      </c>
      <c r="H188" s="438" t="s">
        <v>3301</v>
      </c>
      <c r="I188" s="438" t="s">
        <v>2558</v>
      </c>
      <c r="J188" s="438" t="s">
        <v>2558</v>
      </c>
      <c r="K188" s="438" t="s">
        <v>2556</v>
      </c>
      <c r="L188" s="438" t="s">
        <v>2557</v>
      </c>
      <c r="M188" s="456">
        <v>11304</v>
      </c>
      <c r="N188" s="456"/>
      <c r="O188" s="456"/>
      <c r="P188" s="456">
        <v>11300.562</v>
      </c>
    </row>
    <row r="189" spans="1:16" hidden="1" x14ac:dyDescent="0.5">
      <c r="A189" s="438">
        <v>186</v>
      </c>
      <c r="B189" s="438" t="s">
        <v>3782</v>
      </c>
      <c r="C189" s="438" t="s">
        <v>3750</v>
      </c>
      <c r="D189" s="438" t="s">
        <v>3783</v>
      </c>
      <c r="E189" s="438" t="s">
        <v>3266</v>
      </c>
      <c r="F189" s="438" t="s">
        <v>2554</v>
      </c>
      <c r="G189" s="438" t="s">
        <v>3267</v>
      </c>
      <c r="H189" s="438" t="s">
        <v>3328</v>
      </c>
      <c r="I189" s="438" t="s">
        <v>2558</v>
      </c>
      <c r="J189" s="438" t="s">
        <v>2558</v>
      </c>
      <c r="K189" s="438" t="s">
        <v>2556</v>
      </c>
      <c r="L189" s="438" t="s">
        <v>2557</v>
      </c>
      <c r="M189" s="456">
        <v>15158</v>
      </c>
      <c r="N189" s="456"/>
      <c r="O189" s="456"/>
      <c r="P189" s="456">
        <v>15165.683999999999</v>
      </c>
    </row>
    <row r="190" spans="1:16" hidden="1" x14ac:dyDescent="0.5">
      <c r="A190" s="438">
        <v>187</v>
      </c>
      <c r="B190" s="438" t="s">
        <v>3782</v>
      </c>
      <c r="C190" s="438" t="s">
        <v>3750</v>
      </c>
      <c r="D190" s="438" t="s">
        <v>3784</v>
      </c>
      <c r="E190" s="438" t="s">
        <v>3270</v>
      </c>
      <c r="F190" s="438" t="s">
        <v>2554</v>
      </c>
      <c r="G190" s="438" t="s">
        <v>3271</v>
      </c>
      <c r="H190" s="438" t="s">
        <v>3785</v>
      </c>
      <c r="I190" s="438" t="s">
        <v>2558</v>
      </c>
      <c r="J190" s="438" t="s">
        <v>2558</v>
      </c>
      <c r="K190" s="438" t="s">
        <v>2556</v>
      </c>
      <c r="L190" s="438" t="s">
        <v>2557</v>
      </c>
      <c r="M190" s="456">
        <v>16186</v>
      </c>
      <c r="N190" s="456"/>
      <c r="O190" s="456"/>
      <c r="P190" s="456">
        <v>16194.205</v>
      </c>
    </row>
    <row r="191" spans="1:16" hidden="1" x14ac:dyDescent="0.5">
      <c r="A191" s="438">
        <v>188</v>
      </c>
      <c r="B191" s="438" t="s">
        <v>3782</v>
      </c>
      <c r="C191" s="438" t="s">
        <v>3750</v>
      </c>
      <c r="D191" s="438" t="s">
        <v>3786</v>
      </c>
      <c r="E191" s="438" t="s">
        <v>2553</v>
      </c>
      <c r="F191" s="438" t="s">
        <v>2554</v>
      </c>
      <c r="G191" s="438" t="s">
        <v>3712</v>
      </c>
      <c r="H191" s="438" t="s">
        <v>3713</v>
      </c>
      <c r="I191" s="438" t="s">
        <v>2567</v>
      </c>
      <c r="J191" s="438" t="s">
        <v>2567</v>
      </c>
      <c r="K191" s="438" t="s">
        <v>2556</v>
      </c>
      <c r="L191" s="438" t="s">
        <v>2557</v>
      </c>
      <c r="M191" s="456">
        <v>14048</v>
      </c>
      <c r="N191" s="456"/>
      <c r="O191" s="456"/>
      <c r="P191" s="456">
        <v>14055.121999999999</v>
      </c>
    </row>
    <row r="192" spans="1:16" hidden="1" x14ac:dyDescent="0.5">
      <c r="A192" s="438">
        <v>189</v>
      </c>
      <c r="B192" s="438" t="s">
        <v>3782</v>
      </c>
      <c r="C192" s="438" t="s">
        <v>3750</v>
      </c>
      <c r="D192" s="438" t="s">
        <v>3787</v>
      </c>
      <c r="E192" s="438" t="s">
        <v>2566</v>
      </c>
      <c r="F192" s="438" t="s">
        <v>2559</v>
      </c>
      <c r="G192" s="438" t="s">
        <v>3671</v>
      </c>
      <c r="H192" s="438" t="s">
        <v>3788</v>
      </c>
      <c r="I192" s="438" t="s">
        <v>2785</v>
      </c>
      <c r="J192" s="438" t="s">
        <v>2785</v>
      </c>
      <c r="K192" s="438" t="s">
        <v>2556</v>
      </c>
      <c r="L192" s="438" t="s">
        <v>2557</v>
      </c>
      <c r="M192" s="456">
        <v>7089</v>
      </c>
      <c r="N192" s="456"/>
      <c r="O192" s="456"/>
      <c r="P192" s="456">
        <v>7092.5940000000001</v>
      </c>
    </row>
    <row r="193" spans="1:16" hidden="1" x14ac:dyDescent="0.5">
      <c r="A193" s="438">
        <v>190</v>
      </c>
      <c r="B193" s="438" t="s">
        <v>3782</v>
      </c>
      <c r="C193" s="438" t="s">
        <v>3750</v>
      </c>
      <c r="D193" s="438" t="s">
        <v>3789</v>
      </c>
      <c r="E193" s="438" t="s">
        <v>2553</v>
      </c>
      <c r="F193" s="438" t="s">
        <v>2559</v>
      </c>
      <c r="G193" s="438" t="s">
        <v>3268</v>
      </c>
      <c r="H193" s="438" t="s">
        <v>3269</v>
      </c>
      <c r="I193" s="438" t="s">
        <v>2573</v>
      </c>
      <c r="J193" s="438" t="s">
        <v>2573</v>
      </c>
      <c r="K193" s="438" t="s">
        <v>2556</v>
      </c>
      <c r="L193" s="438" t="s">
        <v>2557</v>
      </c>
      <c r="M193" s="456">
        <v>14971</v>
      </c>
      <c r="N193" s="456"/>
      <c r="O193" s="456"/>
      <c r="P193" s="456">
        <v>14978.59</v>
      </c>
    </row>
    <row r="194" spans="1:16" hidden="1" x14ac:dyDescent="0.5">
      <c r="A194" s="438">
        <v>191</v>
      </c>
      <c r="B194" s="438" t="s">
        <v>3782</v>
      </c>
      <c r="C194" s="438" t="s">
        <v>3750</v>
      </c>
      <c r="D194" s="438" t="s">
        <v>3790</v>
      </c>
      <c r="E194" s="438" t="s">
        <v>2568</v>
      </c>
      <c r="F194" s="438" t="s">
        <v>2559</v>
      </c>
      <c r="G194" s="438" t="s">
        <v>3272</v>
      </c>
      <c r="H194" s="438" t="s">
        <v>2616</v>
      </c>
      <c r="I194" s="438" t="s">
        <v>3273</v>
      </c>
      <c r="J194" s="438" t="s">
        <v>3273</v>
      </c>
      <c r="K194" s="438" t="s">
        <v>2556</v>
      </c>
      <c r="L194" s="438" t="s">
        <v>2557</v>
      </c>
      <c r="M194" s="456">
        <v>9309</v>
      </c>
      <c r="N194" s="456"/>
      <c r="O194" s="456"/>
      <c r="P194" s="456">
        <v>9313.7189999999991</v>
      </c>
    </row>
    <row r="195" spans="1:16" hidden="1" x14ac:dyDescent="0.5">
      <c r="A195" s="438">
        <v>192</v>
      </c>
      <c r="B195" s="438" t="s">
        <v>3782</v>
      </c>
      <c r="C195" s="438" t="s">
        <v>3750</v>
      </c>
      <c r="D195" s="438" t="s">
        <v>3791</v>
      </c>
      <c r="E195" s="438" t="s">
        <v>2568</v>
      </c>
      <c r="F195" s="438" t="s">
        <v>2559</v>
      </c>
      <c r="G195" s="438" t="s">
        <v>3274</v>
      </c>
      <c r="H195" s="438" t="s">
        <v>2616</v>
      </c>
      <c r="I195" s="438" t="s">
        <v>2570</v>
      </c>
      <c r="J195" s="438" t="s">
        <v>3275</v>
      </c>
      <c r="K195" s="438" t="s">
        <v>2556</v>
      </c>
      <c r="L195" s="438" t="s">
        <v>2557</v>
      </c>
      <c r="M195" s="456">
        <v>13928</v>
      </c>
      <c r="N195" s="456"/>
      <c r="O195" s="456"/>
      <c r="P195" s="456">
        <v>13919.527</v>
      </c>
    </row>
    <row r="196" spans="1:16" hidden="1" x14ac:dyDescent="0.5">
      <c r="A196" s="438">
        <v>193</v>
      </c>
      <c r="B196" s="438" t="s">
        <v>3782</v>
      </c>
      <c r="C196" s="438" t="s">
        <v>3750</v>
      </c>
      <c r="D196" s="438" t="s">
        <v>3792</v>
      </c>
      <c r="E196" s="438" t="s">
        <v>2599</v>
      </c>
      <c r="F196" s="438" t="s">
        <v>2600</v>
      </c>
      <c r="G196" s="438" t="s">
        <v>2601</v>
      </c>
      <c r="H196" s="438" t="s">
        <v>3793</v>
      </c>
      <c r="I196" s="438" t="s">
        <v>2562</v>
      </c>
      <c r="J196" s="438" t="s">
        <v>2562</v>
      </c>
      <c r="K196" s="438" t="s">
        <v>2556</v>
      </c>
      <c r="L196" s="438" t="s">
        <v>2557</v>
      </c>
      <c r="M196" s="456">
        <v>592</v>
      </c>
      <c r="N196" s="456"/>
      <c r="O196" s="456"/>
      <c r="P196" s="456">
        <v>591.64</v>
      </c>
    </row>
    <row r="197" spans="1:16" hidden="1" x14ac:dyDescent="0.5">
      <c r="A197" s="438">
        <v>194</v>
      </c>
      <c r="B197" s="438" t="s">
        <v>3782</v>
      </c>
      <c r="C197" s="438" t="s">
        <v>3750</v>
      </c>
      <c r="D197" s="438" t="s">
        <v>3794</v>
      </c>
      <c r="E197" s="438" t="s">
        <v>2568</v>
      </c>
      <c r="F197" s="438" t="s">
        <v>2559</v>
      </c>
      <c r="G197" s="438" t="s">
        <v>3722</v>
      </c>
      <c r="H197" s="438" t="s">
        <v>3723</v>
      </c>
      <c r="I197" s="438" t="s">
        <v>2577</v>
      </c>
      <c r="J197" s="438" t="s">
        <v>3724</v>
      </c>
      <c r="K197" s="438" t="s">
        <v>2556</v>
      </c>
      <c r="L197" s="438" t="s">
        <v>2557</v>
      </c>
      <c r="M197" s="456">
        <v>15011</v>
      </c>
      <c r="N197" s="456"/>
      <c r="O197" s="456"/>
      <c r="P197" s="456">
        <v>15001.868</v>
      </c>
    </row>
    <row r="198" spans="1:16" hidden="1" x14ac:dyDescent="0.5">
      <c r="A198" s="438">
        <v>195</v>
      </c>
      <c r="B198" s="438" t="s">
        <v>3782</v>
      </c>
      <c r="C198" s="438" t="s">
        <v>3750</v>
      </c>
      <c r="D198" s="438" t="s">
        <v>3795</v>
      </c>
      <c r="E198" s="438" t="s">
        <v>2560</v>
      </c>
      <c r="F198" s="438" t="s">
        <v>2554</v>
      </c>
      <c r="G198" s="438" t="s">
        <v>2561</v>
      </c>
      <c r="H198" s="438" t="s">
        <v>3480</v>
      </c>
      <c r="I198" s="438" t="s">
        <v>2577</v>
      </c>
      <c r="J198" s="438" t="s">
        <v>2563</v>
      </c>
      <c r="K198" s="438" t="s">
        <v>2556</v>
      </c>
      <c r="L198" s="438" t="s">
        <v>2557</v>
      </c>
      <c r="M198" s="456">
        <v>4470</v>
      </c>
      <c r="N198" s="456"/>
      <c r="O198" s="456"/>
      <c r="P198" s="456">
        <v>4467.2809999999999</v>
      </c>
    </row>
    <row r="199" spans="1:16" hidden="1" x14ac:dyDescent="0.5">
      <c r="A199" s="438">
        <v>196</v>
      </c>
      <c r="B199" s="438" t="s">
        <v>3782</v>
      </c>
      <c r="C199" s="438" t="s">
        <v>3750</v>
      </c>
      <c r="D199" s="438" t="s">
        <v>3796</v>
      </c>
      <c r="E199" s="438" t="s">
        <v>2553</v>
      </c>
      <c r="F199" s="438" t="s">
        <v>2559</v>
      </c>
      <c r="G199" s="438" t="s">
        <v>3261</v>
      </c>
      <c r="H199" s="438" t="s">
        <v>3309</v>
      </c>
      <c r="I199" s="438" t="s">
        <v>2558</v>
      </c>
      <c r="J199" s="438" t="s">
        <v>2558</v>
      </c>
      <c r="K199" s="438" t="s">
        <v>2556</v>
      </c>
      <c r="L199" s="438" t="s">
        <v>2557</v>
      </c>
      <c r="M199" s="456">
        <v>12233</v>
      </c>
      <c r="N199" s="456"/>
      <c r="O199" s="456"/>
      <c r="P199" s="456">
        <v>12225.558000000001</v>
      </c>
    </row>
    <row r="200" spans="1:16" hidden="1" x14ac:dyDescent="0.5">
      <c r="A200" s="438">
        <v>197</v>
      </c>
      <c r="B200" s="438" t="s">
        <v>3797</v>
      </c>
      <c r="C200" s="438" t="s">
        <v>3750</v>
      </c>
      <c r="D200" s="438" t="s">
        <v>3798</v>
      </c>
      <c r="E200" s="438" t="s">
        <v>2553</v>
      </c>
      <c r="F200" s="438" t="s">
        <v>2554</v>
      </c>
      <c r="G200" s="438" t="s">
        <v>3278</v>
      </c>
      <c r="H200" s="438" t="s">
        <v>3799</v>
      </c>
      <c r="I200" s="438" t="s">
        <v>3279</v>
      </c>
      <c r="J200" s="438" t="s">
        <v>3279</v>
      </c>
      <c r="K200" s="438" t="s">
        <v>2556</v>
      </c>
      <c r="L200" s="438" t="s">
        <v>2557</v>
      </c>
      <c r="M200" s="456">
        <v>39096</v>
      </c>
      <c r="N200" s="456"/>
      <c r="O200" s="456"/>
      <c r="P200" s="456">
        <v>39099.963000000003</v>
      </c>
    </row>
    <row r="201" spans="1:16" hidden="1" x14ac:dyDescent="0.5">
      <c r="A201" s="438">
        <v>198</v>
      </c>
      <c r="B201" s="438" t="s">
        <v>3797</v>
      </c>
      <c r="C201" s="438" t="s">
        <v>3750</v>
      </c>
      <c r="D201" s="438" t="s">
        <v>3800</v>
      </c>
      <c r="E201" s="438" t="s">
        <v>3266</v>
      </c>
      <c r="F201" s="438" t="s">
        <v>2554</v>
      </c>
      <c r="G201" s="438" t="s">
        <v>3267</v>
      </c>
      <c r="H201" s="438" t="s">
        <v>3462</v>
      </c>
      <c r="I201" s="438" t="s">
        <v>2558</v>
      </c>
      <c r="J201" s="438" t="s">
        <v>2558</v>
      </c>
      <c r="K201" s="438" t="s">
        <v>2556</v>
      </c>
      <c r="L201" s="438" t="s">
        <v>2557</v>
      </c>
      <c r="M201" s="456">
        <v>14099</v>
      </c>
      <c r="N201" s="456"/>
      <c r="O201" s="456"/>
      <c r="P201" s="456">
        <v>14100.429</v>
      </c>
    </row>
    <row r="202" spans="1:16" hidden="1" x14ac:dyDescent="0.5">
      <c r="A202" s="438">
        <v>199</v>
      </c>
      <c r="B202" s="438" t="s">
        <v>3797</v>
      </c>
      <c r="C202" s="438" t="s">
        <v>3750</v>
      </c>
      <c r="D202" s="438" t="s">
        <v>3801</v>
      </c>
      <c r="E202" s="438" t="s">
        <v>2553</v>
      </c>
      <c r="F202" s="438" t="s">
        <v>2554</v>
      </c>
      <c r="G202" s="438" t="s">
        <v>3285</v>
      </c>
      <c r="H202" s="438" t="s">
        <v>3336</v>
      </c>
      <c r="I202" s="438" t="s">
        <v>2555</v>
      </c>
      <c r="J202" s="438" t="s">
        <v>2555</v>
      </c>
      <c r="K202" s="438" t="s">
        <v>2556</v>
      </c>
      <c r="L202" s="438" t="s">
        <v>2557</v>
      </c>
      <c r="M202" s="456">
        <v>12280</v>
      </c>
      <c r="N202" s="456"/>
      <c r="O202" s="456"/>
      <c r="P202" s="456">
        <v>12281.245000000001</v>
      </c>
    </row>
    <row r="203" spans="1:16" hidden="1" x14ac:dyDescent="0.5">
      <c r="A203" s="438">
        <v>200</v>
      </c>
      <c r="B203" s="438" t="s">
        <v>3797</v>
      </c>
      <c r="C203" s="438" t="s">
        <v>3750</v>
      </c>
      <c r="D203" s="438" t="s">
        <v>3802</v>
      </c>
      <c r="E203" s="438" t="s">
        <v>2566</v>
      </c>
      <c r="F203" s="438" t="s">
        <v>2559</v>
      </c>
      <c r="G203" s="438" t="s">
        <v>3282</v>
      </c>
      <c r="H203" s="438" t="s">
        <v>3304</v>
      </c>
      <c r="I203" s="438" t="s">
        <v>3284</v>
      </c>
      <c r="J203" s="438" t="s">
        <v>3284</v>
      </c>
      <c r="K203" s="438" t="s">
        <v>2556</v>
      </c>
      <c r="L203" s="438" t="s">
        <v>2557</v>
      </c>
      <c r="M203" s="456">
        <v>17700</v>
      </c>
      <c r="N203" s="456"/>
      <c r="O203" s="456"/>
      <c r="P203" s="456">
        <v>17701.794000000002</v>
      </c>
    </row>
    <row r="204" spans="1:16" hidden="1" x14ac:dyDescent="0.5">
      <c r="A204" s="438">
        <v>201</v>
      </c>
      <c r="B204" s="438" t="s">
        <v>3797</v>
      </c>
      <c r="C204" s="438" t="s">
        <v>3750</v>
      </c>
      <c r="D204" s="438" t="s">
        <v>3803</v>
      </c>
      <c r="E204" s="438" t="s">
        <v>2566</v>
      </c>
      <c r="F204" s="438" t="s">
        <v>2559</v>
      </c>
      <c r="G204" s="438" t="s">
        <v>3671</v>
      </c>
      <c r="H204" s="438" t="s">
        <v>3773</v>
      </c>
      <c r="I204" s="438" t="s">
        <v>2785</v>
      </c>
      <c r="J204" s="438" t="s">
        <v>2785</v>
      </c>
      <c r="K204" s="438" t="s">
        <v>2556</v>
      </c>
      <c r="L204" s="438" t="s">
        <v>2557</v>
      </c>
      <c r="M204" s="456">
        <v>6671</v>
      </c>
      <c r="N204" s="456"/>
      <c r="O204" s="456"/>
      <c r="P204" s="456">
        <v>6671.6760000000004</v>
      </c>
    </row>
    <row r="205" spans="1:16" hidden="1" x14ac:dyDescent="0.5">
      <c r="A205" s="438">
        <v>202</v>
      </c>
      <c r="B205" s="438" t="s">
        <v>3797</v>
      </c>
      <c r="C205" s="438" t="s">
        <v>3750</v>
      </c>
      <c r="D205" s="438" t="s">
        <v>3804</v>
      </c>
      <c r="E205" s="438" t="s">
        <v>2568</v>
      </c>
      <c r="F205" s="438" t="s">
        <v>2559</v>
      </c>
      <c r="G205" s="438" t="s">
        <v>3286</v>
      </c>
      <c r="H205" s="438" t="s">
        <v>2616</v>
      </c>
      <c r="I205" s="438" t="s">
        <v>3275</v>
      </c>
      <c r="J205" s="438" t="s">
        <v>2691</v>
      </c>
      <c r="K205" s="438" t="s">
        <v>2556</v>
      </c>
      <c r="L205" s="438" t="s">
        <v>2557</v>
      </c>
      <c r="M205" s="456">
        <v>15805</v>
      </c>
      <c r="N205" s="456"/>
      <c r="O205" s="456"/>
      <c r="P205" s="456">
        <v>15806.602000000001</v>
      </c>
    </row>
    <row r="206" spans="1:16" hidden="1" x14ac:dyDescent="0.5">
      <c r="A206" s="438">
        <v>203</v>
      </c>
      <c r="B206" s="438" t="s">
        <v>3797</v>
      </c>
      <c r="C206" s="438" t="s">
        <v>3750</v>
      </c>
      <c r="D206" s="438" t="s">
        <v>3805</v>
      </c>
      <c r="E206" s="438" t="s">
        <v>2760</v>
      </c>
      <c r="F206" s="438" t="s">
        <v>2600</v>
      </c>
      <c r="G206" s="438" t="s">
        <v>2825</v>
      </c>
      <c r="H206" s="438" t="s">
        <v>2859</v>
      </c>
      <c r="I206" s="438" t="s">
        <v>2823</v>
      </c>
      <c r="J206" s="438" t="s">
        <v>2823</v>
      </c>
      <c r="K206" s="438" t="s">
        <v>2556</v>
      </c>
      <c r="L206" s="438" t="s">
        <v>2557</v>
      </c>
      <c r="M206" s="456">
        <v>64052</v>
      </c>
      <c r="N206" s="456"/>
      <c r="O206" s="456"/>
      <c r="P206" s="456">
        <v>64058.493000000002</v>
      </c>
    </row>
    <row r="207" spans="1:16" hidden="1" x14ac:dyDescent="0.5">
      <c r="A207" s="438">
        <v>204</v>
      </c>
      <c r="B207" s="438" t="s">
        <v>3797</v>
      </c>
      <c r="C207" s="438" t="s">
        <v>3750</v>
      </c>
      <c r="D207" s="438" t="s">
        <v>3806</v>
      </c>
      <c r="E207" s="438" t="s">
        <v>2760</v>
      </c>
      <c r="F207" s="438" t="s">
        <v>2600</v>
      </c>
      <c r="G207" s="438" t="s">
        <v>2789</v>
      </c>
      <c r="H207" s="438" t="s">
        <v>2758</v>
      </c>
      <c r="I207" s="438" t="s">
        <v>2757</v>
      </c>
      <c r="J207" s="438" t="s">
        <v>2757</v>
      </c>
      <c r="K207" s="438" t="s">
        <v>2556</v>
      </c>
      <c r="L207" s="438" t="s">
        <v>2557</v>
      </c>
      <c r="M207" s="456">
        <v>71902</v>
      </c>
      <c r="N207" s="456"/>
      <c r="O207" s="456"/>
      <c r="P207" s="456">
        <v>71909.289000000004</v>
      </c>
    </row>
    <row r="208" spans="1:16" hidden="1" x14ac:dyDescent="0.5">
      <c r="A208" s="438">
        <v>205</v>
      </c>
      <c r="B208" s="438" t="s">
        <v>3797</v>
      </c>
      <c r="C208" s="438" t="s">
        <v>3750</v>
      </c>
      <c r="D208" s="438" t="s">
        <v>3807</v>
      </c>
      <c r="E208" s="438" t="s">
        <v>2760</v>
      </c>
      <c r="F208" s="438" t="s">
        <v>2600</v>
      </c>
      <c r="G208" s="438" t="s">
        <v>2789</v>
      </c>
      <c r="H208" s="438" t="s">
        <v>2758</v>
      </c>
      <c r="I208" s="438" t="s">
        <v>2757</v>
      </c>
      <c r="J208" s="438" t="s">
        <v>2757</v>
      </c>
      <c r="K208" s="438" t="s">
        <v>2556</v>
      </c>
      <c r="L208" s="438" t="s">
        <v>2557</v>
      </c>
      <c r="M208" s="456">
        <v>1874</v>
      </c>
      <c r="N208" s="456"/>
      <c r="O208" s="456"/>
      <c r="P208" s="456">
        <v>1873.24</v>
      </c>
    </row>
    <row r="209" spans="1:16" hidden="1" x14ac:dyDescent="0.5">
      <c r="A209" s="438">
        <v>206</v>
      </c>
      <c r="B209" s="438" t="s">
        <v>3797</v>
      </c>
      <c r="C209" s="438" t="s">
        <v>3750</v>
      </c>
      <c r="D209" s="438" t="s">
        <v>3808</v>
      </c>
      <c r="E209" s="438" t="s">
        <v>2760</v>
      </c>
      <c r="F209" s="438" t="s">
        <v>2600</v>
      </c>
      <c r="G209" s="438" t="s">
        <v>2789</v>
      </c>
      <c r="H209" s="438" t="s">
        <v>2758</v>
      </c>
      <c r="I209" s="438" t="s">
        <v>2757</v>
      </c>
      <c r="J209" s="438" t="s">
        <v>2757</v>
      </c>
      <c r="K209" s="438" t="s">
        <v>2556</v>
      </c>
      <c r="L209" s="438" t="s">
        <v>2557</v>
      </c>
      <c r="M209" s="456">
        <v>6187</v>
      </c>
      <c r="N209" s="456"/>
      <c r="O209" s="456"/>
      <c r="P209" s="456">
        <v>6184.491</v>
      </c>
    </row>
    <row r="210" spans="1:16" hidden="1" x14ac:dyDescent="0.5">
      <c r="A210" s="438">
        <v>207</v>
      </c>
      <c r="B210" s="438" t="s">
        <v>3797</v>
      </c>
      <c r="C210" s="438" t="s">
        <v>3750</v>
      </c>
      <c r="D210" s="438" t="s">
        <v>3809</v>
      </c>
      <c r="E210" s="438" t="s">
        <v>2568</v>
      </c>
      <c r="F210" s="438" t="s">
        <v>2559</v>
      </c>
      <c r="G210" s="438" t="s">
        <v>3287</v>
      </c>
      <c r="H210" s="438" t="s">
        <v>2616</v>
      </c>
      <c r="I210" s="438" t="s">
        <v>2691</v>
      </c>
      <c r="J210" s="438" t="s">
        <v>3273</v>
      </c>
      <c r="K210" s="438" t="s">
        <v>2556</v>
      </c>
      <c r="L210" s="438" t="s">
        <v>2557</v>
      </c>
      <c r="M210" s="456">
        <v>13947</v>
      </c>
      <c r="N210" s="456"/>
      <c r="O210" s="456"/>
      <c r="P210" s="456">
        <v>13941.343999999999</v>
      </c>
    </row>
    <row r="211" spans="1:16" hidden="1" x14ac:dyDescent="0.5">
      <c r="A211" s="438">
        <v>208</v>
      </c>
      <c r="B211" s="438" t="s">
        <v>3797</v>
      </c>
      <c r="C211" s="438" t="s">
        <v>3810</v>
      </c>
      <c r="D211" s="438" t="s">
        <v>3811</v>
      </c>
      <c r="E211" s="438" t="s">
        <v>2560</v>
      </c>
      <c r="F211" s="438" t="s">
        <v>2554</v>
      </c>
      <c r="G211" s="438" t="s">
        <v>2561</v>
      </c>
      <c r="H211" s="438" t="s">
        <v>3480</v>
      </c>
      <c r="I211" s="438" t="s">
        <v>2562</v>
      </c>
      <c r="J211" s="438" t="s">
        <v>2563</v>
      </c>
      <c r="K211" s="438" t="s">
        <v>2556</v>
      </c>
      <c r="L211" s="438" t="s">
        <v>2557</v>
      </c>
      <c r="M211" s="456">
        <v>5830</v>
      </c>
      <c r="N211" s="456"/>
      <c r="O211" s="456"/>
      <c r="P211" s="456">
        <v>5827.6360000000004</v>
      </c>
    </row>
    <row r="212" spans="1:16" hidden="1" x14ac:dyDescent="0.5">
      <c r="A212" s="438">
        <v>209</v>
      </c>
      <c r="B212" s="438" t="s">
        <v>3797</v>
      </c>
      <c r="C212" s="438" t="s">
        <v>3810</v>
      </c>
      <c r="D212" s="438" t="s">
        <v>3812</v>
      </c>
      <c r="E212" s="438" t="s">
        <v>2553</v>
      </c>
      <c r="F212" s="438" t="s">
        <v>2559</v>
      </c>
      <c r="G212" s="438" t="s">
        <v>3261</v>
      </c>
      <c r="H212" s="438" t="s">
        <v>3277</v>
      </c>
      <c r="I212" s="438" t="s">
        <v>2558</v>
      </c>
      <c r="J212" s="438" t="s">
        <v>2558</v>
      </c>
      <c r="K212" s="438" t="s">
        <v>2556</v>
      </c>
      <c r="L212" s="438" t="s">
        <v>2557</v>
      </c>
      <c r="M212" s="456">
        <v>14302</v>
      </c>
      <c r="N212" s="456"/>
      <c r="O212" s="456"/>
      <c r="P212" s="456">
        <v>14296.2</v>
      </c>
    </row>
    <row r="213" spans="1:16" hidden="1" x14ac:dyDescent="0.5">
      <c r="A213" s="438">
        <v>210</v>
      </c>
      <c r="B213" s="438" t="s">
        <v>3813</v>
      </c>
      <c r="C213" s="438" t="s">
        <v>3810</v>
      </c>
      <c r="D213" s="438" t="s">
        <v>3814</v>
      </c>
      <c r="E213" s="438" t="s">
        <v>3266</v>
      </c>
      <c r="F213" s="438" t="s">
        <v>2554</v>
      </c>
      <c r="G213" s="438" t="s">
        <v>3267</v>
      </c>
      <c r="H213" s="438" t="s">
        <v>3299</v>
      </c>
      <c r="I213" s="438" t="s">
        <v>2558</v>
      </c>
      <c r="J213" s="438" t="s">
        <v>2558</v>
      </c>
      <c r="K213" s="438" t="s">
        <v>2556</v>
      </c>
      <c r="L213" s="438" t="s">
        <v>2557</v>
      </c>
      <c r="M213" s="456">
        <v>15745</v>
      </c>
      <c r="N213" s="456"/>
      <c r="O213" s="456"/>
      <c r="P213" s="456">
        <v>15737.018</v>
      </c>
    </row>
    <row r="214" spans="1:16" hidden="1" x14ac:dyDescent="0.5">
      <c r="A214" s="438">
        <v>211</v>
      </c>
      <c r="B214" s="438" t="s">
        <v>3813</v>
      </c>
      <c r="C214" s="438" t="s">
        <v>3810</v>
      </c>
      <c r="D214" s="438" t="s">
        <v>3815</v>
      </c>
      <c r="E214" s="438" t="s">
        <v>3270</v>
      </c>
      <c r="F214" s="438" t="s">
        <v>2554</v>
      </c>
      <c r="G214" s="438" t="s">
        <v>3271</v>
      </c>
      <c r="H214" s="438" t="s">
        <v>3816</v>
      </c>
      <c r="I214" s="438" t="s">
        <v>2558</v>
      </c>
      <c r="J214" s="438" t="s">
        <v>2558</v>
      </c>
      <c r="K214" s="438" t="s">
        <v>2556</v>
      </c>
      <c r="L214" s="438" t="s">
        <v>2557</v>
      </c>
      <c r="M214" s="456">
        <v>14854</v>
      </c>
      <c r="N214" s="456"/>
      <c r="O214" s="456"/>
      <c r="P214" s="456">
        <v>14846.47</v>
      </c>
    </row>
    <row r="215" spans="1:16" hidden="1" x14ac:dyDescent="0.5">
      <c r="A215" s="438">
        <v>212</v>
      </c>
      <c r="B215" s="438" t="s">
        <v>3813</v>
      </c>
      <c r="C215" s="438" t="s">
        <v>3810</v>
      </c>
      <c r="D215" s="438" t="s">
        <v>3817</v>
      </c>
      <c r="E215" s="438" t="s">
        <v>2553</v>
      </c>
      <c r="F215" s="438" t="s">
        <v>2554</v>
      </c>
      <c r="G215" s="438" t="s">
        <v>3285</v>
      </c>
      <c r="H215" s="438" t="s">
        <v>2575</v>
      </c>
      <c r="I215" s="438" t="s">
        <v>2555</v>
      </c>
      <c r="J215" s="438" t="s">
        <v>2555</v>
      </c>
      <c r="K215" s="438" t="s">
        <v>2556</v>
      </c>
      <c r="L215" s="438" t="s">
        <v>2557</v>
      </c>
      <c r="M215" s="456">
        <v>12847</v>
      </c>
      <c r="N215" s="456"/>
      <c r="O215" s="456"/>
      <c r="P215" s="456">
        <v>12840.486999999999</v>
      </c>
    </row>
    <row r="216" spans="1:16" hidden="1" x14ac:dyDescent="0.5">
      <c r="A216" s="438">
        <v>213</v>
      </c>
      <c r="B216" s="438" t="s">
        <v>3813</v>
      </c>
      <c r="C216" s="438" t="s">
        <v>3810</v>
      </c>
      <c r="D216" s="438" t="s">
        <v>3818</v>
      </c>
      <c r="E216" s="438" t="s">
        <v>2566</v>
      </c>
      <c r="F216" s="438" t="s">
        <v>2559</v>
      </c>
      <c r="G216" s="438" t="s">
        <v>3295</v>
      </c>
      <c r="H216" s="438" t="s">
        <v>3758</v>
      </c>
      <c r="I216" s="438" t="s">
        <v>2567</v>
      </c>
      <c r="J216" s="438" t="s">
        <v>2567</v>
      </c>
      <c r="K216" s="438" t="s">
        <v>2556</v>
      </c>
      <c r="L216" s="438" t="s">
        <v>2557</v>
      </c>
      <c r="M216" s="456">
        <v>12793</v>
      </c>
      <c r="N216" s="456"/>
      <c r="O216" s="456"/>
      <c r="P216" s="456">
        <v>12786.514999999999</v>
      </c>
    </row>
    <row r="217" spans="1:16" hidden="1" x14ac:dyDescent="0.5">
      <c r="A217" s="438">
        <v>214</v>
      </c>
      <c r="B217" s="438" t="s">
        <v>3813</v>
      </c>
      <c r="C217" s="438" t="s">
        <v>3810</v>
      </c>
      <c r="D217" s="438" t="s">
        <v>3819</v>
      </c>
      <c r="E217" s="438" t="s">
        <v>2566</v>
      </c>
      <c r="F217" s="438" t="s">
        <v>2559</v>
      </c>
      <c r="G217" s="438" t="s">
        <v>3671</v>
      </c>
      <c r="H217" s="438" t="s">
        <v>3820</v>
      </c>
      <c r="I217" s="438" t="s">
        <v>2785</v>
      </c>
      <c r="J217" s="438" t="s">
        <v>2785</v>
      </c>
      <c r="K217" s="438" t="s">
        <v>2556</v>
      </c>
      <c r="L217" s="438" t="s">
        <v>2557</v>
      </c>
      <c r="M217" s="456">
        <v>6804</v>
      </c>
      <c r="N217" s="456"/>
      <c r="O217" s="456"/>
      <c r="P217" s="456">
        <v>6800.5510000000004</v>
      </c>
    </row>
    <row r="218" spans="1:16" hidden="1" x14ac:dyDescent="0.5">
      <c r="A218" s="438">
        <v>215</v>
      </c>
      <c r="B218" s="438" t="s">
        <v>3813</v>
      </c>
      <c r="C218" s="438" t="s">
        <v>3810</v>
      </c>
      <c r="D218" s="438" t="s">
        <v>3821</v>
      </c>
      <c r="E218" s="438" t="s">
        <v>2566</v>
      </c>
      <c r="F218" s="438" t="s">
        <v>2559</v>
      </c>
      <c r="G218" s="438" t="s">
        <v>3671</v>
      </c>
      <c r="H218" s="438" t="s">
        <v>3820</v>
      </c>
      <c r="I218" s="438" t="s">
        <v>2785</v>
      </c>
      <c r="J218" s="438" t="s">
        <v>2785</v>
      </c>
      <c r="K218" s="438" t="s">
        <v>2556</v>
      </c>
      <c r="L218" s="438" t="s">
        <v>2557</v>
      </c>
      <c r="M218" s="456">
        <v>928</v>
      </c>
      <c r="N218" s="456"/>
      <c r="O218" s="456"/>
      <c r="P218" s="456">
        <v>927.53</v>
      </c>
    </row>
    <row r="219" spans="1:16" hidden="1" x14ac:dyDescent="0.5">
      <c r="A219" s="438">
        <v>216</v>
      </c>
      <c r="B219" s="438" t="s">
        <v>3813</v>
      </c>
      <c r="C219" s="438" t="s">
        <v>3810</v>
      </c>
      <c r="D219" s="438" t="s">
        <v>3822</v>
      </c>
      <c r="E219" s="438" t="s">
        <v>2568</v>
      </c>
      <c r="F219" s="438" t="s">
        <v>2559</v>
      </c>
      <c r="G219" s="438" t="s">
        <v>3823</v>
      </c>
      <c r="H219" s="438" t="s">
        <v>2616</v>
      </c>
      <c r="I219" s="438" t="s">
        <v>3273</v>
      </c>
      <c r="J219" s="438" t="s">
        <v>3447</v>
      </c>
      <c r="K219" s="438" t="s">
        <v>2556</v>
      </c>
      <c r="L219" s="438" t="s">
        <v>2557</v>
      </c>
      <c r="M219" s="456">
        <v>12097</v>
      </c>
      <c r="N219" s="456"/>
      <c r="O219" s="456"/>
      <c r="P219" s="456">
        <v>12090.868</v>
      </c>
    </row>
    <row r="220" spans="1:16" hidden="1" x14ac:dyDescent="0.5">
      <c r="A220" s="438">
        <v>217</v>
      </c>
      <c r="B220" s="438" t="s">
        <v>3813</v>
      </c>
      <c r="C220" s="438" t="s">
        <v>3810</v>
      </c>
      <c r="D220" s="438" t="s">
        <v>3824</v>
      </c>
      <c r="E220" s="438" t="s">
        <v>2568</v>
      </c>
      <c r="F220" s="438" t="s">
        <v>2559</v>
      </c>
      <c r="G220" s="438" t="s">
        <v>3743</v>
      </c>
      <c r="H220" s="438" t="s">
        <v>3723</v>
      </c>
      <c r="I220" s="438" t="s">
        <v>3724</v>
      </c>
      <c r="J220" s="438" t="s">
        <v>3744</v>
      </c>
      <c r="K220" s="438" t="s">
        <v>2556</v>
      </c>
      <c r="L220" s="438" t="s">
        <v>2557</v>
      </c>
      <c r="M220" s="456">
        <v>17874</v>
      </c>
      <c r="N220" s="456"/>
      <c r="O220" s="456"/>
      <c r="P220" s="456">
        <v>17864.938999999998</v>
      </c>
    </row>
    <row r="221" spans="1:16" hidden="1" x14ac:dyDescent="0.5">
      <c r="A221" s="438">
        <v>218</v>
      </c>
      <c r="B221" s="438" t="s">
        <v>3813</v>
      </c>
      <c r="C221" s="438" t="s">
        <v>3810</v>
      </c>
      <c r="D221" s="438" t="s">
        <v>3825</v>
      </c>
      <c r="E221" s="438" t="s">
        <v>2560</v>
      </c>
      <c r="F221" s="438" t="s">
        <v>2554</v>
      </c>
      <c r="G221" s="438" t="s">
        <v>2561</v>
      </c>
      <c r="H221" s="438" t="s">
        <v>3480</v>
      </c>
      <c r="I221" s="438" t="s">
        <v>2562</v>
      </c>
      <c r="J221" s="438" t="s">
        <v>2563</v>
      </c>
      <c r="K221" s="438" t="s">
        <v>2556</v>
      </c>
      <c r="L221" s="438" t="s">
        <v>2557</v>
      </c>
      <c r="M221" s="456">
        <v>4923</v>
      </c>
      <c r="N221" s="456"/>
      <c r="O221" s="456"/>
      <c r="P221" s="456">
        <v>4920.5039999999999</v>
      </c>
    </row>
    <row r="222" spans="1:16" hidden="1" x14ac:dyDescent="0.5">
      <c r="A222" s="438">
        <v>219</v>
      </c>
      <c r="B222" s="438" t="s">
        <v>3826</v>
      </c>
      <c r="C222" s="438" t="s">
        <v>3810</v>
      </c>
      <c r="D222" s="438" t="s">
        <v>3827</v>
      </c>
      <c r="E222" s="438" t="s">
        <v>3266</v>
      </c>
      <c r="F222" s="438" t="s">
        <v>2554</v>
      </c>
      <c r="G222" s="438" t="s">
        <v>3267</v>
      </c>
      <c r="H222" s="438" t="s">
        <v>3618</v>
      </c>
      <c r="I222" s="438" t="s">
        <v>2558</v>
      </c>
      <c r="J222" s="438" t="s">
        <v>2558</v>
      </c>
      <c r="K222" s="438" t="s">
        <v>2556</v>
      </c>
      <c r="L222" s="438" t="s">
        <v>2557</v>
      </c>
      <c r="M222" s="456">
        <v>14014</v>
      </c>
      <c r="N222" s="456"/>
      <c r="O222" s="456"/>
      <c r="P222" s="456">
        <v>14021.102999999999</v>
      </c>
    </row>
    <row r="223" spans="1:16" hidden="1" x14ac:dyDescent="0.5">
      <c r="A223" s="438">
        <v>220</v>
      </c>
      <c r="B223" s="438" t="s">
        <v>3826</v>
      </c>
      <c r="C223" s="438" t="s">
        <v>3810</v>
      </c>
      <c r="D223" s="438" t="s">
        <v>3828</v>
      </c>
      <c r="E223" s="438" t="s">
        <v>2566</v>
      </c>
      <c r="F223" s="438" t="s">
        <v>2559</v>
      </c>
      <c r="G223" s="438" t="s">
        <v>3281</v>
      </c>
      <c r="H223" s="438" t="s">
        <v>3264</v>
      </c>
      <c r="I223" s="438" t="s">
        <v>3276</v>
      </c>
      <c r="J223" s="438" t="s">
        <v>3276</v>
      </c>
      <c r="K223" s="438" t="s">
        <v>2556</v>
      </c>
      <c r="L223" s="438" t="s">
        <v>2557</v>
      </c>
      <c r="M223" s="456">
        <v>13157</v>
      </c>
      <c r="N223" s="456"/>
      <c r="O223" s="456"/>
      <c r="P223" s="456">
        <v>13163.669</v>
      </c>
    </row>
    <row r="224" spans="1:16" hidden="1" x14ac:dyDescent="0.5">
      <c r="A224" s="438">
        <v>221</v>
      </c>
      <c r="B224" s="438" t="s">
        <v>3826</v>
      </c>
      <c r="C224" s="438" t="s">
        <v>3810</v>
      </c>
      <c r="D224" s="438" t="s">
        <v>3829</v>
      </c>
      <c r="E224" s="438" t="s">
        <v>3270</v>
      </c>
      <c r="F224" s="438" t="s">
        <v>2554</v>
      </c>
      <c r="G224" s="438" t="s">
        <v>3271</v>
      </c>
      <c r="H224" s="438" t="s">
        <v>3830</v>
      </c>
      <c r="I224" s="438" t="s">
        <v>2558</v>
      </c>
      <c r="J224" s="438" t="s">
        <v>2558</v>
      </c>
      <c r="K224" s="438" t="s">
        <v>2556</v>
      </c>
      <c r="L224" s="438" t="s">
        <v>2557</v>
      </c>
      <c r="M224" s="456">
        <v>12934</v>
      </c>
      <c r="N224" s="456"/>
      <c r="O224" s="456"/>
      <c r="P224" s="456">
        <v>12940.556</v>
      </c>
    </row>
    <row r="225" spans="1:16" hidden="1" x14ac:dyDescent="0.5">
      <c r="A225" s="438">
        <v>222</v>
      </c>
      <c r="B225" s="438" t="s">
        <v>3826</v>
      </c>
      <c r="C225" s="438" t="s">
        <v>3810</v>
      </c>
      <c r="D225" s="438" t="s">
        <v>3831</v>
      </c>
      <c r="E225" s="438" t="s">
        <v>2553</v>
      </c>
      <c r="F225" s="438" t="s">
        <v>2554</v>
      </c>
      <c r="G225" s="438" t="s">
        <v>3712</v>
      </c>
      <c r="H225" s="438" t="s">
        <v>3713</v>
      </c>
      <c r="I225" s="438" t="s">
        <v>2567</v>
      </c>
      <c r="J225" s="438" t="s">
        <v>2567</v>
      </c>
      <c r="K225" s="438" t="s">
        <v>2556</v>
      </c>
      <c r="L225" s="438" t="s">
        <v>2557</v>
      </c>
      <c r="M225" s="456">
        <v>13915</v>
      </c>
      <c r="N225" s="456"/>
      <c r="O225" s="456"/>
      <c r="P225" s="456">
        <v>13922.053</v>
      </c>
    </row>
    <row r="226" spans="1:16" hidden="1" x14ac:dyDescent="0.5">
      <c r="A226" s="438">
        <v>223</v>
      </c>
      <c r="B226" s="438" t="s">
        <v>3826</v>
      </c>
      <c r="C226" s="438" t="s">
        <v>3810</v>
      </c>
      <c r="D226" s="438" t="s">
        <v>3832</v>
      </c>
      <c r="E226" s="438" t="s">
        <v>2566</v>
      </c>
      <c r="F226" s="438" t="s">
        <v>2559</v>
      </c>
      <c r="G226" s="438" t="s">
        <v>3282</v>
      </c>
      <c r="H226" s="438" t="s">
        <v>3304</v>
      </c>
      <c r="I226" s="438" t="s">
        <v>3284</v>
      </c>
      <c r="J226" s="438" t="s">
        <v>3284</v>
      </c>
      <c r="K226" s="438" t="s">
        <v>2556</v>
      </c>
      <c r="L226" s="438" t="s">
        <v>2557</v>
      </c>
      <c r="M226" s="456">
        <v>17085</v>
      </c>
      <c r="N226" s="456"/>
      <c r="O226" s="456"/>
      <c r="P226" s="456">
        <v>17093.659</v>
      </c>
    </row>
    <row r="227" spans="1:16" hidden="1" x14ac:dyDescent="0.5">
      <c r="A227" s="438">
        <v>224</v>
      </c>
      <c r="B227" s="438" t="s">
        <v>3826</v>
      </c>
      <c r="C227" s="438" t="s">
        <v>3810</v>
      </c>
      <c r="D227" s="438" t="s">
        <v>3833</v>
      </c>
      <c r="E227" s="438" t="s">
        <v>2566</v>
      </c>
      <c r="F227" s="438" t="s">
        <v>2559</v>
      </c>
      <c r="G227" s="438" t="s">
        <v>3671</v>
      </c>
      <c r="H227" s="438" t="s">
        <v>3773</v>
      </c>
      <c r="I227" s="438" t="s">
        <v>2785</v>
      </c>
      <c r="J227" s="438" t="s">
        <v>2785</v>
      </c>
      <c r="K227" s="438" t="s">
        <v>2556</v>
      </c>
      <c r="L227" s="438" t="s">
        <v>2557</v>
      </c>
      <c r="M227" s="456">
        <v>6033</v>
      </c>
      <c r="N227" s="456"/>
      <c r="O227" s="456"/>
      <c r="P227" s="456">
        <v>6036.058</v>
      </c>
    </row>
    <row r="228" spans="1:16" hidden="1" x14ac:dyDescent="0.5">
      <c r="A228" s="438">
        <v>225</v>
      </c>
      <c r="B228" s="438" t="s">
        <v>3826</v>
      </c>
      <c r="C228" s="438" t="s">
        <v>3810</v>
      </c>
      <c r="D228" s="438" t="s">
        <v>3834</v>
      </c>
      <c r="E228" s="438" t="s">
        <v>2568</v>
      </c>
      <c r="F228" s="438" t="s">
        <v>2559</v>
      </c>
      <c r="G228" s="438" t="s">
        <v>3272</v>
      </c>
      <c r="H228" s="438" t="s">
        <v>2616</v>
      </c>
      <c r="I228" s="438" t="s">
        <v>3447</v>
      </c>
      <c r="J228" s="438" t="s">
        <v>2570</v>
      </c>
      <c r="K228" s="438" t="s">
        <v>2556</v>
      </c>
      <c r="L228" s="438" t="s">
        <v>2557</v>
      </c>
      <c r="M228" s="456">
        <v>11330</v>
      </c>
      <c r="N228" s="456"/>
      <c r="O228" s="456"/>
      <c r="P228" s="456">
        <v>11335.743</v>
      </c>
    </row>
    <row r="229" spans="1:16" hidden="1" x14ac:dyDescent="0.5">
      <c r="A229" s="438">
        <v>226</v>
      </c>
      <c r="B229" s="438" t="s">
        <v>3826</v>
      </c>
      <c r="C229" s="438" t="s">
        <v>3810</v>
      </c>
      <c r="D229" s="438" t="s">
        <v>3835</v>
      </c>
      <c r="E229" s="438" t="s">
        <v>2553</v>
      </c>
      <c r="F229" s="438" t="s">
        <v>2559</v>
      </c>
      <c r="G229" s="438" t="s">
        <v>3268</v>
      </c>
      <c r="H229" s="438" t="s">
        <v>2603</v>
      </c>
      <c r="I229" s="438" t="s">
        <v>2573</v>
      </c>
      <c r="J229" s="438" t="s">
        <v>2573</v>
      </c>
      <c r="K229" s="438" t="s">
        <v>2556</v>
      </c>
      <c r="L229" s="438" t="s">
        <v>2557</v>
      </c>
      <c r="M229" s="456">
        <v>15696</v>
      </c>
      <c r="N229" s="456"/>
      <c r="O229" s="456"/>
      <c r="P229" s="456">
        <v>15703.955</v>
      </c>
    </row>
    <row r="230" spans="1:16" hidden="1" x14ac:dyDescent="0.5">
      <c r="A230" s="438">
        <v>227</v>
      </c>
      <c r="B230" s="438" t="s">
        <v>3826</v>
      </c>
      <c r="C230" s="438" t="s">
        <v>3810</v>
      </c>
      <c r="D230" s="438" t="s">
        <v>3836</v>
      </c>
      <c r="E230" s="438" t="s">
        <v>2568</v>
      </c>
      <c r="F230" s="438" t="s">
        <v>2559</v>
      </c>
      <c r="G230" s="438" t="s">
        <v>3274</v>
      </c>
      <c r="H230" s="438" t="s">
        <v>2616</v>
      </c>
      <c r="I230" s="438" t="s">
        <v>2570</v>
      </c>
      <c r="J230" s="438" t="s">
        <v>3275</v>
      </c>
      <c r="K230" s="438" t="s">
        <v>2556</v>
      </c>
      <c r="L230" s="438" t="s">
        <v>2557</v>
      </c>
      <c r="M230" s="456">
        <v>15243</v>
      </c>
      <c r="N230" s="456"/>
      <c r="O230" s="456"/>
      <c r="P230" s="456">
        <v>15246.09</v>
      </c>
    </row>
    <row r="231" spans="1:16" hidden="1" x14ac:dyDescent="0.5">
      <c r="A231" s="438">
        <v>228</v>
      </c>
      <c r="B231" s="438" t="s">
        <v>3826</v>
      </c>
      <c r="C231" s="438" t="s">
        <v>3810</v>
      </c>
      <c r="D231" s="438" t="s">
        <v>3837</v>
      </c>
      <c r="E231" s="438" t="s">
        <v>2568</v>
      </c>
      <c r="F231" s="438" t="s">
        <v>2559</v>
      </c>
      <c r="G231" s="438" t="s">
        <v>3722</v>
      </c>
      <c r="H231" s="438" t="s">
        <v>3723</v>
      </c>
      <c r="I231" s="438" t="s">
        <v>2577</v>
      </c>
      <c r="J231" s="438" t="s">
        <v>3724</v>
      </c>
      <c r="K231" s="438" t="s">
        <v>2556</v>
      </c>
      <c r="L231" s="438" t="s">
        <v>2557</v>
      </c>
      <c r="M231" s="456">
        <v>16511</v>
      </c>
      <c r="N231" s="456"/>
      <c r="O231" s="456"/>
      <c r="P231" s="456">
        <v>16514.347000000002</v>
      </c>
    </row>
    <row r="232" spans="1:16" hidden="1" x14ac:dyDescent="0.5">
      <c r="A232" s="438">
        <v>229</v>
      </c>
      <c r="B232" s="438" t="s">
        <v>3826</v>
      </c>
      <c r="C232" s="438" t="s">
        <v>3810</v>
      </c>
      <c r="D232" s="438" t="s">
        <v>3838</v>
      </c>
      <c r="E232" s="438" t="s">
        <v>2560</v>
      </c>
      <c r="F232" s="438" t="s">
        <v>2554</v>
      </c>
      <c r="G232" s="438" t="s">
        <v>2561</v>
      </c>
      <c r="H232" s="438" t="s">
        <v>3480</v>
      </c>
      <c r="I232" s="438" t="s">
        <v>2562</v>
      </c>
      <c r="J232" s="438" t="s">
        <v>2563</v>
      </c>
      <c r="K232" s="438" t="s">
        <v>2556</v>
      </c>
      <c r="L232" s="438" t="s">
        <v>2557</v>
      </c>
      <c r="M232" s="456">
        <v>2254</v>
      </c>
      <c r="N232" s="456"/>
      <c r="O232" s="456"/>
      <c r="P232" s="456">
        <v>2254.4569999999999</v>
      </c>
    </row>
    <row r="233" spans="1:16" hidden="1" x14ac:dyDescent="0.5">
      <c r="A233" s="438">
        <v>230</v>
      </c>
      <c r="B233" s="438" t="s">
        <v>3826</v>
      </c>
      <c r="C233" s="438" t="s">
        <v>3810</v>
      </c>
      <c r="D233" s="438" t="s">
        <v>3839</v>
      </c>
      <c r="E233" s="438" t="s">
        <v>2553</v>
      </c>
      <c r="F233" s="438" t="s">
        <v>2554</v>
      </c>
      <c r="G233" s="438" t="s">
        <v>3278</v>
      </c>
      <c r="H233" s="438" t="s">
        <v>3840</v>
      </c>
      <c r="I233" s="438" t="s">
        <v>3279</v>
      </c>
      <c r="J233" s="438" t="s">
        <v>3279</v>
      </c>
      <c r="K233" s="438" t="s">
        <v>2556</v>
      </c>
      <c r="L233" s="438" t="s">
        <v>2557</v>
      </c>
      <c r="M233" s="456">
        <v>35511</v>
      </c>
      <c r="N233" s="456"/>
      <c r="O233" s="456"/>
      <c r="P233" s="456">
        <v>35518.199000000001</v>
      </c>
    </row>
    <row r="234" spans="1:16" hidden="1" x14ac:dyDescent="0.5">
      <c r="A234" s="438">
        <v>231</v>
      </c>
      <c r="B234" s="438" t="s">
        <v>3841</v>
      </c>
      <c r="C234" s="438" t="s">
        <v>3810</v>
      </c>
      <c r="D234" s="438" t="s">
        <v>3842</v>
      </c>
      <c r="E234" s="438" t="s">
        <v>3266</v>
      </c>
      <c r="F234" s="438" t="s">
        <v>2554</v>
      </c>
      <c r="G234" s="438" t="s">
        <v>3267</v>
      </c>
      <c r="H234" s="438" t="s">
        <v>3324</v>
      </c>
      <c r="I234" s="438" t="s">
        <v>2558</v>
      </c>
      <c r="J234" s="438" t="s">
        <v>2558</v>
      </c>
      <c r="K234" s="438" t="s">
        <v>2556</v>
      </c>
      <c r="L234" s="438" t="s">
        <v>2557</v>
      </c>
      <c r="M234" s="456">
        <v>14579</v>
      </c>
      <c r="N234" s="456"/>
      <c r="O234" s="456"/>
      <c r="P234" s="456">
        <v>14586.391</v>
      </c>
    </row>
    <row r="235" spans="1:16" hidden="1" x14ac:dyDescent="0.5">
      <c r="A235" s="438">
        <v>232</v>
      </c>
      <c r="B235" s="438" t="s">
        <v>3841</v>
      </c>
      <c r="C235" s="438" t="s">
        <v>3810</v>
      </c>
      <c r="D235" s="438" t="s">
        <v>3843</v>
      </c>
      <c r="E235" s="438" t="s">
        <v>2566</v>
      </c>
      <c r="F235" s="438" t="s">
        <v>2559</v>
      </c>
      <c r="G235" s="438" t="s">
        <v>3282</v>
      </c>
      <c r="H235" s="438" t="s">
        <v>3283</v>
      </c>
      <c r="I235" s="438" t="s">
        <v>3284</v>
      </c>
      <c r="J235" s="438" t="s">
        <v>3284</v>
      </c>
      <c r="K235" s="438" t="s">
        <v>2556</v>
      </c>
      <c r="L235" s="438" t="s">
        <v>2557</v>
      </c>
      <c r="M235" s="456">
        <v>18083</v>
      </c>
      <c r="N235" s="456"/>
      <c r="O235" s="456"/>
      <c r="P235" s="456">
        <v>18092.167000000001</v>
      </c>
    </row>
    <row r="236" spans="1:16" hidden="1" x14ac:dyDescent="0.5">
      <c r="A236" s="438">
        <v>233</v>
      </c>
      <c r="B236" s="438" t="s">
        <v>3841</v>
      </c>
      <c r="C236" s="438" t="s">
        <v>3810</v>
      </c>
      <c r="D236" s="438" t="s">
        <v>3844</v>
      </c>
      <c r="E236" s="438" t="s">
        <v>2553</v>
      </c>
      <c r="F236" s="438" t="s">
        <v>2554</v>
      </c>
      <c r="G236" s="438" t="s">
        <v>3845</v>
      </c>
      <c r="H236" s="438" t="s">
        <v>3846</v>
      </c>
      <c r="I236" s="438" t="s">
        <v>2555</v>
      </c>
      <c r="J236" s="438" t="s">
        <v>2555</v>
      </c>
      <c r="K236" s="438" t="s">
        <v>2556</v>
      </c>
      <c r="L236" s="438" t="s">
        <v>2557</v>
      </c>
      <c r="M236" s="456">
        <v>12115</v>
      </c>
      <c r="N236" s="456"/>
      <c r="O236" s="456"/>
      <c r="P236" s="456">
        <v>12121.142</v>
      </c>
    </row>
    <row r="237" spans="1:16" hidden="1" x14ac:dyDescent="0.5">
      <c r="A237" s="438">
        <v>234</v>
      </c>
      <c r="B237" s="438" t="s">
        <v>3841</v>
      </c>
      <c r="C237" s="438" t="s">
        <v>3810</v>
      </c>
      <c r="D237" s="438" t="s">
        <v>3847</v>
      </c>
      <c r="E237" s="438" t="s">
        <v>2566</v>
      </c>
      <c r="F237" s="438" t="s">
        <v>2559</v>
      </c>
      <c r="G237" s="438" t="s">
        <v>3671</v>
      </c>
      <c r="H237" s="438" t="s">
        <v>3760</v>
      </c>
      <c r="I237" s="438" t="s">
        <v>2785</v>
      </c>
      <c r="J237" s="438" t="s">
        <v>2785</v>
      </c>
      <c r="K237" s="438" t="s">
        <v>2556</v>
      </c>
      <c r="L237" s="438" t="s">
        <v>2557</v>
      </c>
      <c r="M237" s="456">
        <v>4951</v>
      </c>
      <c r="N237" s="456"/>
      <c r="O237" s="456"/>
      <c r="P237" s="456">
        <v>4953.51</v>
      </c>
    </row>
    <row r="238" spans="1:16" hidden="1" x14ac:dyDescent="0.5">
      <c r="A238" s="438">
        <v>235</v>
      </c>
      <c r="B238" s="438" t="s">
        <v>3841</v>
      </c>
      <c r="C238" s="438" t="s">
        <v>3810</v>
      </c>
      <c r="D238" s="438" t="s">
        <v>3848</v>
      </c>
      <c r="E238" s="438" t="s">
        <v>2568</v>
      </c>
      <c r="F238" s="438" t="s">
        <v>2559</v>
      </c>
      <c r="G238" s="438" t="s">
        <v>3446</v>
      </c>
      <c r="H238" s="438" t="s">
        <v>2616</v>
      </c>
      <c r="I238" s="438" t="s">
        <v>3275</v>
      </c>
      <c r="J238" s="438" t="s">
        <v>3447</v>
      </c>
      <c r="K238" s="438" t="s">
        <v>2556</v>
      </c>
      <c r="L238" s="438" t="s">
        <v>2557</v>
      </c>
      <c r="M238" s="456">
        <v>12400</v>
      </c>
      <c r="N238" s="456"/>
      <c r="O238" s="456"/>
      <c r="P238" s="456">
        <v>12406.286</v>
      </c>
    </row>
    <row r="239" spans="1:16" hidden="1" x14ac:dyDescent="0.5">
      <c r="A239" s="438">
        <v>236</v>
      </c>
      <c r="B239" s="438" t="s">
        <v>3841</v>
      </c>
      <c r="C239" s="438" t="s">
        <v>3810</v>
      </c>
      <c r="D239" s="438" t="s">
        <v>3849</v>
      </c>
      <c r="E239" s="438" t="s">
        <v>2764</v>
      </c>
      <c r="F239" s="438" t="s">
        <v>2554</v>
      </c>
      <c r="G239" s="438" t="s">
        <v>2763</v>
      </c>
      <c r="H239" s="438" t="s">
        <v>3850</v>
      </c>
      <c r="I239" s="438" t="s">
        <v>2761</v>
      </c>
      <c r="J239" s="438" t="s">
        <v>2761</v>
      </c>
      <c r="K239" s="438" t="s">
        <v>2556</v>
      </c>
      <c r="L239" s="438" t="s">
        <v>2557</v>
      </c>
      <c r="M239" s="456">
        <v>75190</v>
      </c>
      <c r="N239" s="456"/>
      <c r="O239" s="456"/>
      <c r="P239" s="456">
        <v>75228.116999999998</v>
      </c>
    </row>
    <row r="240" spans="1:16" hidden="1" x14ac:dyDescent="0.5">
      <c r="A240" s="438">
        <v>237</v>
      </c>
      <c r="B240" s="438" t="s">
        <v>3841</v>
      </c>
      <c r="C240" s="438" t="s">
        <v>3810</v>
      </c>
      <c r="D240" s="438" t="s">
        <v>3851</v>
      </c>
      <c r="E240" s="438" t="s">
        <v>2760</v>
      </c>
      <c r="F240" s="438" t="s">
        <v>2600</v>
      </c>
      <c r="G240" s="438" t="s">
        <v>3741</v>
      </c>
      <c r="H240" s="438" t="s">
        <v>3492</v>
      </c>
      <c r="I240" s="438" t="s">
        <v>2761</v>
      </c>
      <c r="J240" s="438" t="s">
        <v>2761</v>
      </c>
      <c r="K240" s="438" t="s">
        <v>2556</v>
      </c>
      <c r="L240" s="438" t="s">
        <v>2557</v>
      </c>
      <c r="M240" s="456">
        <v>81093</v>
      </c>
      <c r="N240" s="456"/>
      <c r="O240" s="456"/>
      <c r="P240" s="456">
        <v>81134.11</v>
      </c>
    </row>
    <row r="241" spans="1:16" hidden="1" x14ac:dyDescent="0.5">
      <c r="A241" s="438">
        <v>238</v>
      </c>
      <c r="B241" s="438" t="s">
        <v>3841</v>
      </c>
      <c r="C241" s="438" t="s">
        <v>3810</v>
      </c>
      <c r="D241" s="438" t="s">
        <v>3852</v>
      </c>
      <c r="E241" s="438" t="s">
        <v>3290</v>
      </c>
      <c r="F241" s="438" t="s">
        <v>2559</v>
      </c>
      <c r="G241" s="438" t="s">
        <v>3291</v>
      </c>
      <c r="H241" s="438" t="s">
        <v>3453</v>
      </c>
      <c r="I241" s="438" t="s">
        <v>3292</v>
      </c>
      <c r="J241" s="438" t="s">
        <v>3292</v>
      </c>
      <c r="K241" s="438" t="s">
        <v>2556</v>
      </c>
      <c r="L241" s="438" t="s">
        <v>2557</v>
      </c>
      <c r="M241" s="456">
        <v>9716</v>
      </c>
      <c r="N241" s="456"/>
      <c r="O241" s="456"/>
      <c r="P241" s="456">
        <v>9720.9259999999995</v>
      </c>
    </row>
    <row r="242" spans="1:16" hidden="1" x14ac:dyDescent="0.5">
      <c r="A242" s="438">
        <v>239</v>
      </c>
      <c r="B242" s="438" t="s">
        <v>3841</v>
      </c>
      <c r="C242" s="438" t="s">
        <v>3810</v>
      </c>
      <c r="D242" s="438" t="s">
        <v>3853</v>
      </c>
      <c r="E242" s="438" t="s">
        <v>2568</v>
      </c>
      <c r="F242" s="438" t="s">
        <v>2559</v>
      </c>
      <c r="G242" s="438" t="s">
        <v>3287</v>
      </c>
      <c r="H242" s="438" t="s">
        <v>2616</v>
      </c>
      <c r="I242" s="438" t="s">
        <v>2691</v>
      </c>
      <c r="J242" s="438" t="s">
        <v>2691</v>
      </c>
      <c r="K242" s="438" t="s">
        <v>2556</v>
      </c>
      <c r="L242" s="438" t="s">
        <v>2557</v>
      </c>
      <c r="M242" s="456">
        <v>12986</v>
      </c>
      <c r="N242" s="456"/>
      <c r="O242" s="456"/>
      <c r="P242" s="456">
        <v>12982.05</v>
      </c>
    </row>
    <row r="243" spans="1:16" hidden="1" x14ac:dyDescent="0.5">
      <c r="A243" s="438">
        <v>240</v>
      </c>
      <c r="B243" s="438" t="s">
        <v>3841</v>
      </c>
      <c r="C243" s="438" t="s">
        <v>3810</v>
      </c>
      <c r="D243" s="438" t="s">
        <v>3854</v>
      </c>
      <c r="E243" s="438" t="s">
        <v>2566</v>
      </c>
      <c r="F243" s="438" t="s">
        <v>2559</v>
      </c>
      <c r="G243" s="438" t="s">
        <v>3855</v>
      </c>
      <c r="H243" s="438" t="s">
        <v>2780</v>
      </c>
      <c r="I243" s="438" t="s">
        <v>2808</v>
      </c>
      <c r="J243" s="438" t="s">
        <v>2808</v>
      </c>
      <c r="K243" s="438" t="s">
        <v>2556</v>
      </c>
      <c r="L243" s="438" t="s">
        <v>2557</v>
      </c>
      <c r="M243" s="456">
        <v>38780</v>
      </c>
      <c r="N243" s="456"/>
      <c r="O243" s="456"/>
      <c r="P243" s="456">
        <v>38768.203999999998</v>
      </c>
    </row>
    <row r="244" spans="1:16" hidden="1" x14ac:dyDescent="0.5">
      <c r="A244" s="438">
        <v>241</v>
      </c>
      <c r="B244" s="438" t="s">
        <v>3841</v>
      </c>
      <c r="C244" s="438" t="s">
        <v>3810</v>
      </c>
      <c r="D244" s="438" t="s">
        <v>3856</v>
      </c>
      <c r="E244" s="438" t="s">
        <v>2560</v>
      </c>
      <c r="F244" s="438" t="s">
        <v>2554</v>
      </c>
      <c r="G244" s="438" t="s">
        <v>2561</v>
      </c>
      <c r="H244" s="438" t="s">
        <v>3857</v>
      </c>
      <c r="I244" s="438" t="s">
        <v>2577</v>
      </c>
      <c r="J244" s="438" t="s">
        <v>2563</v>
      </c>
      <c r="K244" s="438" t="s">
        <v>2556</v>
      </c>
      <c r="L244" s="438" t="s">
        <v>2557</v>
      </c>
      <c r="M244" s="456">
        <v>2442</v>
      </c>
      <c r="N244" s="456"/>
      <c r="O244" s="456"/>
      <c r="P244" s="456">
        <v>2441.2570000000001</v>
      </c>
    </row>
    <row r="245" spans="1:16" hidden="1" x14ac:dyDescent="0.5">
      <c r="A245" s="438">
        <v>242</v>
      </c>
      <c r="B245" s="438" t="s">
        <v>3841</v>
      </c>
      <c r="C245" s="438" t="s">
        <v>3810</v>
      </c>
      <c r="D245" s="438" t="s">
        <v>3858</v>
      </c>
      <c r="E245" s="438" t="s">
        <v>2553</v>
      </c>
      <c r="F245" s="438" t="s">
        <v>2559</v>
      </c>
      <c r="G245" s="438" t="s">
        <v>3261</v>
      </c>
      <c r="H245" s="438" t="s">
        <v>3318</v>
      </c>
      <c r="I245" s="438" t="s">
        <v>2558</v>
      </c>
      <c r="J245" s="438" t="s">
        <v>2558</v>
      </c>
      <c r="K245" s="438" t="s">
        <v>2556</v>
      </c>
      <c r="L245" s="438" t="s">
        <v>2557</v>
      </c>
      <c r="M245" s="456">
        <v>12365</v>
      </c>
      <c r="N245" s="456"/>
      <c r="O245" s="456"/>
      <c r="P245" s="456">
        <v>12361.239</v>
      </c>
    </row>
    <row r="246" spans="1:16" hidden="1" x14ac:dyDescent="0.5">
      <c r="A246" s="438">
        <v>243</v>
      </c>
      <c r="B246" s="438" t="s">
        <v>3859</v>
      </c>
      <c r="C246" s="438" t="s">
        <v>3810</v>
      </c>
      <c r="D246" s="438" t="s">
        <v>3860</v>
      </c>
      <c r="E246" s="438" t="s">
        <v>3266</v>
      </c>
      <c r="F246" s="438" t="s">
        <v>2554</v>
      </c>
      <c r="G246" s="438" t="s">
        <v>3267</v>
      </c>
      <c r="H246" s="438" t="s">
        <v>3313</v>
      </c>
      <c r="I246" s="438" t="s">
        <v>2558</v>
      </c>
      <c r="J246" s="438" t="s">
        <v>2558</v>
      </c>
      <c r="K246" s="438" t="s">
        <v>2556</v>
      </c>
      <c r="L246" s="438" t="s">
        <v>2557</v>
      </c>
      <c r="M246" s="456">
        <v>14227</v>
      </c>
      <c r="N246" s="456"/>
      <c r="O246" s="456"/>
      <c r="P246" s="456">
        <v>14228.441999999999</v>
      </c>
    </row>
    <row r="247" spans="1:16" hidden="1" x14ac:dyDescent="0.5">
      <c r="A247" s="438">
        <v>244</v>
      </c>
      <c r="B247" s="438" t="s">
        <v>3859</v>
      </c>
      <c r="C247" s="438" t="s">
        <v>3810</v>
      </c>
      <c r="D247" s="438" t="s">
        <v>3861</v>
      </c>
      <c r="E247" s="438" t="s">
        <v>3270</v>
      </c>
      <c r="F247" s="438" t="s">
        <v>2554</v>
      </c>
      <c r="G247" s="438" t="s">
        <v>3271</v>
      </c>
      <c r="H247" s="438" t="s">
        <v>3785</v>
      </c>
      <c r="I247" s="438" t="s">
        <v>2558</v>
      </c>
      <c r="J247" s="438" t="s">
        <v>2558</v>
      </c>
      <c r="K247" s="438" t="s">
        <v>2556</v>
      </c>
      <c r="L247" s="438" t="s">
        <v>2557</v>
      </c>
      <c r="M247" s="456">
        <v>13336</v>
      </c>
      <c r="N247" s="456"/>
      <c r="O247" s="456"/>
      <c r="P247" s="456">
        <v>13337.352000000001</v>
      </c>
    </row>
    <row r="248" spans="1:16" hidden="1" x14ac:dyDescent="0.5">
      <c r="A248" s="438">
        <v>245</v>
      </c>
      <c r="B248" s="438" t="s">
        <v>3859</v>
      </c>
      <c r="C248" s="438" t="s">
        <v>3810</v>
      </c>
      <c r="D248" s="438" t="s">
        <v>3862</v>
      </c>
      <c r="E248" s="438" t="s">
        <v>2553</v>
      </c>
      <c r="F248" s="438" t="s">
        <v>2554</v>
      </c>
      <c r="G248" s="438" t="s">
        <v>3712</v>
      </c>
      <c r="H248" s="438" t="s">
        <v>3713</v>
      </c>
      <c r="I248" s="438" t="s">
        <v>2567</v>
      </c>
      <c r="J248" s="438" t="s">
        <v>2567</v>
      </c>
      <c r="K248" s="438" t="s">
        <v>2556</v>
      </c>
      <c r="L248" s="438" t="s">
        <v>2557</v>
      </c>
      <c r="M248" s="456">
        <v>14981</v>
      </c>
      <c r="N248" s="456"/>
      <c r="O248" s="456"/>
      <c r="P248" s="456">
        <v>14982.518</v>
      </c>
    </row>
    <row r="249" spans="1:16" hidden="1" x14ac:dyDescent="0.5">
      <c r="A249" s="438">
        <v>246</v>
      </c>
      <c r="B249" s="438" t="s">
        <v>3859</v>
      </c>
      <c r="C249" s="438" t="s">
        <v>3810</v>
      </c>
      <c r="D249" s="438" t="s">
        <v>3863</v>
      </c>
      <c r="E249" s="438" t="s">
        <v>2566</v>
      </c>
      <c r="F249" s="438" t="s">
        <v>2559</v>
      </c>
      <c r="G249" s="438" t="s">
        <v>3671</v>
      </c>
      <c r="H249" s="438" t="s">
        <v>3864</v>
      </c>
      <c r="I249" s="438" t="s">
        <v>2785</v>
      </c>
      <c r="J249" s="438" t="s">
        <v>2785</v>
      </c>
      <c r="K249" s="438" t="s">
        <v>2556</v>
      </c>
      <c r="L249" s="438" t="s">
        <v>2557</v>
      </c>
      <c r="M249" s="456">
        <v>8042</v>
      </c>
      <c r="N249" s="456"/>
      <c r="O249" s="456"/>
      <c r="P249" s="456">
        <v>8042.8149999999996</v>
      </c>
    </row>
    <row r="250" spans="1:16" hidden="1" x14ac:dyDescent="0.5">
      <c r="A250" s="438">
        <v>247</v>
      </c>
      <c r="B250" s="438" t="s">
        <v>3859</v>
      </c>
      <c r="C250" s="438" t="s">
        <v>3810</v>
      </c>
      <c r="D250" s="438" t="s">
        <v>3865</v>
      </c>
      <c r="E250" s="438" t="s">
        <v>2553</v>
      </c>
      <c r="F250" s="438" t="s">
        <v>2559</v>
      </c>
      <c r="G250" s="438" t="s">
        <v>3268</v>
      </c>
      <c r="H250" s="438" t="s">
        <v>3866</v>
      </c>
      <c r="I250" s="438" t="s">
        <v>2573</v>
      </c>
      <c r="J250" s="438" t="s">
        <v>2573</v>
      </c>
      <c r="K250" s="438" t="s">
        <v>2556</v>
      </c>
      <c r="L250" s="438" t="s">
        <v>2557</v>
      </c>
      <c r="M250" s="456">
        <v>16604</v>
      </c>
      <c r="N250" s="456"/>
      <c r="O250" s="456"/>
      <c r="P250" s="456">
        <v>16605.683000000001</v>
      </c>
    </row>
    <row r="251" spans="1:16" hidden="1" x14ac:dyDescent="0.5">
      <c r="A251" s="438">
        <v>248</v>
      </c>
      <c r="B251" s="438" t="s">
        <v>3859</v>
      </c>
      <c r="C251" s="438" t="s">
        <v>3867</v>
      </c>
      <c r="D251" s="438" t="s">
        <v>3868</v>
      </c>
      <c r="E251" s="438" t="s">
        <v>2568</v>
      </c>
      <c r="F251" s="438" t="s">
        <v>2559</v>
      </c>
      <c r="G251" s="438" t="s">
        <v>3272</v>
      </c>
      <c r="H251" s="438" t="s">
        <v>2616</v>
      </c>
      <c r="I251" s="438" t="s">
        <v>3273</v>
      </c>
      <c r="J251" s="438" t="s">
        <v>2570</v>
      </c>
      <c r="K251" s="438" t="s">
        <v>2556</v>
      </c>
      <c r="L251" s="438" t="s">
        <v>2557</v>
      </c>
      <c r="M251" s="456">
        <v>9039</v>
      </c>
      <c r="N251" s="456"/>
      <c r="O251" s="456"/>
      <c r="P251" s="456">
        <v>9039.9159999999993</v>
      </c>
    </row>
    <row r="252" spans="1:16" hidden="1" x14ac:dyDescent="0.5">
      <c r="A252" s="438">
        <v>249</v>
      </c>
      <c r="B252" s="438" t="s">
        <v>3859</v>
      </c>
      <c r="C252" s="438" t="s">
        <v>3867</v>
      </c>
      <c r="D252" s="438" t="s">
        <v>3869</v>
      </c>
      <c r="E252" s="438" t="s">
        <v>2764</v>
      </c>
      <c r="F252" s="438" t="s">
        <v>2554</v>
      </c>
      <c r="G252" s="438" t="s">
        <v>2763</v>
      </c>
      <c r="H252" s="438" t="s">
        <v>3850</v>
      </c>
      <c r="I252" s="438" t="s">
        <v>2761</v>
      </c>
      <c r="J252" s="438" t="s">
        <v>2761</v>
      </c>
      <c r="K252" s="438" t="s">
        <v>2556</v>
      </c>
      <c r="L252" s="438" t="s">
        <v>2557</v>
      </c>
      <c r="M252" s="456">
        <v>83539</v>
      </c>
      <c r="N252" s="456"/>
      <c r="O252" s="456"/>
      <c r="P252" s="456">
        <v>83547.467000000004</v>
      </c>
    </row>
    <row r="253" spans="1:16" hidden="1" x14ac:dyDescent="0.5">
      <c r="A253" s="438">
        <v>250</v>
      </c>
      <c r="B253" s="438" t="s">
        <v>3859</v>
      </c>
      <c r="C253" s="438" t="s">
        <v>3867</v>
      </c>
      <c r="D253" s="438" t="s">
        <v>3870</v>
      </c>
      <c r="E253" s="438" t="s">
        <v>2568</v>
      </c>
      <c r="F253" s="438" t="s">
        <v>2559</v>
      </c>
      <c r="G253" s="438" t="s">
        <v>3274</v>
      </c>
      <c r="H253" s="438" t="s">
        <v>2616</v>
      </c>
      <c r="I253" s="438" t="s">
        <v>2570</v>
      </c>
      <c r="J253" s="438" t="s">
        <v>3275</v>
      </c>
      <c r="K253" s="438" t="s">
        <v>2556</v>
      </c>
      <c r="L253" s="438" t="s">
        <v>2557</v>
      </c>
      <c r="M253" s="456">
        <v>15311</v>
      </c>
      <c r="N253" s="456"/>
      <c r="O253" s="456"/>
      <c r="P253" s="456">
        <v>15303.24</v>
      </c>
    </row>
    <row r="254" spans="1:16" hidden="1" x14ac:dyDescent="0.5">
      <c r="A254" s="438">
        <v>251</v>
      </c>
      <c r="B254" s="438" t="s">
        <v>3859</v>
      </c>
      <c r="C254" s="438" t="s">
        <v>3867</v>
      </c>
      <c r="D254" s="438" t="s">
        <v>3871</v>
      </c>
      <c r="E254" s="438" t="s">
        <v>2568</v>
      </c>
      <c r="F254" s="438" t="s">
        <v>2559</v>
      </c>
      <c r="G254" s="438" t="s">
        <v>3722</v>
      </c>
      <c r="H254" s="438" t="s">
        <v>3723</v>
      </c>
      <c r="I254" s="438" t="s">
        <v>2555</v>
      </c>
      <c r="J254" s="438" t="s">
        <v>3724</v>
      </c>
      <c r="K254" s="438" t="s">
        <v>2556</v>
      </c>
      <c r="L254" s="438" t="s">
        <v>2557</v>
      </c>
      <c r="M254" s="456">
        <v>15896</v>
      </c>
      <c r="N254" s="456"/>
      <c r="O254" s="456"/>
      <c r="P254" s="456">
        <v>15887.942999999999</v>
      </c>
    </row>
    <row r="255" spans="1:16" hidden="1" x14ac:dyDescent="0.5">
      <c r="A255" s="438">
        <v>252</v>
      </c>
      <c r="B255" s="438" t="s">
        <v>3859</v>
      </c>
      <c r="C255" s="438" t="s">
        <v>3867</v>
      </c>
      <c r="D255" s="438" t="s">
        <v>3872</v>
      </c>
      <c r="E255" s="438" t="s">
        <v>2625</v>
      </c>
      <c r="F255" s="438" t="s">
        <v>2554</v>
      </c>
      <c r="G255" s="438" t="s">
        <v>3873</v>
      </c>
      <c r="H255" s="438" t="s">
        <v>3874</v>
      </c>
      <c r="I255" s="438" t="s">
        <v>2636</v>
      </c>
      <c r="J255" s="438" t="s">
        <v>2592</v>
      </c>
      <c r="K255" s="438" t="s">
        <v>2556</v>
      </c>
      <c r="L255" s="438" t="s">
        <v>2557</v>
      </c>
      <c r="M255" s="456">
        <v>6492</v>
      </c>
      <c r="N255" s="456"/>
      <c r="O255" s="456"/>
      <c r="P255" s="456">
        <v>6488.71</v>
      </c>
    </row>
    <row r="256" spans="1:16" hidden="1" x14ac:dyDescent="0.5">
      <c r="A256" s="438">
        <v>253</v>
      </c>
      <c r="B256" s="438" t="s">
        <v>3859</v>
      </c>
      <c r="C256" s="438" t="s">
        <v>3867</v>
      </c>
      <c r="D256" s="438" t="s">
        <v>3875</v>
      </c>
      <c r="E256" s="438" t="s">
        <v>2560</v>
      </c>
      <c r="F256" s="438" t="s">
        <v>2554</v>
      </c>
      <c r="G256" s="438" t="s">
        <v>2561</v>
      </c>
      <c r="H256" s="438" t="s">
        <v>3857</v>
      </c>
      <c r="I256" s="438" t="s">
        <v>2562</v>
      </c>
      <c r="J256" s="438" t="s">
        <v>2563</v>
      </c>
      <c r="K256" s="438" t="s">
        <v>2556</v>
      </c>
      <c r="L256" s="438" t="s">
        <v>2557</v>
      </c>
      <c r="M256" s="456">
        <v>3712</v>
      </c>
      <c r="N256" s="456"/>
      <c r="O256" s="456"/>
      <c r="P256" s="456">
        <v>3710.1190000000001</v>
      </c>
    </row>
    <row r="257" spans="1:16" hidden="1" x14ac:dyDescent="0.5">
      <c r="A257" s="438">
        <v>254</v>
      </c>
      <c r="B257" s="438" t="s">
        <v>3859</v>
      </c>
      <c r="C257" s="438" t="s">
        <v>3867</v>
      </c>
      <c r="D257" s="438" t="s">
        <v>3876</v>
      </c>
      <c r="E257" s="438" t="s">
        <v>2553</v>
      </c>
      <c r="F257" s="438" t="s">
        <v>2554</v>
      </c>
      <c r="G257" s="438" t="s">
        <v>3278</v>
      </c>
      <c r="H257" s="438" t="s">
        <v>3479</v>
      </c>
      <c r="I257" s="438" t="s">
        <v>3279</v>
      </c>
      <c r="J257" s="438" t="s">
        <v>3279</v>
      </c>
      <c r="K257" s="438" t="s">
        <v>2556</v>
      </c>
      <c r="L257" s="438" t="s">
        <v>2557</v>
      </c>
      <c r="M257" s="456">
        <v>37249</v>
      </c>
      <c r="N257" s="456"/>
      <c r="O257" s="456"/>
      <c r="P257" s="456">
        <v>37230.120999999999</v>
      </c>
    </row>
    <row r="258" spans="1:16" hidden="1" x14ac:dyDescent="0.5">
      <c r="A258" s="438">
        <v>255</v>
      </c>
      <c r="B258" s="438" t="s">
        <v>3877</v>
      </c>
      <c r="C258" s="438" t="s">
        <v>3867</v>
      </c>
      <c r="D258" s="438" t="s">
        <v>3878</v>
      </c>
      <c r="E258" s="438" t="s">
        <v>3266</v>
      </c>
      <c r="F258" s="438" t="s">
        <v>2554</v>
      </c>
      <c r="G258" s="438" t="s">
        <v>3267</v>
      </c>
      <c r="H258" s="438" t="s">
        <v>3299</v>
      </c>
      <c r="I258" s="438" t="s">
        <v>2558</v>
      </c>
      <c r="J258" s="438" t="s">
        <v>2558</v>
      </c>
      <c r="K258" s="438" t="s">
        <v>2556</v>
      </c>
      <c r="L258" s="438" t="s">
        <v>2557</v>
      </c>
      <c r="M258" s="456">
        <v>14431</v>
      </c>
      <c r="N258" s="456"/>
      <c r="O258" s="456"/>
      <c r="P258" s="456">
        <v>14422.222</v>
      </c>
    </row>
    <row r="259" spans="1:16" hidden="1" x14ac:dyDescent="0.5">
      <c r="A259" s="438">
        <v>256</v>
      </c>
      <c r="B259" s="438" t="s">
        <v>3877</v>
      </c>
      <c r="C259" s="438" t="s">
        <v>3867</v>
      </c>
      <c r="D259" s="438" t="s">
        <v>3879</v>
      </c>
      <c r="E259" s="438" t="s">
        <v>2566</v>
      </c>
      <c r="F259" s="438" t="s">
        <v>2559</v>
      </c>
      <c r="G259" s="438" t="s">
        <v>3282</v>
      </c>
      <c r="H259" s="438" t="s">
        <v>3283</v>
      </c>
      <c r="I259" s="438" t="s">
        <v>3284</v>
      </c>
      <c r="J259" s="438" t="s">
        <v>3284</v>
      </c>
      <c r="K259" s="438" t="s">
        <v>2556</v>
      </c>
      <c r="L259" s="438" t="s">
        <v>2557</v>
      </c>
      <c r="M259" s="456">
        <v>17656</v>
      </c>
      <c r="N259" s="456"/>
      <c r="O259" s="456"/>
      <c r="P259" s="456">
        <v>17645.259999999998</v>
      </c>
    </row>
    <row r="260" spans="1:16" hidden="1" x14ac:dyDescent="0.5">
      <c r="A260" s="438">
        <v>257</v>
      </c>
      <c r="B260" s="438" t="s">
        <v>3877</v>
      </c>
      <c r="C260" s="438" t="s">
        <v>3867</v>
      </c>
      <c r="D260" s="438" t="s">
        <v>3880</v>
      </c>
      <c r="E260" s="438" t="s">
        <v>2553</v>
      </c>
      <c r="F260" s="438" t="s">
        <v>2554</v>
      </c>
      <c r="G260" s="438" t="s">
        <v>3285</v>
      </c>
      <c r="H260" s="438" t="s">
        <v>2579</v>
      </c>
      <c r="I260" s="438" t="s">
        <v>2555</v>
      </c>
      <c r="J260" s="438" t="s">
        <v>2555</v>
      </c>
      <c r="K260" s="438" t="s">
        <v>2556</v>
      </c>
      <c r="L260" s="438" t="s">
        <v>2557</v>
      </c>
      <c r="M260" s="456">
        <v>12823</v>
      </c>
      <c r="N260" s="456"/>
      <c r="O260" s="456"/>
      <c r="P260" s="456">
        <v>12815.2</v>
      </c>
    </row>
    <row r="261" spans="1:16" hidden="1" x14ac:dyDescent="0.5">
      <c r="A261" s="438">
        <v>258</v>
      </c>
      <c r="B261" s="438" t="s">
        <v>3877</v>
      </c>
      <c r="C261" s="438" t="s">
        <v>3867</v>
      </c>
      <c r="D261" s="438" t="s">
        <v>3881</v>
      </c>
      <c r="E261" s="438" t="s">
        <v>2566</v>
      </c>
      <c r="F261" s="438" t="s">
        <v>2559</v>
      </c>
      <c r="G261" s="438" t="s">
        <v>3671</v>
      </c>
      <c r="H261" s="438" t="s">
        <v>3882</v>
      </c>
      <c r="I261" s="438" t="s">
        <v>2785</v>
      </c>
      <c r="J261" s="438" t="s">
        <v>2785</v>
      </c>
      <c r="K261" s="438" t="s">
        <v>2556</v>
      </c>
      <c r="L261" s="438" t="s">
        <v>2557</v>
      </c>
      <c r="M261" s="456">
        <v>711</v>
      </c>
      <c r="N261" s="456"/>
      <c r="O261" s="456"/>
      <c r="P261" s="456">
        <v>710.56799999999998</v>
      </c>
    </row>
    <row r="262" spans="1:16" hidden="1" x14ac:dyDescent="0.5">
      <c r="A262" s="438">
        <v>259</v>
      </c>
      <c r="B262" s="438" t="s">
        <v>3877</v>
      </c>
      <c r="C262" s="438" t="s">
        <v>3867</v>
      </c>
      <c r="D262" s="438" t="s">
        <v>3883</v>
      </c>
      <c r="E262" s="438" t="s">
        <v>2568</v>
      </c>
      <c r="F262" s="438" t="s">
        <v>2559</v>
      </c>
      <c r="G262" s="438" t="s">
        <v>3446</v>
      </c>
      <c r="H262" s="438" t="s">
        <v>2616</v>
      </c>
      <c r="I262" s="438" t="s">
        <v>2570</v>
      </c>
      <c r="J262" s="438" t="s">
        <v>3447</v>
      </c>
      <c r="K262" s="438" t="s">
        <v>2556</v>
      </c>
      <c r="L262" s="438" t="s">
        <v>2557</v>
      </c>
      <c r="M262" s="456">
        <v>11599</v>
      </c>
      <c r="N262" s="456"/>
      <c r="O262" s="456"/>
      <c r="P262" s="456">
        <v>11591.945</v>
      </c>
    </row>
    <row r="263" spans="1:16" hidden="1" x14ac:dyDescent="0.5">
      <c r="A263" s="438">
        <v>260</v>
      </c>
      <c r="B263" s="438" t="s">
        <v>3877</v>
      </c>
      <c r="C263" s="438" t="s">
        <v>3867</v>
      </c>
      <c r="D263" s="438" t="s">
        <v>3884</v>
      </c>
      <c r="E263" s="438" t="s">
        <v>2568</v>
      </c>
      <c r="F263" s="438" t="s">
        <v>2559</v>
      </c>
      <c r="G263" s="438" t="s">
        <v>3287</v>
      </c>
      <c r="H263" s="438" t="s">
        <v>2616</v>
      </c>
      <c r="I263" s="438" t="s">
        <v>2691</v>
      </c>
      <c r="J263" s="438" t="s">
        <v>3273</v>
      </c>
      <c r="K263" s="438" t="s">
        <v>2556</v>
      </c>
      <c r="L263" s="438" t="s">
        <v>2557</v>
      </c>
      <c r="M263" s="456">
        <v>13978</v>
      </c>
      <c r="N263" s="456"/>
      <c r="O263" s="456"/>
      <c r="P263" s="456">
        <v>13968.08</v>
      </c>
    </row>
    <row r="264" spans="1:16" hidden="1" x14ac:dyDescent="0.5">
      <c r="A264" s="438">
        <v>261</v>
      </c>
      <c r="B264" s="438" t="s">
        <v>3877</v>
      </c>
      <c r="C264" s="438" t="s">
        <v>3867</v>
      </c>
      <c r="D264" s="438" t="s">
        <v>3885</v>
      </c>
      <c r="E264" s="438" t="s">
        <v>2568</v>
      </c>
      <c r="F264" s="438" t="s">
        <v>2559</v>
      </c>
      <c r="G264" s="438" t="s">
        <v>3743</v>
      </c>
      <c r="H264" s="438" t="s">
        <v>3723</v>
      </c>
      <c r="I264" s="438" t="s">
        <v>3744</v>
      </c>
      <c r="J264" s="438" t="s">
        <v>3886</v>
      </c>
      <c r="K264" s="438" t="s">
        <v>2556</v>
      </c>
      <c r="L264" s="438" t="s">
        <v>2557</v>
      </c>
      <c r="M264" s="456">
        <v>17638</v>
      </c>
      <c r="N264" s="456"/>
      <c r="O264" s="456"/>
      <c r="P264" s="456">
        <v>17625.482</v>
      </c>
    </row>
    <row r="265" spans="1:16" hidden="1" x14ac:dyDescent="0.5">
      <c r="A265" s="438">
        <v>262</v>
      </c>
      <c r="B265" s="438" t="s">
        <v>3877</v>
      </c>
      <c r="C265" s="438" t="s">
        <v>3867</v>
      </c>
      <c r="D265" s="438" t="s">
        <v>3887</v>
      </c>
      <c r="E265" s="438" t="s">
        <v>2560</v>
      </c>
      <c r="F265" s="438" t="s">
        <v>2554</v>
      </c>
      <c r="G265" s="438" t="s">
        <v>2561</v>
      </c>
      <c r="H265" s="438" t="s">
        <v>3857</v>
      </c>
      <c r="I265" s="438" t="s">
        <v>2562</v>
      </c>
      <c r="J265" s="438" t="s">
        <v>2563</v>
      </c>
      <c r="K265" s="438" t="s">
        <v>2556</v>
      </c>
      <c r="L265" s="438" t="s">
        <v>2557</v>
      </c>
      <c r="M265" s="456">
        <v>5465</v>
      </c>
      <c r="N265" s="456"/>
      <c r="O265" s="456"/>
      <c r="P265" s="456">
        <v>5461.1210000000001</v>
      </c>
    </row>
    <row r="266" spans="1:16" hidden="1" x14ac:dyDescent="0.5">
      <c r="A266" s="438">
        <v>263</v>
      </c>
      <c r="B266" s="438" t="s">
        <v>3877</v>
      </c>
      <c r="C266" s="438" t="s">
        <v>3867</v>
      </c>
      <c r="D266" s="438" t="s">
        <v>3888</v>
      </c>
      <c r="E266" s="438" t="s">
        <v>2553</v>
      </c>
      <c r="F266" s="438" t="s">
        <v>2559</v>
      </c>
      <c r="G266" s="438" t="s">
        <v>3261</v>
      </c>
      <c r="H266" s="438" t="s">
        <v>3293</v>
      </c>
      <c r="I266" s="438" t="s">
        <v>2558</v>
      </c>
      <c r="J266" s="438" t="s">
        <v>2558</v>
      </c>
      <c r="K266" s="438" t="s">
        <v>2556</v>
      </c>
      <c r="L266" s="438" t="s">
        <v>2557</v>
      </c>
      <c r="M266" s="456">
        <v>12756</v>
      </c>
      <c r="N266" s="456"/>
      <c r="O266" s="456"/>
      <c r="P266" s="456">
        <v>12746.947</v>
      </c>
    </row>
    <row r="267" spans="1:16" hidden="1" x14ac:dyDescent="0.5">
      <c r="A267" s="438">
        <v>264</v>
      </c>
      <c r="B267" s="438" t="s">
        <v>3889</v>
      </c>
      <c r="C267" s="438" t="s">
        <v>3867</v>
      </c>
      <c r="D267" s="438" t="s">
        <v>3890</v>
      </c>
      <c r="E267" s="438" t="s">
        <v>3266</v>
      </c>
      <c r="F267" s="438" t="s">
        <v>2554</v>
      </c>
      <c r="G267" s="438" t="s">
        <v>3267</v>
      </c>
      <c r="H267" s="438" t="s">
        <v>3891</v>
      </c>
      <c r="I267" s="438" t="s">
        <v>2558</v>
      </c>
      <c r="J267" s="438" t="s">
        <v>2558</v>
      </c>
      <c r="K267" s="438" t="s">
        <v>2556</v>
      </c>
      <c r="L267" s="438" t="s">
        <v>2557</v>
      </c>
      <c r="M267" s="456">
        <v>12159</v>
      </c>
      <c r="N267" s="456"/>
      <c r="O267" s="456"/>
      <c r="P267" s="456">
        <v>12162.698</v>
      </c>
    </row>
    <row r="268" spans="1:16" hidden="1" x14ac:dyDescent="0.5">
      <c r="A268" s="438">
        <v>265</v>
      </c>
      <c r="B268" s="438" t="s">
        <v>3889</v>
      </c>
      <c r="C268" s="438" t="s">
        <v>3867</v>
      </c>
      <c r="D268" s="438" t="s">
        <v>3892</v>
      </c>
      <c r="E268" s="438" t="s">
        <v>3270</v>
      </c>
      <c r="F268" s="438" t="s">
        <v>2554</v>
      </c>
      <c r="G268" s="438" t="s">
        <v>3271</v>
      </c>
      <c r="H268" s="438" t="s">
        <v>3450</v>
      </c>
      <c r="I268" s="438" t="s">
        <v>2558</v>
      </c>
      <c r="J268" s="438" t="s">
        <v>2558</v>
      </c>
      <c r="K268" s="438" t="s">
        <v>2556</v>
      </c>
      <c r="L268" s="438" t="s">
        <v>2557</v>
      </c>
      <c r="M268" s="456">
        <v>12279</v>
      </c>
      <c r="N268" s="456"/>
      <c r="O268" s="456"/>
      <c r="P268" s="456">
        <v>12282.735000000001</v>
      </c>
    </row>
    <row r="269" spans="1:16" hidden="1" x14ac:dyDescent="0.5">
      <c r="A269" s="438">
        <v>266</v>
      </c>
      <c r="B269" s="438" t="s">
        <v>3889</v>
      </c>
      <c r="C269" s="438" t="s">
        <v>3867</v>
      </c>
      <c r="D269" s="438" t="s">
        <v>3893</v>
      </c>
      <c r="E269" s="438" t="s">
        <v>2553</v>
      </c>
      <c r="F269" s="438" t="s">
        <v>2554</v>
      </c>
      <c r="G269" s="438" t="s">
        <v>3894</v>
      </c>
      <c r="H269" s="438" t="s">
        <v>3713</v>
      </c>
      <c r="I269" s="438" t="s">
        <v>2567</v>
      </c>
      <c r="J269" s="438" t="s">
        <v>2567</v>
      </c>
      <c r="K269" s="438" t="s">
        <v>2556</v>
      </c>
      <c r="L269" s="438" t="s">
        <v>2557</v>
      </c>
      <c r="M269" s="456">
        <v>14355</v>
      </c>
      <c r="N269" s="456"/>
      <c r="O269" s="456"/>
      <c r="P269" s="456">
        <v>14359.366</v>
      </c>
    </row>
    <row r="270" spans="1:16" hidden="1" x14ac:dyDescent="0.5">
      <c r="A270" s="438">
        <v>267</v>
      </c>
      <c r="B270" s="438" t="s">
        <v>3889</v>
      </c>
      <c r="C270" s="438" t="s">
        <v>3867</v>
      </c>
      <c r="D270" s="438" t="s">
        <v>3895</v>
      </c>
      <c r="E270" s="438" t="s">
        <v>2566</v>
      </c>
      <c r="F270" s="438" t="s">
        <v>2559</v>
      </c>
      <c r="G270" s="438" t="s">
        <v>3295</v>
      </c>
      <c r="H270" s="438" t="s">
        <v>3758</v>
      </c>
      <c r="I270" s="438" t="s">
        <v>2567</v>
      </c>
      <c r="J270" s="438" t="s">
        <v>2567</v>
      </c>
      <c r="K270" s="438" t="s">
        <v>2556</v>
      </c>
      <c r="L270" s="438" t="s">
        <v>2557</v>
      </c>
      <c r="M270" s="456">
        <v>11621</v>
      </c>
      <c r="N270" s="456"/>
      <c r="O270" s="456"/>
      <c r="P270" s="456">
        <v>11624.535</v>
      </c>
    </row>
    <row r="271" spans="1:16" hidden="1" x14ac:dyDescent="0.5">
      <c r="A271" s="438">
        <v>268</v>
      </c>
      <c r="B271" s="438" t="s">
        <v>3889</v>
      </c>
      <c r="C271" s="438" t="s">
        <v>3867</v>
      </c>
      <c r="D271" s="438" t="s">
        <v>3896</v>
      </c>
      <c r="E271" s="438" t="s">
        <v>2566</v>
      </c>
      <c r="F271" s="438" t="s">
        <v>2559</v>
      </c>
      <c r="G271" s="438" t="s">
        <v>3671</v>
      </c>
      <c r="H271" s="438" t="s">
        <v>3672</v>
      </c>
      <c r="I271" s="438" t="s">
        <v>2785</v>
      </c>
      <c r="J271" s="438" t="s">
        <v>2785</v>
      </c>
      <c r="K271" s="438" t="s">
        <v>2556</v>
      </c>
      <c r="L271" s="438" t="s">
        <v>2557</v>
      </c>
      <c r="M271" s="456">
        <v>7362</v>
      </c>
      <c r="N271" s="456"/>
      <c r="O271" s="456"/>
      <c r="P271" s="456">
        <v>7364.2389999999996</v>
      </c>
    </row>
    <row r="272" spans="1:16" hidden="1" x14ac:dyDescent="0.5">
      <c r="A272" s="438">
        <v>269</v>
      </c>
      <c r="B272" s="438" t="s">
        <v>3889</v>
      </c>
      <c r="C272" s="438" t="s">
        <v>3867</v>
      </c>
      <c r="D272" s="438" t="s">
        <v>3897</v>
      </c>
      <c r="E272" s="438" t="s">
        <v>2553</v>
      </c>
      <c r="F272" s="438" t="s">
        <v>2559</v>
      </c>
      <c r="G272" s="438" t="s">
        <v>3268</v>
      </c>
      <c r="H272" s="438" t="s">
        <v>3269</v>
      </c>
      <c r="I272" s="438" t="s">
        <v>2573</v>
      </c>
      <c r="J272" s="438" t="s">
        <v>2573</v>
      </c>
      <c r="K272" s="438" t="s">
        <v>2556</v>
      </c>
      <c r="L272" s="438" t="s">
        <v>2557</v>
      </c>
      <c r="M272" s="456">
        <v>14888</v>
      </c>
      <c r="N272" s="456"/>
      <c r="O272" s="456"/>
      <c r="P272" s="456">
        <v>14892.528</v>
      </c>
    </row>
    <row r="273" spans="1:16" hidden="1" x14ac:dyDescent="0.5">
      <c r="A273" s="438">
        <v>270</v>
      </c>
      <c r="B273" s="438" t="s">
        <v>3889</v>
      </c>
      <c r="C273" s="438" t="s">
        <v>3867</v>
      </c>
      <c r="D273" s="438" t="s">
        <v>3898</v>
      </c>
      <c r="E273" s="438" t="s">
        <v>2568</v>
      </c>
      <c r="F273" s="438" t="s">
        <v>2559</v>
      </c>
      <c r="G273" s="438" t="s">
        <v>3272</v>
      </c>
      <c r="H273" s="438" t="s">
        <v>2616</v>
      </c>
      <c r="I273" s="438" t="s">
        <v>3273</v>
      </c>
      <c r="J273" s="438" t="s">
        <v>2570</v>
      </c>
      <c r="K273" s="438" t="s">
        <v>2556</v>
      </c>
      <c r="L273" s="438" t="s">
        <v>2557</v>
      </c>
      <c r="M273" s="456">
        <v>9426</v>
      </c>
      <c r="N273" s="456"/>
      <c r="O273" s="456"/>
      <c r="P273" s="456">
        <v>9428.8670000000002</v>
      </c>
    </row>
    <row r="274" spans="1:16" hidden="1" x14ac:dyDescent="0.5">
      <c r="A274" s="438">
        <v>271</v>
      </c>
      <c r="B274" s="438" t="s">
        <v>3889</v>
      </c>
      <c r="C274" s="438" t="s">
        <v>3867</v>
      </c>
      <c r="D274" s="438" t="s">
        <v>3899</v>
      </c>
      <c r="E274" s="438" t="s">
        <v>3657</v>
      </c>
      <c r="F274" s="438" t="s">
        <v>2559</v>
      </c>
      <c r="G274" s="438" t="s">
        <v>2612</v>
      </c>
      <c r="H274" s="438" t="s">
        <v>3900</v>
      </c>
      <c r="I274" s="438" t="s">
        <v>2562</v>
      </c>
      <c r="J274" s="438" t="s">
        <v>2562</v>
      </c>
      <c r="K274" s="438" t="s">
        <v>2556</v>
      </c>
      <c r="L274" s="438" t="s">
        <v>2557</v>
      </c>
      <c r="M274" s="456">
        <v>865</v>
      </c>
      <c r="N274" s="456"/>
      <c r="O274" s="456"/>
      <c r="P274" s="456">
        <v>864.73699999999997</v>
      </c>
    </row>
    <row r="275" spans="1:16" hidden="1" x14ac:dyDescent="0.5">
      <c r="A275" s="438">
        <v>272</v>
      </c>
      <c r="B275" s="438" t="s">
        <v>3889</v>
      </c>
      <c r="C275" s="438" t="s">
        <v>3867</v>
      </c>
      <c r="D275" s="438" t="s">
        <v>3901</v>
      </c>
      <c r="E275" s="438" t="s">
        <v>2568</v>
      </c>
      <c r="F275" s="438" t="s">
        <v>2559</v>
      </c>
      <c r="G275" s="438" t="s">
        <v>3274</v>
      </c>
      <c r="H275" s="438" t="s">
        <v>2616</v>
      </c>
      <c r="I275" s="438" t="s">
        <v>2570</v>
      </c>
      <c r="J275" s="438" t="s">
        <v>3275</v>
      </c>
      <c r="K275" s="438" t="s">
        <v>2556</v>
      </c>
      <c r="L275" s="438" t="s">
        <v>2557</v>
      </c>
      <c r="M275" s="456">
        <v>12777</v>
      </c>
      <c r="N275" s="456"/>
      <c r="O275" s="456"/>
      <c r="P275" s="456">
        <v>12773.114</v>
      </c>
    </row>
    <row r="276" spans="1:16" hidden="1" x14ac:dyDescent="0.5">
      <c r="A276" s="438">
        <v>273</v>
      </c>
      <c r="B276" s="438" t="s">
        <v>3889</v>
      </c>
      <c r="C276" s="438" t="s">
        <v>3867</v>
      </c>
      <c r="D276" s="438" t="s">
        <v>3902</v>
      </c>
      <c r="E276" s="438" t="s">
        <v>2568</v>
      </c>
      <c r="F276" s="438" t="s">
        <v>2559</v>
      </c>
      <c r="G276" s="438" t="s">
        <v>3722</v>
      </c>
      <c r="H276" s="438" t="s">
        <v>3723</v>
      </c>
      <c r="I276" s="438" t="s">
        <v>2577</v>
      </c>
      <c r="J276" s="438" t="s">
        <v>2570</v>
      </c>
      <c r="K276" s="438" t="s">
        <v>2556</v>
      </c>
      <c r="L276" s="438" t="s">
        <v>2557</v>
      </c>
      <c r="M276" s="456">
        <v>14888</v>
      </c>
      <c r="N276" s="456"/>
      <c r="O276" s="456"/>
      <c r="P276" s="456">
        <v>14883.472</v>
      </c>
    </row>
    <row r="277" spans="1:16" hidden="1" x14ac:dyDescent="0.5">
      <c r="A277" s="438">
        <v>274</v>
      </c>
      <c r="B277" s="438" t="s">
        <v>3889</v>
      </c>
      <c r="C277" s="438" t="s">
        <v>3867</v>
      </c>
      <c r="D277" s="438" t="s">
        <v>3903</v>
      </c>
      <c r="E277" s="438" t="s">
        <v>2560</v>
      </c>
      <c r="F277" s="438" t="s">
        <v>2554</v>
      </c>
      <c r="G277" s="438" t="s">
        <v>2561</v>
      </c>
      <c r="H277" s="438" t="s">
        <v>3489</v>
      </c>
      <c r="I277" s="438" t="s">
        <v>2577</v>
      </c>
      <c r="J277" s="438" t="s">
        <v>2563</v>
      </c>
      <c r="K277" s="438" t="s">
        <v>2556</v>
      </c>
      <c r="L277" s="438" t="s">
        <v>2557</v>
      </c>
      <c r="M277" s="456">
        <v>4305</v>
      </c>
      <c r="N277" s="456"/>
      <c r="O277" s="456"/>
      <c r="P277" s="456">
        <v>4303.6909999999998</v>
      </c>
    </row>
    <row r="278" spans="1:16" hidden="1" x14ac:dyDescent="0.5">
      <c r="A278" s="438">
        <v>275</v>
      </c>
      <c r="B278" s="438" t="s">
        <v>3889</v>
      </c>
      <c r="C278" s="438" t="s">
        <v>3867</v>
      </c>
      <c r="D278" s="438" t="s">
        <v>3904</v>
      </c>
      <c r="E278" s="438" t="s">
        <v>2553</v>
      </c>
      <c r="F278" s="438" t="s">
        <v>2554</v>
      </c>
      <c r="G278" s="438" t="s">
        <v>3278</v>
      </c>
      <c r="H278" s="438" t="s">
        <v>3479</v>
      </c>
      <c r="I278" s="438" t="s">
        <v>3279</v>
      </c>
      <c r="J278" s="438" t="s">
        <v>3279</v>
      </c>
      <c r="K278" s="438" t="s">
        <v>2556</v>
      </c>
      <c r="L278" s="438" t="s">
        <v>2557</v>
      </c>
      <c r="M278" s="456">
        <v>35541</v>
      </c>
      <c r="N278" s="456"/>
      <c r="O278" s="456"/>
      <c r="P278" s="456">
        <v>35530.19</v>
      </c>
    </row>
    <row r="279" spans="1:16" hidden="1" x14ac:dyDescent="0.5">
      <c r="A279" s="438">
        <v>276</v>
      </c>
      <c r="B279" s="438" t="s">
        <v>3905</v>
      </c>
      <c r="C279" s="438" t="s">
        <v>3867</v>
      </c>
      <c r="D279" s="438" t="s">
        <v>3906</v>
      </c>
      <c r="E279" s="438" t="s">
        <v>3266</v>
      </c>
      <c r="F279" s="438" t="s">
        <v>2554</v>
      </c>
      <c r="G279" s="438" t="s">
        <v>3267</v>
      </c>
      <c r="H279" s="438" t="s">
        <v>3462</v>
      </c>
      <c r="I279" s="438" t="s">
        <v>2558</v>
      </c>
      <c r="J279" s="438" t="s">
        <v>2558</v>
      </c>
      <c r="K279" s="438" t="s">
        <v>2556</v>
      </c>
      <c r="L279" s="438" t="s">
        <v>2557</v>
      </c>
      <c r="M279" s="456">
        <v>14153</v>
      </c>
      <c r="N279" s="456"/>
      <c r="O279" s="456"/>
      <c r="P279" s="456">
        <v>14153</v>
      </c>
    </row>
    <row r="280" spans="1:16" hidden="1" x14ac:dyDescent="0.5">
      <c r="A280" s="438">
        <v>277</v>
      </c>
      <c r="B280" s="438" t="s">
        <v>3905</v>
      </c>
      <c r="C280" s="438" t="s">
        <v>3867</v>
      </c>
      <c r="D280" s="438" t="s">
        <v>3907</v>
      </c>
      <c r="E280" s="438" t="s">
        <v>2566</v>
      </c>
      <c r="F280" s="438" t="s">
        <v>2559</v>
      </c>
      <c r="G280" s="438" t="s">
        <v>3281</v>
      </c>
      <c r="H280" s="438" t="s">
        <v>3908</v>
      </c>
      <c r="I280" s="438" t="s">
        <v>3276</v>
      </c>
      <c r="J280" s="438" t="s">
        <v>3276</v>
      </c>
      <c r="K280" s="438" t="s">
        <v>2556</v>
      </c>
      <c r="L280" s="438" t="s">
        <v>2557</v>
      </c>
      <c r="M280" s="456">
        <v>13963</v>
      </c>
      <c r="N280" s="456"/>
      <c r="O280" s="456"/>
      <c r="P280" s="456">
        <v>13963</v>
      </c>
    </row>
    <row r="281" spans="1:16" hidden="1" x14ac:dyDescent="0.5">
      <c r="A281" s="438">
        <v>278</v>
      </c>
      <c r="B281" s="438" t="s">
        <v>3905</v>
      </c>
      <c r="C281" s="438" t="s">
        <v>3867</v>
      </c>
      <c r="D281" s="438" t="s">
        <v>3909</v>
      </c>
      <c r="E281" s="438" t="s">
        <v>2566</v>
      </c>
      <c r="F281" s="438" t="s">
        <v>2559</v>
      </c>
      <c r="G281" s="438" t="s">
        <v>3282</v>
      </c>
      <c r="H281" s="438" t="s">
        <v>3283</v>
      </c>
      <c r="I281" s="438" t="s">
        <v>3284</v>
      </c>
      <c r="J281" s="438" t="s">
        <v>3284</v>
      </c>
      <c r="K281" s="438" t="s">
        <v>2556</v>
      </c>
      <c r="L281" s="438" t="s">
        <v>2557</v>
      </c>
      <c r="M281" s="456">
        <v>18637</v>
      </c>
      <c r="N281" s="456"/>
      <c r="O281" s="456"/>
      <c r="P281" s="456">
        <v>18637</v>
      </c>
    </row>
    <row r="282" spans="1:16" hidden="1" x14ac:dyDescent="0.5">
      <c r="A282" s="438">
        <v>279</v>
      </c>
      <c r="B282" s="438" t="s">
        <v>3905</v>
      </c>
      <c r="C282" s="438" t="s">
        <v>3867</v>
      </c>
      <c r="D282" s="438" t="s">
        <v>3910</v>
      </c>
      <c r="E282" s="438" t="s">
        <v>2553</v>
      </c>
      <c r="F282" s="438" t="s">
        <v>2554</v>
      </c>
      <c r="G282" s="438" t="s">
        <v>3285</v>
      </c>
      <c r="H282" s="438" t="s">
        <v>3323</v>
      </c>
      <c r="I282" s="438" t="s">
        <v>2555</v>
      </c>
      <c r="J282" s="438" t="s">
        <v>2555</v>
      </c>
      <c r="K282" s="438" t="s">
        <v>2556</v>
      </c>
      <c r="L282" s="438" t="s">
        <v>2557</v>
      </c>
      <c r="M282" s="456">
        <v>10928</v>
      </c>
      <c r="N282" s="456"/>
      <c r="O282" s="456"/>
      <c r="P282" s="456">
        <v>10928</v>
      </c>
    </row>
    <row r="283" spans="1:16" hidden="1" x14ac:dyDescent="0.5">
      <c r="A283" s="438">
        <v>280</v>
      </c>
      <c r="B283" s="438" t="s">
        <v>3905</v>
      </c>
      <c r="C283" s="438" t="s">
        <v>3867</v>
      </c>
      <c r="D283" s="438" t="s">
        <v>3911</v>
      </c>
      <c r="E283" s="438" t="s">
        <v>2566</v>
      </c>
      <c r="F283" s="438" t="s">
        <v>2559</v>
      </c>
      <c r="G283" s="438" t="s">
        <v>3671</v>
      </c>
      <c r="H283" s="438" t="s">
        <v>3737</v>
      </c>
      <c r="I283" s="438" t="s">
        <v>2785</v>
      </c>
      <c r="J283" s="438" t="s">
        <v>2785</v>
      </c>
      <c r="K283" s="438" t="s">
        <v>2556</v>
      </c>
      <c r="L283" s="438" t="s">
        <v>2557</v>
      </c>
      <c r="M283" s="456">
        <v>8365</v>
      </c>
      <c r="N283" s="456"/>
      <c r="O283" s="456"/>
      <c r="P283" s="456">
        <v>8365</v>
      </c>
    </row>
    <row r="284" spans="1:16" hidden="1" x14ac:dyDescent="0.5">
      <c r="A284" s="438">
        <v>281</v>
      </c>
      <c r="B284" s="438" t="s">
        <v>3905</v>
      </c>
      <c r="C284" s="438" t="s">
        <v>3867</v>
      </c>
      <c r="D284" s="438" t="s">
        <v>3912</v>
      </c>
      <c r="E284" s="438" t="s">
        <v>3290</v>
      </c>
      <c r="F284" s="438" t="s">
        <v>2559</v>
      </c>
      <c r="G284" s="438" t="s">
        <v>3291</v>
      </c>
      <c r="H284" s="438" t="s">
        <v>3913</v>
      </c>
      <c r="I284" s="438" t="s">
        <v>3292</v>
      </c>
      <c r="J284" s="438" t="s">
        <v>3292</v>
      </c>
      <c r="K284" s="438" t="s">
        <v>2556</v>
      </c>
      <c r="L284" s="438" t="s">
        <v>2557</v>
      </c>
      <c r="M284" s="456">
        <v>8834</v>
      </c>
      <c r="N284" s="456"/>
      <c r="O284" s="456"/>
      <c r="P284" s="456">
        <v>8834</v>
      </c>
    </row>
    <row r="285" spans="1:16" hidden="1" x14ac:dyDescent="0.5">
      <c r="A285" s="438">
        <v>282</v>
      </c>
      <c r="B285" s="438" t="s">
        <v>3905</v>
      </c>
      <c r="C285" s="438" t="s">
        <v>3867</v>
      </c>
      <c r="D285" s="438" t="s">
        <v>3914</v>
      </c>
      <c r="E285" s="438" t="s">
        <v>2760</v>
      </c>
      <c r="F285" s="438" t="s">
        <v>2600</v>
      </c>
      <c r="G285" s="438" t="s">
        <v>2789</v>
      </c>
      <c r="H285" s="438" t="s">
        <v>2758</v>
      </c>
      <c r="I285" s="438" t="s">
        <v>2757</v>
      </c>
      <c r="J285" s="438" t="s">
        <v>2757</v>
      </c>
      <c r="K285" s="438" t="s">
        <v>2556</v>
      </c>
      <c r="L285" s="438" t="s">
        <v>2557</v>
      </c>
      <c r="M285" s="456">
        <v>69900</v>
      </c>
      <c r="N285" s="456"/>
      <c r="O285" s="456"/>
      <c r="P285" s="456">
        <v>69900</v>
      </c>
    </row>
    <row r="286" spans="1:16" hidden="1" x14ac:dyDescent="0.5">
      <c r="A286" s="438">
        <v>283</v>
      </c>
      <c r="B286" s="438" t="s">
        <v>3905</v>
      </c>
      <c r="C286" s="438" t="s">
        <v>3867</v>
      </c>
      <c r="D286" s="438" t="s">
        <v>3915</v>
      </c>
      <c r="E286" s="438" t="s">
        <v>2568</v>
      </c>
      <c r="F286" s="438" t="s">
        <v>2559</v>
      </c>
      <c r="G286" s="438" t="s">
        <v>3287</v>
      </c>
      <c r="H286" s="438" t="s">
        <v>2616</v>
      </c>
      <c r="I286" s="438" t="s">
        <v>2691</v>
      </c>
      <c r="J286" s="438" t="s">
        <v>3273</v>
      </c>
      <c r="K286" s="438" t="s">
        <v>2556</v>
      </c>
      <c r="L286" s="438" t="s">
        <v>2557</v>
      </c>
      <c r="M286" s="456">
        <v>11956</v>
      </c>
      <c r="N286" s="456"/>
      <c r="O286" s="456"/>
      <c r="P286" s="456">
        <v>11956</v>
      </c>
    </row>
    <row r="287" spans="1:16" hidden="1" x14ac:dyDescent="0.5">
      <c r="A287" s="438">
        <v>284</v>
      </c>
      <c r="B287" s="438" t="s">
        <v>3905</v>
      </c>
      <c r="C287" s="438" t="s">
        <v>3916</v>
      </c>
      <c r="D287" s="438" t="s">
        <v>3917</v>
      </c>
      <c r="E287" s="438" t="s">
        <v>2560</v>
      </c>
      <c r="F287" s="438" t="s">
        <v>2554</v>
      </c>
      <c r="G287" s="438" t="s">
        <v>2561</v>
      </c>
      <c r="H287" s="438" t="s">
        <v>3489</v>
      </c>
      <c r="I287" s="438" t="s">
        <v>2562</v>
      </c>
      <c r="J287" s="438" t="s">
        <v>2563</v>
      </c>
      <c r="K287" s="438" t="s">
        <v>2556</v>
      </c>
      <c r="L287" s="438" t="s">
        <v>2557</v>
      </c>
      <c r="M287" s="456">
        <v>6226</v>
      </c>
      <c r="N287" s="456"/>
      <c r="O287" s="456"/>
      <c r="P287" s="456">
        <v>6226</v>
      </c>
    </row>
    <row r="288" spans="1:16" hidden="1" x14ac:dyDescent="0.5">
      <c r="A288" s="438">
        <v>285</v>
      </c>
      <c r="B288" s="438" t="s">
        <v>3918</v>
      </c>
      <c r="C288" s="438" t="s">
        <v>3916</v>
      </c>
      <c r="D288" s="438" t="s">
        <v>3919</v>
      </c>
      <c r="E288" s="438" t="s">
        <v>3266</v>
      </c>
      <c r="F288" s="438" t="s">
        <v>2554</v>
      </c>
      <c r="G288" s="438" t="s">
        <v>3267</v>
      </c>
      <c r="H288" s="438" t="s">
        <v>3313</v>
      </c>
      <c r="I288" s="438" t="s">
        <v>2558</v>
      </c>
      <c r="J288" s="438" t="s">
        <v>2558</v>
      </c>
      <c r="K288" s="438" t="s">
        <v>2556</v>
      </c>
      <c r="L288" s="438" t="s">
        <v>2557</v>
      </c>
      <c r="M288" s="456">
        <v>16088</v>
      </c>
      <c r="N288" s="456"/>
      <c r="O288" s="456"/>
      <c r="P288" s="456">
        <v>16096.153</v>
      </c>
    </row>
    <row r="289" spans="1:16" hidden="1" x14ac:dyDescent="0.5">
      <c r="A289" s="438">
        <v>286</v>
      </c>
      <c r="B289" s="438" t="s">
        <v>3918</v>
      </c>
      <c r="C289" s="438" t="s">
        <v>3916</v>
      </c>
      <c r="D289" s="438" t="s">
        <v>3920</v>
      </c>
      <c r="E289" s="438" t="s">
        <v>3270</v>
      </c>
      <c r="F289" s="438" t="s">
        <v>2554</v>
      </c>
      <c r="G289" s="438" t="s">
        <v>3271</v>
      </c>
      <c r="H289" s="438" t="s">
        <v>3921</v>
      </c>
      <c r="I289" s="438" t="s">
        <v>2558</v>
      </c>
      <c r="J289" s="438" t="s">
        <v>2558</v>
      </c>
      <c r="K289" s="438" t="s">
        <v>2556</v>
      </c>
      <c r="L289" s="438" t="s">
        <v>2557</v>
      </c>
      <c r="M289" s="456">
        <v>14697</v>
      </c>
      <c r="N289" s="456"/>
      <c r="O289" s="456"/>
      <c r="P289" s="456">
        <v>14704.448</v>
      </c>
    </row>
    <row r="290" spans="1:16" hidden="1" x14ac:dyDescent="0.5">
      <c r="A290" s="438">
        <v>287</v>
      </c>
      <c r="B290" s="438" t="s">
        <v>3918</v>
      </c>
      <c r="C290" s="438" t="s">
        <v>3916</v>
      </c>
      <c r="D290" s="438" t="s">
        <v>3922</v>
      </c>
      <c r="E290" s="438" t="s">
        <v>2553</v>
      </c>
      <c r="F290" s="438" t="s">
        <v>2554</v>
      </c>
      <c r="G290" s="438" t="s">
        <v>3285</v>
      </c>
      <c r="H290" s="438" t="s">
        <v>3569</v>
      </c>
      <c r="I290" s="438" t="s">
        <v>2555</v>
      </c>
      <c r="J290" s="438" t="s">
        <v>2555</v>
      </c>
      <c r="K290" s="438" t="s">
        <v>2556</v>
      </c>
      <c r="L290" s="438" t="s">
        <v>2557</v>
      </c>
      <c r="M290" s="456">
        <v>12216</v>
      </c>
      <c r="N290" s="456"/>
      <c r="O290" s="456"/>
      <c r="P290" s="456">
        <v>12222.191000000001</v>
      </c>
    </row>
    <row r="291" spans="1:16" hidden="1" x14ac:dyDescent="0.5">
      <c r="A291" s="438">
        <v>288</v>
      </c>
      <c r="B291" s="438" t="s">
        <v>3918</v>
      </c>
      <c r="C291" s="438" t="s">
        <v>3916</v>
      </c>
      <c r="D291" s="438" t="s">
        <v>3923</v>
      </c>
      <c r="E291" s="438" t="s">
        <v>2566</v>
      </c>
      <c r="F291" s="438" t="s">
        <v>2559</v>
      </c>
      <c r="G291" s="438" t="s">
        <v>3671</v>
      </c>
      <c r="H291" s="438" t="s">
        <v>3760</v>
      </c>
      <c r="I291" s="438" t="s">
        <v>2785</v>
      </c>
      <c r="J291" s="438" t="s">
        <v>2785</v>
      </c>
      <c r="K291" s="438" t="s">
        <v>2556</v>
      </c>
      <c r="L291" s="438" t="s">
        <v>2557</v>
      </c>
      <c r="M291" s="456">
        <v>6983</v>
      </c>
      <c r="N291" s="456"/>
      <c r="O291" s="456"/>
      <c r="P291" s="456">
        <v>6986.5389999999998</v>
      </c>
    </row>
    <row r="292" spans="1:16" hidden="1" x14ac:dyDescent="0.5">
      <c r="A292" s="438">
        <v>289</v>
      </c>
      <c r="B292" s="438" t="s">
        <v>3918</v>
      </c>
      <c r="C292" s="438" t="s">
        <v>3916</v>
      </c>
      <c r="D292" s="438" t="s">
        <v>3924</v>
      </c>
      <c r="E292" s="438" t="s">
        <v>2568</v>
      </c>
      <c r="F292" s="438" t="s">
        <v>2559</v>
      </c>
      <c r="G292" s="438" t="s">
        <v>3446</v>
      </c>
      <c r="H292" s="438" t="s">
        <v>2616</v>
      </c>
      <c r="I292" s="438" t="s">
        <v>3273</v>
      </c>
      <c r="J292" s="438" t="s">
        <v>3447</v>
      </c>
      <c r="K292" s="438" t="s">
        <v>2556</v>
      </c>
      <c r="L292" s="438" t="s">
        <v>2557</v>
      </c>
      <c r="M292" s="456">
        <v>13202</v>
      </c>
      <c r="N292" s="456"/>
      <c r="O292" s="456"/>
      <c r="P292" s="456">
        <v>13208.691000000001</v>
      </c>
    </row>
    <row r="293" spans="1:16" hidden="1" x14ac:dyDescent="0.5">
      <c r="A293" s="438">
        <v>290</v>
      </c>
      <c r="B293" s="438" t="s">
        <v>3918</v>
      </c>
      <c r="C293" s="438" t="s">
        <v>3916</v>
      </c>
      <c r="D293" s="438" t="s">
        <v>3925</v>
      </c>
      <c r="E293" s="438" t="s">
        <v>2560</v>
      </c>
      <c r="F293" s="438" t="s">
        <v>2554</v>
      </c>
      <c r="G293" s="438" t="s">
        <v>2561</v>
      </c>
      <c r="H293" s="438" t="s">
        <v>3926</v>
      </c>
      <c r="I293" s="438" t="s">
        <v>2562</v>
      </c>
      <c r="J293" s="438" t="s">
        <v>2563</v>
      </c>
      <c r="K293" s="438" t="s">
        <v>2556</v>
      </c>
      <c r="L293" s="438" t="s">
        <v>2557</v>
      </c>
      <c r="M293" s="456">
        <v>4735</v>
      </c>
      <c r="N293" s="456"/>
      <c r="O293" s="456"/>
      <c r="P293" s="456">
        <v>4735.4799999999996</v>
      </c>
    </row>
    <row r="294" spans="1:16" hidden="1" x14ac:dyDescent="0.5">
      <c r="A294" s="438">
        <v>291</v>
      </c>
      <c r="B294" s="438" t="s">
        <v>3918</v>
      </c>
      <c r="C294" s="438" t="s">
        <v>3916</v>
      </c>
      <c r="D294" s="438" t="s">
        <v>3927</v>
      </c>
      <c r="E294" s="438" t="s">
        <v>2553</v>
      </c>
      <c r="F294" s="438" t="s">
        <v>2559</v>
      </c>
      <c r="G294" s="438" t="s">
        <v>3261</v>
      </c>
      <c r="H294" s="438" t="s">
        <v>2587</v>
      </c>
      <c r="I294" s="438" t="s">
        <v>2558</v>
      </c>
      <c r="J294" s="438" t="s">
        <v>2558</v>
      </c>
      <c r="K294" s="438" t="s">
        <v>2556</v>
      </c>
      <c r="L294" s="438" t="s">
        <v>2557</v>
      </c>
      <c r="M294" s="456">
        <v>15322</v>
      </c>
      <c r="N294" s="456"/>
      <c r="O294" s="456"/>
      <c r="P294" s="456">
        <v>15323.553</v>
      </c>
    </row>
    <row r="295" spans="1:16" ht="12.75" x14ac:dyDescent="0.2">
      <c r="A295" s="468" t="s">
        <v>2619</v>
      </c>
      <c r="B295" s="468"/>
      <c r="C295" s="468"/>
      <c r="D295" s="468"/>
      <c r="E295" s="468"/>
      <c r="F295" s="468"/>
      <c r="G295" s="468"/>
      <c r="H295" s="468"/>
      <c r="I295" s="468"/>
      <c r="J295" s="468"/>
      <c r="K295" s="468"/>
      <c r="L295" s="468"/>
      <c r="M295" s="457">
        <f>SUM(M4:M294)</f>
        <v>4535766</v>
      </c>
      <c r="N295" s="457"/>
      <c r="O295" s="457"/>
      <c r="P295" s="457">
        <f>SUM(P4:P294)</f>
        <v>4535608.1979999999</v>
      </c>
    </row>
    <row r="296" spans="1:16" hidden="1" x14ac:dyDescent="0.5">
      <c r="A296" s="438">
        <v>1</v>
      </c>
      <c r="B296" s="438" t="s">
        <v>3531</v>
      </c>
      <c r="C296" s="438" t="s">
        <v>3488</v>
      </c>
      <c r="D296" s="438" t="s">
        <v>3928</v>
      </c>
      <c r="E296" s="438" t="s">
        <v>2560</v>
      </c>
      <c r="F296" s="438" t="s">
        <v>2554</v>
      </c>
      <c r="G296" s="438" t="s">
        <v>2620</v>
      </c>
      <c r="H296" s="438" t="s">
        <v>3489</v>
      </c>
      <c r="I296" s="438" t="s">
        <v>2563</v>
      </c>
      <c r="J296" s="438" t="s">
        <v>2576</v>
      </c>
      <c r="K296" s="438" t="s">
        <v>2621</v>
      </c>
      <c r="L296" s="438" t="s">
        <v>2557</v>
      </c>
      <c r="M296" s="456">
        <v>2679</v>
      </c>
      <c r="N296" s="456"/>
      <c r="O296" s="456"/>
      <c r="P296" s="456">
        <v>2677.9140000000002</v>
      </c>
    </row>
    <row r="297" spans="1:16" hidden="1" x14ac:dyDescent="0.5">
      <c r="A297" s="438">
        <v>2</v>
      </c>
      <c r="B297" s="438" t="s">
        <v>3531</v>
      </c>
      <c r="C297" s="438" t="s">
        <v>3488</v>
      </c>
      <c r="D297" s="438" t="s">
        <v>3929</v>
      </c>
      <c r="E297" s="438" t="s">
        <v>2560</v>
      </c>
      <c r="F297" s="438" t="s">
        <v>2554</v>
      </c>
      <c r="G297" s="438" t="s">
        <v>2622</v>
      </c>
      <c r="H297" s="438" t="s">
        <v>2716</v>
      </c>
      <c r="I297" s="438" t="s">
        <v>2623</v>
      </c>
      <c r="J297" s="438" t="s">
        <v>2623</v>
      </c>
      <c r="K297" s="438" t="s">
        <v>2621</v>
      </c>
      <c r="L297" s="438" t="s">
        <v>2557</v>
      </c>
      <c r="M297" s="456">
        <v>5091</v>
      </c>
      <c r="N297" s="456"/>
      <c r="O297" s="456"/>
      <c r="P297" s="456">
        <v>5088.9359999999997</v>
      </c>
    </row>
    <row r="298" spans="1:16" hidden="1" x14ac:dyDescent="0.5">
      <c r="A298" s="438">
        <v>3</v>
      </c>
      <c r="B298" s="438" t="s">
        <v>3531</v>
      </c>
      <c r="C298" s="438" t="s">
        <v>3488</v>
      </c>
      <c r="D298" s="438" t="s">
        <v>3930</v>
      </c>
      <c r="E298" s="438" t="s">
        <v>2713</v>
      </c>
      <c r="F298" s="438" t="s">
        <v>2554</v>
      </c>
      <c r="G298" s="438" t="s">
        <v>2631</v>
      </c>
      <c r="H298" s="438" t="s">
        <v>2714</v>
      </c>
      <c r="I298" s="438" t="s">
        <v>2577</v>
      </c>
      <c r="J298" s="438" t="s">
        <v>2715</v>
      </c>
      <c r="K298" s="438" t="s">
        <v>2621</v>
      </c>
      <c r="L298" s="438" t="s">
        <v>2557</v>
      </c>
      <c r="M298" s="456">
        <v>120</v>
      </c>
      <c r="N298" s="456"/>
      <c r="O298" s="456"/>
      <c r="P298" s="456">
        <v>119.90300000000001</v>
      </c>
    </row>
    <row r="299" spans="1:16" hidden="1" x14ac:dyDescent="0.5">
      <c r="A299" s="438">
        <v>4</v>
      </c>
      <c r="B299" s="438" t="s">
        <v>3531</v>
      </c>
      <c r="C299" s="438" t="s">
        <v>3488</v>
      </c>
      <c r="D299" s="438" t="s">
        <v>3931</v>
      </c>
      <c r="E299" s="438" t="s">
        <v>2560</v>
      </c>
      <c r="F299" s="438" t="s">
        <v>2554</v>
      </c>
      <c r="G299" s="438" t="s">
        <v>2624</v>
      </c>
      <c r="H299" s="438" t="s">
        <v>3501</v>
      </c>
      <c r="I299" s="438" t="s">
        <v>2623</v>
      </c>
      <c r="J299" s="438" t="s">
        <v>2623</v>
      </c>
      <c r="K299" s="438" t="s">
        <v>2621</v>
      </c>
      <c r="L299" s="438" t="s">
        <v>2557</v>
      </c>
      <c r="M299" s="456">
        <v>6470</v>
      </c>
      <c r="N299" s="456"/>
      <c r="O299" s="456"/>
      <c r="P299" s="456">
        <v>6464.7539999999999</v>
      </c>
    </row>
    <row r="300" spans="1:16" hidden="1" x14ac:dyDescent="0.5">
      <c r="A300" s="438">
        <v>5</v>
      </c>
      <c r="B300" s="438" t="s">
        <v>3545</v>
      </c>
      <c r="C300" s="438" t="s">
        <v>3547</v>
      </c>
      <c r="D300" s="438" t="s">
        <v>3932</v>
      </c>
      <c r="E300" s="438" t="s">
        <v>2560</v>
      </c>
      <c r="F300" s="438" t="s">
        <v>2554</v>
      </c>
      <c r="G300" s="438" t="s">
        <v>2620</v>
      </c>
      <c r="H300" s="438" t="s">
        <v>3489</v>
      </c>
      <c r="I300" s="438" t="s">
        <v>2563</v>
      </c>
      <c r="J300" s="438" t="s">
        <v>2576</v>
      </c>
      <c r="K300" s="438" t="s">
        <v>2621</v>
      </c>
      <c r="L300" s="438" t="s">
        <v>2557</v>
      </c>
      <c r="M300" s="456">
        <v>2264</v>
      </c>
      <c r="N300" s="456"/>
      <c r="O300" s="456"/>
      <c r="P300" s="456">
        <v>2264.23</v>
      </c>
    </row>
    <row r="301" spans="1:16" hidden="1" x14ac:dyDescent="0.5">
      <c r="A301" s="438">
        <v>6</v>
      </c>
      <c r="B301" s="438" t="s">
        <v>3545</v>
      </c>
      <c r="C301" s="438" t="s">
        <v>3547</v>
      </c>
      <c r="D301" s="438" t="s">
        <v>3933</v>
      </c>
      <c r="E301" s="438" t="s">
        <v>2560</v>
      </c>
      <c r="F301" s="438" t="s">
        <v>2554</v>
      </c>
      <c r="G301" s="438" t="s">
        <v>2622</v>
      </c>
      <c r="H301" s="438" t="s">
        <v>2978</v>
      </c>
      <c r="I301" s="438" t="s">
        <v>2623</v>
      </c>
      <c r="J301" s="438" t="s">
        <v>2623</v>
      </c>
      <c r="K301" s="438" t="s">
        <v>2621</v>
      </c>
      <c r="L301" s="438" t="s">
        <v>2557</v>
      </c>
      <c r="M301" s="456">
        <v>4635</v>
      </c>
      <c r="N301" s="456"/>
      <c r="O301" s="456"/>
      <c r="P301" s="456">
        <v>4635.47</v>
      </c>
    </row>
    <row r="302" spans="1:16" hidden="1" x14ac:dyDescent="0.5">
      <c r="A302" s="438">
        <v>7</v>
      </c>
      <c r="B302" s="438" t="s">
        <v>3545</v>
      </c>
      <c r="C302" s="438" t="s">
        <v>3547</v>
      </c>
      <c r="D302" s="438" t="s">
        <v>3934</v>
      </c>
      <c r="E302" s="438" t="s">
        <v>3499</v>
      </c>
      <c r="F302" s="438" t="s">
        <v>2554</v>
      </c>
      <c r="G302" s="438" t="s">
        <v>3500</v>
      </c>
      <c r="H302" s="438" t="s">
        <v>3935</v>
      </c>
      <c r="I302" s="438" t="s">
        <v>2577</v>
      </c>
      <c r="J302" s="438" t="s">
        <v>2577</v>
      </c>
      <c r="K302" s="438" t="s">
        <v>2621</v>
      </c>
      <c r="L302" s="438" t="s">
        <v>2557</v>
      </c>
      <c r="M302" s="456">
        <v>720</v>
      </c>
      <c r="N302" s="456"/>
      <c r="O302" s="456"/>
      <c r="P302" s="456">
        <v>720.07299999999998</v>
      </c>
    </row>
    <row r="303" spans="1:16" hidden="1" x14ac:dyDescent="0.5">
      <c r="A303" s="438">
        <v>8</v>
      </c>
      <c r="B303" s="438" t="s">
        <v>3545</v>
      </c>
      <c r="C303" s="438" t="s">
        <v>3547</v>
      </c>
      <c r="D303" s="438" t="s">
        <v>3936</v>
      </c>
      <c r="E303" s="438" t="s">
        <v>3032</v>
      </c>
      <c r="F303" s="438" t="s">
        <v>2559</v>
      </c>
      <c r="G303" s="438" t="s">
        <v>3503</v>
      </c>
      <c r="H303" s="438" t="s">
        <v>3476</v>
      </c>
      <c r="I303" s="438" t="s">
        <v>2577</v>
      </c>
      <c r="J303" s="438" t="s">
        <v>2576</v>
      </c>
      <c r="K303" s="438" t="s">
        <v>2621</v>
      </c>
      <c r="L303" s="438" t="s">
        <v>2557</v>
      </c>
      <c r="M303" s="456">
        <v>3232</v>
      </c>
      <c r="N303" s="456"/>
      <c r="O303" s="456"/>
      <c r="P303" s="456">
        <v>3230.3620000000001</v>
      </c>
    </row>
    <row r="304" spans="1:16" hidden="1" x14ac:dyDescent="0.5">
      <c r="A304" s="438">
        <v>9</v>
      </c>
      <c r="B304" s="438" t="s">
        <v>3545</v>
      </c>
      <c r="C304" s="438" t="s">
        <v>3547</v>
      </c>
      <c r="D304" s="438" t="s">
        <v>3937</v>
      </c>
      <c r="E304" s="438" t="s">
        <v>2560</v>
      </c>
      <c r="F304" s="438" t="s">
        <v>2554</v>
      </c>
      <c r="G304" s="438" t="s">
        <v>2624</v>
      </c>
      <c r="H304" s="438" t="s">
        <v>2716</v>
      </c>
      <c r="I304" s="438" t="s">
        <v>2623</v>
      </c>
      <c r="J304" s="438" t="s">
        <v>2623</v>
      </c>
      <c r="K304" s="438" t="s">
        <v>2621</v>
      </c>
      <c r="L304" s="438" t="s">
        <v>2557</v>
      </c>
      <c r="M304" s="456">
        <v>3845</v>
      </c>
      <c r="N304" s="456"/>
      <c r="O304" s="456"/>
      <c r="P304" s="456">
        <v>3843.0509999999999</v>
      </c>
    </row>
    <row r="305" spans="1:16" hidden="1" x14ac:dyDescent="0.5">
      <c r="A305" s="438">
        <v>10</v>
      </c>
      <c r="B305" s="438" t="s">
        <v>3545</v>
      </c>
      <c r="C305" s="438" t="s">
        <v>3547</v>
      </c>
      <c r="D305" s="438" t="s">
        <v>3938</v>
      </c>
      <c r="E305" s="438" t="s">
        <v>2891</v>
      </c>
      <c r="F305" s="438" t="s">
        <v>2554</v>
      </c>
      <c r="G305" s="438" t="s">
        <v>2631</v>
      </c>
      <c r="H305" s="438" t="s">
        <v>3939</v>
      </c>
      <c r="I305" s="438" t="s">
        <v>2577</v>
      </c>
      <c r="J305" s="438" t="s">
        <v>3940</v>
      </c>
      <c r="K305" s="438" t="s">
        <v>2621</v>
      </c>
      <c r="L305" s="438" t="s">
        <v>2557</v>
      </c>
      <c r="M305" s="456">
        <v>245</v>
      </c>
      <c r="N305" s="456"/>
      <c r="O305" s="456"/>
      <c r="P305" s="456">
        <v>245</v>
      </c>
    </row>
    <row r="306" spans="1:16" hidden="1" x14ac:dyDescent="0.5">
      <c r="A306" s="438">
        <v>11</v>
      </c>
      <c r="B306" s="438" t="s">
        <v>3552</v>
      </c>
      <c r="C306" s="438" t="s">
        <v>3547</v>
      </c>
      <c r="D306" s="438" t="s">
        <v>3941</v>
      </c>
      <c r="E306" s="438" t="s">
        <v>2560</v>
      </c>
      <c r="F306" s="438" t="s">
        <v>2554</v>
      </c>
      <c r="G306" s="438" t="s">
        <v>2620</v>
      </c>
      <c r="H306" s="438" t="s">
        <v>3489</v>
      </c>
      <c r="I306" s="438" t="s">
        <v>2563</v>
      </c>
      <c r="J306" s="438" t="s">
        <v>2576</v>
      </c>
      <c r="K306" s="438" t="s">
        <v>2621</v>
      </c>
      <c r="L306" s="438" t="s">
        <v>2557</v>
      </c>
      <c r="M306" s="456">
        <v>2746</v>
      </c>
      <c r="N306" s="456"/>
      <c r="O306" s="456"/>
      <c r="P306" s="456">
        <v>2746.2779999999998</v>
      </c>
    </row>
    <row r="307" spans="1:16" hidden="1" x14ac:dyDescent="0.5">
      <c r="A307" s="438">
        <v>12</v>
      </c>
      <c r="B307" s="438" t="s">
        <v>3552</v>
      </c>
      <c r="C307" s="438" t="s">
        <v>3547</v>
      </c>
      <c r="D307" s="438" t="s">
        <v>3942</v>
      </c>
      <c r="E307" s="438" t="s">
        <v>2560</v>
      </c>
      <c r="F307" s="438" t="s">
        <v>2554</v>
      </c>
      <c r="G307" s="438" t="s">
        <v>2622</v>
      </c>
      <c r="H307" s="438" t="s">
        <v>3501</v>
      </c>
      <c r="I307" s="438" t="s">
        <v>2623</v>
      </c>
      <c r="J307" s="438" t="s">
        <v>2623</v>
      </c>
      <c r="K307" s="438" t="s">
        <v>2621</v>
      </c>
      <c r="L307" s="438" t="s">
        <v>2557</v>
      </c>
      <c r="M307" s="456">
        <v>5073</v>
      </c>
      <c r="N307" s="456"/>
      <c r="O307" s="456"/>
      <c r="P307" s="456">
        <v>5073.5140000000001</v>
      </c>
    </row>
    <row r="308" spans="1:16" hidden="1" x14ac:dyDescent="0.5">
      <c r="A308" s="438">
        <v>13</v>
      </c>
      <c r="B308" s="438" t="s">
        <v>3552</v>
      </c>
      <c r="C308" s="438" t="s">
        <v>3547</v>
      </c>
      <c r="D308" s="438" t="s">
        <v>3943</v>
      </c>
      <c r="E308" s="438" t="s">
        <v>2560</v>
      </c>
      <c r="F308" s="438" t="s">
        <v>2554</v>
      </c>
      <c r="G308" s="438" t="s">
        <v>2624</v>
      </c>
      <c r="H308" s="438" t="s">
        <v>2978</v>
      </c>
      <c r="I308" s="438" t="s">
        <v>2623</v>
      </c>
      <c r="J308" s="438" t="s">
        <v>2623</v>
      </c>
      <c r="K308" s="438" t="s">
        <v>2621</v>
      </c>
      <c r="L308" s="438" t="s">
        <v>2557</v>
      </c>
      <c r="M308" s="456">
        <v>5789</v>
      </c>
      <c r="N308" s="456"/>
      <c r="O308" s="456"/>
      <c r="P308" s="456">
        <v>5786.6530000000002</v>
      </c>
    </row>
    <row r="309" spans="1:16" hidden="1" x14ac:dyDescent="0.5">
      <c r="A309" s="438">
        <v>14</v>
      </c>
      <c r="B309" s="438" t="s">
        <v>3564</v>
      </c>
      <c r="C309" s="438" t="s">
        <v>3547</v>
      </c>
      <c r="D309" s="438" t="s">
        <v>3944</v>
      </c>
      <c r="E309" s="438" t="s">
        <v>2560</v>
      </c>
      <c r="F309" s="438" t="s">
        <v>2554</v>
      </c>
      <c r="G309" s="438" t="s">
        <v>2620</v>
      </c>
      <c r="H309" s="438" t="s">
        <v>3489</v>
      </c>
      <c r="I309" s="438" t="s">
        <v>2563</v>
      </c>
      <c r="J309" s="438" t="s">
        <v>2576</v>
      </c>
      <c r="K309" s="438" t="s">
        <v>2621</v>
      </c>
      <c r="L309" s="438" t="s">
        <v>2557</v>
      </c>
      <c r="M309" s="456">
        <v>1836</v>
      </c>
      <c r="N309" s="456"/>
      <c r="O309" s="456"/>
      <c r="P309" s="456">
        <v>1837.8620000000001</v>
      </c>
    </row>
    <row r="310" spans="1:16" hidden="1" x14ac:dyDescent="0.5">
      <c r="A310" s="438">
        <v>15</v>
      </c>
      <c r="B310" s="438" t="s">
        <v>3564</v>
      </c>
      <c r="C310" s="438" t="s">
        <v>3547</v>
      </c>
      <c r="D310" s="438" t="s">
        <v>3945</v>
      </c>
      <c r="E310" s="438" t="s">
        <v>2560</v>
      </c>
      <c r="F310" s="438" t="s">
        <v>2554</v>
      </c>
      <c r="G310" s="438" t="s">
        <v>2622</v>
      </c>
      <c r="H310" s="438" t="s">
        <v>2716</v>
      </c>
      <c r="I310" s="438" t="s">
        <v>2623</v>
      </c>
      <c r="J310" s="438" t="s">
        <v>2623</v>
      </c>
      <c r="K310" s="438" t="s">
        <v>2621</v>
      </c>
      <c r="L310" s="438" t="s">
        <v>2557</v>
      </c>
      <c r="M310" s="456">
        <v>4958</v>
      </c>
      <c r="N310" s="456"/>
      <c r="O310" s="456"/>
      <c r="P310" s="456">
        <v>4963.027</v>
      </c>
    </row>
    <row r="311" spans="1:16" hidden="1" x14ac:dyDescent="0.5">
      <c r="A311" s="438">
        <v>16</v>
      </c>
      <c r="B311" s="438" t="s">
        <v>3564</v>
      </c>
      <c r="C311" s="438" t="s">
        <v>3547</v>
      </c>
      <c r="D311" s="438" t="s">
        <v>3946</v>
      </c>
      <c r="E311" s="438" t="s">
        <v>3499</v>
      </c>
      <c r="F311" s="438" t="s">
        <v>2554</v>
      </c>
      <c r="G311" s="438" t="s">
        <v>3500</v>
      </c>
      <c r="H311" s="438" t="s">
        <v>3504</v>
      </c>
      <c r="I311" s="438" t="s">
        <v>2577</v>
      </c>
      <c r="J311" s="438" t="s">
        <v>2577</v>
      </c>
      <c r="K311" s="438" t="s">
        <v>2621</v>
      </c>
      <c r="L311" s="438" t="s">
        <v>2557</v>
      </c>
      <c r="M311" s="456">
        <v>2130</v>
      </c>
      <c r="N311" s="456"/>
      <c r="O311" s="456"/>
      <c r="P311" s="456">
        <v>2128.2719999999999</v>
      </c>
    </row>
    <row r="312" spans="1:16" hidden="1" x14ac:dyDescent="0.5">
      <c r="A312" s="438">
        <v>17</v>
      </c>
      <c r="B312" s="438" t="s">
        <v>3564</v>
      </c>
      <c r="C312" s="438" t="s">
        <v>3547</v>
      </c>
      <c r="D312" s="438" t="s">
        <v>3947</v>
      </c>
      <c r="E312" s="438" t="s">
        <v>2560</v>
      </c>
      <c r="F312" s="438" t="s">
        <v>2554</v>
      </c>
      <c r="G312" s="438" t="s">
        <v>2624</v>
      </c>
      <c r="H312" s="438" t="s">
        <v>3501</v>
      </c>
      <c r="I312" s="438" t="s">
        <v>2623</v>
      </c>
      <c r="J312" s="438" t="s">
        <v>2623</v>
      </c>
      <c r="K312" s="438" t="s">
        <v>2621</v>
      </c>
      <c r="L312" s="438" t="s">
        <v>2557</v>
      </c>
      <c r="M312" s="456">
        <v>6172</v>
      </c>
      <c r="N312" s="456"/>
      <c r="O312" s="456"/>
      <c r="P312" s="456">
        <v>6166.9939999999997</v>
      </c>
    </row>
    <row r="313" spans="1:16" hidden="1" x14ac:dyDescent="0.5">
      <c r="A313" s="438">
        <v>18</v>
      </c>
      <c r="B313" s="438" t="s">
        <v>3575</v>
      </c>
      <c r="C313" s="438" t="s">
        <v>3547</v>
      </c>
      <c r="D313" s="438" t="s">
        <v>3948</v>
      </c>
      <c r="E313" s="438" t="s">
        <v>2560</v>
      </c>
      <c r="F313" s="438" t="s">
        <v>2554</v>
      </c>
      <c r="G313" s="438" t="s">
        <v>2620</v>
      </c>
      <c r="H313" s="438" t="s">
        <v>3489</v>
      </c>
      <c r="I313" s="438" t="s">
        <v>2563</v>
      </c>
      <c r="J313" s="438" t="s">
        <v>2576</v>
      </c>
      <c r="K313" s="438" t="s">
        <v>2621</v>
      </c>
      <c r="L313" s="438" t="s">
        <v>2557</v>
      </c>
      <c r="M313" s="456">
        <v>1890</v>
      </c>
      <c r="N313" s="456"/>
      <c r="O313" s="456"/>
      <c r="P313" s="456">
        <v>1889.617</v>
      </c>
    </row>
    <row r="314" spans="1:16" hidden="1" x14ac:dyDescent="0.5">
      <c r="A314" s="438">
        <v>19</v>
      </c>
      <c r="B314" s="438" t="s">
        <v>3575</v>
      </c>
      <c r="C314" s="438" t="s">
        <v>3547</v>
      </c>
      <c r="D314" s="438" t="s">
        <v>3949</v>
      </c>
      <c r="E314" s="438" t="s">
        <v>2625</v>
      </c>
      <c r="F314" s="438" t="s">
        <v>2554</v>
      </c>
      <c r="G314" s="438" t="s">
        <v>3950</v>
      </c>
      <c r="H314" s="438" t="s">
        <v>2921</v>
      </c>
      <c r="I314" s="438" t="s">
        <v>2628</v>
      </c>
      <c r="J314" s="438" t="s">
        <v>2628</v>
      </c>
      <c r="K314" s="438" t="s">
        <v>2621</v>
      </c>
      <c r="L314" s="438" t="s">
        <v>2557</v>
      </c>
      <c r="M314" s="456">
        <v>681</v>
      </c>
      <c r="N314" s="456"/>
      <c r="O314" s="456"/>
      <c r="P314" s="456">
        <v>680.86199999999997</v>
      </c>
    </row>
    <row r="315" spans="1:16" hidden="1" x14ac:dyDescent="0.5">
      <c r="A315" s="438">
        <v>20</v>
      </c>
      <c r="B315" s="438" t="s">
        <v>3575</v>
      </c>
      <c r="C315" s="438" t="s">
        <v>3547</v>
      </c>
      <c r="D315" s="438" t="s">
        <v>3951</v>
      </c>
      <c r="E315" s="438" t="s">
        <v>2560</v>
      </c>
      <c r="F315" s="438" t="s">
        <v>2554</v>
      </c>
      <c r="G315" s="438" t="s">
        <v>2622</v>
      </c>
      <c r="H315" s="438" t="s">
        <v>2978</v>
      </c>
      <c r="I315" s="438" t="s">
        <v>2623</v>
      </c>
      <c r="J315" s="438" t="s">
        <v>2623</v>
      </c>
      <c r="K315" s="438" t="s">
        <v>2621</v>
      </c>
      <c r="L315" s="438" t="s">
        <v>2557</v>
      </c>
      <c r="M315" s="456">
        <v>5351</v>
      </c>
      <c r="N315" s="456"/>
      <c r="O315" s="456"/>
      <c r="P315" s="456">
        <v>5349.915</v>
      </c>
    </row>
    <row r="316" spans="1:16" hidden="1" x14ac:dyDescent="0.5">
      <c r="A316" s="438">
        <v>21</v>
      </c>
      <c r="B316" s="438" t="s">
        <v>3575</v>
      </c>
      <c r="C316" s="438" t="s">
        <v>3547</v>
      </c>
      <c r="D316" s="438" t="s">
        <v>3952</v>
      </c>
      <c r="E316" s="438" t="s">
        <v>2560</v>
      </c>
      <c r="F316" s="438" t="s">
        <v>2554</v>
      </c>
      <c r="G316" s="438" t="s">
        <v>2624</v>
      </c>
      <c r="H316" s="438" t="s">
        <v>2716</v>
      </c>
      <c r="I316" s="438" t="s">
        <v>2623</v>
      </c>
      <c r="J316" s="438" t="s">
        <v>2623</v>
      </c>
      <c r="K316" s="438" t="s">
        <v>2621</v>
      </c>
      <c r="L316" s="438" t="s">
        <v>2557</v>
      </c>
      <c r="M316" s="456">
        <v>6215</v>
      </c>
      <c r="N316" s="456"/>
      <c r="O316" s="456"/>
      <c r="P316" s="456">
        <v>6211.2190000000001</v>
      </c>
    </row>
    <row r="317" spans="1:16" hidden="1" x14ac:dyDescent="0.5">
      <c r="A317" s="438">
        <v>22</v>
      </c>
      <c r="B317" s="438" t="s">
        <v>3583</v>
      </c>
      <c r="C317" s="438" t="s">
        <v>3588</v>
      </c>
      <c r="D317" s="438" t="s">
        <v>3953</v>
      </c>
      <c r="E317" s="438" t="s">
        <v>2560</v>
      </c>
      <c r="F317" s="438" t="s">
        <v>2554</v>
      </c>
      <c r="G317" s="438" t="s">
        <v>2620</v>
      </c>
      <c r="H317" s="438" t="s">
        <v>2749</v>
      </c>
      <c r="I317" s="438" t="s">
        <v>2563</v>
      </c>
      <c r="J317" s="438" t="s">
        <v>2576</v>
      </c>
      <c r="K317" s="438" t="s">
        <v>2621</v>
      </c>
      <c r="L317" s="438" t="s">
        <v>2557</v>
      </c>
      <c r="M317" s="456">
        <v>2580</v>
      </c>
      <c r="N317" s="456"/>
      <c r="O317" s="456"/>
      <c r="P317" s="456">
        <v>2580.2620000000002</v>
      </c>
    </row>
    <row r="318" spans="1:16" hidden="1" x14ac:dyDescent="0.5">
      <c r="A318" s="438">
        <v>23</v>
      </c>
      <c r="B318" s="438" t="s">
        <v>3583</v>
      </c>
      <c r="C318" s="438" t="s">
        <v>3588</v>
      </c>
      <c r="D318" s="438" t="s">
        <v>3954</v>
      </c>
      <c r="E318" s="438" t="s">
        <v>2560</v>
      </c>
      <c r="F318" s="438" t="s">
        <v>2554</v>
      </c>
      <c r="G318" s="438" t="s">
        <v>2622</v>
      </c>
      <c r="H318" s="438" t="s">
        <v>3501</v>
      </c>
      <c r="I318" s="438" t="s">
        <v>2623</v>
      </c>
      <c r="J318" s="438" t="s">
        <v>2623</v>
      </c>
      <c r="K318" s="438" t="s">
        <v>2621</v>
      </c>
      <c r="L318" s="438" t="s">
        <v>2557</v>
      </c>
      <c r="M318" s="456">
        <v>4696</v>
      </c>
      <c r="N318" s="456"/>
      <c r="O318" s="456"/>
      <c r="P318" s="456">
        <v>4696.4759999999997</v>
      </c>
    </row>
    <row r="319" spans="1:16" hidden="1" x14ac:dyDescent="0.5">
      <c r="A319" s="438">
        <v>24</v>
      </c>
      <c r="B319" s="438" t="s">
        <v>3583</v>
      </c>
      <c r="C319" s="438" t="s">
        <v>3588</v>
      </c>
      <c r="D319" s="438" t="s">
        <v>3955</v>
      </c>
      <c r="E319" s="438" t="s">
        <v>2637</v>
      </c>
      <c r="F319" s="438" t="s">
        <v>2554</v>
      </c>
      <c r="G319" s="438" t="s">
        <v>3414</v>
      </c>
      <c r="H319" s="438" t="s">
        <v>3956</v>
      </c>
      <c r="I319" s="438" t="s">
        <v>2628</v>
      </c>
      <c r="J319" s="438" t="s">
        <v>2628</v>
      </c>
      <c r="K319" s="438" t="s">
        <v>2621</v>
      </c>
      <c r="L319" s="438" t="s">
        <v>2557</v>
      </c>
      <c r="M319" s="456">
        <v>1285</v>
      </c>
      <c r="N319" s="456"/>
      <c r="O319" s="456"/>
      <c r="P319" s="456">
        <v>1284.479</v>
      </c>
    </row>
    <row r="320" spans="1:16" hidden="1" x14ac:dyDescent="0.5">
      <c r="A320" s="438">
        <v>25</v>
      </c>
      <c r="B320" s="438" t="s">
        <v>3583</v>
      </c>
      <c r="C320" s="438" t="s">
        <v>3588</v>
      </c>
      <c r="D320" s="438" t="s">
        <v>3957</v>
      </c>
      <c r="E320" s="438" t="s">
        <v>2560</v>
      </c>
      <c r="F320" s="438" t="s">
        <v>2554</v>
      </c>
      <c r="G320" s="438" t="s">
        <v>3958</v>
      </c>
      <c r="H320" s="438" t="s">
        <v>3959</v>
      </c>
      <c r="I320" s="438" t="s">
        <v>2576</v>
      </c>
      <c r="J320" s="438" t="s">
        <v>2576</v>
      </c>
      <c r="K320" s="438" t="s">
        <v>2621</v>
      </c>
      <c r="L320" s="438" t="s">
        <v>2557</v>
      </c>
      <c r="M320" s="456">
        <v>640</v>
      </c>
      <c r="N320" s="456"/>
      <c r="O320" s="456"/>
      <c r="P320" s="456">
        <v>639.74099999999999</v>
      </c>
    </row>
    <row r="321" spans="1:16" hidden="1" x14ac:dyDescent="0.5">
      <c r="A321" s="438">
        <v>26</v>
      </c>
      <c r="B321" s="438" t="s">
        <v>3583</v>
      </c>
      <c r="C321" s="438" t="s">
        <v>3588</v>
      </c>
      <c r="D321" s="438" t="s">
        <v>3960</v>
      </c>
      <c r="E321" s="438" t="s">
        <v>2560</v>
      </c>
      <c r="F321" s="438" t="s">
        <v>2554</v>
      </c>
      <c r="G321" s="438" t="s">
        <v>2624</v>
      </c>
      <c r="H321" s="438" t="s">
        <v>2978</v>
      </c>
      <c r="I321" s="438" t="s">
        <v>2623</v>
      </c>
      <c r="J321" s="438" t="s">
        <v>2623</v>
      </c>
      <c r="K321" s="438" t="s">
        <v>2621</v>
      </c>
      <c r="L321" s="438" t="s">
        <v>2557</v>
      </c>
      <c r="M321" s="456">
        <v>6425</v>
      </c>
      <c r="N321" s="456"/>
      <c r="O321" s="456"/>
      <c r="P321" s="456">
        <v>6422.3950000000004</v>
      </c>
    </row>
    <row r="322" spans="1:16" hidden="1" x14ac:dyDescent="0.5">
      <c r="A322" s="438">
        <v>27</v>
      </c>
      <c r="B322" s="438" t="s">
        <v>3583</v>
      </c>
      <c r="C322" s="438" t="s">
        <v>3588</v>
      </c>
      <c r="D322" s="438" t="s">
        <v>3961</v>
      </c>
      <c r="E322" s="438" t="s">
        <v>2891</v>
      </c>
      <c r="F322" s="438" t="s">
        <v>2554</v>
      </c>
      <c r="G322" s="438" t="s">
        <v>2631</v>
      </c>
      <c r="H322" s="438" t="s">
        <v>2890</v>
      </c>
      <c r="I322" s="438" t="s">
        <v>2889</v>
      </c>
      <c r="J322" s="438" t="s">
        <v>2715</v>
      </c>
      <c r="K322" s="438" t="s">
        <v>2621</v>
      </c>
      <c r="L322" s="438" t="s">
        <v>2557</v>
      </c>
      <c r="M322" s="456">
        <v>557</v>
      </c>
      <c r="N322" s="456"/>
      <c r="O322" s="456"/>
      <c r="P322" s="456">
        <v>557</v>
      </c>
    </row>
    <row r="323" spans="1:16" hidden="1" x14ac:dyDescent="0.5">
      <c r="A323" s="438">
        <v>28</v>
      </c>
      <c r="B323" s="438" t="s">
        <v>3595</v>
      </c>
      <c r="C323" s="438" t="s">
        <v>3588</v>
      </c>
      <c r="D323" s="438" t="s">
        <v>3962</v>
      </c>
      <c r="E323" s="438" t="s">
        <v>2560</v>
      </c>
      <c r="F323" s="438" t="s">
        <v>2554</v>
      </c>
      <c r="G323" s="438" t="s">
        <v>2620</v>
      </c>
      <c r="H323" s="438" t="s">
        <v>2749</v>
      </c>
      <c r="I323" s="438" t="s">
        <v>2563</v>
      </c>
      <c r="J323" s="438" t="s">
        <v>2576</v>
      </c>
      <c r="K323" s="438" t="s">
        <v>2621</v>
      </c>
      <c r="L323" s="438" t="s">
        <v>2557</v>
      </c>
      <c r="M323" s="456">
        <v>1021</v>
      </c>
      <c r="N323" s="456"/>
      <c r="O323" s="456"/>
      <c r="P323" s="456">
        <v>1022.346</v>
      </c>
    </row>
    <row r="324" spans="1:16" hidden="1" x14ac:dyDescent="0.5">
      <c r="A324" s="438">
        <v>29</v>
      </c>
      <c r="B324" s="438" t="s">
        <v>3595</v>
      </c>
      <c r="C324" s="438" t="s">
        <v>3588</v>
      </c>
      <c r="D324" s="438" t="s">
        <v>3963</v>
      </c>
      <c r="E324" s="438" t="s">
        <v>2560</v>
      </c>
      <c r="F324" s="438" t="s">
        <v>2554</v>
      </c>
      <c r="G324" s="438" t="s">
        <v>2622</v>
      </c>
      <c r="H324" s="438" t="s">
        <v>2716</v>
      </c>
      <c r="I324" s="438" t="s">
        <v>2623</v>
      </c>
      <c r="J324" s="438" t="s">
        <v>2623</v>
      </c>
      <c r="K324" s="438" t="s">
        <v>2621</v>
      </c>
      <c r="L324" s="438" t="s">
        <v>2557</v>
      </c>
      <c r="M324" s="456">
        <v>4282</v>
      </c>
      <c r="N324" s="456"/>
      <c r="O324" s="456"/>
      <c r="P324" s="456">
        <v>4287.6450000000004</v>
      </c>
    </row>
    <row r="325" spans="1:16" hidden="1" x14ac:dyDescent="0.5">
      <c r="A325" s="438">
        <v>30</v>
      </c>
      <c r="B325" s="438" t="s">
        <v>3595</v>
      </c>
      <c r="C325" s="438" t="s">
        <v>3588</v>
      </c>
      <c r="D325" s="438" t="s">
        <v>3964</v>
      </c>
      <c r="E325" s="438" t="s">
        <v>2625</v>
      </c>
      <c r="F325" s="438" t="s">
        <v>2554</v>
      </c>
      <c r="G325" s="438" t="s">
        <v>2633</v>
      </c>
      <c r="H325" s="438" t="s">
        <v>2627</v>
      </c>
      <c r="I325" s="438" t="s">
        <v>2628</v>
      </c>
      <c r="J325" s="438" t="s">
        <v>2628</v>
      </c>
      <c r="K325" s="438" t="s">
        <v>2621</v>
      </c>
      <c r="L325" s="438" t="s">
        <v>2557</v>
      </c>
      <c r="M325" s="456">
        <v>1257</v>
      </c>
      <c r="N325" s="456"/>
      <c r="O325" s="456"/>
      <c r="P325" s="456">
        <v>1258.6569999999999</v>
      </c>
    </row>
    <row r="326" spans="1:16" hidden="1" x14ac:dyDescent="0.5">
      <c r="A326" s="438">
        <v>31</v>
      </c>
      <c r="B326" s="438" t="s">
        <v>3595</v>
      </c>
      <c r="C326" s="438" t="s">
        <v>3588</v>
      </c>
      <c r="D326" s="438" t="s">
        <v>3965</v>
      </c>
      <c r="E326" s="438" t="s">
        <v>2637</v>
      </c>
      <c r="F326" s="438" t="s">
        <v>2554</v>
      </c>
      <c r="G326" s="438" t="s">
        <v>3414</v>
      </c>
      <c r="H326" s="438" t="s">
        <v>3966</v>
      </c>
      <c r="I326" s="438" t="s">
        <v>2628</v>
      </c>
      <c r="J326" s="438" t="s">
        <v>2628</v>
      </c>
      <c r="K326" s="438" t="s">
        <v>2621</v>
      </c>
      <c r="L326" s="438" t="s">
        <v>2557</v>
      </c>
      <c r="M326" s="456">
        <v>1138</v>
      </c>
      <c r="N326" s="456"/>
      <c r="O326" s="456"/>
      <c r="P326" s="456">
        <v>1137.654</v>
      </c>
    </row>
    <row r="327" spans="1:16" hidden="1" x14ac:dyDescent="0.5">
      <c r="A327" s="438">
        <v>32</v>
      </c>
      <c r="B327" s="438" t="s">
        <v>3595</v>
      </c>
      <c r="C327" s="438" t="s">
        <v>3588</v>
      </c>
      <c r="D327" s="438" t="s">
        <v>3967</v>
      </c>
      <c r="E327" s="438" t="s">
        <v>2625</v>
      </c>
      <c r="F327" s="438" t="s">
        <v>2554</v>
      </c>
      <c r="G327" s="438" t="s">
        <v>2626</v>
      </c>
      <c r="H327" s="438" t="s">
        <v>3968</v>
      </c>
      <c r="I327" s="438" t="s">
        <v>2628</v>
      </c>
      <c r="J327" s="438" t="s">
        <v>2628</v>
      </c>
      <c r="K327" s="438" t="s">
        <v>2621</v>
      </c>
      <c r="L327" s="438" t="s">
        <v>2557</v>
      </c>
      <c r="M327" s="456">
        <v>4418</v>
      </c>
      <c r="N327" s="456"/>
      <c r="O327" s="456"/>
      <c r="P327" s="456">
        <v>4416.6559999999999</v>
      </c>
    </row>
    <row r="328" spans="1:16" hidden="1" x14ac:dyDescent="0.5">
      <c r="A328" s="438">
        <v>33</v>
      </c>
      <c r="B328" s="438" t="s">
        <v>3595</v>
      </c>
      <c r="C328" s="438" t="s">
        <v>3588</v>
      </c>
      <c r="D328" s="438" t="s">
        <v>3969</v>
      </c>
      <c r="E328" s="438" t="s">
        <v>3032</v>
      </c>
      <c r="F328" s="438" t="s">
        <v>2559</v>
      </c>
      <c r="G328" s="438" t="s">
        <v>3970</v>
      </c>
      <c r="H328" s="438" t="s">
        <v>3476</v>
      </c>
      <c r="I328" s="438" t="s">
        <v>2577</v>
      </c>
      <c r="J328" s="438" t="s">
        <v>2576</v>
      </c>
      <c r="K328" s="438" t="s">
        <v>2621</v>
      </c>
      <c r="L328" s="438" t="s">
        <v>2557</v>
      </c>
      <c r="M328" s="456">
        <v>3148</v>
      </c>
      <c r="N328" s="456"/>
      <c r="O328" s="456"/>
      <c r="P328" s="456">
        <v>3147.0419999999999</v>
      </c>
    </row>
    <row r="329" spans="1:16" hidden="1" x14ac:dyDescent="0.5">
      <c r="A329" s="438">
        <v>34</v>
      </c>
      <c r="B329" s="438" t="s">
        <v>3595</v>
      </c>
      <c r="C329" s="438" t="s">
        <v>3588</v>
      </c>
      <c r="D329" s="438" t="s">
        <v>3971</v>
      </c>
      <c r="E329" s="438" t="s">
        <v>2560</v>
      </c>
      <c r="F329" s="438" t="s">
        <v>2554</v>
      </c>
      <c r="G329" s="438" t="s">
        <v>2624</v>
      </c>
      <c r="H329" s="438" t="s">
        <v>2981</v>
      </c>
      <c r="I329" s="438" t="s">
        <v>2623</v>
      </c>
      <c r="J329" s="438" t="s">
        <v>2623</v>
      </c>
      <c r="K329" s="438" t="s">
        <v>2621</v>
      </c>
      <c r="L329" s="438" t="s">
        <v>2557</v>
      </c>
      <c r="M329" s="456">
        <v>6004</v>
      </c>
      <c r="N329" s="456"/>
      <c r="O329" s="456"/>
      <c r="P329" s="456">
        <v>6002.174</v>
      </c>
    </row>
    <row r="330" spans="1:16" hidden="1" x14ac:dyDescent="0.5">
      <c r="A330" s="438">
        <v>35</v>
      </c>
      <c r="B330" s="438" t="s">
        <v>3602</v>
      </c>
      <c r="C330" s="438" t="s">
        <v>3588</v>
      </c>
      <c r="D330" s="438" t="s">
        <v>3972</v>
      </c>
      <c r="E330" s="438" t="s">
        <v>2560</v>
      </c>
      <c r="F330" s="438" t="s">
        <v>2554</v>
      </c>
      <c r="G330" s="438" t="s">
        <v>2620</v>
      </c>
      <c r="H330" s="438" t="s">
        <v>2749</v>
      </c>
      <c r="I330" s="438" t="s">
        <v>2563</v>
      </c>
      <c r="J330" s="438" t="s">
        <v>2576</v>
      </c>
      <c r="K330" s="438" t="s">
        <v>2621</v>
      </c>
      <c r="L330" s="438" t="s">
        <v>2557</v>
      </c>
      <c r="M330" s="456">
        <v>1885</v>
      </c>
      <c r="N330" s="456"/>
      <c r="O330" s="456"/>
      <c r="P330" s="456">
        <v>1884.4269999999999</v>
      </c>
    </row>
    <row r="331" spans="1:16" hidden="1" x14ac:dyDescent="0.5">
      <c r="A331" s="438">
        <v>36</v>
      </c>
      <c r="B331" s="438" t="s">
        <v>3602</v>
      </c>
      <c r="C331" s="438" t="s">
        <v>3588</v>
      </c>
      <c r="D331" s="438" t="s">
        <v>3973</v>
      </c>
      <c r="E331" s="438" t="s">
        <v>2560</v>
      </c>
      <c r="F331" s="438" t="s">
        <v>2554</v>
      </c>
      <c r="G331" s="438" t="s">
        <v>2620</v>
      </c>
      <c r="H331" s="438" t="s">
        <v>2749</v>
      </c>
      <c r="I331" s="438" t="s">
        <v>2563</v>
      </c>
      <c r="J331" s="438" t="s">
        <v>2576</v>
      </c>
      <c r="K331" s="438" t="s">
        <v>2621</v>
      </c>
      <c r="L331" s="438" t="s">
        <v>2557</v>
      </c>
      <c r="M331" s="456">
        <v>786</v>
      </c>
      <c r="N331" s="456"/>
      <c r="O331" s="456"/>
      <c r="P331" s="456">
        <v>785.76099999999997</v>
      </c>
    </row>
    <row r="332" spans="1:16" hidden="1" x14ac:dyDescent="0.5">
      <c r="A332" s="438">
        <v>37</v>
      </c>
      <c r="B332" s="438" t="s">
        <v>3602</v>
      </c>
      <c r="C332" s="438" t="s">
        <v>3588</v>
      </c>
      <c r="D332" s="438" t="s">
        <v>3974</v>
      </c>
      <c r="E332" s="438" t="s">
        <v>2625</v>
      </c>
      <c r="F332" s="438" t="s">
        <v>2554</v>
      </c>
      <c r="G332" s="438" t="s">
        <v>3950</v>
      </c>
      <c r="H332" s="438" t="s">
        <v>3012</v>
      </c>
      <c r="I332" s="438" t="s">
        <v>2628</v>
      </c>
      <c r="J332" s="438" t="s">
        <v>2628</v>
      </c>
      <c r="K332" s="438" t="s">
        <v>2621</v>
      </c>
      <c r="L332" s="438" t="s">
        <v>2557</v>
      </c>
      <c r="M332" s="456">
        <v>713</v>
      </c>
      <c r="N332" s="456"/>
      <c r="O332" s="456"/>
      <c r="P332" s="456">
        <v>712.78300000000002</v>
      </c>
    </row>
    <row r="333" spans="1:16" hidden="1" x14ac:dyDescent="0.5">
      <c r="A333" s="438">
        <v>38</v>
      </c>
      <c r="B333" s="438" t="s">
        <v>3602</v>
      </c>
      <c r="C333" s="438" t="s">
        <v>3588</v>
      </c>
      <c r="D333" s="438" t="s">
        <v>3975</v>
      </c>
      <c r="E333" s="438" t="s">
        <v>2560</v>
      </c>
      <c r="F333" s="438" t="s">
        <v>2554</v>
      </c>
      <c r="G333" s="438" t="s">
        <v>2622</v>
      </c>
      <c r="H333" s="438" t="s">
        <v>3344</v>
      </c>
      <c r="I333" s="438" t="s">
        <v>2623</v>
      </c>
      <c r="J333" s="438" t="s">
        <v>2623</v>
      </c>
      <c r="K333" s="438" t="s">
        <v>2621</v>
      </c>
      <c r="L333" s="438" t="s">
        <v>2557</v>
      </c>
      <c r="M333" s="456">
        <v>4348</v>
      </c>
      <c r="N333" s="456"/>
      <c r="O333" s="456"/>
      <c r="P333" s="456">
        <v>4346.6779999999999</v>
      </c>
    </row>
    <row r="334" spans="1:16" hidden="1" x14ac:dyDescent="0.5">
      <c r="A334" s="438">
        <v>39</v>
      </c>
      <c r="B334" s="438" t="s">
        <v>3602</v>
      </c>
      <c r="C334" s="438" t="s">
        <v>3588</v>
      </c>
      <c r="D334" s="438" t="s">
        <v>3976</v>
      </c>
      <c r="E334" s="438" t="s">
        <v>2625</v>
      </c>
      <c r="F334" s="438" t="s">
        <v>2554</v>
      </c>
      <c r="G334" s="438" t="s">
        <v>2626</v>
      </c>
      <c r="H334" s="438" t="s">
        <v>3502</v>
      </c>
      <c r="I334" s="438" t="s">
        <v>2628</v>
      </c>
      <c r="J334" s="438" t="s">
        <v>2628</v>
      </c>
      <c r="K334" s="438" t="s">
        <v>2621</v>
      </c>
      <c r="L334" s="438" t="s">
        <v>2557</v>
      </c>
      <c r="M334" s="456">
        <v>863</v>
      </c>
      <c r="N334" s="456"/>
      <c r="O334" s="456"/>
      <c r="P334" s="456">
        <v>862.65</v>
      </c>
    </row>
    <row r="335" spans="1:16" hidden="1" x14ac:dyDescent="0.5">
      <c r="A335" s="438">
        <v>40</v>
      </c>
      <c r="B335" s="438" t="s">
        <v>3602</v>
      </c>
      <c r="C335" s="438" t="s">
        <v>3588</v>
      </c>
      <c r="D335" s="438" t="s">
        <v>3977</v>
      </c>
      <c r="E335" s="438" t="s">
        <v>2560</v>
      </c>
      <c r="F335" s="438" t="s">
        <v>2554</v>
      </c>
      <c r="G335" s="438" t="s">
        <v>2624</v>
      </c>
      <c r="H335" s="438" t="s">
        <v>2978</v>
      </c>
      <c r="I335" s="438" t="s">
        <v>2623</v>
      </c>
      <c r="J335" s="438" t="s">
        <v>2623</v>
      </c>
      <c r="K335" s="438" t="s">
        <v>2621</v>
      </c>
      <c r="L335" s="438" t="s">
        <v>2557</v>
      </c>
      <c r="M335" s="456">
        <v>5862</v>
      </c>
      <c r="N335" s="456"/>
      <c r="O335" s="456"/>
      <c r="P335" s="456">
        <v>5859.6229999999996</v>
      </c>
    </row>
    <row r="336" spans="1:16" hidden="1" x14ac:dyDescent="0.5">
      <c r="A336" s="438">
        <v>41</v>
      </c>
      <c r="B336" s="438" t="s">
        <v>3616</v>
      </c>
      <c r="C336" s="438" t="s">
        <v>3588</v>
      </c>
      <c r="D336" s="438" t="s">
        <v>3978</v>
      </c>
      <c r="E336" s="438" t="s">
        <v>2560</v>
      </c>
      <c r="F336" s="438" t="s">
        <v>2554</v>
      </c>
      <c r="G336" s="438" t="s">
        <v>2620</v>
      </c>
      <c r="H336" s="438" t="s">
        <v>2749</v>
      </c>
      <c r="I336" s="438" t="s">
        <v>2563</v>
      </c>
      <c r="J336" s="438" t="s">
        <v>2576</v>
      </c>
      <c r="K336" s="438" t="s">
        <v>2621</v>
      </c>
      <c r="L336" s="438" t="s">
        <v>2557</v>
      </c>
      <c r="M336" s="456">
        <v>1115</v>
      </c>
      <c r="N336" s="456"/>
      <c r="O336" s="456"/>
      <c r="P336" s="456">
        <v>1115.1130000000001</v>
      </c>
    </row>
    <row r="337" spans="1:16" hidden="1" x14ac:dyDescent="0.5">
      <c r="A337" s="438">
        <v>42</v>
      </c>
      <c r="B337" s="438" t="s">
        <v>3616</v>
      </c>
      <c r="C337" s="438" t="s">
        <v>3588</v>
      </c>
      <c r="D337" s="438" t="s">
        <v>3979</v>
      </c>
      <c r="E337" s="438" t="s">
        <v>2560</v>
      </c>
      <c r="F337" s="438" t="s">
        <v>2554</v>
      </c>
      <c r="G337" s="438" t="s">
        <v>2622</v>
      </c>
      <c r="H337" s="438" t="s">
        <v>2978</v>
      </c>
      <c r="I337" s="438" t="s">
        <v>2623</v>
      </c>
      <c r="J337" s="438" t="s">
        <v>2623</v>
      </c>
      <c r="K337" s="438" t="s">
        <v>2621</v>
      </c>
      <c r="L337" s="438" t="s">
        <v>2557</v>
      </c>
      <c r="M337" s="456">
        <v>3646</v>
      </c>
      <c r="N337" s="456"/>
      <c r="O337" s="456"/>
      <c r="P337" s="456">
        <v>3646.37</v>
      </c>
    </row>
    <row r="338" spans="1:16" hidden="1" x14ac:dyDescent="0.5">
      <c r="A338" s="438">
        <v>43</v>
      </c>
      <c r="B338" s="438" t="s">
        <v>3616</v>
      </c>
      <c r="C338" s="438" t="s">
        <v>3588</v>
      </c>
      <c r="D338" s="438" t="s">
        <v>3980</v>
      </c>
      <c r="E338" s="438" t="s">
        <v>2560</v>
      </c>
      <c r="F338" s="438" t="s">
        <v>2554</v>
      </c>
      <c r="G338" s="438" t="s">
        <v>2624</v>
      </c>
      <c r="H338" s="438" t="s">
        <v>2981</v>
      </c>
      <c r="I338" s="438" t="s">
        <v>2623</v>
      </c>
      <c r="J338" s="438" t="s">
        <v>2623</v>
      </c>
      <c r="K338" s="438" t="s">
        <v>2621</v>
      </c>
      <c r="L338" s="438" t="s">
        <v>2557</v>
      </c>
      <c r="M338" s="456">
        <v>6365</v>
      </c>
      <c r="N338" s="456"/>
      <c r="O338" s="456"/>
      <c r="P338" s="456">
        <v>6361.7740000000003</v>
      </c>
    </row>
    <row r="339" spans="1:16" hidden="1" x14ac:dyDescent="0.5">
      <c r="A339" s="438">
        <v>44</v>
      </c>
      <c r="B339" s="438" t="s">
        <v>3626</v>
      </c>
      <c r="C339" s="438" t="s">
        <v>3624</v>
      </c>
      <c r="D339" s="438" t="s">
        <v>3981</v>
      </c>
      <c r="E339" s="438" t="s">
        <v>2560</v>
      </c>
      <c r="F339" s="438" t="s">
        <v>2554</v>
      </c>
      <c r="G339" s="438" t="s">
        <v>2620</v>
      </c>
      <c r="H339" s="438" t="s">
        <v>2749</v>
      </c>
      <c r="I339" s="438" t="s">
        <v>2563</v>
      </c>
      <c r="J339" s="438" t="s">
        <v>2576</v>
      </c>
      <c r="K339" s="438" t="s">
        <v>2621</v>
      </c>
      <c r="L339" s="438" t="s">
        <v>2557</v>
      </c>
      <c r="M339" s="456">
        <v>1642</v>
      </c>
      <c r="N339" s="456"/>
      <c r="O339" s="456"/>
      <c r="P339" s="456">
        <v>1641.001</v>
      </c>
    </row>
    <row r="340" spans="1:16" hidden="1" x14ac:dyDescent="0.5">
      <c r="A340" s="438">
        <v>45</v>
      </c>
      <c r="B340" s="438" t="s">
        <v>3626</v>
      </c>
      <c r="C340" s="438" t="s">
        <v>3624</v>
      </c>
      <c r="D340" s="438" t="s">
        <v>3982</v>
      </c>
      <c r="E340" s="438" t="s">
        <v>2560</v>
      </c>
      <c r="F340" s="438" t="s">
        <v>2554</v>
      </c>
      <c r="G340" s="438" t="s">
        <v>2622</v>
      </c>
      <c r="H340" s="438" t="s">
        <v>3344</v>
      </c>
      <c r="I340" s="438" t="s">
        <v>2623</v>
      </c>
      <c r="J340" s="438" t="s">
        <v>2623</v>
      </c>
      <c r="K340" s="438" t="s">
        <v>2621</v>
      </c>
      <c r="L340" s="438" t="s">
        <v>2557</v>
      </c>
      <c r="M340" s="456">
        <v>4962</v>
      </c>
      <c r="N340" s="456"/>
      <c r="O340" s="456"/>
      <c r="P340" s="456">
        <v>4958.9809999999998</v>
      </c>
    </row>
    <row r="341" spans="1:16" hidden="1" x14ac:dyDescent="0.5">
      <c r="A341" s="438">
        <v>46</v>
      </c>
      <c r="B341" s="438" t="s">
        <v>3626</v>
      </c>
      <c r="C341" s="438" t="s">
        <v>3624</v>
      </c>
      <c r="D341" s="438" t="s">
        <v>3983</v>
      </c>
      <c r="E341" s="438" t="s">
        <v>2625</v>
      </c>
      <c r="F341" s="438" t="s">
        <v>2554</v>
      </c>
      <c r="G341" s="438" t="s">
        <v>2626</v>
      </c>
      <c r="H341" s="438" t="s">
        <v>2627</v>
      </c>
      <c r="I341" s="438" t="s">
        <v>2628</v>
      </c>
      <c r="J341" s="438" t="s">
        <v>2628</v>
      </c>
      <c r="K341" s="438" t="s">
        <v>2621</v>
      </c>
      <c r="L341" s="438" t="s">
        <v>2557</v>
      </c>
      <c r="M341" s="456">
        <v>869</v>
      </c>
      <c r="N341" s="456"/>
      <c r="O341" s="456"/>
      <c r="P341" s="456">
        <v>868.38300000000004</v>
      </c>
    </row>
    <row r="342" spans="1:16" hidden="1" x14ac:dyDescent="0.5">
      <c r="A342" s="438">
        <v>47</v>
      </c>
      <c r="B342" s="438" t="s">
        <v>3626</v>
      </c>
      <c r="C342" s="438" t="s">
        <v>3624</v>
      </c>
      <c r="D342" s="438" t="s">
        <v>3984</v>
      </c>
      <c r="E342" s="438" t="s">
        <v>2560</v>
      </c>
      <c r="F342" s="438" t="s">
        <v>2554</v>
      </c>
      <c r="G342" s="438" t="s">
        <v>2624</v>
      </c>
      <c r="H342" s="438" t="s">
        <v>3985</v>
      </c>
      <c r="I342" s="438" t="s">
        <v>2623</v>
      </c>
      <c r="J342" s="438" t="s">
        <v>2623</v>
      </c>
      <c r="K342" s="438" t="s">
        <v>2621</v>
      </c>
      <c r="L342" s="438" t="s">
        <v>2557</v>
      </c>
      <c r="M342" s="456">
        <v>5975</v>
      </c>
      <c r="N342" s="456"/>
      <c r="O342" s="456"/>
      <c r="P342" s="456">
        <v>5970.759</v>
      </c>
    </row>
    <row r="343" spans="1:16" hidden="1" x14ac:dyDescent="0.5">
      <c r="A343" s="438">
        <v>48</v>
      </c>
      <c r="B343" s="438" t="s">
        <v>3637</v>
      </c>
      <c r="C343" s="438" t="s">
        <v>3624</v>
      </c>
      <c r="D343" s="438" t="s">
        <v>3986</v>
      </c>
      <c r="E343" s="438" t="s">
        <v>2560</v>
      </c>
      <c r="F343" s="438" t="s">
        <v>2554</v>
      </c>
      <c r="G343" s="438" t="s">
        <v>2620</v>
      </c>
      <c r="H343" s="438" t="s">
        <v>2749</v>
      </c>
      <c r="I343" s="438" t="s">
        <v>2563</v>
      </c>
      <c r="J343" s="438" t="s">
        <v>2576</v>
      </c>
      <c r="K343" s="438" t="s">
        <v>2621</v>
      </c>
      <c r="L343" s="438" t="s">
        <v>2557</v>
      </c>
      <c r="M343" s="456">
        <v>1718</v>
      </c>
      <c r="N343" s="456"/>
      <c r="O343" s="456"/>
      <c r="P343" s="456">
        <v>1718.5229999999999</v>
      </c>
    </row>
    <row r="344" spans="1:16" hidden="1" x14ac:dyDescent="0.5">
      <c r="A344" s="438">
        <v>49</v>
      </c>
      <c r="B344" s="438" t="s">
        <v>3637</v>
      </c>
      <c r="C344" s="438" t="s">
        <v>3624</v>
      </c>
      <c r="D344" s="438" t="s">
        <v>3987</v>
      </c>
      <c r="E344" s="438" t="s">
        <v>2560</v>
      </c>
      <c r="F344" s="438" t="s">
        <v>2554</v>
      </c>
      <c r="G344" s="438" t="s">
        <v>2622</v>
      </c>
      <c r="H344" s="438" t="s">
        <v>2981</v>
      </c>
      <c r="I344" s="438" t="s">
        <v>2623</v>
      </c>
      <c r="J344" s="438" t="s">
        <v>2623</v>
      </c>
      <c r="K344" s="438" t="s">
        <v>2621</v>
      </c>
      <c r="L344" s="438" t="s">
        <v>2557</v>
      </c>
      <c r="M344" s="456">
        <v>3894</v>
      </c>
      <c r="N344" s="456"/>
      <c r="O344" s="456"/>
      <c r="P344" s="456">
        <v>3895.1840000000002</v>
      </c>
    </row>
    <row r="345" spans="1:16" hidden="1" x14ac:dyDescent="0.5">
      <c r="A345" s="438">
        <v>50</v>
      </c>
      <c r="B345" s="438" t="s">
        <v>3637</v>
      </c>
      <c r="C345" s="438" t="s">
        <v>3624</v>
      </c>
      <c r="D345" s="438" t="s">
        <v>3988</v>
      </c>
      <c r="E345" s="438" t="s">
        <v>2625</v>
      </c>
      <c r="F345" s="438" t="s">
        <v>2554</v>
      </c>
      <c r="G345" s="438" t="s">
        <v>2626</v>
      </c>
      <c r="H345" s="438" t="s">
        <v>2639</v>
      </c>
      <c r="I345" s="438" t="s">
        <v>2628</v>
      </c>
      <c r="J345" s="438" t="s">
        <v>2628</v>
      </c>
      <c r="K345" s="438" t="s">
        <v>2621</v>
      </c>
      <c r="L345" s="438" t="s">
        <v>2557</v>
      </c>
      <c r="M345" s="456">
        <v>375</v>
      </c>
      <c r="N345" s="456"/>
      <c r="O345" s="456"/>
      <c r="P345" s="456">
        <v>374.81</v>
      </c>
    </row>
    <row r="346" spans="1:16" hidden="1" x14ac:dyDescent="0.5">
      <c r="A346" s="438">
        <v>51</v>
      </c>
      <c r="B346" s="438" t="s">
        <v>3637</v>
      </c>
      <c r="C346" s="438" t="s">
        <v>3624</v>
      </c>
      <c r="D346" s="438" t="s">
        <v>3989</v>
      </c>
      <c r="E346" s="438" t="s">
        <v>2560</v>
      </c>
      <c r="F346" s="438" t="s">
        <v>2554</v>
      </c>
      <c r="G346" s="438" t="s">
        <v>2624</v>
      </c>
      <c r="H346" s="438" t="s">
        <v>3344</v>
      </c>
      <c r="I346" s="438" t="s">
        <v>2623</v>
      </c>
      <c r="J346" s="438" t="s">
        <v>2623</v>
      </c>
      <c r="K346" s="438" t="s">
        <v>2621</v>
      </c>
      <c r="L346" s="438" t="s">
        <v>2557</v>
      </c>
      <c r="M346" s="456">
        <v>6623</v>
      </c>
      <c r="N346" s="456"/>
      <c r="O346" s="456"/>
      <c r="P346" s="456">
        <v>6619.643</v>
      </c>
    </row>
    <row r="347" spans="1:16" hidden="1" x14ac:dyDescent="0.5">
      <c r="A347" s="438">
        <v>52</v>
      </c>
      <c r="B347" s="438" t="s">
        <v>3648</v>
      </c>
      <c r="C347" s="438" t="s">
        <v>3624</v>
      </c>
      <c r="D347" s="438" t="s">
        <v>3990</v>
      </c>
      <c r="E347" s="438" t="s">
        <v>2560</v>
      </c>
      <c r="F347" s="438" t="s">
        <v>2554</v>
      </c>
      <c r="G347" s="438" t="s">
        <v>2620</v>
      </c>
      <c r="H347" s="438" t="s">
        <v>2749</v>
      </c>
      <c r="I347" s="438" t="s">
        <v>2563</v>
      </c>
      <c r="J347" s="438" t="s">
        <v>2576</v>
      </c>
      <c r="K347" s="438" t="s">
        <v>2621</v>
      </c>
      <c r="L347" s="438" t="s">
        <v>2557</v>
      </c>
      <c r="M347" s="456">
        <v>807</v>
      </c>
      <c r="N347" s="456"/>
      <c r="O347" s="456"/>
      <c r="P347" s="456">
        <v>807.16399999999999</v>
      </c>
    </row>
    <row r="348" spans="1:16" hidden="1" x14ac:dyDescent="0.5">
      <c r="A348" s="438">
        <v>53</v>
      </c>
      <c r="B348" s="438" t="s">
        <v>3648</v>
      </c>
      <c r="C348" s="438" t="s">
        <v>3624</v>
      </c>
      <c r="D348" s="438" t="s">
        <v>3991</v>
      </c>
      <c r="E348" s="438" t="s">
        <v>2560</v>
      </c>
      <c r="F348" s="438" t="s">
        <v>2554</v>
      </c>
      <c r="G348" s="438" t="s">
        <v>2622</v>
      </c>
      <c r="H348" s="438" t="s">
        <v>3985</v>
      </c>
      <c r="I348" s="438" t="s">
        <v>2623</v>
      </c>
      <c r="J348" s="438" t="s">
        <v>2623</v>
      </c>
      <c r="K348" s="438" t="s">
        <v>2621</v>
      </c>
      <c r="L348" s="438" t="s">
        <v>2557</v>
      </c>
      <c r="M348" s="456">
        <v>5034</v>
      </c>
      <c r="N348" s="456"/>
      <c r="O348" s="456"/>
      <c r="P348" s="456">
        <v>5035.0209999999997</v>
      </c>
    </row>
    <row r="349" spans="1:16" hidden="1" x14ac:dyDescent="0.5">
      <c r="A349" s="438">
        <v>54</v>
      </c>
      <c r="B349" s="438" t="s">
        <v>3648</v>
      </c>
      <c r="C349" s="438" t="s">
        <v>3624</v>
      </c>
      <c r="D349" s="438" t="s">
        <v>3992</v>
      </c>
      <c r="E349" s="438" t="s">
        <v>2625</v>
      </c>
      <c r="F349" s="438" t="s">
        <v>2554</v>
      </c>
      <c r="G349" s="438" t="s">
        <v>2626</v>
      </c>
      <c r="H349" s="438" t="s">
        <v>2718</v>
      </c>
      <c r="I349" s="438" t="s">
        <v>2628</v>
      </c>
      <c r="J349" s="438" t="s">
        <v>2628</v>
      </c>
      <c r="K349" s="438" t="s">
        <v>2621</v>
      </c>
      <c r="L349" s="438" t="s">
        <v>2557</v>
      </c>
      <c r="M349" s="456">
        <v>1112</v>
      </c>
      <c r="N349" s="456"/>
      <c r="O349" s="456"/>
      <c r="P349" s="456">
        <v>1111.662</v>
      </c>
    </row>
    <row r="350" spans="1:16" hidden="1" x14ac:dyDescent="0.5">
      <c r="A350" s="438">
        <v>55</v>
      </c>
      <c r="B350" s="438" t="s">
        <v>3648</v>
      </c>
      <c r="C350" s="438" t="s">
        <v>3624</v>
      </c>
      <c r="D350" s="438" t="s">
        <v>3993</v>
      </c>
      <c r="E350" s="438" t="s">
        <v>2560</v>
      </c>
      <c r="F350" s="438" t="s">
        <v>2554</v>
      </c>
      <c r="G350" s="438" t="s">
        <v>2624</v>
      </c>
      <c r="H350" s="438" t="s">
        <v>2981</v>
      </c>
      <c r="I350" s="438" t="s">
        <v>2623</v>
      </c>
      <c r="J350" s="438" t="s">
        <v>2623</v>
      </c>
      <c r="K350" s="438" t="s">
        <v>2621</v>
      </c>
      <c r="L350" s="438" t="s">
        <v>2557</v>
      </c>
      <c r="M350" s="456">
        <v>6328</v>
      </c>
      <c r="N350" s="456"/>
      <c r="O350" s="456"/>
      <c r="P350" s="456">
        <v>6326.076</v>
      </c>
    </row>
    <row r="351" spans="1:16" hidden="1" x14ac:dyDescent="0.5">
      <c r="A351" s="438">
        <v>56</v>
      </c>
      <c r="B351" s="438" t="s">
        <v>3664</v>
      </c>
      <c r="C351" s="438" t="s">
        <v>3624</v>
      </c>
      <c r="D351" s="438" t="s">
        <v>3994</v>
      </c>
      <c r="E351" s="438" t="s">
        <v>2560</v>
      </c>
      <c r="F351" s="438" t="s">
        <v>2554</v>
      </c>
      <c r="G351" s="438" t="s">
        <v>2620</v>
      </c>
      <c r="H351" s="438" t="s">
        <v>2749</v>
      </c>
      <c r="I351" s="438" t="s">
        <v>2562</v>
      </c>
      <c r="J351" s="438" t="s">
        <v>2576</v>
      </c>
      <c r="K351" s="438" t="s">
        <v>2621</v>
      </c>
      <c r="L351" s="438" t="s">
        <v>2557</v>
      </c>
      <c r="M351" s="456">
        <v>2412</v>
      </c>
      <c r="N351" s="456"/>
      <c r="O351" s="456"/>
      <c r="P351" s="456">
        <v>2410.5329999999999</v>
      </c>
    </row>
    <row r="352" spans="1:16" hidden="1" x14ac:dyDescent="0.5">
      <c r="A352" s="438">
        <v>57</v>
      </c>
      <c r="B352" s="438" t="s">
        <v>3664</v>
      </c>
      <c r="C352" s="438" t="s">
        <v>3675</v>
      </c>
      <c r="D352" s="438" t="s">
        <v>3995</v>
      </c>
      <c r="E352" s="438" t="s">
        <v>2560</v>
      </c>
      <c r="F352" s="438" t="s">
        <v>2554</v>
      </c>
      <c r="G352" s="438" t="s">
        <v>2622</v>
      </c>
      <c r="H352" s="438" t="s">
        <v>3344</v>
      </c>
      <c r="I352" s="438" t="s">
        <v>2623</v>
      </c>
      <c r="J352" s="438" t="s">
        <v>2623</v>
      </c>
      <c r="K352" s="438" t="s">
        <v>2621</v>
      </c>
      <c r="L352" s="438" t="s">
        <v>2557</v>
      </c>
      <c r="M352" s="456">
        <v>5263</v>
      </c>
      <c r="N352" s="456"/>
      <c r="O352" s="456"/>
      <c r="P352" s="456">
        <v>5259.799</v>
      </c>
    </row>
    <row r="353" spans="1:16" hidden="1" x14ac:dyDescent="0.5">
      <c r="A353" s="438">
        <v>58</v>
      </c>
      <c r="B353" s="438" t="s">
        <v>3664</v>
      </c>
      <c r="C353" s="438" t="s">
        <v>3675</v>
      </c>
      <c r="D353" s="438" t="s">
        <v>3996</v>
      </c>
      <c r="E353" s="438" t="s">
        <v>2637</v>
      </c>
      <c r="F353" s="438" t="s">
        <v>2554</v>
      </c>
      <c r="G353" s="438" t="s">
        <v>2638</v>
      </c>
      <c r="H353" s="438" t="s">
        <v>3966</v>
      </c>
      <c r="I353" s="438" t="s">
        <v>2628</v>
      </c>
      <c r="J353" s="438" t="s">
        <v>2628</v>
      </c>
      <c r="K353" s="438" t="s">
        <v>2621</v>
      </c>
      <c r="L353" s="438" t="s">
        <v>2557</v>
      </c>
      <c r="M353" s="456">
        <v>682</v>
      </c>
      <c r="N353" s="456"/>
      <c r="O353" s="456"/>
      <c r="P353" s="456">
        <v>681.58500000000004</v>
      </c>
    </row>
    <row r="354" spans="1:16" hidden="1" x14ac:dyDescent="0.5">
      <c r="A354" s="438">
        <v>59</v>
      </c>
      <c r="B354" s="438" t="s">
        <v>3664</v>
      </c>
      <c r="C354" s="438" t="s">
        <v>3675</v>
      </c>
      <c r="D354" s="438" t="s">
        <v>3997</v>
      </c>
      <c r="E354" s="438" t="s">
        <v>2625</v>
      </c>
      <c r="F354" s="438" t="s">
        <v>2554</v>
      </c>
      <c r="G354" s="438" t="s">
        <v>2633</v>
      </c>
      <c r="H354" s="438" t="s">
        <v>2718</v>
      </c>
      <c r="I354" s="438" t="s">
        <v>2628</v>
      </c>
      <c r="J354" s="438" t="s">
        <v>2628</v>
      </c>
      <c r="K354" s="438" t="s">
        <v>2621</v>
      </c>
      <c r="L354" s="438" t="s">
        <v>2557</v>
      </c>
      <c r="M354" s="456">
        <v>1508</v>
      </c>
      <c r="N354" s="456"/>
      <c r="O354" s="456"/>
      <c r="P354" s="456">
        <v>1507.0830000000001</v>
      </c>
    </row>
    <row r="355" spans="1:16" hidden="1" x14ac:dyDescent="0.5">
      <c r="A355" s="438">
        <v>60</v>
      </c>
      <c r="B355" s="438" t="s">
        <v>3664</v>
      </c>
      <c r="C355" s="438" t="s">
        <v>3675</v>
      </c>
      <c r="D355" s="438" t="s">
        <v>3998</v>
      </c>
      <c r="E355" s="438" t="s">
        <v>2625</v>
      </c>
      <c r="F355" s="438" t="s">
        <v>2554</v>
      </c>
      <c r="G355" s="438" t="s">
        <v>2626</v>
      </c>
      <c r="H355" s="438" t="s">
        <v>2639</v>
      </c>
      <c r="I355" s="438" t="s">
        <v>2628</v>
      </c>
      <c r="J355" s="438" t="s">
        <v>2628</v>
      </c>
      <c r="K355" s="438" t="s">
        <v>2621</v>
      </c>
      <c r="L355" s="438" t="s">
        <v>2557</v>
      </c>
      <c r="M355" s="456">
        <v>650</v>
      </c>
      <c r="N355" s="456"/>
      <c r="O355" s="456"/>
      <c r="P355" s="456">
        <v>649.47299999999996</v>
      </c>
    </row>
    <row r="356" spans="1:16" hidden="1" x14ac:dyDescent="0.5">
      <c r="A356" s="438">
        <v>61</v>
      </c>
      <c r="B356" s="438" t="s">
        <v>3664</v>
      </c>
      <c r="C356" s="438" t="s">
        <v>3675</v>
      </c>
      <c r="D356" s="438" t="s">
        <v>3999</v>
      </c>
      <c r="E356" s="438" t="s">
        <v>3032</v>
      </c>
      <c r="F356" s="438" t="s">
        <v>2559</v>
      </c>
      <c r="G356" s="438" t="s">
        <v>3503</v>
      </c>
      <c r="H356" s="438" t="s">
        <v>3476</v>
      </c>
      <c r="I356" s="438" t="s">
        <v>2577</v>
      </c>
      <c r="J356" s="438" t="s">
        <v>2576</v>
      </c>
      <c r="K356" s="438" t="s">
        <v>2621</v>
      </c>
      <c r="L356" s="438" t="s">
        <v>2557</v>
      </c>
      <c r="M356" s="456">
        <v>2479</v>
      </c>
      <c r="N356" s="456"/>
      <c r="O356" s="456"/>
      <c r="P356" s="456">
        <v>2476.9899999999998</v>
      </c>
    </row>
    <row r="357" spans="1:16" hidden="1" x14ac:dyDescent="0.5">
      <c r="A357" s="438">
        <v>62</v>
      </c>
      <c r="B357" s="438" t="s">
        <v>3664</v>
      </c>
      <c r="C357" s="438" t="s">
        <v>3675</v>
      </c>
      <c r="D357" s="438" t="s">
        <v>4000</v>
      </c>
      <c r="E357" s="438" t="s">
        <v>2560</v>
      </c>
      <c r="F357" s="438" t="s">
        <v>2554</v>
      </c>
      <c r="G357" s="438" t="s">
        <v>2624</v>
      </c>
      <c r="H357" s="438" t="s">
        <v>3985</v>
      </c>
      <c r="I357" s="438" t="s">
        <v>2623</v>
      </c>
      <c r="J357" s="438" t="s">
        <v>2623</v>
      </c>
      <c r="K357" s="438" t="s">
        <v>2621</v>
      </c>
      <c r="L357" s="438" t="s">
        <v>2557</v>
      </c>
      <c r="M357" s="456">
        <v>6239</v>
      </c>
      <c r="N357" s="456"/>
      <c r="O357" s="456"/>
      <c r="P357" s="456">
        <v>6233.94</v>
      </c>
    </row>
    <row r="358" spans="1:16" hidden="1" x14ac:dyDescent="0.5">
      <c r="A358" s="438">
        <v>63</v>
      </c>
      <c r="B358" s="438" t="s">
        <v>3679</v>
      </c>
      <c r="C358" s="438" t="s">
        <v>3675</v>
      </c>
      <c r="D358" s="438" t="s">
        <v>4001</v>
      </c>
      <c r="E358" s="438" t="s">
        <v>2560</v>
      </c>
      <c r="F358" s="438" t="s">
        <v>2554</v>
      </c>
      <c r="G358" s="438" t="s">
        <v>2620</v>
      </c>
      <c r="H358" s="438" t="s">
        <v>2749</v>
      </c>
      <c r="I358" s="438" t="s">
        <v>2563</v>
      </c>
      <c r="J358" s="438" t="s">
        <v>2576</v>
      </c>
      <c r="K358" s="438" t="s">
        <v>2621</v>
      </c>
      <c r="L358" s="438" t="s">
        <v>2557</v>
      </c>
      <c r="M358" s="456">
        <v>1854</v>
      </c>
      <c r="N358" s="456"/>
      <c r="O358" s="456"/>
      <c r="P358" s="456">
        <v>1854.752</v>
      </c>
    </row>
    <row r="359" spans="1:16" hidden="1" x14ac:dyDescent="0.5">
      <c r="A359" s="438">
        <v>64</v>
      </c>
      <c r="B359" s="438" t="s">
        <v>3679</v>
      </c>
      <c r="C359" s="438" t="s">
        <v>3675</v>
      </c>
      <c r="D359" s="438" t="s">
        <v>4002</v>
      </c>
      <c r="E359" s="438" t="s">
        <v>2560</v>
      </c>
      <c r="F359" s="438" t="s">
        <v>2554</v>
      </c>
      <c r="G359" s="438" t="s">
        <v>2622</v>
      </c>
      <c r="H359" s="438" t="s">
        <v>2981</v>
      </c>
      <c r="I359" s="438" t="s">
        <v>2623</v>
      </c>
      <c r="J359" s="438" t="s">
        <v>2623</v>
      </c>
      <c r="K359" s="438" t="s">
        <v>2621</v>
      </c>
      <c r="L359" s="438" t="s">
        <v>2557</v>
      </c>
      <c r="M359" s="456">
        <v>4538</v>
      </c>
      <c r="N359" s="456"/>
      <c r="O359" s="456"/>
      <c r="P359" s="456">
        <v>4539.84</v>
      </c>
    </row>
    <row r="360" spans="1:16" hidden="1" x14ac:dyDescent="0.5">
      <c r="A360" s="438">
        <v>65</v>
      </c>
      <c r="B360" s="438" t="s">
        <v>3679</v>
      </c>
      <c r="C360" s="438" t="s">
        <v>3675</v>
      </c>
      <c r="D360" s="438" t="s">
        <v>4003</v>
      </c>
      <c r="E360" s="438" t="s">
        <v>2625</v>
      </c>
      <c r="F360" s="438" t="s">
        <v>2554</v>
      </c>
      <c r="G360" s="438" t="s">
        <v>2633</v>
      </c>
      <c r="H360" s="438" t="s">
        <v>2639</v>
      </c>
      <c r="I360" s="438" t="s">
        <v>2628</v>
      </c>
      <c r="J360" s="438" t="s">
        <v>2628</v>
      </c>
      <c r="K360" s="438" t="s">
        <v>2621</v>
      </c>
      <c r="L360" s="438" t="s">
        <v>2557</v>
      </c>
      <c r="M360" s="456">
        <v>1708</v>
      </c>
      <c r="N360" s="456"/>
      <c r="O360" s="456"/>
      <c r="P360" s="456">
        <v>1708.693</v>
      </c>
    </row>
    <row r="361" spans="1:16" hidden="1" x14ac:dyDescent="0.5">
      <c r="A361" s="438">
        <v>66</v>
      </c>
      <c r="B361" s="438" t="s">
        <v>3679</v>
      </c>
      <c r="C361" s="438" t="s">
        <v>3675</v>
      </c>
      <c r="D361" s="438" t="s">
        <v>4004</v>
      </c>
      <c r="E361" s="438" t="s">
        <v>2625</v>
      </c>
      <c r="F361" s="438" t="s">
        <v>2554</v>
      </c>
      <c r="G361" s="438" t="s">
        <v>2626</v>
      </c>
      <c r="H361" s="438" t="s">
        <v>3502</v>
      </c>
      <c r="I361" s="438" t="s">
        <v>2628</v>
      </c>
      <c r="J361" s="438" t="s">
        <v>2628</v>
      </c>
      <c r="K361" s="438" t="s">
        <v>2621</v>
      </c>
      <c r="L361" s="438" t="s">
        <v>2557</v>
      </c>
      <c r="M361" s="456">
        <v>1250</v>
      </c>
      <c r="N361" s="456"/>
      <c r="O361" s="456"/>
      <c r="P361" s="456">
        <v>1249.6199999999999</v>
      </c>
    </row>
    <row r="362" spans="1:16" hidden="1" x14ac:dyDescent="0.5">
      <c r="A362" s="438">
        <v>67</v>
      </c>
      <c r="B362" s="438" t="s">
        <v>3679</v>
      </c>
      <c r="C362" s="438" t="s">
        <v>3675</v>
      </c>
      <c r="D362" s="438" t="s">
        <v>4005</v>
      </c>
      <c r="E362" s="438" t="s">
        <v>2560</v>
      </c>
      <c r="F362" s="438" t="s">
        <v>2554</v>
      </c>
      <c r="G362" s="438" t="s">
        <v>2624</v>
      </c>
      <c r="H362" s="438" t="s">
        <v>3068</v>
      </c>
      <c r="I362" s="438" t="s">
        <v>2623</v>
      </c>
      <c r="J362" s="438" t="s">
        <v>2623</v>
      </c>
      <c r="K362" s="438" t="s">
        <v>2621</v>
      </c>
      <c r="L362" s="438" t="s">
        <v>2557</v>
      </c>
      <c r="M362" s="456">
        <v>6153</v>
      </c>
      <c r="N362" s="456"/>
      <c r="O362" s="456"/>
      <c r="P362" s="456">
        <v>6151.1289999999999</v>
      </c>
    </row>
    <row r="363" spans="1:16" hidden="1" x14ac:dyDescent="0.5">
      <c r="A363" s="438">
        <v>68</v>
      </c>
      <c r="B363" s="438" t="s">
        <v>3689</v>
      </c>
      <c r="C363" s="438" t="s">
        <v>3675</v>
      </c>
      <c r="D363" s="438" t="s">
        <v>4006</v>
      </c>
      <c r="E363" s="438" t="s">
        <v>2560</v>
      </c>
      <c r="F363" s="438" t="s">
        <v>2554</v>
      </c>
      <c r="G363" s="438" t="s">
        <v>2620</v>
      </c>
      <c r="H363" s="438" t="s">
        <v>2749</v>
      </c>
      <c r="I363" s="438" t="s">
        <v>2563</v>
      </c>
      <c r="J363" s="438" t="s">
        <v>2576</v>
      </c>
      <c r="K363" s="438" t="s">
        <v>2621</v>
      </c>
      <c r="L363" s="438" t="s">
        <v>2557</v>
      </c>
      <c r="M363" s="456">
        <v>1536</v>
      </c>
      <c r="N363" s="456"/>
      <c r="O363" s="456"/>
      <c r="P363" s="456">
        <v>1535.221</v>
      </c>
    </row>
    <row r="364" spans="1:16" hidden="1" x14ac:dyDescent="0.5">
      <c r="A364" s="438">
        <v>69</v>
      </c>
      <c r="B364" s="438" t="s">
        <v>3689</v>
      </c>
      <c r="C364" s="438" t="s">
        <v>3675</v>
      </c>
      <c r="D364" s="438" t="s">
        <v>4007</v>
      </c>
      <c r="E364" s="438" t="s">
        <v>2560</v>
      </c>
      <c r="F364" s="438" t="s">
        <v>2554</v>
      </c>
      <c r="G364" s="438" t="s">
        <v>2622</v>
      </c>
      <c r="H364" s="438" t="s">
        <v>3985</v>
      </c>
      <c r="I364" s="438" t="s">
        <v>2623</v>
      </c>
      <c r="J364" s="438" t="s">
        <v>2623</v>
      </c>
      <c r="K364" s="438" t="s">
        <v>2621</v>
      </c>
      <c r="L364" s="438" t="s">
        <v>2557</v>
      </c>
      <c r="M364" s="456">
        <v>4995</v>
      </c>
      <c r="N364" s="456"/>
      <c r="O364" s="456"/>
      <c r="P364" s="456">
        <v>4992.4679999999998</v>
      </c>
    </row>
    <row r="365" spans="1:16" hidden="1" x14ac:dyDescent="0.5">
      <c r="A365" s="438">
        <v>70</v>
      </c>
      <c r="B365" s="438" t="s">
        <v>3689</v>
      </c>
      <c r="C365" s="438" t="s">
        <v>3675</v>
      </c>
      <c r="D365" s="438" t="s">
        <v>4008</v>
      </c>
      <c r="E365" s="438" t="s">
        <v>2625</v>
      </c>
      <c r="F365" s="438" t="s">
        <v>2554</v>
      </c>
      <c r="G365" s="438" t="s">
        <v>2633</v>
      </c>
      <c r="H365" s="438" t="s">
        <v>2627</v>
      </c>
      <c r="I365" s="438" t="s">
        <v>2628</v>
      </c>
      <c r="J365" s="438" t="s">
        <v>2628</v>
      </c>
      <c r="K365" s="438" t="s">
        <v>2621</v>
      </c>
      <c r="L365" s="438" t="s">
        <v>2557</v>
      </c>
      <c r="M365" s="456">
        <v>977</v>
      </c>
      <c r="N365" s="456"/>
      <c r="O365" s="456"/>
      <c r="P365" s="456">
        <v>976.505</v>
      </c>
    </row>
    <row r="366" spans="1:16" hidden="1" x14ac:dyDescent="0.5">
      <c r="A366" s="438">
        <v>71</v>
      </c>
      <c r="B366" s="438" t="s">
        <v>3689</v>
      </c>
      <c r="C366" s="438" t="s">
        <v>3675</v>
      </c>
      <c r="D366" s="438" t="s">
        <v>4009</v>
      </c>
      <c r="E366" s="438" t="s">
        <v>2625</v>
      </c>
      <c r="F366" s="438" t="s">
        <v>2554</v>
      </c>
      <c r="G366" s="438" t="s">
        <v>2626</v>
      </c>
      <c r="H366" s="438" t="s">
        <v>2639</v>
      </c>
      <c r="I366" s="438" t="s">
        <v>2628</v>
      </c>
      <c r="J366" s="438" t="s">
        <v>2628</v>
      </c>
      <c r="K366" s="438" t="s">
        <v>2621</v>
      </c>
      <c r="L366" s="438" t="s">
        <v>2557</v>
      </c>
      <c r="M366" s="456">
        <v>2991</v>
      </c>
      <c r="N366" s="456"/>
      <c r="O366" s="456"/>
      <c r="P366" s="456">
        <v>2989.4839999999999</v>
      </c>
    </row>
    <row r="367" spans="1:16" hidden="1" x14ac:dyDescent="0.5">
      <c r="A367" s="438">
        <v>72</v>
      </c>
      <c r="B367" s="438" t="s">
        <v>3689</v>
      </c>
      <c r="C367" s="438" t="s">
        <v>3675</v>
      </c>
      <c r="D367" s="438" t="s">
        <v>4010</v>
      </c>
      <c r="E367" s="438" t="s">
        <v>2560</v>
      </c>
      <c r="F367" s="438" t="s">
        <v>2554</v>
      </c>
      <c r="G367" s="438" t="s">
        <v>2624</v>
      </c>
      <c r="H367" s="438" t="s">
        <v>2716</v>
      </c>
      <c r="I367" s="438" t="s">
        <v>2623</v>
      </c>
      <c r="J367" s="438" t="s">
        <v>2623</v>
      </c>
      <c r="K367" s="438" t="s">
        <v>2621</v>
      </c>
      <c r="L367" s="438" t="s">
        <v>2557</v>
      </c>
      <c r="M367" s="456">
        <v>7203</v>
      </c>
      <c r="N367" s="456"/>
      <c r="O367" s="456"/>
      <c r="P367" s="456">
        <v>7199.3490000000002</v>
      </c>
    </row>
    <row r="368" spans="1:16" hidden="1" x14ac:dyDescent="0.5">
      <c r="A368" s="438">
        <v>73</v>
      </c>
      <c r="B368" s="438" t="s">
        <v>3699</v>
      </c>
      <c r="C368" s="438" t="s">
        <v>3675</v>
      </c>
      <c r="D368" s="438" t="s">
        <v>4011</v>
      </c>
      <c r="E368" s="438" t="s">
        <v>2560</v>
      </c>
      <c r="F368" s="438" t="s">
        <v>2554</v>
      </c>
      <c r="G368" s="438" t="s">
        <v>2620</v>
      </c>
      <c r="H368" s="438" t="s">
        <v>2749</v>
      </c>
      <c r="I368" s="438" t="s">
        <v>2563</v>
      </c>
      <c r="J368" s="438" t="s">
        <v>2576</v>
      </c>
      <c r="K368" s="438" t="s">
        <v>2621</v>
      </c>
      <c r="L368" s="438" t="s">
        <v>2557</v>
      </c>
      <c r="M368" s="456">
        <v>1662</v>
      </c>
      <c r="N368" s="456"/>
      <c r="O368" s="456"/>
      <c r="P368" s="456">
        <v>1662.5060000000001</v>
      </c>
    </row>
    <row r="369" spans="1:16" hidden="1" x14ac:dyDescent="0.5">
      <c r="A369" s="438">
        <v>74</v>
      </c>
      <c r="B369" s="438" t="s">
        <v>3699</v>
      </c>
      <c r="C369" s="438" t="s">
        <v>3675</v>
      </c>
      <c r="D369" s="438" t="s">
        <v>4012</v>
      </c>
      <c r="E369" s="438" t="s">
        <v>2560</v>
      </c>
      <c r="F369" s="438" t="s">
        <v>2554</v>
      </c>
      <c r="G369" s="438" t="s">
        <v>2624</v>
      </c>
      <c r="H369" s="438" t="s">
        <v>3985</v>
      </c>
      <c r="I369" s="438" t="s">
        <v>2623</v>
      </c>
      <c r="J369" s="438" t="s">
        <v>2623</v>
      </c>
      <c r="K369" s="438" t="s">
        <v>2621</v>
      </c>
      <c r="L369" s="438" t="s">
        <v>2557</v>
      </c>
      <c r="M369" s="456">
        <v>5690</v>
      </c>
      <c r="N369" s="456"/>
      <c r="O369" s="456"/>
      <c r="P369" s="456">
        <v>5691.7309999999998</v>
      </c>
    </row>
    <row r="370" spans="1:16" hidden="1" x14ac:dyDescent="0.5">
      <c r="A370" s="438">
        <v>75</v>
      </c>
      <c r="B370" s="438" t="s">
        <v>3699</v>
      </c>
      <c r="C370" s="438" t="s">
        <v>3675</v>
      </c>
      <c r="D370" s="438" t="s">
        <v>4013</v>
      </c>
      <c r="E370" s="438" t="s">
        <v>2560</v>
      </c>
      <c r="F370" s="438" t="s">
        <v>2554</v>
      </c>
      <c r="G370" s="438" t="s">
        <v>2624</v>
      </c>
      <c r="H370" s="438" t="s">
        <v>3068</v>
      </c>
      <c r="I370" s="438" t="s">
        <v>2623</v>
      </c>
      <c r="J370" s="438" t="s">
        <v>2623</v>
      </c>
      <c r="K370" s="438" t="s">
        <v>2621</v>
      </c>
      <c r="L370" s="438" t="s">
        <v>2557</v>
      </c>
      <c r="M370" s="456">
        <v>6598</v>
      </c>
      <c r="N370" s="456"/>
      <c r="O370" s="456"/>
      <c r="P370" s="456">
        <v>6595.9930000000004</v>
      </c>
    </row>
    <row r="371" spans="1:16" hidden="1" x14ac:dyDescent="0.5">
      <c r="A371" s="438">
        <v>76</v>
      </c>
      <c r="B371" s="438" t="s">
        <v>3709</v>
      </c>
      <c r="C371" s="438" t="s">
        <v>3715</v>
      </c>
      <c r="D371" s="438" t="s">
        <v>4014</v>
      </c>
      <c r="E371" s="438" t="s">
        <v>2560</v>
      </c>
      <c r="F371" s="438" t="s">
        <v>2554</v>
      </c>
      <c r="G371" s="438" t="s">
        <v>2620</v>
      </c>
      <c r="H371" s="438" t="s">
        <v>2749</v>
      </c>
      <c r="I371" s="438" t="s">
        <v>2563</v>
      </c>
      <c r="J371" s="438" t="s">
        <v>2576</v>
      </c>
      <c r="K371" s="438" t="s">
        <v>2621</v>
      </c>
      <c r="L371" s="438" t="s">
        <v>2557</v>
      </c>
      <c r="M371" s="456">
        <v>1016</v>
      </c>
      <c r="N371" s="456"/>
      <c r="O371" s="456"/>
      <c r="P371" s="456">
        <v>1016.824</v>
      </c>
    </row>
    <row r="372" spans="1:16" hidden="1" x14ac:dyDescent="0.5">
      <c r="A372" s="438">
        <v>77</v>
      </c>
      <c r="B372" s="438" t="s">
        <v>3709</v>
      </c>
      <c r="C372" s="438" t="s">
        <v>3715</v>
      </c>
      <c r="D372" s="438" t="s">
        <v>4015</v>
      </c>
      <c r="E372" s="438" t="s">
        <v>2560</v>
      </c>
      <c r="F372" s="438" t="s">
        <v>2554</v>
      </c>
      <c r="G372" s="438" t="s">
        <v>2622</v>
      </c>
      <c r="H372" s="438" t="s">
        <v>2716</v>
      </c>
      <c r="I372" s="438" t="s">
        <v>2623</v>
      </c>
      <c r="J372" s="438" t="s">
        <v>2623</v>
      </c>
      <c r="K372" s="438" t="s">
        <v>2621</v>
      </c>
      <c r="L372" s="438" t="s">
        <v>2557</v>
      </c>
      <c r="M372" s="456">
        <v>5244</v>
      </c>
      <c r="N372" s="456"/>
      <c r="O372" s="456"/>
      <c r="P372" s="456">
        <v>5248.2539999999999</v>
      </c>
    </row>
    <row r="373" spans="1:16" hidden="1" x14ac:dyDescent="0.5">
      <c r="A373" s="438">
        <v>78</v>
      </c>
      <c r="B373" s="438" t="s">
        <v>3709</v>
      </c>
      <c r="C373" s="438" t="s">
        <v>3715</v>
      </c>
      <c r="D373" s="438" t="s">
        <v>4016</v>
      </c>
      <c r="E373" s="438" t="s">
        <v>2625</v>
      </c>
      <c r="F373" s="438" t="s">
        <v>2554</v>
      </c>
      <c r="G373" s="438" t="s">
        <v>2626</v>
      </c>
      <c r="H373" s="438" t="s">
        <v>2639</v>
      </c>
      <c r="I373" s="438" t="s">
        <v>2628</v>
      </c>
      <c r="J373" s="438" t="s">
        <v>2628</v>
      </c>
      <c r="K373" s="438" t="s">
        <v>2621</v>
      </c>
      <c r="L373" s="438" t="s">
        <v>2557</v>
      </c>
      <c r="M373" s="456">
        <v>352</v>
      </c>
      <c r="N373" s="456"/>
      <c r="O373" s="456"/>
      <c r="P373" s="456">
        <v>351.89299999999997</v>
      </c>
    </row>
    <row r="374" spans="1:16" hidden="1" x14ac:dyDescent="0.5">
      <c r="A374" s="438">
        <v>79</v>
      </c>
      <c r="B374" s="438" t="s">
        <v>3709</v>
      </c>
      <c r="C374" s="438" t="s">
        <v>3715</v>
      </c>
      <c r="D374" s="438" t="s">
        <v>4017</v>
      </c>
      <c r="E374" s="438" t="s">
        <v>2560</v>
      </c>
      <c r="F374" s="438" t="s">
        <v>2554</v>
      </c>
      <c r="G374" s="438" t="s">
        <v>2624</v>
      </c>
      <c r="H374" s="438" t="s">
        <v>2919</v>
      </c>
      <c r="I374" s="438" t="s">
        <v>2623</v>
      </c>
      <c r="J374" s="438" t="s">
        <v>2623</v>
      </c>
      <c r="K374" s="438" t="s">
        <v>2621</v>
      </c>
      <c r="L374" s="438" t="s">
        <v>2557</v>
      </c>
      <c r="M374" s="456">
        <v>6148</v>
      </c>
      <c r="N374" s="456"/>
      <c r="O374" s="456"/>
      <c r="P374" s="456">
        <v>6146.13</v>
      </c>
    </row>
    <row r="375" spans="1:16" hidden="1" x14ac:dyDescent="0.5">
      <c r="A375" s="438">
        <v>80</v>
      </c>
      <c r="B375" s="438" t="s">
        <v>3729</v>
      </c>
      <c r="C375" s="438" t="s">
        <v>3715</v>
      </c>
      <c r="D375" s="438" t="s">
        <v>4018</v>
      </c>
      <c r="E375" s="438" t="s">
        <v>2560</v>
      </c>
      <c r="F375" s="438" t="s">
        <v>2554</v>
      </c>
      <c r="G375" s="438" t="s">
        <v>2620</v>
      </c>
      <c r="H375" s="438" t="s">
        <v>2749</v>
      </c>
      <c r="I375" s="438" t="s">
        <v>2563</v>
      </c>
      <c r="J375" s="438" t="s">
        <v>2576</v>
      </c>
      <c r="K375" s="438" t="s">
        <v>2621</v>
      </c>
      <c r="L375" s="438" t="s">
        <v>2557</v>
      </c>
      <c r="M375" s="456">
        <v>2255</v>
      </c>
      <c r="N375" s="456"/>
      <c r="O375" s="456"/>
      <c r="P375" s="456">
        <v>2255.2289999999998</v>
      </c>
    </row>
    <row r="376" spans="1:16" hidden="1" x14ac:dyDescent="0.5">
      <c r="A376" s="438">
        <v>81</v>
      </c>
      <c r="B376" s="438" t="s">
        <v>3729</v>
      </c>
      <c r="C376" s="438" t="s">
        <v>3715</v>
      </c>
      <c r="D376" s="438" t="s">
        <v>4019</v>
      </c>
      <c r="E376" s="438" t="s">
        <v>2560</v>
      </c>
      <c r="F376" s="438" t="s">
        <v>2554</v>
      </c>
      <c r="G376" s="438" t="s">
        <v>2622</v>
      </c>
      <c r="H376" s="438" t="s">
        <v>3068</v>
      </c>
      <c r="I376" s="438" t="s">
        <v>2623</v>
      </c>
      <c r="J376" s="438" t="s">
        <v>2623</v>
      </c>
      <c r="K376" s="438" t="s">
        <v>2621</v>
      </c>
      <c r="L376" s="438" t="s">
        <v>2557</v>
      </c>
      <c r="M376" s="456">
        <v>4354</v>
      </c>
      <c r="N376" s="456"/>
      <c r="O376" s="456"/>
      <c r="P376" s="456">
        <v>4352.2349999999997</v>
      </c>
    </row>
    <row r="377" spans="1:16" hidden="1" x14ac:dyDescent="0.5">
      <c r="A377" s="438">
        <v>82</v>
      </c>
      <c r="B377" s="438" t="s">
        <v>3729</v>
      </c>
      <c r="C377" s="438" t="s">
        <v>3715</v>
      </c>
      <c r="D377" s="438" t="s">
        <v>4020</v>
      </c>
      <c r="E377" s="438" t="s">
        <v>3032</v>
      </c>
      <c r="F377" s="438" t="s">
        <v>2559</v>
      </c>
      <c r="G377" s="438" t="s">
        <v>3503</v>
      </c>
      <c r="H377" s="438" t="s">
        <v>3476</v>
      </c>
      <c r="I377" s="438" t="s">
        <v>2577</v>
      </c>
      <c r="J377" s="438" t="s">
        <v>2576</v>
      </c>
      <c r="K377" s="438" t="s">
        <v>2621</v>
      </c>
      <c r="L377" s="438" t="s">
        <v>2557</v>
      </c>
      <c r="M377" s="456">
        <v>3135</v>
      </c>
      <c r="N377" s="456"/>
      <c r="O377" s="456"/>
      <c r="P377" s="456">
        <v>3133.7289999999998</v>
      </c>
    </row>
    <row r="378" spans="1:16" hidden="1" x14ac:dyDescent="0.5">
      <c r="A378" s="438">
        <v>83</v>
      </c>
      <c r="B378" s="438" t="s">
        <v>3729</v>
      </c>
      <c r="C378" s="438" t="s">
        <v>3715</v>
      </c>
      <c r="D378" s="438" t="s">
        <v>4021</v>
      </c>
      <c r="E378" s="438" t="s">
        <v>2560</v>
      </c>
      <c r="F378" s="438" t="s">
        <v>2554</v>
      </c>
      <c r="G378" s="438" t="s">
        <v>2624</v>
      </c>
      <c r="H378" s="438" t="s">
        <v>2919</v>
      </c>
      <c r="I378" s="438" t="s">
        <v>2623</v>
      </c>
      <c r="J378" s="438" t="s">
        <v>2623</v>
      </c>
      <c r="K378" s="438" t="s">
        <v>2621</v>
      </c>
      <c r="L378" s="438" t="s">
        <v>2557</v>
      </c>
      <c r="M378" s="456">
        <v>5600</v>
      </c>
      <c r="N378" s="456"/>
      <c r="O378" s="456"/>
      <c r="P378" s="456">
        <v>5597.7290000000003</v>
      </c>
    </row>
    <row r="379" spans="1:16" hidden="1" x14ac:dyDescent="0.5">
      <c r="A379" s="438">
        <v>84</v>
      </c>
      <c r="B379" s="438" t="s">
        <v>3749</v>
      </c>
      <c r="C379" s="438" t="s">
        <v>3715</v>
      </c>
      <c r="D379" s="438" t="s">
        <v>4022</v>
      </c>
      <c r="E379" s="438" t="s">
        <v>2560</v>
      </c>
      <c r="F379" s="438" t="s">
        <v>2554</v>
      </c>
      <c r="G379" s="438" t="s">
        <v>2620</v>
      </c>
      <c r="H379" s="438" t="s">
        <v>2749</v>
      </c>
      <c r="I379" s="438" t="s">
        <v>2563</v>
      </c>
      <c r="J379" s="438" t="s">
        <v>2576</v>
      </c>
      <c r="K379" s="438" t="s">
        <v>2621</v>
      </c>
      <c r="L379" s="438" t="s">
        <v>2557</v>
      </c>
      <c r="M379" s="456">
        <v>2184</v>
      </c>
      <c r="N379" s="456"/>
      <c r="O379" s="456"/>
      <c r="P379" s="456">
        <v>2184.6640000000002</v>
      </c>
    </row>
    <row r="380" spans="1:16" hidden="1" x14ac:dyDescent="0.5">
      <c r="A380" s="438">
        <v>85</v>
      </c>
      <c r="B380" s="438" t="s">
        <v>3749</v>
      </c>
      <c r="C380" s="438" t="s">
        <v>3715</v>
      </c>
      <c r="D380" s="438" t="s">
        <v>4023</v>
      </c>
      <c r="E380" s="438" t="s">
        <v>2625</v>
      </c>
      <c r="F380" s="438" t="s">
        <v>2554</v>
      </c>
      <c r="G380" s="438" t="s">
        <v>3950</v>
      </c>
      <c r="H380" s="438" t="s">
        <v>3012</v>
      </c>
      <c r="I380" s="438" t="s">
        <v>2628</v>
      </c>
      <c r="J380" s="438" t="s">
        <v>2628</v>
      </c>
      <c r="K380" s="438" t="s">
        <v>2621</v>
      </c>
      <c r="L380" s="438" t="s">
        <v>2557</v>
      </c>
      <c r="M380" s="456">
        <v>1803</v>
      </c>
      <c r="N380" s="456"/>
      <c r="O380" s="456"/>
      <c r="P380" s="456">
        <v>1803.548</v>
      </c>
    </row>
    <row r="381" spans="1:16" hidden="1" x14ac:dyDescent="0.5">
      <c r="A381" s="438">
        <v>86</v>
      </c>
      <c r="B381" s="438" t="s">
        <v>3749</v>
      </c>
      <c r="C381" s="438" t="s">
        <v>3715</v>
      </c>
      <c r="D381" s="438" t="s">
        <v>4024</v>
      </c>
      <c r="E381" s="438" t="s">
        <v>2560</v>
      </c>
      <c r="F381" s="438" t="s">
        <v>2554</v>
      </c>
      <c r="G381" s="438" t="s">
        <v>2622</v>
      </c>
      <c r="H381" s="438" t="s">
        <v>3068</v>
      </c>
      <c r="I381" s="438" t="s">
        <v>2623</v>
      </c>
      <c r="J381" s="438" t="s">
        <v>2623</v>
      </c>
      <c r="K381" s="438" t="s">
        <v>2621</v>
      </c>
      <c r="L381" s="438" t="s">
        <v>2557</v>
      </c>
      <c r="M381" s="456">
        <v>5297</v>
      </c>
      <c r="N381" s="456"/>
      <c r="O381" s="456"/>
      <c r="P381" s="456">
        <v>5298.6109999999999</v>
      </c>
    </row>
    <row r="382" spans="1:16" hidden="1" x14ac:dyDescent="0.5">
      <c r="A382" s="438">
        <v>87</v>
      </c>
      <c r="B382" s="438" t="s">
        <v>3749</v>
      </c>
      <c r="C382" s="438" t="s">
        <v>3715</v>
      </c>
      <c r="D382" s="438" t="s">
        <v>4025</v>
      </c>
      <c r="E382" s="438" t="s">
        <v>2625</v>
      </c>
      <c r="F382" s="438" t="s">
        <v>2554</v>
      </c>
      <c r="G382" s="438" t="s">
        <v>2626</v>
      </c>
      <c r="H382" s="438" t="s">
        <v>2627</v>
      </c>
      <c r="I382" s="438" t="s">
        <v>2628</v>
      </c>
      <c r="J382" s="438" t="s">
        <v>2628</v>
      </c>
      <c r="K382" s="438" t="s">
        <v>2621</v>
      </c>
      <c r="L382" s="438" t="s">
        <v>2557</v>
      </c>
      <c r="M382" s="456">
        <v>1687</v>
      </c>
      <c r="N382" s="456"/>
      <c r="O382" s="456"/>
      <c r="P382" s="456">
        <v>1686.4870000000001</v>
      </c>
    </row>
    <row r="383" spans="1:16" hidden="1" x14ac:dyDescent="0.5">
      <c r="A383" s="438">
        <v>88</v>
      </c>
      <c r="B383" s="438" t="s">
        <v>3749</v>
      </c>
      <c r="C383" s="438" t="s">
        <v>3715</v>
      </c>
      <c r="D383" s="438" t="s">
        <v>4026</v>
      </c>
      <c r="E383" s="438" t="s">
        <v>2711</v>
      </c>
      <c r="F383" s="438" t="s">
        <v>2554</v>
      </c>
      <c r="G383" s="438" t="s">
        <v>4027</v>
      </c>
      <c r="H383" s="438" t="s">
        <v>4028</v>
      </c>
      <c r="I383" s="438" t="s">
        <v>2576</v>
      </c>
      <c r="J383" s="438" t="s">
        <v>2576</v>
      </c>
      <c r="K383" s="438" t="s">
        <v>2621</v>
      </c>
      <c r="L383" s="438" t="s">
        <v>2557</v>
      </c>
      <c r="M383" s="456">
        <v>970</v>
      </c>
      <c r="N383" s="456"/>
      <c r="O383" s="456"/>
      <c r="P383" s="456">
        <v>969.70500000000004</v>
      </c>
    </row>
    <row r="384" spans="1:16" hidden="1" x14ac:dyDescent="0.5">
      <c r="A384" s="438">
        <v>89</v>
      </c>
      <c r="B384" s="438" t="s">
        <v>3749</v>
      </c>
      <c r="C384" s="438" t="s">
        <v>3715</v>
      </c>
      <c r="D384" s="438" t="s">
        <v>4029</v>
      </c>
      <c r="E384" s="438" t="s">
        <v>2560</v>
      </c>
      <c r="F384" s="438" t="s">
        <v>2554</v>
      </c>
      <c r="G384" s="438" t="s">
        <v>2624</v>
      </c>
      <c r="H384" s="438" t="s">
        <v>2919</v>
      </c>
      <c r="I384" s="438" t="s">
        <v>2623</v>
      </c>
      <c r="J384" s="438" t="s">
        <v>2623</v>
      </c>
      <c r="K384" s="438" t="s">
        <v>2621</v>
      </c>
      <c r="L384" s="438" t="s">
        <v>2557</v>
      </c>
      <c r="M384" s="456">
        <v>7057</v>
      </c>
      <c r="N384" s="456"/>
      <c r="O384" s="456"/>
      <c r="P384" s="456">
        <v>7054.8540000000003</v>
      </c>
    </row>
    <row r="385" spans="1:16" hidden="1" x14ac:dyDescent="0.5">
      <c r="A385" s="438">
        <v>90</v>
      </c>
      <c r="B385" s="438" t="s">
        <v>3768</v>
      </c>
      <c r="C385" s="438" t="s">
        <v>3750</v>
      </c>
      <c r="D385" s="438" t="s">
        <v>4030</v>
      </c>
      <c r="E385" s="438" t="s">
        <v>2560</v>
      </c>
      <c r="F385" s="438" t="s">
        <v>2554</v>
      </c>
      <c r="G385" s="438" t="s">
        <v>2620</v>
      </c>
      <c r="H385" s="438" t="s">
        <v>3480</v>
      </c>
      <c r="I385" s="438" t="s">
        <v>2563</v>
      </c>
      <c r="J385" s="438" t="s">
        <v>2576</v>
      </c>
      <c r="K385" s="438" t="s">
        <v>2621</v>
      </c>
      <c r="L385" s="438" t="s">
        <v>2557</v>
      </c>
      <c r="M385" s="456">
        <v>2368</v>
      </c>
      <c r="N385" s="456"/>
      <c r="O385" s="456"/>
      <c r="P385" s="456">
        <v>2369.1999999999998</v>
      </c>
    </row>
    <row r="386" spans="1:16" hidden="1" x14ac:dyDescent="0.5">
      <c r="A386" s="438">
        <v>91</v>
      </c>
      <c r="B386" s="438" t="s">
        <v>3768</v>
      </c>
      <c r="C386" s="438" t="s">
        <v>3750</v>
      </c>
      <c r="D386" s="438" t="s">
        <v>4031</v>
      </c>
      <c r="E386" s="438" t="s">
        <v>2560</v>
      </c>
      <c r="F386" s="438" t="s">
        <v>2554</v>
      </c>
      <c r="G386" s="438" t="s">
        <v>2622</v>
      </c>
      <c r="H386" s="438" t="s">
        <v>2919</v>
      </c>
      <c r="I386" s="438" t="s">
        <v>2623</v>
      </c>
      <c r="J386" s="438" t="s">
        <v>2623</v>
      </c>
      <c r="K386" s="438" t="s">
        <v>2621</v>
      </c>
      <c r="L386" s="438" t="s">
        <v>2557</v>
      </c>
      <c r="M386" s="456">
        <v>5761</v>
      </c>
      <c r="N386" s="456"/>
      <c r="O386" s="456"/>
      <c r="P386" s="456">
        <v>5763.9210000000003</v>
      </c>
    </row>
    <row r="387" spans="1:16" hidden="1" x14ac:dyDescent="0.5">
      <c r="A387" s="438">
        <v>92</v>
      </c>
      <c r="B387" s="438" t="s">
        <v>3768</v>
      </c>
      <c r="C387" s="438" t="s">
        <v>3750</v>
      </c>
      <c r="D387" s="438" t="s">
        <v>4032</v>
      </c>
      <c r="E387" s="438" t="s">
        <v>2625</v>
      </c>
      <c r="F387" s="438" t="s">
        <v>2554</v>
      </c>
      <c r="G387" s="438" t="s">
        <v>2626</v>
      </c>
      <c r="H387" s="438" t="s">
        <v>2630</v>
      </c>
      <c r="I387" s="438" t="s">
        <v>2628</v>
      </c>
      <c r="J387" s="438" t="s">
        <v>2628</v>
      </c>
      <c r="K387" s="438" t="s">
        <v>2621</v>
      </c>
      <c r="L387" s="438" t="s">
        <v>2557</v>
      </c>
      <c r="M387" s="456">
        <v>1447</v>
      </c>
      <c r="N387" s="456"/>
      <c r="O387" s="456"/>
      <c r="P387" s="456">
        <v>1446.56</v>
      </c>
    </row>
    <row r="388" spans="1:16" hidden="1" x14ac:dyDescent="0.5">
      <c r="A388" s="438">
        <v>93</v>
      </c>
      <c r="B388" s="438" t="s">
        <v>3768</v>
      </c>
      <c r="C388" s="438" t="s">
        <v>3750</v>
      </c>
      <c r="D388" s="438" t="s">
        <v>4033</v>
      </c>
      <c r="E388" s="438" t="s">
        <v>3032</v>
      </c>
      <c r="F388" s="438" t="s">
        <v>2559</v>
      </c>
      <c r="G388" s="438" t="s">
        <v>4034</v>
      </c>
      <c r="H388" s="438" t="s">
        <v>3476</v>
      </c>
      <c r="I388" s="438" t="s">
        <v>3447</v>
      </c>
      <c r="J388" s="438" t="s">
        <v>2576</v>
      </c>
      <c r="K388" s="438" t="s">
        <v>2621</v>
      </c>
      <c r="L388" s="438" t="s">
        <v>2557</v>
      </c>
      <c r="M388" s="456">
        <v>2707</v>
      </c>
      <c r="N388" s="456"/>
      <c r="O388" s="456"/>
      <c r="P388" s="456">
        <v>2706.1770000000001</v>
      </c>
    </row>
    <row r="389" spans="1:16" hidden="1" x14ac:dyDescent="0.5">
      <c r="A389" s="438">
        <v>94</v>
      </c>
      <c r="B389" s="438" t="s">
        <v>3768</v>
      </c>
      <c r="C389" s="438" t="s">
        <v>3750</v>
      </c>
      <c r="D389" s="438" t="s">
        <v>4035</v>
      </c>
      <c r="E389" s="438" t="s">
        <v>2560</v>
      </c>
      <c r="F389" s="438" t="s">
        <v>2554</v>
      </c>
      <c r="G389" s="438" t="s">
        <v>2624</v>
      </c>
      <c r="H389" s="438" t="s">
        <v>2716</v>
      </c>
      <c r="I389" s="438" t="s">
        <v>2623</v>
      </c>
      <c r="J389" s="438" t="s">
        <v>2623</v>
      </c>
      <c r="K389" s="438" t="s">
        <v>2621</v>
      </c>
      <c r="L389" s="438" t="s">
        <v>2557</v>
      </c>
      <c r="M389" s="456">
        <v>5420</v>
      </c>
      <c r="N389" s="456"/>
      <c r="O389" s="456"/>
      <c r="P389" s="456">
        <v>5418.3509999999997</v>
      </c>
    </row>
    <row r="390" spans="1:16" hidden="1" x14ac:dyDescent="0.5">
      <c r="A390" s="438">
        <v>95</v>
      </c>
      <c r="B390" s="438" t="s">
        <v>3782</v>
      </c>
      <c r="C390" s="438" t="s">
        <v>3750</v>
      </c>
      <c r="D390" s="438" t="s">
        <v>4036</v>
      </c>
      <c r="E390" s="438" t="s">
        <v>2560</v>
      </c>
      <c r="F390" s="438" t="s">
        <v>2554</v>
      </c>
      <c r="G390" s="438" t="s">
        <v>2620</v>
      </c>
      <c r="H390" s="438" t="s">
        <v>3480</v>
      </c>
      <c r="I390" s="438" t="s">
        <v>2563</v>
      </c>
      <c r="J390" s="438" t="s">
        <v>2576</v>
      </c>
      <c r="K390" s="438" t="s">
        <v>2621</v>
      </c>
      <c r="L390" s="438" t="s">
        <v>2557</v>
      </c>
      <c r="M390" s="456">
        <v>2029</v>
      </c>
      <c r="N390" s="456"/>
      <c r="O390" s="456"/>
      <c r="P390" s="456">
        <v>2030.029</v>
      </c>
    </row>
    <row r="391" spans="1:16" hidden="1" x14ac:dyDescent="0.5">
      <c r="A391" s="438">
        <v>96</v>
      </c>
      <c r="B391" s="438" t="s">
        <v>3782</v>
      </c>
      <c r="C391" s="438" t="s">
        <v>3750</v>
      </c>
      <c r="D391" s="438" t="s">
        <v>4037</v>
      </c>
      <c r="E391" s="438" t="s">
        <v>2560</v>
      </c>
      <c r="F391" s="438" t="s">
        <v>2554</v>
      </c>
      <c r="G391" s="438" t="s">
        <v>2622</v>
      </c>
      <c r="H391" s="438" t="s">
        <v>3068</v>
      </c>
      <c r="I391" s="438" t="s">
        <v>2623</v>
      </c>
      <c r="J391" s="438" t="s">
        <v>2623</v>
      </c>
      <c r="K391" s="438" t="s">
        <v>2621</v>
      </c>
      <c r="L391" s="438" t="s">
        <v>2557</v>
      </c>
      <c r="M391" s="456">
        <v>5138</v>
      </c>
      <c r="N391" s="456"/>
      <c r="O391" s="456"/>
      <c r="P391" s="456">
        <v>5140.6049999999996</v>
      </c>
    </row>
    <row r="392" spans="1:16" hidden="1" x14ac:dyDescent="0.5">
      <c r="A392" s="438">
        <v>97</v>
      </c>
      <c r="B392" s="438" t="s">
        <v>3782</v>
      </c>
      <c r="C392" s="438" t="s">
        <v>3750</v>
      </c>
      <c r="D392" s="438" t="s">
        <v>4038</v>
      </c>
      <c r="E392" s="438" t="s">
        <v>2560</v>
      </c>
      <c r="F392" s="438" t="s">
        <v>2554</v>
      </c>
      <c r="G392" s="438" t="s">
        <v>4039</v>
      </c>
      <c r="H392" s="438" t="s">
        <v>3985</v>
      </c>
      <c r="I392" s="438" t="s">
        <v>2623</v>
      </c>
      <c r="J392" s="438" t="s">
        <v>2623</v>
      </c>
      <c r="K392" s="438" t="s">
        <v>2621</v>
      </c>
      <c r="L392" s="438" t="s">
        <v>2557</v>
      </c>
      <c r="M392" s="456">
        <v>6903</v>
      </c>
      <c r="N392" s="456"/>
      <c r="O392" s="456"/>
      <c r="P392" s="456">
        <v>6898.8010000000004</v>
      </c>
    </row>
    <row r="393" spans="1:16" hidden="1" x14ac:dyDescent="0.5">
      <c r="A393" s="438">
        <v>98</v>
      </c>
      <c r="B393" s="438" t="s">
        <v>3782</v>
      </c>
      <c r="C393" s="438" t="s">
        <v>3750</v>
      </c>
      <c r="D393" s="438" t="s">
        <v>4040</v>
      </c>
      <c r="E393" s="438" t="s">
        <v>2625</v>
      </c>
      <c r="F393" s="438" t="s">
        <v>2554</v>
      </c>
      <c r="G393" s="438" t="s">
        <v>2719</v>
      </c>
      <c r="H393" s="438" t="s">
        <v>3060</v>
      </c>
      <c r="I393" s="438" t="s">
        <v>2628</v>
      </c>
      <c r="J393" s="438" t="s">
        <v>2628</v>
      </c>
      <c r="K393" s="438" t="s">
        <v>2621</v>
      </c>
      <c r="L393" s="438" t="s">
        <v>2557</v>
      </c>
      <c r="M393" s="456">
        <v>1825</v>
      </c>
      <c r="N393" s="456"/>
      <c r="O393" s="456"/>
      <c r="P393" s="456">
        <v>1823.89</v>
      </c>
    </row>
    <row r="394" spans="1:16" hidden="1" x14ac:dyDescent="0.5">
      <c r="A394" s="438">
        <v>99</v>
      </c>
      <c r="B394" s="438" t="s">
        <v>3797</v>
      </c>
      <c r="C394" s="438" t="s">
        <v>3750</v>
      </c>
      <c r="D394" s="438" t="s">
        <v>4041</v>
      </c>
      <c r="E394" s="438" t="s">
        <v>2560</v>
      </c>
      <c r="F394" s="438" t="s">
        <v>2554</v>
      </c>
      <c r="G394" s="438" t="s">
        <v>2620</v>
      </c>
      <c r="H394" s="438" t="s">
        <v>3480</v>
      </c>
      <c r="I394" s="438" t="s">
        <v>2563</v>
      </c>
      <c r="J394" s="438" t="s">
        <v>2576</v>
      </c>
      <c r="K394" s="438" t="s">
        <v>2621</v>
      </c>
      <c r="L394" s="438" t="s">
        <v>2557</v>
      </c>
      <c r="M394" s="456">
        <v>2816</v>
      </c>
      <c r="N394" s="456"/>
      <c r="O394" s="456"/>
      <c r="P394" s="456">
        <v>2816.2860000000001</v>
      </c>
    </row>
    <row r="395" spans="1:16" hidden="1" x14ac:dyDescent="0.5">
      <c r="A395" s="438">
        <v>100</v>
      </c>
      <c r="B395" s="438" t="s">
        <v>3797</v>
      </c>
      <c r="C395" s="438" t="s">
        <v>3750</v>
      </c>
      <c r="D395" s="438" t="s">
        <v>4042</v>
      </c>
      <c r="E395" s="438" t="s">
        <v>2625</v>
      </c>
      <c r="F395" s="438" t="s">
        <v>2554</v>
      </c>
      <c r="G395" s="438" t="s">
        <v>2633</v>
      </c>
      <c r="H395" s="438" t="s">
        <v>2921</v>
      </c>
      <c r="I395" s="438" t="s">
        <v>2628</v>
      </c>
      <c r="J395" s="438" t="s">
        <v>2628</v>
      </c>
      <c r="K395" s="438" t="s">
        <v>2621</v>
      </c>
      <c r="L395" s="438" t="s">
        <v>2557</v>
      </c>
      <c r="M395" s="456">
        <v>795</v>
      </c>
      <c r="N395" s="456"/>
      <c r="O395" s="456"/>
      <c r="P395" s="456">
        <v>795.08100000000002</v>
      </c>
    </row>
    <row r="396" spans="1:16" hidden="1" x14ac:dyDescent="0.5">
      <c r="A396" s="438">
        <v>101</v>
      </c>
      <c r="B396" s="438" t="s">
        <v>3797</v>
      </c>
      <c r="C396" s="438" t="s">
        <v>3750</v>
      </c>
      <c r="D396" s="438" t="s">
        <v>4043</v>
      </c>
      <c r="E396" s="438" t="s">
        <v>2560</v>
      </c>
      <c r="F396" s="438" t="s">
        <v>2554</v>
      </c>
      <c r="G396" s="438" t="s">
        <v>2622</v>
      </c>
      <c r="H396" s="438" t="s">
        <v>2716</v>
      </c>
      <c r="I396" s="438" t="s">
        <v>2623</v>
      </c>
      <c r="J396" s="438" t="s">
        <v>2623</v>
      </c>
      <c r="K396" s="438" t="s">
        <v>2621</v>
      </c>
      <c r="L396" s="438" t="s">
        <v>2557</v>
      </c>
      <c r="M396" s="456">
        <v>6268</v>
      </c>
      <c r="N396" s="456"/>
      <c r="O396" s="456"/>
      <c r="P396" s="456">
        <v>6268.6350000000002</v>
      </c>
    </row>
    <row r="397" spans="1:16" hidden="1" x14ac:dyDescent="0.5">
      <c r="A397" s="438">
        <v>102</v>
      </c>
      <c r="B397" s="438" t="s">
        <v>3797</v>
      </c>
      <c r="C397" s="438" t="s">
        <v>3750</v>
      </c>
      <c r="D397" s="438" t="s">
        <v>4044</v>
      </c>
      <c r="E397" s="438" t="s">
        <v>2625</v>
      </c>
      <c r="F397" s="438" t="s">
        <v>2554</v>
      </c>
      <c r="G397" s="438" t="s">
        <v>2634</v>
      </c>
      <c r="H397" s="438" t="s">
        <v>4045</v>
      </c>
      <c r="I397" s="438" t="s">
        <v>2636</v>
      </c>
      <c r="J397" s="438" t="s">
        <v>2636</v>
      </c>
      <c r="K397" s="438" t="s">
        <v>2621</v>
      </c>
      <c r="L397" s="438" t="s">
        <v>2557</v>
      </c>
      <c r="M397" s="456">
        <v>604</v>
      </c>
      <c r="N397" s="456"/>
      <c r="O397" s="456"/>
      <c r="P397" s="456">
        <v>603.755</v>
      </c>
    </row>
    <row r="398" spans="1:16" hidden="1" x14ac:dyDescent="0.5">
      <c r="A398" s="438">
        <v>103</v>
      </c>
      <c r="B398" s="438" t="s">
        <v>3797</v>
      </c>
      <c r="C398" s="438" t="s">
        <v>3750</v>
      </c>
      <c r="D398" s="438" t="s">
        <v>4046</v>
      </c>
      <c r="E398" s="438" t="s">
        <v>2625</v>
      </c>
      <c r="F398" s="438" t="s">
        <v>2554</v>
      </c>
      <c r="G398" s="438" t="s">
        <v>2626</v>
      </c>
      <c r="H398" s="438" t="s">
        <v>2639</v>
      </c>
      <c r="I398" s="438" t="s">
        <v>2628</v>
      </c>
      <c r="J398" s="438" t="s">
        <v>2628</v>
      </c>
      <c r="K398" s="438" t="s">
        <v>2621</v>
      </c>
      <c r="L398" s="438" t="s">
        <v>2557</v>
      </c>
      <c r="M398" s="456">
        <v>2002</v>
      </c>
      <c r="N398" s="456"/>
      <c r="O398" s="456"/>
      <c r="P398" s="456">
        <v>2001.1880000000001</v>
      </c>
    </row>
    <row r="399" spans="1:16" hidden="1" x14ac:dyDescent="0.5">
      <c r="A399" s="438">
        <v>104</v>
      </c>
      <c r="B399" s="438" t="s">
        <v>3797</v>
      </c>
      <c r="C399" s="438" t="s">
        <v>3750</v>
      </c>
      <c r="D399" s="438" t="s">
        <v>4047</v>
      </c>
      <c r="E399" s="438" t="s">
        <v>2560</v>
      </c>
      <c r="F399" s="438" t="s">
        <v>2554</v>
      </c>
      <c r="G399" s="438" t="s">
        <v>2624</v>
      </c>
      <c r="H399" s="438" t="s">
        <v>2981</v>
      </c>
      <c r="I399" s="438" t="s">
        <v>2623</v>
      </c>
      <c r="J399" s="438" t="s">
        <v>2623</v>
      </c>
      <c r="K399" s="438" t="s">
        <v>2621</v>
      </c>
      <c r="L399" s="438" t="s">
        <v>2557</v>
      </c>
      <c r="M399" s="456">
        <v>7502</v>
      </c>
      <c r="N399" s="456"/>
      <c r="O399" s="456"/>
      <c r="P399" s="456">
        <v>7498.9579999999996</v>
      </c>
    </row>
    <row r="400" spans="1:16" hidden="1" x14ac:dyDescent="0.5">
      <c r="A400" s="438">
        <v>105</v>
      </c>
      <c r="B400" s="438" t="s">
        <v>3813</v>
      </c>
      <c r="C400" s="438" t="s">
        <v>3810</v>
      </c>
      <c r="D400" s="438" t="s">
        <v>4048</v>
      </c>
      <c r="E400" s="438" t="s">
        <v>2560</v>
      </c>
      <c r="F400" s="438" t="s">
        <v>2554</v>
      </c>
      <c r="G400" s="438" t="s">
        <v>2620</v>
      </c>
      <c r="H400" s="438" t="s">
        <v>3480</v>
      </c>
      <c r="I400" s="438" t="s">
        <v>2563</v>
      </c>
      <c r="J400" s="438" t="s">
        <v>2576</v>
      </c>
      <c r="K400" s="438" t="s">
        <v>2621</v>
      </c>
      <c r="L400" s="438" t="s">
        <v>2557</v>
      </c>
      <c r="M400" s="456">
        <v>1369</v>
      </c>
      <c r="N400" s="456"/>
      <c r="O400" s="456"/>
      <c r="P400" s="456">
        <v>1368.306</v>
      </c>
    </row>
    <row r="401" spans="1:16" hidden="1" x14ac:dyDescent="0.5">
      <c r="A401" s="438">
        <v>106</v>
      </c>
      <c r="B401" s="438" t="s">
        <v>3813</v>
      </c>
      <c r="C401" s="438" t="s">
        <v>3810</v>
      </c>
      <c r="D401" s="438" t="s">
        <v>4049</v>
      </c>
      <c r="E401" s="438" t="s">
        <v>2560</v>
      </c>
      <c r="F401" s="438" t="s">
        <v>2554</v>
      </c>
      <c r="G401" s="438" t="s">
        <v>2622</v>
      </c>
      <c r="H401" s="438" t="s">
        <v>2716</v>
      </c>
      <c r="I401" s="438" t="s">
        <v>2623</v>
      </c>
      <c r="J401" s="438" t="s">
        <v>2623</v>
      </c>
      <c r="K401" s="438" t="s">
        <v>2621</v>
      </c>
      <c r="L401" s="438" t="s">
        <v>2557</v>
      </c>
      <c r="M401" s="456">
        <v>6068</v>
      </c>
      <c r="N401" s="456"/>
      <c r="O401" s="456"/>
      <c r="P401" s="456">
        <v>6064.924</v>
      </c>
    </row>
    <row r="402" spans="1:16" hidden="1" x14ac:dyDescent="0.5">
      <c r="A402" s="438">
        <v>107</v>
      </c>
      <c r="B402" s="438" t="s">
        <v>3813</v>
      </c>
      <c r="C402" s="438" t="s">
        <v>3810</v>
      </c>
      <c r="D402" s="438" t="s">
        <v>4050</v>
      </c>
      <c r="E402" s="438" t="s">
        <v>2625</v>
      </c>
      <c r="F402" s="438" t="s">
        <v>2554</v>
      </c>
      <c r="G402" s="438" t="s">
        <v>2626</v>
      </c>
      <c r="H402" s="438" t="s">
        <v>2639</v>
      </c>
      <c r="I402" s="438" t="s">
        <v>2628</v>
      </c>
      <c r="J402" s="438" t="s">
        <v>2628</v>
      </c>
      <c r="K402" s="438" t="s">
        <v>2621</v>
      </c>
      <c r="L402" s="438" t="s">
        <v>2557</v>
      </c>
      <c r="M402" s="456">
        <v>614</v>
      </c>
      <c r="N402" s="456"/>
      <c r="O402" s="456"/>
      <c r="P402" s="456">
        <v>613.68899999999996</v>
      </c>
    </row>
    <row r="403" spans="1:16" hidden="1" x14ac:dyDescent="0.5">
      <c r="A403" s="438">
        <v>108</v>
      </c>
      <c r="B403" s="438" t="s">
        <v>3813</v>
      </c>
      <c r="C403" s="438" t="s">
        <v>3810</v>
      </c>
      <c r="D403" s="438" t="s">
        <v>4051</v>
      </c>
      <c r="E403" s="438" t="s">
        <v>2560</v>
      </c>
      <c r="F403" s="438" t="s">
        <v>2554</v>
      </c>
      <c r="G403" s="438" t="s">
        <v>2624</v>
      </c>
      <c r="H403" s="438" t="s">
        <v>3985</v>
      </c>
      <c r="I403" s="438" t="s">
        <v>2623</v>
      </c>
      <c r="J403" s="438" t="s">
        <v>2623</v>
      </c>
      <c r="K403" s="438" t="s">
        <v>2621</v>
      </c>
      <c r="L403" s="438" t="s">
        <v>2557</v>
      </c>
      <c r="M403" s="456">
        <v>6330</v>
      </c>
      <c r="N403" s="456"/>
      <c r="O403" s="456"/>
      <c r="P403" s="456">
        <v>6326.7910000000002</v>
      </c>
    </row>
    <row r="404" spans="1:16" hidden="1" x14ac:dyDescent="0.5">
      <c r="A404" s="438">
        <v>109</v>
      </c>
      <c r="B404" s="438" t="s">
        <v>3826</v>
      </c>
      <c r="C404" s="438" t="s">
        <v>3810</v>
      </c>
      <c r="D404" s="438" t="s">
        <v>4052</v>
      </c>
      <c r="E404" s="438" t="s">
        <v>2560</v>
      </c>
      <c r="F404" s="438" t="s">
        <v>2554</v>
      </c>
      <c r="G404" s="438" t="s">
        <v>2620</v>
      </c>
      <c r="H404" s="438" t="s">
        <v>3480</v>
      </c>
      <c r="I404" s="438" t="s">
        <v>2563</v>
      </c>
      <c r="J404" s="438" t="s">
        <v>2576</v>
      </c>
      <c r="K404" s="438" t="s">
        <v>2621</v>
      </c>
      <c r="L404" s="438" t="s">
        <v>2557</v>
      </c>
      <c r="M404" s="456">
        <v>2456</v>
      </c>
      <c r="N404" s="456"/>
      <c r="O404" s="456"/>
      <c r="P404" s="456">
        <v>2457.2449999999999</v>
      </c>
    </row>
    <row r="405" spans="1:16" hidden="1" x14ac:dyDescent="0.5">
      <c r="A405" s="438">
        <v>110</v>
      </c>
      <c r="B405" s="438" t="s">
        <v>3826</v>
      </c>
      <c r="C405" s="438" t="s">
        <v>3810</v>
      </c>
      <c r="D405" s="438" t="s">
        <v>4053</v>
      </c>
      <c r="E405" s="438" t="s">
        <v>2560</v>
      </c>
      <c r="F405" s="438" t="s">
        <v>2554</v>
      </c>
      <c r="G405" s="438" t="s">
        <v>2622</v>
      </c>
      <c r="H405" s="438" t="s">
        <v>2981</v>
      </c>
      <c r="I405" s="438" t="s">
        <v>2623</v>
      </c>
      <c r="J405" s="438" t="s">
        <v>2623</v>
      </c>
      <c r="K405" s="438" t="s">
        <v>2621</v>
      </c>
      <c r="L405" s="438" t="s">
        <v>2557</v>
      </c>
      <c r="M405" s="456">
        <v>5919</v>
      </c>
      <c r="N405" s="456"/>
      <c r="O405" s="456"/>
      <c r="P405" s="456">
        <v>5922</v>
      </c>
    </row>
    <row r="406" spans="1:16" hidden="1" x14ac:dyDescent="0.5">
      <c r="A406" s="438">
        <v>111</v>
      </c>
      <c r="B406" s="438" t="s">
        <v>3841</v>
      </c>
      <c r="C406" s="438" t="s">
        <v>3810</v>
      </c>
      <c r="D406" s="438" t="s">
        <v>4054</v>
      </c>
      <c r="E406" s="438" t="s">
        <v>2560</v>
      </c>
      <c r="F406" s="438" t="s">
        <v>2554</v>
      </c>
      <c r="G406" s="438" t="s">
        <v>2622</v>
      </c>
      <c r="H406" s="438" t="s">
        <v>2981</v>
      </c>
      <c r="I406" s="438" t="s">
        <v>2623</v>
      </c>
      <c r="J406" s="438" t="s">
        <v>2623</v>
      </c>
      <c r="K406" s="438" t="s">
        <v>2621</v>
      </c>
      <c r="L406" s="438" t="s">
        <v>2557</v>
      </c>
      <c r="M406" s="456">
        <v>6301</v>
      </c>
      <c r="N406" s="456"/>
      <c r="O406" s="456"/>
      <c r="P406" s="456">
        <v>6304.1940000000004</v>
      </c>
    </row>
    <row r="407" spans="1:16" hidden="1" x14ac:dyDescent="0.5">
      <c r="A407" s="438">
        <v>112</v>
      </c>
      <c r="B407" s="438" t="s">
        <v>3841</v>
      </c>
      <c r="C407" s="438" t="s">
        <v>3810</v>
      </c>
      <c r="D407" s="438" t="s">
        <v>4055</v>
      </c>
      <c r="E407" s="438" t="s">
        <v>2625</v>
      </c>
      <c r="F407" s="438" t="s">
        <v>2554</v>
      </c>
      <c r="G407" s="438" t="s">
        <v>2626</v>
      </c>
      <c r="H407" s="438" t="s">
        <v>2627</v>
      </c>
      <c r="I407" s="438" t="s">
        <v>2628</v>
      </c>
      <c r="J407" s="438" t="s">
        <v>2628</v>
      </c>
      <c r="K407" s="438" t="s">
        <v>2621</v>
      </c>
      <c r="L407" s="438" t="s">
        <v>2557</v>
      </c>
      <c r="M407" s="456">
        <v>667</v>
      </c>
      <c r="N407" s="456"/>
      <c r="O407" s="456"/>
      <c r="P407" s="456">
        <v>666.79700000000003</v>
      </c>
    </row>
    <row r="408" spans="1:16" hidden="1" x14ac:dyDescent="0.5">
      <c r="A408" s="438">
        <v>113</v>
      </c>
      <c r="B408" s="438" t="s">
        <v>3859</v>
      </c>
      <c r="C408" s="438" t="s">
        <v>3810</v>
      </c>
      <c r="D408" s="438" t="s">
        <v>4056</v>
      </c>
      <c r="E408" s="438" t="s">
        <v>2560</v>
      </c>
      <c r="F408" s="438" t="s">
        <v>2554</v>
      </c>
      <c r="G408" s="438" t="s">
        <v>2620</v>
      </c>
      <c r="H408" s="438" t="s">
        <v>3857</v>
      </c>
      <c r="I408" s="438" t="s">
        <v>2563</v>
      </c>
      <c r="J408" s="438" t="s">
        <v>2576</v>
      </c>
      <c r="K408" s="438" t="s">
        <v>2621</v>
      </c>
      <c r="L408" s="438" t="s">
        <v>2557</v>
      </c>
      <c r="M408" s="456">
        <v>2474</v>
      </c>
      <c r="N408" s="456"/>
      <c r="O408" s="456"/>
      <c r="P408" s="456">
        <v>2474.2510000000002</v>
      </c>
    </row>
    <row r="409" spans="1:16" hidden="1" x14ac:dyDescent="0.5">
      <c r="A409" s="438">
        <v>114</v>
      </c>
      <c r="B409" s="438" t="s">
        <v>3859</v>
      </c>
      <c r="C409" s="438" t="s">
        <v>3867</v>
      </c>
      <c r="D409" s="438" t="s">
        <v>4057</v>
      </c>
      <c r="E409" s="438" t="s">
        <v>2625</v>
      </c>
      <c r="F409" s="438" t="s">
        <v>2554</v>
      </c>
      <c r="G409" s="438" t="s">
        <v>3950</v>
      </c>
      <c r="H409" s="438" t="s">
        <v>2718</v>
      </c>
      <c r="I409" s="438" t="s">
        <v>2628</v>
      </c>
      <c r="J409" s="438" t="s">
        <v>2628</v>
      </c>
      <c r="K409" s="438" t="s">
        <v>2621</v>
      </c>
      <c r="L409" s="438" t="s">
        <v>2557</v>
      </c>
      <c r="M409" s="456">
        <v>995</v>
      </c>
      <c r="N409" s="456"/>
      <c r="O409" s="456"/>
      <c r="P409" s="456">
        <v>995.101</v>
      </c>
    </row>
    <row r="410" spans="1:16" hidden="1" x14ac:dyDescent="0.5">
      <c r="A410" s="438">
        <v>115</v>
      </c>
      <c r="B410" s="438" t="s">
        <v>3859</v>
      </c>
      <c r="C410" s="438" t="s">
        <v>3867</v>
      </c>
      <c r="D410" s="438" t="s">
        <v>4058</v>
      </c>
      <c r="E410" s="438" t="s">
        <v>2560</v>
      </c>
      <c r="F410" s="438" t="s">
        <v>2554</v>
      </c>
      <c r="G410" s="438" t="s">
        <v>2622</v>
      </c>
      <c r="H410" s="438" t="s">
        <v>3501</v>
      </c>
      <c r="I410" s="438" t="s">
        <v>2623</v>
      </c>
      <c r="J410" s="438" t="s">
        <v>2623</v>
      </c>
      <c r="K410" s="438" t="s">
        <v>2621</v>
      </c>
      <c r="L410" s="438" t="s">
        <v>2557</v>
      </c>
      <c r="M410" s="456">
        <v>5466</v>
      </c>
      <c r="N410" s="456"/>
      <c r="O410" s="456"/>
      <c r="P410" s="456">
        <v>5466.5540000000001</v>
      </c>
    </row>
    <row r="411" spans="1:16" hidden="1" x14ac:dyDescent="0.5">
      <c r="A411" s="438">
        <v>116</v>
      </c>
      <c r="B411" s="438" t="s">
        <v>3859</v>
      </c>
      <c r="C411" s="438" t="s">
        <v>3867</v>
      </c>
      <c r="D411" s="438" t="s">
        <v>4059</v>
      </c>
      <c r="E411" s="438" t="s">
        <v>2625</v>
      </c>
      <c r="F411" s="438" t="s">
        <v>2554</v>
      </c>
      <c r="G411" s="438" t="s">
        <v>2634</v>
      </c>
      <c r="H411" s="438" t="s">
        <v>4060</v>
      </c>
      <c r="I411" s="438" t="s">
        <v>2636</v>
      </c>
      <c r="J411" s="438" t="s">
        <v>2636</v>
      </c>
      <c r="K411" s="438" t="s">
        <v>2621</v>
      </c>
      <c r="L411" s="438" t="s">
        <v>2557</v>
      </c>
      <c r="M411" s="456">
        <v>1038</v>
      </c>
      <c r="N411" s="456"/>
      <c r="O411" s="456"/>
      <c r="P411" s="456">
        <v>1037.4739999999999</v>
      </c>
    </row>
    <row r="412" spans="1:16" hidden="1" x14ac:dyDescent="0.5">
      <c r="A412" s="438">
        <v>117</v>
      </c>
      <c r="B412" s="438" t="s">
        <v>3859</v>
      </c>
      <c r="C412" s="438" t="s">
        <v>3867</v>
      </c>
      <c r="D412" s="438" t="s">
        <v>4061</v>
      </c>
      <c r="E412" s="438" t="s">
        <v>2637</v>
      </c>
      <c r="F412" s="438" t="s">
        <v>2554</v>
      </c>
      <c r="G412" s="438" t="s">
        <v>4062</v>
      </c>
      <c r="H412" s="438" t="s">
        <v>3956</v>
      </c>
      <c r="I412" s="438" t="s">
        <v>2628</v>
      </c>
      <c r="J412" s="438" t="s">
        <v>2628</v>
      </c>
      <c r="K412" s="438" t="s">
        <v>2621</v>
      </c>
      <c r="L412" s="438" t="s">
        <v>2557</v>
      </c>
      <c r="M412" s="456">
        <v>1537</v>
      </c>
      <c r="N412" s="456"/>
      <c r="O412" s="456"/>
      <c r="P412" s="456">
        <v>1536.221</v>
      </c>
    </row>
    <row r="413" spans="1:16" hidden="1" x14ac:dyDescent="0.5">
      <c r="A413" s="438">
        <v>118</v>
      </c>
      <c r="B413" s="438" t="s">
        <v>3877</v>
      </c>
      <c r="C413" s="438" t="s">
        <v>3867</v>
      </c>
      <c r="D413" s="438" t="s">
        <v>4063</v>
      </c>
      <c r="E413" s="438" t="s">
        <v>2625</v>
      </c>
      <c r="F413" s="438" t="s">
        <v>2554</v>
      </c>
      <c r="G413" s="438" t="s">
        <v>3950</v>
      </c>
      <c r="H413" s="438" t="s">
        <v>2921</v>
      </c>
      <c r="I413" s="438" t="s">
        <v>2628</v>
      </c>
      <c r="J413" s="438" t="s">
        <v>2628</v>
      </c>
      <c r="K413" s="438" t="s">
        <v>2621</v>
      </c>
      <c r="L413" s="438" t="s">
        <v>2557</v>
      </c>
      <c r="M413" s="456">
        <v>1430</v>
      </c>
      <c r="N413" s="456"/>
      <c r="O413" s="456"/>
      <c r="P413" s="456">
        <v>1429.13</v>
      </c>
    </row>
    <row r="414" spans="1:16" hidden="1" x14ac:dyDescent="0.5">
      <c r="A414" s="438">
        <v>119</v>
      </c>
      <c r="B414" s="438" t="s">
        <v>3877</v>
      </c>
      <c r="C414" s="438" t="s">
        <v>3867</v>
      </c>
      <c r="D414" s="438" t="s">
        <v>4064</v>
      </c>
      <c r="E414" s="438" t="s">
        <v>2560</v>
      </c>
      <c r="F414" s="438" t="s">
        <v>2554</v>
      </c>
      <c r="G414" s="438" t="s">
        <v>2622</v>
      </c>
      <c r="H414" s="438" t="s">
        <v>3501</v>
      </c>
      <c r="I414" s="438" t="s">
        <v>2623</v>
      </c>
      <c r="J414" s="438" t="s">
        <v>2623</v>
      </c>
      <c r="K414" s="438" t="s">
        <v>2621</v>
      </c>
      <c r="L414" s="438" t="s">
        <v>2557</v>
      </c>
      <c r="M414" s="456">
        <v>3508</v>
      </c>
      <c r="N414" s="456"/>
      <c r="O414" s="456"/>
      <c r="P414" s="456">
        <v>3505.866</v>
      </c>
    </row>
    <row r="415" spans="1:16" hidden="1" x14ac:dyDescent="0.5">
      <c r="A415" s="438">
        <v>120</v>
      </c>
      <c r="B415" s="438" t="s">
        <v>3877</v>
      </c>
      <c r="C415" s="438" t="s">
        <v>3867</v>
      </c>
      <c r="D415" s="438" t="s">
        <v>4065</v>
      </c>
      <c r="E415" s="438" t="s">
        <v>3657</v>
      </c>
      <c r="F415" s="438" t="s">
        <v>2559</v>
      </c>
      <c r="G415" s="438" t="s">
        <v>2612</v>
      </c>
      <c r="H415" s="438" t="s">
        <v>4066</v>
      </c>
      <c r="I415" s="438" t="s">
        <v>2562</v>
      </c>
      <c r="J415" s="438" t="s">
        <v>2623</v>
      </c>
      <c r="K415" s="438" t="s">
        <v>2621</v>
      </c>
      <c r="L415" s="438" t="s">
        <v>2557</v>
      </c>
      <c r="M415" s="456">
        <v>530</v>
      </c>
      <c r="N415" s="456"/>
      <c r="O415" s="456"/>
      <c r="P415" s="456">
        <v>529.678</v>
      </c>
    </row>
    <row r="416" spans="1:16" hidden="1" x14ac:dyDescent="0.5">
      <c r="A416" s="438">
        <v>121</v>
      </c>
      <c r="B416" s="438" t="s">
        <v>3877</v>
      </c>
      <c r="C416" s="438" t="s">
        <v>3867</v>
      </c>
      <c r="D416" s="438" t="s">
        <v>4067</v>
      </c>
      <c r="E416" s="438" t="s">
        <v>2625</v>
      </c>
      <c r="F416" s="438" t="s">
        <v>2554</v>
      </c>
      <c r="G416" s="438" t="s">
        <v>2633</v>
      </c>
      <c r="H416" s="438" t="s">
        <v>2627</v>
      </c>
      <c r="I416" s="438" t="s">
        <v>2628</v>
      </c>
      <c r="J416" s="438" t="s">
        <v>2628</v>
      </c>
      <c r="K416" s="438" t="s">
        <v>2621</v>
      </c>
      <c r="L416" s="438" t="s">
        <v>2557</v>
      </c>
      <c r="M416" s="456">
        <v>1847</v>
      </c>
      <c r="N416" s="456"/>
      <c r="O416" s="456"/>
      <c r="P416" s="456">
        <v>1845.877</v>
      </c>
    </row>
    <row r="417" spans="1:16" hidden="1" x14ac:dyDescent="0.5">
      <c r="A417" s="438">
        <v>122</v>
      </c>
      <c r="B417" s="438" t="s">
        <v>3877</v>
      </c>
      <c r="C417" s="438" t="s">
        <v>3867</v>
      </c>
      <c r="D417" s="438" t="s">
        <v>4068</v>
      </c>
      <c r="E417" s="438" t="s">
        <v>2560</v>
      </c>
      <c r="F417" s="438" t="s">
        <v>2554</v>
      </c>
      <c r="G417" s="438" t="s">
        <v>2624</v>
      </c>
      <c r="H417" s="438" t="s">
        <v>3501</v>
      </c>
      <c r="I417" s="438" t="s">
        <v>2623</v>
      </c>
      <c r="J417" s="438" t="s">
        <v>2623</v>
      </c>
      <c r="K417" s="438" t="s">
        <v>2621</v>
      </c>
      <c r="L417" s="438" t="s">
        <v>2557</v>
      </c>
      <c r="M417" s="456">
        <v>6422</v>
      </c>
      <c r="N417" s="456"/>
      <c r="O417" s="456"/>
      <c r="P417" s="456">
        <v>6417.442</v>
      </c>
    </row>
    <row r="418" spans="1:16" hidden="1" x14ac:dyDescent="0.5">
      <c r="A418" s="438">
        <v>123</v>
      </c>
      <c r="B418" s="438" t="s">
        <v>3889</v>
      </c>
      <c r="C418" s="438" t="s">
        <v>3867</v>
      </c>
      <c r="D418" s="438" t="s">
        <v>4069</v>
      </c>
      <c r="E418" s="438" t="s">
        <v>2560</v>
      </c>
      <c r="F418" s="438" t="s">
        <v>2554</v>
      </c>
      <c r="G418" s="438" t="s">
        <v>2622</v>
      </c>
      <c r="H418" s="438" t="s">
        <v>3343</v>
      </c>
      <c r="I418" s="438" t="s">
        <v>2623</v>
      </c>
      <c r="J418" s="438" t="s">
        <v>2623</v>
      </c>
      <c r="K418" s="438" t="s">
        <v>2621</v>
      </c>
      <c r="L418" s="438" t="s">
        <v>2557</v>
      </c>
      <c r="M418" s="456">
        <v>4753</v>
      </c>
      <c r="N418" s="456"/>
      <c r="O418" s="456"/>
      <c r="P418" s="456">
        <v>4754.4459999999999</v>
      </c>
    </row>
    <row r="419" spans="1:16" hidden="1" x14ac:dyDescent="0.5">
      <c r="A419" s="438">
        <v>124</v>
      </c>
      <c r="B419" s="438" t="s">
        <v>3889</v>
      </c>
      <c r="C419" s="438" t="s">
        <v>3867</v>
      </c>
      <c r="D419" s="438" t="s">
        <v>4070</v>
      </c>
      <c r="E419" s="438" t="s">
        <v>2625</v>
      </c>
      <c r="F419" s="438" t="s">
        <v>2554</v>
      </c>
      <c r="G419" s="438" t="s">
        <v>2634</v>
      </c>
      <c r="H419" s="438" t="s">
        <v>4071</v>
      </c>
      <c r="I419" s="438" t="s">
        <v>2636</v>
      </c>
      <c r="J419" s="438" t="s">
        <v>2636</v>
      </c>
      <c r="K419" s="438" t="s">
        <v>2621</v>
      </c>
      <c r="L419" s="438" t="s">
        <v>2557</v>
      </c>
      <c r="M419" s="456">
        <v>472</v>
      </c>
      <c r="N419" s="456"/>
      <c r="O419" s="456"/>
      <c r="P419" s="456">
        <v>471.85599999999999</v>
      </c>
    </row>
    <row r="420" spans="1:16" hidden="1" x14ac:dyDescent="0.5">
      <c r="A420" s="438">
        <v>125</v>
      </c>
      <c r="B420" s="438" t="s">
        <v>3889</v>
      </c>
      <c r="C420" s="438" t="s">
        <v>3867</v>
      </c>
      <c r="D420" s="438" t="s">
        <v>4072</v>
      </c>
      <c r="E420" s="438" t="s">
        <v>2560</v>
      </c>
      <c r="F420" s="438" t="s">
        <v>2554</v>
      </c>
      <c r="G420" s="438" t="s">
        <v>2624</v>
      </c>
      <c r="H420" s="438" t="s">
        <v>3501</v>
      </c>
      <c r="I420" s="438" t="s">
        <v>2623</v>
      </c>
      <c r="J420" s="438" t="s">
        <v>2623</v>
      </c>
      <c r="K420" s="438" t="s">
        <v>2621</v>
      </c>
      <c r="L420" s="438" t="s">
        <v>2557</v>
      </c>
      <c r="M420" s="456">
        <v>6679</v>
      </c>
      <c r="N420" s="456"/>
      <c r="O420" s="456"/>
      <c r="P420" s="456">
        <v>6676.9690000000001</v>
      </c>
    </row>
    <row r="421" spans="1:16" hidden="1" x14ac:dyDescent="0.5">
      <c r="A421" s="438">
        <v>126</v>
      </c>
      <c r="B421" s="438" t="s">
        <v>3905</v>
      </c>
      <c r="C421" s="438" t="s">
        <v>3867</v>
      </c>
      <c r="D421" s="438" t="s">
        <v>4073</v>
      </c>
      <c r="E421" s="438" t="s">
        <v>2560</v>
      </c>
      <c r="F421" s="438" t="s">
        <v>2554</v>
      </c>
      <c r="G421" s="438" t="s">
        <v>2622</v>
      </c>
      <c r="H421" s="438" t="s">
        <v>3343</v>
      </c>
      <c r="I421" s="438" t="s">
        <v>2623</v>
      </c>
      <c r="J421" s="438" t="s">
        <v>2623</v>
      </c>
      <c r="K421" s="438" t="s">
        <v>2621</v>
      </c>
      <c r="L421" s="438" t="s">
        <v>2557</v>
      </c>
      <c r="M421" s="456">
        <v>5376</v>
      </c>
      <c r="N421" s="456"/>
      <c r="O421" s="456"/>
      <c r="P421" s="456">
        <v>5376</v>
      </c>
    </row>
    <row r="422" spans="1:16" hidden="1" x14ac:dyDescent="0.5">
      <c r="A422" s="438">
        <v>127</v>
      </c>
      <c r="B422" s="438" t="s">
        <v>3905</v>
      </c>
      <c r="C422" s="438" t="s">
        <v>3867</v>
      </c>
      <c r="D422" s="438" t="s">
        <v>4074</v>
      </c>
      <c r="E422" s="438" t="s">
        <v>2625</v>
      </c>
      <c r="F422" s="438" t="s">
        <v>2554</v>
      </c>
      <c r="G422" s="438" t="s">
        <v>2634</v>
      </c>
      <c r="H422" s="438" t="s">
        <v>4071</v>
      </c>
      <c r="I422" s="438" t="s">
        <v>2636</v>
      </c>
      <c r="J422" s="438" t="s">
        <v>2636</v>
      </c>
      <c r="K422" s="438" t="s">
        <v>2621</v>
      </c>
      <c r="L422" s="438" t="s">
        <v>2557</v>
      </c>
      <c r="M422" s="456">
        <v>535</v>
      </c>
      <c r="N422" s="456"/>
      <c r="O422" s="456"/>
      <c r="P422" s="456">
        <v>535</v>
      </c>
    </row>
    <row r="423" spans="1:16" hidden="1" x14ac:dyDescent="0.5">
      <c r="A423" s="438">
        <v>128</v>
      </c>
      <c r="B423" s="438" t="s">
        <v>3905</v>
      </c>
      <c r="C423" s="438" t="s">
        <v>3916</v>
      </c>
      <c r="D423" s="438" t="s">
        <v>4075</v>
      </c>
      <c r="E423" s="438" t="s">
        <v>2560</v>
      </c>
      <c r="F423" s="438" t="s">
        <v>2554</v>
      </c>
      <c r="G423" s="438" t="s">
        <v>2624</v>
      </c>
      <c r="H423" s="438" t="s">
        <v>3501</v>
      </c>
      <c r="I423" s="438" t="s">
        <v>2623</v>
      </c>
      <c r="J423" s="438" t="s">
        <v>2623</v>
      </c>
      <c r="K423" s="438" t="s">
        <v>2621</v>
      </c>
      <c r="L423" s="438" t="s">
        <v>2557</v>
      </c>
      <c r="M423" s="456">
        <v>5932</v>
      </c>
      <c r="N423" s="456"/>
      <c r="O423" s="456"/>
      <c r="P423" s="456">
        <v>5932</v>
      </c>
    </row>
    <row r="424" spans="1:16" hidden="1" x14ac:dyDescent="0.5">
      <c r="A424" s="438">
        <v>129</v>
      </c>
      <c r="B424" s="438" t="s">
        <v>3918</v>
      </c>
      <c r="C424" s="438" t="s">
        <v>3916</v>
      </c>
      <c r="D424" s="438" t="s">
        <v>4076</v>
      </c>
      <c r="E424" s="438" t="s">
        <v>2625</v>
      </c>
      <c r="F424" s="438" t="s">
        <v>2554</v>
      </c>
      <c r="G424" s="438" t="s">
        <v>3950</v>
      </c>
      <c r="H424" s="438" t="s">
        <v>3874</v>
      </c>
      <c r="I424" s="438" t="s">
        <v>2628</v>
      </c>
      <c r="J424" s="438" t="s">
        <v>2628</v>
      </c>
      <c r="K424" s="438" t="s">
        <v>2621</v>
      </c>
      <c r="L424" s="438" t="s">
        <v>2557</v>
      </c>
      <c r="M424" s="456">
        <v>717</v>
      </c>
      <c r="N424" s="456"/>
      <c r="O424" s="456"/>
      <c r="P424" s="456">
        <v>717.36300000000006</v>
      </c>
    </row>
    <row r="425" spans="1:16" hidden="1" x14ac:dyDescent="0.5">
      <c r="A425" s="438">
        <v>130</v>
      </c>
      <c r="B425" s="438" t="s">
        <v>3918</v>
      </c>
      <c r="C425" s="438" t="s">
        <v>3916</v>
      </c>
      <c r="D425" s="438" t="s">
        <v>4077</v>
      </c>
      <c r="E425" s="438" t="s">
        <v>2560</v>
      </c>
      <c r="F425" s="438" t="s">
        <v>2554</v>
      </c>
      <c r="G425" s="438" t="s">
        <v>2622</v>
      </c>
      <c r="H425" s="438" t="s">
        <v>3343</v>
      </c>
      <c r="I425" s="438" t="s">
        <v>2623</v>
      </c>
      <c r="J425" s="438" t="s">
        <v>2623</v>
      </c>
      <c r="K425" s="438" t="s">
        <v>2621</v>
      </c>
      <c r="L425" s="438" t="s">
        <v>2557</v>
      </c>
      <c r="M425" s="456">
        <v>5473</v>
      </c>
      <c r="N425" s="456"/>
      <c r="O425" s="456"/>
      <c r="P425" s="456">
        <v>5475.7740000000003</v>
      </c>
    </row>
    <row r="426" spans="1:16" hidden="1" x14ac:dyDescent="0.5">
      <c r="A426" s="438">
        <v>131</v>
      </c>
      <c r="B426" s="438" t="s">
        <v>3918</v>
      </c>
      <c r="C426" s="438" t="s">
        <v>3916</v>
      </c>
      <c r="D426" s="438" t="s">
        <v>4078</v>
      </c>
      <c r="E426" s="438" t="s">
        <v>2625</v>
      </c>
      <c r="F426" s="438" t="s">
        <v>2554</v>
      </c>
      <c r="G426" s="438" t="s">
        <v>2633</v>
      </c>
      <c r="H426" s="438" t="s">
        <v>3874</v>
      </c>
      <c r="I426" s="438" t="s">
        <v>2628</v>
      </c>
      <c r="J426" s="438" t="s">
        <v>2628</v>
      </c>
      <c r="K426" s="438" t="s">
        <v>2621</v>
      </c>
      <c r="L426" s="438" t="s">
        <v>2557</v>
      </c>
      <c r="M426" s="456">
        <v>1067</v>
      </c>
      <c r="N426" s="456"/>
      <c r="O426" s="456"/>
      <c r="P426" s="456">
        <v>1067.5409999999999</v>
      </c>
    </row>
    <row r="427" spans="1:16" hidden="1" x14ac:dyDescent="0.5">
      <c r="A427" s="438">
        <v>132</v>
      </c>
      <c r="B427" s="438" t="s">
        <v>3918</v>
      </c>
      <c r="C427" s="438" t="s">
        <v>3916</v>
      </c>
      <c r="D427" s="438" t="s">
        <v>4079</v>
      </c>
      <c r="E427" s="438" t="s">
        <v>2560</v>
      </c>
      <c r="F427" s="438" t="s">
        <v>2554</v>
      </c>
      <c r="G427" s="438" t="s">
        <v>2624</v>
      </c>
      <c r="H427" s="438" t="s">
        <v>3004</v>
      </c>
      <c r="I427" s="438" t="s">
        <v>2623</v>
      </c>
      <c r="J427" s="438" t="s">
        <v>2623</v>
      </c>
      <c r="K427" s="438" t="s">
        <v>2621</v>
      </c>
      <c r="L427" s="438" t="s">
        <v>2557</v>
      </c>
      <c r="M427" s="456">
        <v>1890</v>
      </c>
      <c r="N427" s="456"/>
      <c r="O427" s="456"/>
      <c r="P427" s="456">
        <v>1890.192</v>
      </c>
    </row>
    <row r="428" spans="1:16" ht="12.75" x14ac:dyDescent="0.2">
      <c r="A428" s="468" t="s">
        <v>2640</v>
      </c>
      <c r="B428" s="468"/>
      <c r="C428" s="468"/>
      <c r="D428" s="468"/>
      <c r="E428" s="468"/>
      <c r="F428" s="468"/>
      <c r="G428" s="468"/>
      <c r="H428" s="468"/>
      <c r="I428" s="468"/>
      <c r="J428" s="468"/>
      <c r="K428" s="468"/>
      <c r="L428" s="468"/>
      <c r="M428" s="457">
        <f>SUM(M296:M427)</f>
        <v>429455</v>
      </c>
      <c r="N428" s="457"/>
      <c r="O428" s="457"/>
      <c r="P428" s="457">
        <f>SUM(P296:P427)</f>
        <v>429385.52299999993</v>
      </c>
    </row>
    <row r="429" spans="1:16" ht="12.75" x14ac:dyDescent="0.2">
      <c r="A429" s="468" t="s">
        <v>2641</v>
      </c>
      <c r="B429" s="468"/>
      <c r="C429" s="468"/>
      <c r="D429" s="468"/>
      <c r="E429" s="468"/>
      <c r="F429" s="468"/>
      <c r="G429" s="468"/>
      <c r="H429" s="468"/>
      <c r="I429" s="468"/>
      <c r="J429" s="468"/>
      <c r="K429" s="468"/>
      <c r="L429" s="468"/>
      <c r="M429" s="457">
        <f>SUM(M428,M295)</f>
        <v>4965221</v>
      </c>
      <c r="N429" s="457"/>
      <c r="O429" s="457"/>
      <c r="P429" s="457">
        <f>SUM(P428,P295)</f>
        <v>4964993.7209999999</v>
      </c>
    </row>
    <row r="431" spans="1:16" hidden="1" x14ac:dyDescent="0.5">
      <c r="A431" s="438">
        <v>1</v>
      </c>
      <c r="B431" s="438" t="s">
        <v>3545</v>
      </c>
      <c r="C431" s="438" t="s">
        <v>3547</v>
      </c>
      <c r="D431" s="438" t="s">
        <v>3938</v>
      </c>
      <c r="E431" s="438" t="s">
        <v>2891</v>
      </c>
      <c r="F431" s="438" t="s">
        <v>2554</v>
      </c>
      <c r="G431" s="438" t="s">
        <v>2631</v>
      </c>
      <c r="H431" s="438" t="s">
        <v>3939</v>
      </c>
      <c r="I431" s="438" t="s">
        <v>2577</v>
      </c>
      <c r="J431" s="438" t="s">
        <v>3940</v>
      </c>
      <c r="K431" s="438" t="s">
        <v>2621</v>
      </c>
      <c r="L431" s="438" t="s">
        <v>2557</v>
      </c>
      <c r="M431" s="456">
        <v>245</v>
      </c>
      <c r="N431" s="456"/>
      <c r="O431" s="456"/>
      <c r="P431" s="456">
        <v>245</v>
      </c>
    </row>
    <row r="432" spans="1:16" hidden="1" x14ac:dyDescent="0.5">
      <c r="A432" s="438">
        <v>2</v>
      </c>
      <c r="B432" s="438" t="s">
        <v>3583</v>
      </c>
      <c r="C432" s="438" t="s">
        <v>3588</v>
      </c>
      <c r="D432" s="438" t="s">
        <v>3961</v>
      </c>
      <c r="E432" s="438" t="s">
        <v>2891</v>
      </c>
      <c r="F432" s="438" t="s">
        <v>2554</v>
      </c>
      <c r="G432" s="438" t="s">
        <v>2631</v>
      </c>
      <c r="H432" s="438" t="s">
        <v>2890</v>
      </c>
      <c r="I432" s="438" t="s">
        <v>2889</v>
      </c>
      <c r="J432" s="438" t="s">
        <v>2715</v>
      </c>
      <c r="K432" s="438" t="s">
        <v>2621</v>
      </c>
      <c r="L432" s="438" t="s">
        <v>2557</v>
      </c>
      <c r="M432" s="456">
        <v>557</v>
      </c>
      <c r="N432" s="456"/>
      <c r="O432" s="456"/>
      <c r="P432" s="456">
        <v>557</v>
      </c>
    </row>
    <row r="433" spans="1:16" ht="12.75" x14ac:dyDescent="0.2">
      <c r="A433" s="468" t="s">
        <v>2888</v>
      </c>
      <c r="B433" s="468"/>
      <c r="C433" s="468"/>
      <c r="D433" s="468"/>
      <c r="E433" s="468"/>
      <c r="F433" s="468"/>
      <c r="G433" s="468"/>
      <c r="H433" s="468"/>
      <c r="I433" s="468"/>
      <c r="J433" s="468"/>
      <c r="K433" s="468"/>
      <c r="L433" s="468"/>
      <c r="M433" s="457">
        <f>SUM(M431:M432)</f>
        <v>802</v>
      </c>
      <c r="N433" s="457"/>
      <c r="O433" s="457"/>
      <c r="P433" s="457">
        <f>SUM(P431:P432)</f>
        <v>802</v>
      </c>
    </row>
    <row r="435" spans="1:16" x14ac:dyDescent="0.5">
      <c r="M435" s="453" t="s">
        <v>2640</v>
      </c>
      <c r="P435" s="453" t="s">
        <v>2619</v>
      </c>
    </row>
    <row r="436" spans="1:16" x14ac:dyDescent="0.5">
      <c r="A436" s="438"/>
      <c r="B436" s="438"/>
      <c r="C436" s="438" t="s">
        <v>3488</v>
      </c>
      <c r="D436" s="438"/>
      <c r="E436" s="438"/>
      <c r="F436" s="438"/>
      <c r="G436" s="438"/>
      <c r="H436" s="438"/>
      <c r="I436" s="438"/>
      <c r="J436" s="438"/>
      <c r="K436" s="438"/>
      <c r="L436" s="438" t="s">
        <v>3531</v>
      </c>
      <c r="M436" s="456">
        <v>14351.507000000001</v>
      </c>
      <c r="N436" s="456"/>
      <c r="O436" s="456"/>
      <c r="P436" s="456">
        <v>12928.755999999999</v>
      </c>
    </row>
    <row r="437" spans="1:16" x14ac:dyDescent="0.5">
      <c r="A437" s="438"/>
      <c r="B437" s="438"/>
      <c r="C437" s="438" t="s">
        <v>3488</v>
      </c>
      <c r="D437" s="438"/>
      <c r="E437" s="438"/>
      <c r="F437" s="438"/>
      <c r="G437" s="438"/>
      <c r="H437" s="438"/>
      <c r="I437" s="438"/>
      <c r="J437" s="438"/>
      <c r="K437" s="438"/>
      <c r="L437" s="438" t="s">
        <v>3531</v>
      </c>
      <c r="M437" s="456"/>
      <c r="N437" s="456"/>
      <c r="O437" s="456"/>
      <c r="P437" s="456">
        <v>39612.932999999997</v>
      </c>
    </row>
    <row r="438" spans="1:16" x14ac:dyDescent="0.5">
      <c r="A438" s="438"/>
      <c r="B438" s="438"/>
      <c r="C438" s="438" t="s">
        <v>3488</v>
      </c>
      <c r="D438" s="438"/>
      <c r="E438" s="438"/>
      <c r="F438" s="438"/>
      <c r="G438" s="438"/>
      <c r="H438" s="438"/>
      <c r="I438" s="438"/>
      <c r="J438" s="438"/>
      <c r="K438" s="438"/>
      <c r="L438" s="438" t="s">
        <v>3531</v>
      </c>
      <c r="M438" s="456"/>
      <c r="N438" s="456"/>
      <c r="O438" s="456"/>
      <c r="P438" s="456">
        <v>18391.54</v>
      </c>
    </row>
    <row r="439" spans="1:16" x14ac:dyDescent="0.5">
      <c r="A439" s="438"/>
      <c r="B439" s="438"/>
      <c r="C439" s="438" t="s">
        <v>3488</v>
      </c>
      <c r="D439" s="438"/>
      <c r="E439" s="438"/>
      <c r="F439" s="438"/>
      <c r="G439" s="438"/>
      <c r="H439" s="438"/>
      <c r="I439" s="438"/>
      <c r="J439" s="438"/>
      <c r="K439" s="438"/>
      <c r="L439" s="438" t="s">
        <v>3531</v>
      </c>
      <c r="M439" s="456"/>
      <c r="N439" s="456"/>
      <c r="O439" s="456"/>
      <c r="P439" s="456">
        <v>11571.307000000001</v>
      </c>
    </row>
    <row r="440" spans="1:16" x14ac:dyDescent="0.5">
      <c r="A440" s="438"/>
      <c r="B440" s="438"/>
      <c r="C440" s="438" t="s">
        <v>3488</v>
      </c>
      <c r="D440" s="438"/>
      <c r="E440" s="438"/>
      <c r="F440" s="438"/>
      <c r="G440" s="438"/>
      <c r="H440" s="438"/>
      <c r="I440" s="438"/>
      <c r="J440" s="438"/>
      <c r="K440" s="438"/>
      <c r="L440" s="438" t="s">
        <v>3531</v>
      </c>
      <c r="M440" s="456"/>
      <c r="N440" s="456"/>
      <c r="O440" s="456"/>
      <c r="P440" s="456">
        <v>15809.588</v>
      </c>
    </row>
    <row r="441" spans="1:16" x14ac:dyDescent="0.5">
      <c r="A441" s="438"/>
      <c r="B441" s="438"/>
      <c r="C441" s="438" t="s">
        <v>3488</v>
      </c>
      <c r="D441" s="438"/>
      <c r="E441" s="438"/>
      <c r="F441" s="438"/>
      <c r="G441" s="438"/>
      <c r="H441" s="438"/>
      <c r="I441" s="438"/>
      <c r="J441" s="438"/>
      <c r="K441" s="438"/>
      <c r="L441" s="438" t="s">
        <v>3531</v>
      </c>
      <c r="M441" s="456"/>
      <c r="N441" s="456"/>
      <c r="O441" s="456"/>
      <c r="P441" s="456">
        <v>58689.372000000003</v>
      </c>
    </row>
    <row r="442" spans="1:16" x14ac:dyDescent="0.5">
      <c r="A442" s="438"/>
      <c r="B442" s="438"/>
      <c r="C442" s="438" t="s">
        <v>3488</v>
      </c>
      <c r="D442" s="438"/>
      <c r="E442" s="438"/>
      <c r="F442" s="438"/>
      <c r="G442" s="438"/>
      <c r="H442" s="438"/>
      <c r="I442" s="438"/>
      <c r="J442" s="438"/>
      <c r="K442" s="438"/>
      <c r="L442" s="438" t="s">
        <v>3531</v>
      </c>
      <c r="M442" s="456"/>
      <c r="N442" s="456"/>
      <c r="O442" s="456"/>
      <c r="P442" s="456">
        <v>360.70699999999999</v>
      </c>
    </row>
    <row r="443" spans="1:16" x14ac:dyDescent="0.5">
      <c r="A443" s="438"/>
      <c r="B443" s="438"/>
      <c r="C443" s="438" t="s">
        <v>3488</v>
      </c>
      <c r="D443" s="438"/>
      <c r="E443" s="438"/>
      <c r="F443" s="438"/>
      <c r="G443" s="438"/>
      <c r="H443" s="438"/>
      <c r="I443" s="438"/>
      <c r="J443" s="438"/>
      <c r="K443" s="438"/>
      <c r="L443" s="438" t="s">
        <v>3531</v>
      </c>
      <c r="M443" s="456"/>
      <c r="N443" s="456"/>
      <c r="O443" s="456"/>
      <c r="P443" s="456">
        <v>12426.915000000001</v>
      </c>
    </row>
    <row r="444" spans="1:16" x14ac:dyDescent="0.5">
      <c r="A444" s="438"/>
      <c r="B444" s="438"/>
      <c r="C444" s="438" t="s">
        <v>3488</v>
      </c>
      <c r="D444" s="438"/>
      <c r="E444" s="438"/>
      <c r="F444" s="438"/>
      <c r="G444" s="438"/>
      <c r="H444" s="438"/>
      <c r="I444" s="438"/>
      <c r="J444" s="438"/>
      <c r="K444" s="438"/>
      <c r="L444" s="438" t="s">
        <v>3531</v>
      </c>
      <c r="M444" s="456"/>
      <c r="N444" s="456"/>
      <c r="O444" s="456"/>
      <c r="P444" s="456">
        <v>2787.7379999999998</v>
      </c>
    </row>
    <row r="445" spans="1:16" x14ac:dyDescent="0.5">
      <c r="A445" s="438"/>
      <c r="B445" s="438"/>
      <c r="C445" s="438" t="s">
        <v>3488</v>
      </c>
      <c r="D445" s="438"/>
      <c r="E445" s="438"/>
      <c r="F445" s="438"/>
      <c r="G445" s="438"/>
      <c r="H445" s="438"/>
      <c r="I445" s="438"/>
      <c r="J445" s="438"/>
      <c r="K445" s="438"/>
      <c r="L445" s="438" t="s">
        <v>3531</v>
      </c>
      <c r="M445" s="456"/>
      <c r="N445" s="456"/>
      <c r="O445" s="456"/>
      <c r="P445" s="456">
        <v>11709.498</v>
      </c>
    </row>
    <row r="446" spans="1:16" x14ac:dyDescent="0.5">
      <c r="A446" s="438"/>
      <c r="B446" s="438"/>
      <c r="C446" s="438" t="s">
        <v>3488</v>
      </c>
      <c r="D446" s="438"/>
      <c r="E446" s="438"/>
      <c r="F446" s="438"/>
      <c r="G446" s="438"/>
      <c r="H446" s="438"/>
      <c r="I446" s="438"/>
      <c r="J446" s="438"/>
      <c r="K446" s="438"/>
      <c r="L446" s="438" t="s">
        <v>3545</v>
      </c>
      <c r="M446" s="456">
        <v>14938.186000000002</v>
      </c>
      <c r="N446" s="456"/>
      <c r="O446" s="456"/>
      <c r="P446" s="456">
        <v>12420.259</v>
      </c>
    </row>
    <row r="447" spans="1:16" x14ac:dyDescent="0.5">
      <c r="A447" s="438"/>
      <c r="B447" s="438"/>
      <c r="C447" s="438" t="s">
        <v>3547</v>
      </c>
      <c r="D447" s="438"/>
      <c r="E447" s="438"/>
      <c r="F447" s="438"/>
      <c r="G447" s="438"/>
      <c r="H447" s="438"/>
      <c r="I447" s="438"/>
      <c r="J447" s="438"/>
      <c r="K447" s="438"/>
      <c r="L447" s="438" t="s">
        <v>3545</v>
      </c>
      <c r="M447" s="456"/>
      <c r="N447" s="456"/>
      <c r="O447" s="456"/>
      <c r="P447" s="456">
        <v>12011.217000000001</v>
      </c>
    </row>
    <row r="448" spans="1:16" x14ac:dyDescent="0.5">
      <c r="A448" s="438"/>
      <c r="B448" s="438"/>
      <c r="C448" s="438" t="s">
        <v>3547</v>
      </c>
      <c r="D448" s="438"/>
      <c r="E448" s="438"/>
      <c r="F448" s="438"/>
      <c r="G448" s="438"/>
      <c r="H448" s="438"/>
      <c r="I448" s="438"/>
      <c r="J448" s="438"/>
      <c r="K448" s="438"/>
      <c r="L448" s="438" t="s">
        <v>3545</v>
      </c>
      <c r="M448" s="456"/>
      <c r="N448" s="456"/>
      <c r="O448" s="456"/>
      <c r="P448" s="456">
        <v>10109.025</v>
      </c>
    </row>
    <row r="449" spans="1:16" x14ac:dyDescent="0.5">
      <c r="A449" s="438"/>
      <c r="B449" s="438"/>
      <c r="C449" s="438" t="s">
        <v>3547</v>
      </c>
      <c r="D449" s="438"/>
      <c r="E449" s="438"/>
      <c r="F449" s="438"/>
      <c r="G449" s="438"/>
      <c r="H449" s="438"/>
      <c r="I449" s="438"/>
      <c r="J449" s="438"/>
      <c r="K449" s="438"/>
      <c r="L449" s="438" t="s">
        <v>3545</v>
      </c>
      <c r="M449" s="456"/>
      <c r="N449" s="456"/>
      <c r="O449" s="456"/>
      <c r="P449" s="456">
        <v>12345.251</v>
      </c>
    </row>
    <row r="450" spans="1:16" x14ac:dyDescent="0.5">
      <c r="A450" s="438"/>
      <c r="B450" s="438"/>
      <c r="C450" s="438" t="s">
        <v>3547</v>
      </c>
      <c r="D450" s="438"/>
      <c r="E450" s="438"/>
      <c r="F450" s="438"/>
      <c r="G450" s="438"/>
      <c r="H450" s="438"/>
      <c r="I450" s="438"/>
      <c r="J450" s="438"/>
      <c r="K450" s="438"/>
      <c r="L450" s="438" t="s">
        <v>3545</v>
      </c>
      <c r="M450" s="456"/>
      <c r="N450" s="456"/>
      <c r="O450" s="456"/>
      <c r="P450" s="456">
        <v>1448.2660000000001</v>
      </c>
    </row>
    <row r="451" spans="1:16" x14ac:dyDescent="0.5">
      <c r="A451" s="438"/>
      <c r="B451" s="438"/>
      <c r="C451" s="438" t="s">
        <v>3547</v>
      </c>
      <c r="D451" s="438"/>
      <c r="E451" s="438"/>
      <c r="F451" s="438"/>
      <c r="G451" s="438"/>
      <c r="H451" s="438"/>
      <c r="I451" s="438"/>
      <c r="J451" s="438"/>
      <c r="K451" s="438"/>
      <c r="L451" s="438" t="s">
        <v>3552</v>
      </c>
      <c r="M451" s="456">
        <v>13606.445</v>
      </c>
      <c r="N451" s="456"/>
      <c r="O451" s="456"/>
      <c r="P451" s="456">
        <v>12572.273999999999</v>
      </c>
    </row>
    <row r="452" spans="1:16" x14ac:dyDescent="0.5">
      <c r="A452" s="438"/>
      <c r="B452" s="438"/>
      <c r="C452" s="438" t="s">
        <v>3547</v>
      </c>
      <c r="D452" s="438"/>
      <c r="E452" s="438"/>
      <c r="F452" s="438"/>
      <c r="G452" s="438"/>
      <c r="H452" s="438"/>
      <c r="I452" s="438"/>
      <c r="J452" s="438"/>
      <c r="K452" s="438"/>
      <c r="L452" s="438" t="s">
        <v>3552</v>
      </c>
      <c r="M452" s="456"/>
      <c r="N452" s="456"/>
      <c r="O452" s="456"/>
      <c r="P452" s="456">
        <v>11221.137000000001</v>
      </c>
    </row>
    <row r="453" spans="1:16" x14ac:dyDescent="0.5">
      <c r="A453" s="438"/>
      <c r="B453" s="438"/>
      <c r="C453" s="438" t="s">
        <v>3547</v>
      </c>
      <c r="D453" s="438"/>
      <c r="E453" s="438"/>
      <c r="F453" s="438"/>
      <c r="G453" s="438"/>
      <c r="H453" s="438"/>
      <c r="I453" s="438"/>
      <c r="J453" s="438"/>
      <c r="K453" s="438"/>
      <c r="L453" s="438" t="s">
        <v>3552</v>
      </c>
      <c r="M453" s="456"/>
      <c r="N453" s="456"/>
      <c r="O453" s="456"/>
      <c r="P453" s="456">
        <v>13809.4</v>
      </c>
    </row>
    <row r="454" spans="1:16" x14ac:dyDescent="0.5">
      <c r="A454" s="438"/>
      <c r="B454" s="438"/>
      <c r="C454" s="438" t="s">
        <v>3547</v>
      </c>
      <c r="D454" s="438"/>
      <c r="E454" s="438"/>
      <c r="F454" s="438"/>
      <c r="G454" s="438"/>
      <c r="H454" s="438"/>
      <c r="I454" s="438"/>
      <c r="J454" s="438"/>
      <c r="K454" s="438"/>
      <c r="L454" s="438" t="s">
        <v>3552</v>
      </c>
      <c r="M454" s="456"/>
      <c r="N454" s="456"/>
      <c r="O454" s="456"/>
      <c r="P454" s="456">
        <v>17599.784</v>
      </c>
    </row>
    <row r="455" spans="1:16" x14ac:dyDescent="0.5">
      <c r="A455" s="438"/>
      <c r="B455" s="438"/>
      <c r="C455" s="438" t="s">
        <v>3547</v>
      </c>
      <c r="D455" s="438"/>
      <c r="E455" s="438"/>
      <c r="F455" s="438"/>
      <c r="G455" s="438"/>
      <c r="H455" s="438"/>
      <c r="I455" s="438"/>
      <c r="J455" s="438"/>
      <c r="K455" s="438"/>
      <c r="L455" s="438" t="s">
        <v>3552</v>
      </c>
      <c r="M455" s="456"/>
      <c r="N455" s="456"/>
      <c r="O455" s="456"/>
      <c r="P455" s="456">
        <v>13256.343999999999</v>
      </c>
    </row>
    <row r="456" spans="1:16" x14ac:dyDescent="0.5">
      <c r="A456" s="438"/>
      <c r="B456" s="438"/>
      <c r="C456" s="438" t="s">
        <v>3547</v>
      </c>
      <c r="D456" s="438"/>
      <c r="E456" s="438"/>
      <c r="F456" s="438"/>
      <c r="G456" s="438"/>
      <c r="H456" s="438"/>
      <c r="I456" s="438"/>
      <c r="J456" s="438"/>
      <c r="K456" s="438"/>
      <c r="L456" s="438" t="s">
        <v>3552</v>
      </c>
      <c r="M456" s="456"/>
      <c r="N456" s="456"/>
      <c r="O456" s="456"/>
      <c r="P456" s="456">
        <v>11702.186</v>
      </c>
    </row>
    <row r="457" spans="1:16" x14ac:dyDescent="0.5">
      <c r="A457" s="438"/>
      <c r="B457" s="438"/>
      <c r="C457" s="438" t="s">
        <v>3547</v>
      </c>
      <c r="D457" s="438"/>
      <c r="E457" s="438"/>
      <c r="F457" s="438"/>
      <c r="G457" s="438"/>
      <c r="H457" s="438"/>
      <c r="I457" s="438"/>
      <c r="J457" s="438"/>
      <c r="K457" s="438"/>
      <c r="L457" s="438" t="s">
        <v>3552</v>
      </c>
      <c r="M457" s="456"/>
      <c r="N457" s="456"/>
      <c r="O457" s="456"/>
      <c r="P457" s="456">
        <v>14489.123</v>
      </c>
    </row>
    <row r="458" spans="1:16" x14ac:dyDescent="0.5">
      <c r="A458" s="438"/>
      <c r="B458" s="438"/>
      <c r="C458" s="438" t="s">
        <v>3547</v>
      </c>
      <c r="D458" s="438"/>
      <c r="E458" s="438"/>
      <c r="F458" s="438"/>
      <c r="G458" s="438"/>
      <c r="H458" s="438"/>
      <c r="I458" s="438"/>
      <c r="J458" s="438"/>
      <c r="K458" s="438"/>
      <c r="L458" s="438" t="s">
        <v>3552</v>
      </c>
      <c r="M458" s="456"/>
      <c r="N458" s="456"/>
      <c r="O458" s="456"/>
      <c r="P458" s="456">
        <v>3881.393</v>
      </c>
    </row>
    <row r="459" spans="1:16" x14ac:dyDescent="0.5">
      <c r="A459" s="438"/>
      <c r="B459" s="438"/>
      <c r="C459" s="438" t="s">
        <v>3547</v>
      </c>
      <c r="D459" s="438"/>
      <c r="E459" s="438"/>
      <c r="F459" s="438"/>
      <c r="G459" s="438"/>
      <c r="H459" s="438"/>
      <c r="I459" s="438"/>
      <c r="J459" s="438"/>
      <c r="K459" s="438"/>
      <c r="L459" s="438" t="s">
        <v>3552</v>
      </c>
      <c r="M459" s="456"/>
      <c r="N459" s="456"/>
      <c r="O459" s="456"/>
      <c r="P459" s="456">
        <v>12272.022000000001</v>
      </c>
    </row>
    <row r="460" spans="1:16" x14ac:dyDescent="0.5">
      <c r="A460" s="438"/>
      <c r="B460" s="438"/>
      <c r="C460" s="438" t="s">
        <v>3547</v>
      </c>
      <c r="D460" s="438"/>
      <c r="E460" s="438"/>
      <c r="F460" s="438"/>
      <c r="G460" s="438"/>
      <c r="H460" s="438"/>
      <c r="I460" s="438"/>
      <c r="J460" s="438"/>
      <c r="K460" s="438"/>
      <c r="L460" s="438" t="s">
        <v>3564</v>
      </c>
      <c r="M460" s="456">
        <v>15096.154999999999</v>
      </c>
      <c r="N460" s="456"/>
      <c r="O460" s="456"/>
      <c r="P460" s="456">
        <v>13823.001</v>
      </c>
    </row>
    <row r="461" spans="1:16" x14ac:dyDescent="0.5">
      <c r="A461" s="438"/>
      <c r="B461" s="438"/>
      <c r="C461" s="438" t="s">
        <v>3547</v>
      </c>
      <c r="D461" s="438"/>
      <c r="E461" s="438"/>
      <c r="F461" s="438"/>
      <c r="G461" s="438"/>
      <c r="H461" s="438"/>
      <c r="I461" s="438"/>
      <c r="J461" s="438"/>
      <c r="K461" s="438"/>
      <c r="L461" s="438" t="s">
        <v>3564</v>
      </c>
      <c r="M461" s="456"/>
      <c r="N461" s="456"/>
      <c r="O461" s="456"/>
      <c r="P461" s="456">
        <v>13570.745000000001</v>
      </c>
    </row>
    <row r="462" spans="1:16" x14ac:dyDescent="0.5">
      <c r="A462" s="438"/>
      <c r="B462" s="438"/>
      <c r="C462" s="438" t="s">
        <v>3547</v>
      </c>
      <c r="D462" s="438"/>
      <c r="E462" s="438"/>
      <c r="F462" s="438"/>
      <c r="G462" s="438"/>
      <c r="H462" s="438"/>
      <c r="I462" s="438"/>
      <c r="J462" s="438"/>
      <c r="K462" s="438"/>
      <c r="L462" s="438" t="s">
        <v>3564</v>
      </c>
      <c r="M462" s="456"/>
      <c r="N462" s="456"/>
      <c r="O462" s="456"/>
      <c r="P462" s="456">
        <v>18344.580999999998</v>
      </c>
    </row>
    <row r="463" spans="1:16" x14ac:dyDescent="0.5">
      <c r="A463" s="438"/>
      <c r="B463" s="438"/>
      <c r="C463" s="438" t="s">
        <v>3547</v>
      </c>
      <c r="D463" s="438"/>
      <c r="E463" s="438"/>
      <c r="F463" s="438"/>
      <c r="G463" s="438"/>
      <c r="H463" s="438"/>
      <c r="I463" s="438"/>
      <c r="J463" s="438"/>
      <c r="K463" s="438"/>
      <c r="L463" s="438" t="s">
        <v>3564</v>
      </c>
      <c r="M463" s="456"/>
      <c r="N463" s="456"/>
      <c r="O463" s="456"/>
      <c r="P463" s="456">
        <v>11456.603999999999</v>
      </c>
    </row>
    <row r="464" spans="1:16" x14ac:dyDescent="0.5">
      <c r="A464" s="438"/>
      <c r="B464" s="438"/>
      <c r="C464" s="438" t="s">
        <v>3547</v>
      </c>
      <c r="D464" s="438"/>
      <c r="E464" s="438"/>
      <c r="F464" s="438"/>
      <c r="G464" s="438"/>
      <c r="H464" s="438"/>
      <c r="I464" s="438"/>
      <c r="J464" s="438"/>
      <c r="K464" s="438"/>
      <c r="L464" s="438" t="s">
        <v>3564</v>
      </c>
      <c r="M464" s="456"/>
      <c r="N464" s="456"/>
      <c r="O464" s="456"/>
      <c r="P464" s="456">
        <v>15523.723</v>
      </c>
    </row>
    <row r="465" spans="1:16" x14ac:dyDescent="0.5">
      <c r="A465" s="438"/>
      <c r="B465" s="438"/>
      <c r="C465" s="438" t="s">
        <v>3547</v>
      </c>
      <c r="D465" s="438"/>
      <c r="E465" s="438"/>
      <c r="F465" s="438"/>
      <c r="G465" s="438"/>
      <c r="H465" s="438"/>
      <c r="I465" s="438"/>
      <c r="J465" s="438"/>
      <c r="K465" s="438"/>
      <c r="L465" s="438" t="s">
        <v>3564</v>
      </c>
      <c r="M465" s="456"/>
      <c r="N465" s="456"/>
      <c r="O465" s="456"/>
      <c r="P465" s="456">
        <v>13361.532999999999</v>
      </c>
    </row>
    <row r="466" spans="1:16" x14ac:dyDescent="0.5">
      <c r="A466" s="438"/>
      <c r="B466" s="438"/>
      <c r="C466" s="438" t="s">
        <v>3547</v>
      </c>
      <c r="D466" s="438"/>
      <c r="E466" s="438"/>
      <c r="F466" s="438"/>
      <c r="G466" s="438"/>
      <c r="H466" s="438"/>
      <c r="I466" s="438"/>
      <c r="J466" s="438"/>
      <c r="K466" s="438"/>
      <c r="L466" s="438" t="s">
        <v>3564</v>
      </c>
      <c r="M466" s="456"/>
      <c r="N466" s="456"/>
      <c r="O466" s="456"/>
      <c r="P466" s="456">
        <v>12439.902</v>
      </c>
    </row>
    <row r="467" spans="1:16" x14ac:dyDescent="0.5">
      <c r="A467" s="438"/>
      <c r="B467" s="438"/>
      <c r="C467" s="438" t="s">
        <v>3547</v>
      </c>
      <c r="D467" s="438"/>
      <c r="E467" s="438"/>
      <c r="F467" s="438"/>
      <c r="G467" s="438"/>
      <c r="H467" s="438"/>
      <c r="I467" s="438"/>
      <c r="J467" s="438"/>
      <c r="K467" s="438"/>
      <c r="L467" s="438" t="s">
        <v>3564</v>
      </c>
      <c r="M467" s="456"/>
      <c r="N467" s="456"/>
      <c r="O467" s="456"/>
      <c r="P467" s="456">
        <v>4312.4989999999998</v>
      </c>
    </row>
    <row r="468" spans="1:16" x14ac:dyDescent="0.5">
      <c r="A468" s="438"/>
      <c r="B468" s="438"/>
      <c r="C468" s="438" t="s">
        <v>3547</v>
      </c>
      <c r="D468" s="438"/>
      <c r="E468" s="438"/>
      <c r="F468" s="438"/>
      <c r="G468" s="438"/>
      <c r="H468" s="438"/>
      <c r="I468" s="438"/>
      <c r="J468" s="438"/>
      <c r="K468" s="438"/>
      <c r="L468" s="438" t="s">
        <v>3564</v>
      </c>
      <c r="M468" s="456"/>
      <c r="N468" s="456"/>
      <c r="O468" s="456"/>
      <c r="P468" s="456">
        <v>13719.862999999999</v>
      </c>
    </row>
    <row r="469" spans="1:16" x14ac:dyDescent="0.5">
      <c r="A469" s="438"/>
      <c r="B469" s="438"/>
      <c r="C469" s="438" t="s">
        <v>3547</v>
      </c>
      <c r="D469" s="438"/>
      <c r="E469" s="438"/>
      <c r="F469" s="438"/>
      <c r="G469" s="438"/>
      <c r="H469" s="438"/>
      <c r="I469" s="438"/>
      <c r="J469" s="438"/>
      <c r="K469" s="438"/>
      <c r="L469" s="438" t="s">
        <v>3575</v>
      </c>
      <c r="M469" s="456">
        <v>14131.613000000001</v>
      </c>
      <c r="N469" s="456"/>
      <c r="O469" s="456"/>
      <c r="P469" s="456">
        <v>16555.642</v>
      </c>
    </row>
    <row r="470" spans="1:16" x14ac:dyDescent="0.5">
      <c r="A470" s="438"/>
      <c r="B470" s="438"/>
      <c r="C470" s="438" t="s">
        <v>3547</v>
      </c>
      <c r="D470" s="438"/>
      <c r="E470" s="438"/>
      <c r="F470" s="438"/>
      <c r="G470" s="438"/>
      <c r="H470" s="438"/>
      <c r="I470" s="438"/>
      <c r="J470" s="438"/>
      <c r="K470" s="438"/>
      <c r="L470" s="438" t="s">
        <v>3575</v>
      </c>
      <c r="M470" s="456"/>
      <c r="N470" s="456"/>
      <c r="O470" s="456"/>
      <c r="P470" s="456">
        <v>12120.541999999999</v>
      </c>
    </row>
    <row r="471" spans="1:16" x14ac:dyDescent="0.5">
      <c r="A471" s="438"/>
      <c r="B471" s="438"/>
      <c r="C471" s="438" t="s">
        <v>3547</v>
      </c>
      <c r="D471" s="438"/>
      <c r="E471" s="438"/>
      <c r="F471" s="438"/>
      <c r="G471" s="438"/>
      <c r="H471" s="438"/>
      <c r="I471" s="438"/>
      <c r="J471" s="438"/>
      <c r="K471" s="438"/>
      <c r="L471" s="438" t="s">
        <v>3575</v>
      </c>
      <c r="M471" s="456"/>
      <c r="N471" s="456"/>
      <c r="O471" s="456"/>
      <c r="P471" s="456">
        <v>15275.902</v>
      </c>
    </row>
    <row r="472" spans="1:16" x14ac:dyDescent="0.5">
      <c r="A472" s="438"/>
      <c r="B472" s="438"/>
      <c r="C472" s="438" t="s">
        <v>3547</v>
      </c>
      <c r="D472" s="438"/>
      <c r="E472" s="438"/>
      <c r="F472" s="438"/>
      <c r="G472" s="438"/>
      <c r="H472" s="438"/>
      <c r="I472" s="438"/>
      <c r="J472" s="438"/>
      <c r="K472" s="438"/>
      <c r="L472" s="438" t="s">
        <v>3575</v>
      </c>
      <c r="M472" s="456"/>
      <c r="N472" s="456"/>
      <c r="O472" s="456"/>
      <c r="P472" s="456">
        <v>9624.0480000000007</v>
      </c>
    </row>
    <row r="473" spans="1:16" x14ac:dyDescent="0.5">
      <c r="A473" s="438"/>
      <c r="B473" s="438"/>
      <c r="C473" s="438" t="s">
        <v>3547</v>
      </c>
      <c r="D473" s="438"/>
      <c r="E473" s="438"/>
      <c r="F473" s="438"/>
      <c r="G473" s="438"/>
      <c r="H473" s="438"/>
      <c r="I473" s="438"/>
      <c r="J473" s="438"/>
      <c r="K473" s="438"/>
      <c r="L473" s="438" t="s">
        <v>3575</v>
      </c>
      <c r="M473" s="456"/>
      <c r="N473" s="456"/>
      <c r="O473" s="456"/>
      <c r="P473" s="456">
        <v>64114.995999999999</v>
      </c>
    </row>
    <row r="474" spans="1:16" x14ac:dyDescent="0.5">
      <c r="A474" s="438"/>
      <c r="B474" s="438"/>
      <c r="C474" s="438" t="s">
        <v>3547</v>
      </c>
      <c r="D474" s="438"/>
      <c r="E474" s="438"/>
      <c r="F474" s="438"/>
      <c r="G474" s="438"/>
      <c r="H474" s="438"/>
      <c r="I474" s="438"/>
      <c r="J474" s="438"/>
      <c r="K474" s="438"/>
      <c r="L474" s="438" t="s">
        <v>3575</v>
      </c>
      <c r="M474" s="456"/>
      <c r="N474" s="456"/>
      <c r="O474" s="456"/>
      <c r="P474" s="456">
        <v>896.45399999999995</v>
      </c>
    </row>
    <row r="475" spans="1:16" x14ac:dyDescent="0.5">
      <c r="A475" s="438"/>
      <c r="B475" s="438"/>
      <c r="C475" s="438" t="s">
        <v>3547</v>
      </c>
      <c r="D475" s="438"/>
      <c r="E475" s="438"/>
      <c r="F475" s="438"/>
      <c r="G475" s="438"/>
      <c r="H475" s="438"/>
      <c r="I475" s="438"/>
      <c r="J475" s="438"/>
      <c r="K475" s="438"/>
      <c r="L475" s="438" t="s">
        <v>3575</v>
      </c>
      <c r="M475" s="456"/>
      <c r="N475" s="456"/>
      <c r="O475" s="456"/>
      <c r="P475" s="456">
        <v>32731.076000000001</v>
      </c>
    </row>
    <row r="476" spans="1:16" x14ac:dyDescent="0.5">
      <c r="A476" s="438"/>
      <c r="B476" s="438"/>
      <c r="C476" s="438" t="s">
        <v>3547</v>
      </c>
      <c r="D476" s="438"/>
      <c r="E476" s="438"/>
      <c r="F476" s="438"/>
      <c r="G476" s="438"/>
      <c r="H476" s="438"/>
      <c r="I476" s="438"/>
      <c r="J476" s="438"/>
      <c r="K476" s="438"/>
      <c r="L476" s="438" t="s">
        <v>3583</v>
      </c>
      <c r="M476" s="456">
        <v>16180.352999999999</v>
      </c>
      <c r="N476" s="456"/>
      <c r="O476" s="456"/>
      <c r="P476" s="456">
        <v>13899.409</v>
      </c>
    </row>
    <row r="477" spans="1:16" x14ac:dyDescent="0.5">
      <c r="A477" s="438"/>
      <c r="B477" s="438"/>
      <c r="C477" s="438" t="s">
        <v>3547</v>
      </c>
      <c r="D477" s="438"/>
      <c r="E477" s="438"/>
      <c r="F477" s="438"/>
      <c r="G477" s="438"/>
      <c r="H477" s="438"/>
      <c r="I477" s="438"/>
      <c r="J477" s="438"/>
      <c r="K477" s="438"/>
      <c r="L477" s="438" t="s">
        <v>3583</v>
      </c>
      <c r="M477" s="456"/>
      <c r="N477" s="456"/>
      <c r="O477" s="456"/>
      <c r="P477" s="456">
        <v>17523.776000000002</v>
      </c>
    </row>
    <row r="478" spans="1:16" x14ac:dyDescent="0.5">
      <c r="A478" s="438"/>
      <c r="B478" s="438"/>
      <c r="C478" s="438" t="s">
        <v>3547</v>
      </c>
      <c r="D478" s="438"/>
      <c r="E478" s="438"/>
      <c r="F478" s="438"/>
      <c r="G478" s="438"/>
      <c r="H478" s="438"/>
      <c r="I478" s="438"/>
      <c r="J478" s="438"/>
      <c r="K478" s="438"/>
      <c r="L478" s="438" t="s">
        <v>3583</v>
      </c>
      <c r="M478" s="456"/>
      <c r="N478" s="456"/>
      <c r="O478" s="456"/>
      <c r="P478" s="456">
        <v>12978.316000000001</v>
      </c>
    </row>
    <row r="479" spans="1:16" x14ac:dyDescent="0.5">
      <c r="A479" s="438"/>
      <c r="B479" s="438"/>
      <c r="C479" s="438" t="s">
        <v>3588</v>
      </c>
      <c r="D479" s="438"/>
      <c r="E479" s="438"/>
      <c r="F479" s="438"/>
      <c r="G479" s="438"/>
      <c r="H479" s="438"/>
      <c r="I479" s="438"/>
      <c r="J479" s="438"/>
      <c r="K479" s="438"/>
      <c r="L479" s="438" t="s">
        <v>3583</v>
      </c>
      <c r="M479" s="456"/>
      <c r="N479" s="456"/>
      <c r="O479" s="456"/>
      <c r="P479" s="456">
        <v>12625.28</v>
      </c>
    </row>
    <row r="480" spans="1:16" x14ac:dyDescent="0.5">
      <c r="A480" s="438"/>
      <c r="B480" s="438"/>
      <c r="C480" s="438" t="s">
        <v>3588</v>
      </c>
      <c r="D480" s="438"/>
      <c r="E480" s="438"/>
      <c r="F480" s="438"/>
      <c r="G480" s="438"/>
      <c r="H480" s="438"/>
      <c r="I480" s="438"/>
      <c r="J480" s="438"/>
      <c r="K480" s="438"/>
      <c r="L480" s="438" t="s">
        <v>3583</v>
      </c>
      <c r="M480" s="456"/>
      <c r="N480" s="456"/>
      <c r="O480" s="456"/>
      <c r="P480" s="456">
        <v>15693.591</v>
      </c>
    </row>
    <row r="481" spans="1:16" x14ac:dyDescent="0.5">
      <c r="A481" s="438"/>
      <c r="B481" s="438"/>
      <c r="C481" s="438" t="s">
        <v>3588</v>
      </c>
      <c r="D481" s="438"/>
      <c r="E481" s="438"/>
      <c r="F481" s="438"/>
      <c r="G481" s="438"/>
      <c r="H481" s="438"/>
      <c r="I481" s="438"/>
      <c r="J481" s="438"/>
      <c r="K481" s="438"/>
      <c r="L481" s="438" t="s">
        <v>3583</v>
      </c>
      <c r="M481" s="456"/>
      <c r="N481" s="456"/>
      <c r="O481" s="456"/>
      <c r="P481" s="456">
        <v>2610.9409999999998</v>
      </c>
    </row>
    <row r="482" spans="1:16" x14ac:dyDescent="0.5">
      <c r="A482" s="438"/>
      <c r="B482" s="438"/>
      <c r="C482" s="438" t="s">
        <v>3588</v>
      </c>
      <c r="D482" s="438"/>
      <c r="E482" s="438"/>
      <c r="F482" s="438"/>
      <c r="G482" s="438"/>
      <c r="H482" s="438"/>
      <c r="I482" s="438"/>
      <c r="J482" s="438"/>
      <c r="K482" s="438"/>
      <c r="L482" s="438" t="s">
        <v>3583</v>
      </c>
      <c r="M482" s="456"/>
      <c r="N482" s="456"/>
      <c r="O482" s="456"/>
      <c r="P482" s="456">
        <v>12430.957</v>
      </c>
    </row>
    <row r="483" spans="1:16" x14ac:dyDescent="0.5">
      <c r="A483" s="438"/>
      <c r="B483" s="438"/>
      <c r="C483" s="438" t="s">
        <v>3588</v>
      </c>
      <c r="D483" s="438"/>
      <c r="E483" s="438"/>
      <c r="F483" s="438"/>
      <c r="G483" s="438"/>
      <c r="H483" s="438"/>
      <c r="I483" s="438"/>
      <c r="J483" s="438"/>
      <c r="K483" s="438"/>
      <c r="L483" s="438" t="s">
        <v>3583</v>
      </c>
      <c r="M483" s="456"/>
      <c r="N483" s="456"/>
      <c r="O483" s="456"/>
      <c r="P483" s="456">
        <v>7028.1490000000003</v>
      </c>
    </row>
    <row r="484" spans="1:16" x14ac:dyDescent="0.5">
      <c r="A484" s="438"/>
      <c r="B484" s="438"/>
      <c r="C484" s="438" t="s">
        <v>3588</v>
      </c>
      <c r="D484" s="438"/>
      <c r="E484" s="438"/>
      <c r="F484" s="438"/>
      <c r="G484" s="438"/>
      <c r="H484" s="438"/>
      <c r="I484" s="438"/>
      <c r="J484" s="438"/>
      <c r="K484" s="438"/>
      <c r="L484" s="438" t="s">
        <v>3583</v>
      </c>
      <c r="M484" s="456"/>
      <c r="N484" s="456"/>
      <c r="O484" s="456"/>
      <c r="P484" s="456">
        <v>14093.282999999999</v>
      </c>
    </row>
    <row r="485" spans="1:16" x14ac:dyDescent="0.5">
      <c r="A485" s="438"/>
      <c r="B485" s="438"/>
      <c r="C485" s="438" t="s">
        <v>3588</v>
      </c>
      <c r="D485" s="438"/>
      <c r="E485" s="438"/>
      <c r="F485" s="438"/>
      <c r="G485" s="438"/>
      <c r="H485" s="438"/>
      <c r="I485" s="438"/>
      <c r="J485" s="438"/>
      <c r="K485" s="438"/>
      <c r="L485" s="438" t="s">
        <v>3595</v>
      </c>
      <c r="M485" s="456">
        <v>21272.173999999999</v>
      </c>
      <c r="N485" s="456"/>
      <c r="O485" s="456"/>
      <c r="P485" s="456">
        <v>12807.861000000001</v>
      </c>
    </row>
    <row r="486" spans="1:16" x14ac:dyDescent="0.5">
      <c r="A486" s="438"/>
      <c r="B486" s="438"/>
      <c r="C486" s="438" t="s">
        <v>3588</v>
      </c>
      <c r="D486" s="438"/>
      <c r="E486" s="438"/>
      <c r="F486" s="438"/>
      <c r="G486" s="438"/>
      <c r="H486" s="438"/>
      <c r="I486" s="438"/>
      <c r="J486" s="438"/>
      <c r="K486" s="438"/>
      <c r="L486" s="438" t="s">
        <v>3595</v>
      </c>
      <c r="M486" s="456"/>
      <c r="N486" s="456"/>
      <c r="O486" s="456"/>
      <c r="P486" s="456">
        <v>14185.674999999999</v>
      </c>
    </row>
    <row r="487" spans="1:16" x14ac:dyDescent="0.5">
      <c r="A487" s="438"/>
      <c r="B487" s="438"/>
      <c r="C487" s="438" t="s">
        <v>3588</v>
      </c>
      <c r="D487" s="438"/>
      <c r="E487" s="438"/>
      <c r="F487" s="438"/>
      <c r="G487" s="438"/>
      <c r="H487" s="438"/>
      <c r="I487" s="438"/>
      <c r="J487" s="438"/>
      <c r="K487" s="438"/>
      <c r="L487" s="438" t="s">
        <v>3595</v>
      </c>
      <c r="M487" s="456"/>
      <c r="N487" s="456"/>
      <c r="O487" s="456"/>
      <c r="P487" s="456">
        <v>10123.326999999999</v>
      </c>
    </row>
    <row r="488" spans="1:16" x14ac:dyDescent="0.5">
      <c r="A488" s="438"/>
      <c r="B488" s="438"/>
      <c r="C488" s="438" t="s">
        <v>3588</v>
      </c>
      <c r="D488" s="438"/>
      <c r="E488" s="438"/>
      <c r="F488" s="438"/>
      <c r="G488" s="438"/>
      <c r="H488" s="438"/>
      <c r="I488" s="438"/>
      <c r="J488" s="438"/>
      <c r="K488" s="438"/>
      <c r="L488" s="438" t="s">
        <v>3595</v>
      </c>
      <c r="M488" s="456"/>
      <c r="N488" s="456"/>
      <c r="O488" s="456"/>
      <c r="P488" s="456">
        <v>15174.383</v>
      </c>
    </row>
    <row r="489" spans="1:16" x14ac:dyDescent="0.5">
      <c r="A489" s="438"/>
      <c r="B489" s="438"/>
      <c r="C489" s="438" t="s">
        <v>3588</v>
      </c>
      <c r="D489" s="438"/>
      <c r="E489" s="438"/>
      <c r="F489" s="438"/>
      <c r="G489" s="438"/>
      <c r="H489" s="438"/>
      <c r="I489" s="438"/>
      <c r="J489" s="438"/>
      <c r="K489" s="438"/>
      <c r="L489" s="438" t="s">
        <v>3595</v>
      </c>
      <c r="M489" s="456"/>
      <c r="N489" s="456"/>
      <c r="O489" s="456"/>
      <c r="P489" s="456">
        <v>6480.0280000000002</v>
      </c>
    </row>
    <row r="490" spans="1:16" x14ac:dyDescent="0.5">
      <c r="A490" s="438"/>
      <c r="B490" s="438"/>
      <c r="C490" s="438" t="s">
        <v>3588</v>
      </c>
      <c r="D490" s="438"/>
      <c r="E490" s="438"/>
      <c r="F490" s="438"/>
      <c r="G490" s="438"/>
      <c r="H490" s="438"/>
      <c r="I490" s="438"/>
      <c r="J490" s="438"/>
      <c r="K490" s="438"/>
      <c r="L490" s="438" t="s">
        <v>3595</v>
      </c>
      <c r="M490" s="456"/>
      <c r="N490" s="456"/>
      <c r="O490" s="456"/>
      <c r="P490" s="456">
        <v>35977.053</v>
      </c>
    </row>
    <row r="491" spans="1:16" x14ac:dyDescent="0.5">
      <c r="A491" s="438"/>
      <c r="B491" s="438"/>
      <c r="C491" s="438" t="s">
        <v>3588</v>
      </c>
      <c r="D491" s="438"/>
      <c r="E491" s="438"/>
      <c r="F491" s="438"/>
      <c r="G491" s="438"/>
      <c r="H491" s="438"/>
      <c r="I491" s="438"/>
      <c r="J491" s="438"/>
      <c r="K491" s="438"/>
      <c r="L491" s="438" t="s">
        <v>3602</v>
      </c>
      <c r="M491" s="456">
        <v>14451.921999999999</v>
      </c>
      <c r="N491" s="456"/>
      <c r="O491" s="456"/>
      <c r="P491" s="456">
        <v>15531.275</v>
      </c>
    </row>
    <row r="492" spans="1:16" x14ac:dyDescent="0.5">
      <c r="A492" s="438"/>
      <c r="B492" s="438"/>
      <c r="C492" s="438" t="s">
        <v>3588</v>
      </c>
      <c r="D492" s="438"/>
      <c r="E492" s="438"/>
      <c r="F492" s="438"/>
      <c r="G492" s="438"/>
      <c r="H492" s="438"/>
      <c r="I492" s="438"/>
      <c r="J492" s="438"/>
      <c r="K492" s="438"/>
      <c r="L492" s="438" t="s">
        <v>3602</v>
      </c>
      <c r="M492" s="456"/>
      <c r="N492" s="456"/>
      <c r="O492" s="456"/>
      <c r="P492" s="456">
        <v>13545.879000000001</v>
      </c>
    </row>
    <row r="493" spans="1:16" x14ac:dyDescent="0.5">
      <c r="A493" s="438"/>
      <c r="B493" s="438"/>
      <c r="C493" s="438" t="s">
        <v>3588</v>
      </c>
      <c r="D493" s="438"/>
      <c r="E493" s="438"/>
      <c r="F493" s="438"/>
      <c r="G493" s="438"/>
      <c r="H493" s="438"/>
      <c r="I493" s="438"/>
      <c r="J493" s="438"/>
      <c r="K493" s="438"/>
      <c r="L493" s="438" t="s">
        <v>3602</v>
      </c>
      <c r="M493" s="456"/>
      <c r="N493" s="456"/>
      <c r="O493" s="456"/>
      <c r="P493" s="456">
        <v>12385.232</v>
      </c>
    </row>
    <row r="494" spans="1:16" x14ac:dyDescent="0.5">
      <c r="A494" s="438"/>
      <c r="B494" s="438"/>
      <c r="C494" s="438" t="s">
        <v>3588</v>
      </c>
      <c r="D494" s="438"/>
      <c r="E494" s="438"/>
      <c r="F494" s="438"/>
      <c r="G494" s="438"/>
      <c r="H494" s="438"/>
      <c r="I494" s="438"/>
      <c r="J494" s="438"/>
      <c r="K494" s="438"/>
      <c r="L494" s="438" t="s">
        <v>3602</v>
      </c>
      <c r="M494" s="456"/>
      <c r="N494" s="456"/>
      <c r="O494" s="456"/>
      <c r="P494" s="456">
        <v>18543.359</v>
      </c>
    </row>
    <row r="495" spans="1:16" x14ac:dyDescent="0.5">
      <c r="A495" s="438"/>
      <c r="B495" s="438"/>
      <c r="C495" s="438" t="s">
        <v>3588</v>
      </c>
      <c r="D495" s="438"/>
      <c r="E495" s="438"/>
      <c r="F495" s="438"/>
      <c r="G495" s="438"/>
      <c r="H495" s="438"/>
      <c r="I495" s="438"/>
      <c r="J495" s="438"/>
      <c r="K495" s="438"/>
      <c r="L495" s="438" t="s">
        <v>3602</v>
      </c>
      <c r="M495" s="456"/>
      <c r="N495" s="456"/>
      <c r="O495" s="456"/>
      <c r="P495" s="456">
        <v>14581.564</v>
      </c>
    </row>
    <row r="496" spans="1:16" x14ac:dyDescent="0.5">
      <c r="A496" s="438"/>
      <c r="B496" s="438"/>
      <c r="C496" s="438" t="s">
        <v>3588</v>
      </c>
      <c r="D496" s="438"/>
      <c r="E496" s="438"/>
      <c r="F496" s="438"/>
      <c r="G496" s="438"/>
      <c r="H496" s="438"/>
      <c r="I496" s="438"/>
      <c r="J496" s="438"/>
      <c r="K496" s="438"/>
      <c r="L496" s="438" t="s">
        <v>3602</v>
      </c>
      <c r="M496" s="456"/>
      <c r="N496" s="456"/>
      <c r="O496" s="456"/>
      <c r="P496" s="456">
        <v>62823.887000000002</v>
      </c>
    </row>
    <row r="497" spans="1:16" x14ac:dyDescent="0.5">
      <c r="A497" s="438"/>
      <c r="B497" s="438"/>
      <c r="C497" s="438" t="s">
        <v>3588</v>
      </c>
      <c r="D497" s="438"/>
      <c r="E497" s="438"/>
      <c r="F497" s="438"/>
      <c r="G497" s="438"/>
      <c r="H497" s="438"/>
      <c r="I497" s="438"/>
      <c r="J497" s="438"/>
      <c r="K497" s="438"/>
      <c r="L497" s="438" t="s">
        <v>3602</v>
      </c>
      <c r="M497" s="456"/>
      <c r="N497" s="456"/>
      <c r="O497" s="456"/>
      <c r="P497" s="456">
        <v>31937.044000000002</v>
      </c>
    </row>
    <row r="498" spans="1:16" x14ac:dyDescent="0.5">
      <c r="A498" s="438"/>
      <c r="B498" s="438"/>
      <c r="C498" s="438" t="s">
        <v>3588</v>
      </c>
      <c r="D498" s="438"/>
      <c r="E498" s="438"/>
      <c r="F498" s="438"/>
      <c r="G498" s="438"/>
      <c r="H498" s="438"/>
      <c r="I498" s="438"/>
      <c r="J498" s="438"/>
      <c r="K498" s="438"/>
      <c r="L498" s="438" t="s">
        <v>3602</v>
      </c>
      <c r="M498" s="456"/>
      <c r="N498" s="456"/>
      <c r="O498" s="456"/>
      <c r="P498" s="456">
        <v>12757.824000000001</v>
      </c>
    </row>
    <row r="499" spans="1:16" x14ac:dyDescent="0.5">
      <c r="A499" s="438"/>
      <c r="B499" s="438"/>
      <c r="C499" s="438" t="s">
        <v>3588</v>
      </c>
      <c r="D499" s="438"/>
      <c r="E499" s="438"/>
      <c r="F499" s="438"/>
      <c r="G499" s="438"/>
      <c r="H499" s="438"/>
      <c r="I499" s="438"/>
      <c r="J499" s="438"/>
      <c r="K499" s="438"/>
      <c r="L499" s="438" t="s">
        <v>3602</v>
      </c>
      <c r="M499" s="456"/>
      <c r="N499" s="456"/>
      <c r="O499" s="456"/>
      <c r="P499" s="456">
        <v>3900.4180000000001</v>
      </c>
    </row>
    <row r="500" spans="1:16" x14ac:dyDescent="0.5">
      <c r="A500" s="438"/>
      <c r="B500" s="438"/>
      <c r="C500" s="438" t="s">
        <v>3588</v>
      </c>
      <c r="D500" s="438"/>
      <c r="E500" s="438"/>
      <c r="F500" s="438"/>
      <c r="G500" s="438"/>
      <c r="H500" s="438"/>
      <c r="I500" s="438"/>
      <c r="J500" s="438"/>
      <c r="K500" s="438"/>
      <c r="L500" s="438" t="s">
        <v>3602</v>
      </c>
      <c r="M500" s="456"/>
      <c r="N500" s="456"/>
      <c r="O500" s="456"/>
      <c r="P500" s="456">
        <v>14822.986999999999</v>
      </c>
    </row>
    <row r="501" spans="1:16" x14ac:dyDescent="0.5">
      <c r="A501" s="438"/>
      <c r="B501" s="438"/>
      <c r="C501" s="438" t="s">
        <v>3588</v>
      </c>
      <c r="D501" s="438"/>
      <c r="E501" s="438"/>
      <c r="F501" s="438"/>
      <c r="G501" s="438"/>
      <c r="H501" s="438"/>
      <c r="I501" s="438"/>
      <c r="J501" s="438"/>
      <c r="K501" s="438"/>
      <c r="L501" s="438" t="s">
        <v>3616</v>
      </c>
      <c r="M501" s="456">
        <v>11123.257000000001</v>
      </c>
      <c r="N501" s="456"/>
      <c r="O501" s="456"/>
      <c r="P501" s="456">
        <v>14308.45</v>
      </c>
    </row>
    <row r="502" spans="1:16" x14ac:dyDescent="0.5">
      <c r="A502" s="438"/>
      <c r="B502" s="438"/>
      <c r="C502" s="438" t="s">
        <v>3588</v>
      </c>
      <c r="D502" s="438"/>
      <c r="E502" s="438"/>
      <c r="F502" s="438"/>
      <c r="G502" s="438"/>
      <c r="H502" s="438"/>
      <c r="I502" s="438"/>
      <c r="J502" s="438"/>
      <c r="K502" s="438"/>
      <c r="L502" s="438" t="s">
        <v>3616</v>
      </c>
      <c r="M502" s="456"/>
      <c r="N502" s="456"/>
      <c r="O502" s="456"/>
      <c r="P502" s="456">
        <v>13382.356</v>
      </c>
    </row>
    <row r="503" spans="1:16" x14ac:dyDescent="0.5">
      <c r="A503" s="438"/>
      <c r="B503" s="438"/>
      <c r="C503" s="438" t="s">
        <v>3588</v>
      </c>
      <c r="D503" s="438"/>
      <c r="E503" s="438"/>
      <c r="F503" s="438"/>
      <c r="G503" s="438"/>
      <c r="H503" s="438"/>
      <c r="I503" s="438"/>
      <c r="J503" s="438"/>
      <c r="K503" s="438"/>
      <c r="L503" s="438" t="s">
        <v>3616</v>
      </c>
      <c r="M503" s="456"/>
      <c r="N503" s="456"/>
      <c r="O503" s="456"/>
      <c r="P503" s="456">
        <v>12525.27</v>
      </c>
    </row>
    <row r="504" spans="1:16" x14ac:dyDescent="0.5">
      <c r="A504" s="438"/>
      <c r="B504" s="438"/>
      <c r="C504" s="438" t="s">
        <v>3588</v>
      </c>
      <c r="D504" s="438"/>
      <c r="E504" s="438"/>
      <c r="F504" s="438"/>
      <c r="G504" s="438"/>
      <c r="H504" s="438"/>
      <c r="I504" s="438"/>
      <c r="J504" s="438"/>
      <c r="K504" s="438"/>
      <c r="L504" s="438" t="s">
        <v>3616</v>
      </c>
      <c r="M504" s="456"/>
      <c r="N504" s="456"/>
      <c r="O504" s="456"/>
      <c r="P504" s="456">
        <v>12608.278</v>
      </c>
    </row>
    <row r="505" spans="1:16" x14ac:dyDescent="0.5">
      <c r="A505" s="438"/>
      <c r="B505" s="438"/>
      <c r="C505" s="438" t="s">
        <v>3588</v>
      </c>
      <c r="D505" s="438"/>
      <c r="E505" s="438"/>
      <c r="F505" s="438"/>
      <c r="G505" s="438"/>
      <c r="H505" s="438"/>
      <c r="I505" s="438"/>
      <c r="J505" s="438"/>
      <c r="K505" s="438"/>
      <c r="L505" s="438" t="s">
        <v>3616</v>
      </c>
      <c r="M505" s="456"/>
      <c r="N505" s="456"/>
      <c r="O505" s="456"/>
      <c r="P505" s="456">
        <v>12223.239</v>
      </c>
    </row>
    <row r="506" spans="1:16" x14ac:dyDescent="0.5">
      <c r="A506" s="438"/>
      <c r="B506" s="438"/>
      <c r="C506" s="438" t="s">
        <v>3624</v>
      </c>
      <c r="D506" s="438"/>
      <c r="E506" s="438"/>
      <c r="F506" s="438"/>
      <c r="G506" s="438"/>
      <c r="H506" s="438"/>
      <c r="I506" s="438"/>
      <c r="J506" s="438"/>
      <c r="K506" s="438"/>
      <c r="L506" s="438" t="s">
        <v>3616</v>
      </c>
      <c r="M506" s="456"/>
      <c r="N506" s="456"/>
      <c r="O506" s="456"/>
      <c r="P506" s="456">
        <v>5101.4129999999996</v>
      </c>
    </row>
    <row r="507" spans="1:16" x14ac:dyDescent="0.5">
      <c r="A507" s="438"/>
      <c r="B507" s="438"/>
      <c r="C507" s="438" t="s">
        <v>3624</v>
      </c>
      <c r="D507" s="438"/>
      <c r="E507" s="438"/>
      <c r="F507" s="438"/>
      <c r="G507" s="438"/>
      <c r="H507" s="438"/>
      <c r="I507" s="438"/>
      <c r="J507" s="438"/>
      <c r="K507" s="438"/>
      <c r="L507" s="438" t="s">
        <v>3626</v>
      </c>
      <c r="M507" s="456">
        <v>13439.124</v>
      </c>
      <c r="N507" s="456"/>
      <c r="O507" s="456"/>
      <c r="P507" s="456">
        <v>13100.026</v>
      </c>
    </row>
    <row r="508" spans="1:16" x14ac:dyDescent="0.5">
      <c r="A508" s="438"/>
      <c r="B508" s="438"/>
      <c r="C508" s="438" t="s">
        <v>3624</v>
      </c>
      <c r="D508" s="438"/>
      <c r="E508" s="438"/>
      <c r="F508" s="438"/>
      <c r="G508" s="438"/>
      <c r="H508" s="438"/>
      <c r="I508" s="438"/>
      <c r="J508" s="438"/>
      <c r="K508" s="438"/>
      <c r="L508" s="438" t="s">
        <v>3626</v>
      </c>
      <c r="M508" s="456"/>
      <c r="N508" s="456"/>
      <c r="O508" s="456"/>
      <c r="P508" s="456">
        <v>13355.87</v>
      </c>
    </row>
    <row r="509" spans="1:16" x14ac:dyDescent="0.5">
      <c r="A509" s="438"/>
      <c r="B509" s="438"/>
      <c r="C509" s="438" t="s">
        <v>3624</v>
      </c>
      <c r="D509" s="438"/>
      <c r="E509" s="438"/>
      <c r="F509" s="438"/>
      <c r="G509" s="438"/>
      <c r="H509" s="438"/>
      <c r="I509" s="438"/>
      <c r="J509" s="438"/>
      <c r="K509" s="438"/>
      <c r="L509" s="438" t="s">
        <v>3626</v>
      </c>
      <c r="M509" s="456"/>
      <c r="N509" s="456"/>
      <c r="O509" s="456"/>
      <c r="P509" s="456">
        <v>17373.424999999999</v>
      </c>
    </row>
    <row r="510" spans="1:16" x14ac:dyDescent="0.5">
      <c r="A510" s="438"/>
      <c r="B510" s="438"/>
      <c r="C510" s="438" t="s">
        <v>3624</v>
      </c>
      <c r="D510" s="438"/>
      <c r="E510" s="438"/>
      <c r="F510" s="438"/>
      <c r="G510" s="438"/>
      <c r="H510" s="438"/>
      <c r="I510" s="438"/>
      <c r="J510" s="438"/>
      <c r="K510" s="438"/>
      <c r="L510" s="438" t="s">
        <v>3626</v>
      </c>
      <c r="M510" s="456"/>
      <c r="N510" s="456"/>
      <c r="O510" s="456"/>
      <c r="P510" s="456">
        <v>15347.657999999999</v>
      </c>
    </row>
    <row r="511" spans="1:16" x14ac:dyDescent="0.5">
      <c r="A511" s="438"/>
      <c r="B511" s="438"/>
      <c r="C511" s="438" t="s">
        <v>3624</v>
      </c>
      <c r="D511" s="438"/>
      <c r="E511" s="438"/>
      <c r="F511" s="438"/>
      <c r="G511" s="438"/>
      <c r="H511" s="438"/>
      <c r="I511" s="438"/>
      <c r="J511" s="438"/>
      <c r="K511" s="438"/>
      <c r="L511" s="438" t="s">
        <v>3626</v>
      </c>
      <c r="M511" s="456"/>
      <c r="N511" s="456"/>
      <c r="O511" s="456"/>
      <c r="P511" s="456">
        <v>11027.288</v>
      </c>
    </row>
    <row r="512" spans="1:16" x14ac:dyDescent="0.5">
      <c r="A512" s="438"/>
      <c r="B512" s="438"/>
      <c r="C512" s="438" t="s">
        <v>3624</v>
      </c>
      <c r="D512" s="438"/>
      <c r="E512" s="438"/>
      <c r="F512" s="438"/>
      <c r="G512" s="438"/>
      <c r="H512" s="438"/>
      <c r="I512" s="438"/>
      <c r="J512" s="438"/>
      <c r="K512" s="438"/>
      <c r="L512" s="438" t="s">
        <v>3626</v>
      </c>
      <c r="M512" s="456"/>
      <c r="N512" s="456"/>
      <c r="O512" s="456"/>
      <c r="P512" s="456">
        <v>3950.1950000000002</v>
      </c>
    </row>
    <row r="513" spans="1:16" x14ac:dyDescent="0.5">
      <c r="A513" s="438"/>
      <c r="B513" s="438"/>
      <c r="C513" s="438" t="s">
        <v>3624</v>
      </c>
      <c r="D513" s="438"/>
      <c r="E513" s="438"/>
      <c r="F513" s="438"/>
      <c r="G513" s="438"/>
      <c r="H513" s="438"/>
      <c r="I513" s="438"/>
      <c r="J513" s="438"/>
      <c r="K513" s="438"/>
      <c r="L513" s="438" t="s">
        <v>3626</v>
      </c>
      <c r="M513" s="456"/>
      <c r="N513" s="456"/>
      <c r="O513" s="456"/>
      <c r="P513" s="456">
        <v>14163.94</v>
      </c>
    </row>
    <row r="514" spans="1:16" x14ac:dyDescent="0.5">
      <c r="A514" s="438"/>
      <c r="B514" s="438"/>
      <c r="C514" s="438" t="s">
        <v>3624</v>
      </c>
      <c r="D514" s="438"/>
      <c r="E514" s="438"/>
      <c r="F514" s="438"/>
      <c r="G514" s="438"/>
      <c r="H514" s="438"/>
      <c r="I514" s="438"/>
      <c r="J514" s="438"/>
      <c r="K514" s="438"/>
      <c r="L514" s="438" t="s">
        <v>3626</v>
      </c>
      <c r="M514" s="456"/>
      <c r="N514" s="456"/>
      <c r="O514" s="456"/>
      <c r="P514" s="456">
        <v>31211.832999999999</v>
      </c>
    </row>
    <row r="515" spans="1:16" x14ac:dyDescent="0.5">
      <c r="A515" s="438"/>
      <c r="B515" s="438"/>
      <c r="C515" s="438" t="s">
        <v>3624</v>
      </c>
      <c r="D515" s="438"/>
      <c r="E515" s="438"/>
      <c r="F515" s="438"/>
      <c r="G515" s="438"/>
      <c r="H515" s="438"/>
      <c r="I515" s="438"/>
      <c r="J515" s="438"/>
      <c r="K515" s="438"/>
      <c r="L515" s="438" t="s">
        <v>3637</v>
      </c>
      <c r="M515" s="456">
        <v>12608.16</v>
      </c>
      <c r="N515" s="456"/>
      <c r="O515" s="456"/>
      <c r="P515" s="456">
        <v>12810.895</v>
      </c>
    </row>
    <row r="516" spans="1:16" x14ac:dyDescent="0.5">
      <c r="A516" s="438"/>
      <c r="B516" s="438"/>
      <c r="C516" s="438" t="s">
        <v>3624</v>
      </c>
      <c r="D516" s="438"/>
      <c r="E516" s="438"/>
      <c r="F516" s="438"/>
      <c r="G516" s="438"/>
      <c r="H516" s="438"/>
      <c r="I516" s="438"/>
      <c r="J516" s="438"/>
      <c r="K516" s="438"/>
      <c r="L516" s="438" t="s">
        <v>3637</v>
      </c>
      <c r="M516" s="456"/>
      <c r="N516" s="456"/>
      <c r="O516" s="456"/>
      <c r="P516" s="456">
        <v>17728.39</v>
      </c>
    </row>
    <row r="517" spans="1:16" x14ac:dyDescent="0.5">
      <c r="A517" s="438"/>
      <c r="B517" s="438"/>
      <c r="C517" s="438" t="s">
        <v>3624</v>
      </c>
      <c r="D517" s="438"/>
      <c r="E517" s="438"/>
      <c r="F517" s="438"/>
      <c r="G517" s="438"/>
      <c r="H517" s="438"/>
      <c r="I517" s="438"/>
      <c r="J517" s="438"/>
      <c r="K517" s="438"/>
      <c r="L517" s="438" t="s">
        <v>3637</v>
      </c>
      <c r="M517" s="456"/>
      <c r="N517" s="456"/>
      <c r="O517" s="456"/>
      <c r="P517" s="456">
        <v>11787.584000000001</v>
      </c>
    </row>
    <row r="518" spans="1:16" x14ac:dyDescent="0.5">
      <c r="A518" s="438"/>
      <c r="B518" s="438"/>
      <c r="C518" s="438" t="s">
        <v>3624</v>
      </c>
      <c r="D518" s="438"/>
      <c r="E518" s="438"/>
      <c r="F518" s="438"/>
      <c r="G518" s="438"/>
      <c r="H518" s="438"/>
      <c r="I518" s="438"/>
      <c r="J518" s="438"/>
      <c r="K518" s="438"/>
      <c r="L518" s="438" t="s">
        <v>3637</v>
      </c>
      <c r="M518" s="456"/>
      <c r="N518" s="456"/>
      <c r="O518" s="456"/>
      <c r="P518" s="456">
        <v>15478.706</v>
      </c>
    </row>
    <row r="519" spans="1:16" x14ac:dyDescent="0.5">
      <c r="A519" s="438"/>
      <c r="B519" s="438"/>
      <c r="C519" s="438" t="s">
        <v>3624</v>
      </c>
      <c r="D519" s="438"/>
      <c r="E519" s="438"/>
      <c r="F519" s="438"/>
      <c r="G519" s="438"/>
      <c r="H519" s="438"/>
      <c r="I519" s="438"/>
      <c r="J519" s="438"/>
      <c r="K519" s="438"/>
      <c r="L519" s="438" t="s">
        <v>3637</v>
      </c>
      <c r="M519" s="456"/>
      <c r="N519" s="456"/>
      <c r="O519" s="456"/>
      <c r="P519" s="456">
        <v>13103.984</v>
      </c>
    </row>
    <row r="520" spans="1:16" x14ac:dyDescent="0.5">
      <c r="A520" s="438"/>
      <c r="B520" s="438"/>
      <c r="C520" s="438" t="s">
        <v>3624</v>
      </c>
      <c r="D520" s="438"/>
      <c r="E520" s="438"/>
      <c r="F520" s="438"/>
      <c r="G520" s="438"/>
      <c r="H520" s="438"/>
      <c r="I520" s="438"/>
      <c r="J520" s="438"/>
      <c r="K520" s="438"/>
      <c r="L520" s="438" t="s">
        <v>3637</v>
      </c>
      <c r="M520" s="456"/>
      <c r="N520" s="456"/>
      <c r="O520" s="456"/>
      <c r="P520" s="456">
        <v>58716.851000000002</v>
      </c>
    </row>
    <row r="521" spans="1:16" x14ac:dyDescent="0.5">
      <c r="A521" s="438"/>
      <c r="B521" s="438"/>
      <c r="C521" s="438" t="s">
        <v>3624</v>
      </c>
      <c r="D521" s="438"/>
      <c r="E521" s="438"/>
      <c r="F521" s="438"/>
      <c r="G521" s="438"/>
      <c r="H521" s="438"/>
      <c r="I521" s="438"/>
      <c r="J521" s="438"/>
      <c r="K521" s="438"/>
      <c r="L521" s="438" t="s">
        <v>3637</v>
      </c>
      <c r="M521" s="456"/>
      <c r="N521" s="456"/>
      <c r="O521" s="456"/>
      <c r="P521" s="456">
        <v>9064.7559999999994</v>
      </c>
    </row>
    <row r="522" spans="1:16" x14ac:dyDescent="0.5">
      <c r="A522" s="438"/>
      <c r="B522" s="438"/>
      <c r="C522" s="438" t="s">
        <v>3624</v>
      </c>
      <c r="D522" s="438"/>
      <c r="E522" s="438"/>
      <c r="F522" s="438"/>
      <c r="G522" s="438"/>
      <c r="H522" s="438"/>
      <c r="I522" s="438"/>
      <c r="J522" s="438"/>
      <c r="K522" s="438"/>
      <c r="L522" s="438" t="s">
        <v>3637</v>
      </c>
      <c r="M522" s="456"/>
      <c r="N522" s="456"/>
      <c r="O522" s="456"/>
      <c r="P522" s="456">
        <v>12108.86</v>
      </c>
    </row>
    <row r="523" spans="1:16" x14ac:dyDescent="0.5">
      <c r="A523" s="438"/>
      <c r="B523" s="438"/>
      <c r="C523" s="438" t="s">
        <v>3624</v>
      </c>
      <c r="D523" s="438"/>
      <c r="E523" s="438"/>
      <c r="F523" s="438"/>
      <c r="G523" s="438"/>
      <c r="H523" s="438"/>
      <c r="I523" s="438"/>
      <c r="J523" s="438"/>
      <c r="K523" s="438"/>
      <c r="L523" s="438" t="s">
        <v>3637</v>
      </c>
      <c r="M523" s="456"/>
      <c r="N523" s="456"/>
      <c r="O523" s="456"/>
      <c r="P523" s="456">
        <v>2965.4960000000001</v>
      </c>
    </row>
    <row r="524" spans="1:16" x14ac:dyDescent="0.5">
      <c r="A524" s="438"/>
      <c r="B524" s="438"/>
      <c r="C524" s="438" t="s">
        <v>3624</v>
      </c>
      <c r="D524" s="438"/>
      <c r="E524" s="438"/>
      <c r="F524" s="438"/>
      <c r="G524" s="438"/>
      <c r="H524" s="438"/>
      <c r="I524" s="438"/>
      <c r="J524" s="438"/>
      <c r="K524" s="438"/>
      <c r="L524" s="438" t="s">
        <v>3637</v>
      </c>
      <c r="M524" s="456"/>
      <c r="N524" s="456"/>
      <c r="O524" s="456"/>
      <c r="P524" s="456">
        <v>11294.272999999999</v>
      </c>
    </row>
    <row r="525" spans="1:16" x14ac:dyDescent="0.5">
      <c r="A525" s="438"/>
      <c r="B525" s="438"/>
      <c r="C525" s="438" t="s">
        <v>3624</v>
      </c>
      <c r="D525" s="438"/>
      <c r="E525" s="438"/>
      <c r="F525" s="438"/>
      <c r="G525" s="438"/>
      <c r="H525" s="438"/>
      <c r="I525" s="438"/>
      <c r="J525" s="438"/>
      <c r="K525" s="438"/>
      <c r="L525" s="438" t="s">
        <v>3648</v>
      </c>
      <c r="M525" s="456">
        <v>13279.922999999999</v>
      </c>
      <c r="N525" s="456"/>
      <c r="O525" s="456"/>
      <c r="P525" s="456">
        <v>12672.567999999999</v>
      </c>
    </row>
    <row r="526" spans="1:16" x14ac:dyDescent="0.5">
      <c r="A526" s="438"/>
      <c r="B526" s="438"/>
      <c r="C526" s="438" t="s">
        <v>3624</v>
      </c>
      <c r="D526" s="438"/>
      <c r="E526" s="438"/>
      <c r="F526" s="438"/>
      <c r="G526" s="438"/>
      <c r="H526" s="438"/>
      <c r="I526" s="438"/>
      <c r="J526" s="438"/>
      <c r="K526" s="438"/>
      <c r="L526" s="438" t="s">
        <v>3648</v>
      </c>
      <c r="M526" s="456"/>
      <c r="N526" s="456"/>
      <c r="O526" s="456"/>
      <c r="P526" s="456">
        <v>13362.708000000001</v>
      </c>
    </row>
    <row r="527" spans="1:16" x14ac:dyDescent="0.5">
      <c r="A527" s="438"/>
      <c r="B527" s="438"/>
      <c r="C527" s="438" t="s">
        <v>3624</v>
      </c>
      <c r="D527" s="438"/>
      <c r="E527" s="438"/>
      <c r="F527" s="438"/>
      <c r="G527" s="438"/>
      <c r="H527" s="438"/>
      <c r="I527" s="438"/>
      <c r="J527" s="438"/>
      <c r="K527" s="438"/>
      <c r="L527" s="438" t="s">
        <v>3648</v>
      </c>
      <c r="M527" s="456"/>
      <c r="N527" s="456"/>
      <c r="O527" s="456"/>
      <c r="P527" s="456">
        <v>14511.941000000001</v>
      </c>
    </row>
    <row r="528" spans="1:16" x14ac:dyDescent="0.5">
      <c r="A528" s="438"/>
      <c r="B528" s="438"/>
      <c r="C528" s="438" t="s">
        <v>3624</v>
      </c>
      <c r="D528" s="438"/>
      <c r="E528" s="438"/>
      <c r="F528" s="438"/>
      <c r="G528" s="438"/>
      <c r="H528" s="438"/>
      <c r="I528" s="438"/>
      <c r="J528" s="438"/>
      <c r="K528" s="438"/>
      <c r="L528" s="438" t="s">
        <v>3648</v>
      </c>
      <c r="M528" s="456"/>
      <c r="N528" s="456"/>
      <c r="O528" s="456"/>
      <c r="P528" s="456">
        <v>9934.0130000000008</v>
      </c>
    </row>
    <row r="529" spans="1:16" x14ac:dyDescent="0.5">
      <c r="A529" s="438"/>
      <c r="B529" s="438"/>
      <c r="C529" s="438" t="s">
        <v>3624</v>
      </c>
      <c r="D529" s="438"/>
      <c r="E529" s="438"/>
      <c r="F529" s="438"/>
      <c r="G529" s="438"/>
      <c r="H529" s="438"/>
      <c r="I529" s="438"/>
      <c r="J529" s="438"/>
      <c r="K529" s="438"/>
      <c r="L529" s="438" t="s">
        <v>3648</v>
      </c>
      <c r="M529" s="456"/>
      <c r="N529" s="456"/>
      <c r="O529" s="456"/>
      <c r="P529" s="456">
        <v>79980.67</v>
      </c>
    </row>
    <row r="530" spans="1:16" x14ac:dyDescent="0.5">
      <c r="A530" s="438"/>
      <c r="B530" s="438"/>
      <c r="C530" s="438" t="s">
        <v>3624</v>
      </c>
      <c r="D530" s="438"/>
      <c r="E530" s="438"/>
      <c r="F530" s="438"/>
      <c r="G530" s="438"/>
      <c r="H530" s="438"/>
      <c r="I530" s="438"/>
      <c r="J530" s="438"/>
      <c r="K530" s="438"/>
      <c r="L530" s="438" t="s">
        <v>3648</v>
      </c>
      <c r="M530" s="456"/>
      <c r="N530" s="456"/>
      <c r="O530" s="456"/>
      <c r="P530" s="456">
        <v>13406.922</v>
      </c>
    </row>
    <row r="531" spans="1:16" x14ac:dyDescent="0.5">
      <c r="A531" s="438"/>
      <c r="B531" s="438"/>
      <c r="C531" s="438" t="s">
        <v>3624</v>
      </c>
      <c r="D531" s="438"/>
      <c r="E531" s="438"/>
      <c r="F531" s="438"/>
      <c r="G531" s="438"/>
      <c r="H531" s="438"/>
      <c r="I531" s="438"/>
      <c r="J531" s="438"/>
      <c r="K531" s="438"/>
      <c r="L531" s="438" t="s">
        <v>3648</v>
      </c>
      <c r="M531" s="456"/>
      <c r="N531" s="456"/>
      <c r="O531" s="456"/>
      <c r="P531" s="456">
        <v>1799.453</v>
      </c>
    </row>
    <row r="532" spans="1:16" x14ac:dyDescent="0.5">
      <c r="A532" s="438"/>
      <c r="B532" s="438"/>
      <c r="C532" s="438" t="s">
        <v>3624</v>
      </c>
      <c r="D532" s="438"/>
      <c r="E532" s="438"/>
      <c r="F532" s="438"/>
      <c r="G532" s="438"/>
      <c r="H532" s="438"/>
      <c r="I532" s="438"/>
      <c r="J532" s="438"/>
      <c r="K532" s="438"/>
      <c r="L532" s="438" t="s">
        <v>3648</v>
      </c>
      <c r="M532" s="456"/>
      <c r="N532" s="456"/>
      <c r="O532" s="456"/>
      <c r="P532" s="456">
        <v>3719.8679999999999</v>
      </c>
    </row>
    <row r="533" spans="1:16" x14ac:dyDescent="0.5">
      <c r="A533" s="438"/>
      <c r="B533" s="438"/>
      <c r="C533" s="438" t="s">
        <v>3624</v>
      </c>
      <c r="D533" s="438"/>
      <c r="E533" s="438"/>
      <c r="F533" s="438"/>
      <c r="G533" s="438"/>
      <c r="H533" s="438"/>
      <c r="I533" s="438"/>
      <c r="J533" s="438"/>
      <c r="K533" s="438"/>
      <c r="L533" s="438" t="s">
        <v>3648</v>
      </c>
      <c r="M533" s="456"/>
      <c r="N533" s="456"/>
      <c r="O533" s="456"/>
      <c r="P533" s="456">
        <v>33582.784</v>
      </c>
    </row>
    <row r="534" spans="1:16" x14ac:dyDescent="0.5">
      <c r="A534" s="438"/>
      <c r="B534" s="438"/>
      <c r="C534" s="438" t="s">
        <v>3624</v>
      </c>
      <c r="D534" s="438"/>
      <c r="E534" s="438"/>
      <c r="F534" s="438"/>
      <c r="G534" s="438"/>
      <c r="H534" s="438"/>
      <c r="I534" s="438"/>
      <c r="J534" s="438"/>
      <c r="K534" s="438"/>
      <c r="L534" s="438" t="s">
        <v>3648</v>
      </c>
      <c r="M534" s="456"/>
      <c r="N534" s="456"/>
      <c r="O534" s="456"/>
      <c r="P534" s="456">
        <v>11063.635</v>
      </c>
    </row>
    <row r="535" spans="1:16" x14ac:dyDescent="0.5">
      <c r="A535" s="438"/>
      <c r="B535" s="438"/>
      <c r="C535" s="438" t="s">
        <v>3624</v>
      </c>
      <c r="D535" s="438"/>
      <c r="E535" s="438"/>
      <c r="F535" s="438"/>
      <c r="G535" s="438"/>
      <c r="H535" s="438"/>
      <c r="I535" s="438"/>
      <c r="J535" s="438"/>
      <c r="K535" s="438"/>
      <c r="L535" s="438" t="s">
        <v>3664</v>
      </c>
      <c r="M535" s="456">
        <v>19219.403000000002</v>
      </c>
      <c r="N535" s="456"/>
      <c r="O535" s="456"/>
      <c r="P535" s="456">
        <v>12413.445</v>
      </c>
    </row>
    <row r="536" spans="1:16" x14ac:dyDescent="0.5">
      <c r="A536" s="438"/>
      <c r="B536" s="438"/>
      <c r="C536" s="438" t="s">
        <v>3624</v>
      </c>
      <c r="D536" s="438"/>
      <c r="E536" s="438"/>
      <c r="F536" s="438"/>
      <c r="G536" s="438"/>
      <c r="H536" s="438"/>
      <c r="I536" s="438"/>
      <c r="J536" s="438"/>
      <c r="K536" s="438"/>
      <c r="L536" s="438" t="s">
        <v>3664</v>
      </c>
      <c r="M536" s="456"/>
      <c r="N536" s="456"/>
      <c r="O536" s="456"/>
      <c r="P536" s="456">
        <v>13272.922</v>
      </c>
    </row>
    <row r="537" spans="1:16" x14ac:dyDescent="0.5">
      <c r="A537" s="438"/>
      <c r="B537" s="438"/>
      <c r="C537" s="438" t="s">
        <v>3624</v>
      </c>
      <c r="D537" s="438"/>
      <c r="E537" s="438"/>
      <c r="F537" s="438"/>
      <c r="G537" s="438"/>
      <c r="H537" s="438"/>
      <c r="I537" s="438"/>
      <c r="J537" s="438"/>
      <c r="K537" s="438"/>
      <c r="L537" s="438" t="s">
        <v>3664</v>
      </c>
      <c r="M537" s="456"/>
      <c r="N537" s="456"/>
      <c r="O537" s="456"/>
      <c r="P537" s="456">
        <v>13253.933999999999</v>
      </c>
    </row>
    <row r="538" spans="1:16" x14ac:dyDescent="0.5">
      <c r="A538" s="438"/>
      <c r="B538" s="438"/>
      <c r="C538" s="438" t="s">
        <v>3624</v>
      </c>
      <c r="D538" s="438"/>
      <c r="E538" s="438"/>
      <c r="F538" s="438"/>
      <c r="G538" s="438"/>
      <c r="H538" s="438"/>
      <c r="I538" s="438"/>
      <c r="J538" s="438"/>
      <c r="K538" s="438"/>
      <c r="L538" s="438" t="s">
        <v>3664</v>
      </c>
      <c r="M538" s="456"/>
      <c r="N538" s="456"/>
      <c r="O538" s="456"/>
      <c r="P538" s="456">
        <v>18032.026000000002</v>
      </c>
    </row>
    <row r="539" spans="1:16" x14ac:dyDescent="0.5">
      <c r="A539" s="438"/>
      <c r="B539" s="438"/>
      <c r="C539" s="438" t="s">
        <v>3624</v>
      </c>
      <c r="D539" s="438"/>
      <c r="E539" s="438"/>
      <c r="F539" s="438"/>
      <c r="G539" s="438"/>
      <c r="H539" s="438"/>
      <c r="I539" s="438"/>
      <c r="J539" s="438"/>
      <c r="K539" s="438"/>
      <c r="L539" s="438" t="s">
        <v>3664</v>
      </c>
      <c r="M539" s="456"/>
      <c r="N539" s="456"/>
      <c r="O539" s="456"/>
      <c r="P539" s="456">
        <v>11057.271000000001</v>
      </c>
    </row>
    <row r="540" spans="1:16" x14ac:dyDescent="0.5">
      <c r="A540" s="438"/>
      <c r="B540" s="438"/>
      <c r="C540" s="438" t="s">
        <v>3624</v>
      </c>
      <c r="D540" s="438"/>
      <c r="E540" s="438"/>
      <c r="F540" s="438"/>
      <c r="G540" s="438"/>
      <c r="H540" s="438"/>
      <c r="I540" s="438"/>
      <c r="J540" s="438"/>
      <c r="K540" s="438"/>
      <c r="L540" s="438" t="s">
        <v>3664</v>
      </c>
      <c r="M540" s="456"/>
      <c r="N540" s="456"/>
      <c r="O540" s="456"/>
      <c r="P540" s="456">
        <v>9827.02</v>
      </c>
    </row>
    <row r="541" spans="1:16" x14ac:dyDescent="0.5">
      <c r="A541" s="438"/>
      <c r="B541" s="438"/>
      <c r="C541" s="438" t="s">
        <v>3624</v>
      </c>
      <c r="D541" s="438"/>
      <c r="E541" s="438"/>
      <c r="F541" s="438"/>
      <c r="G541" s="438"/>
      <c r="H541" s="438"/>
      <c r="I541" s="438"/>
      <c r="J541" s="438"/>
      <c r="K541" s="438"/>
      <c r="L541" s="438" t="s">
        <v>3664</v>
      </c>
      <c r="M541" s="456"/>
      <c r="N541" s="456"/>
      <c r="O541" s="456"/>
      <c r="P541" s="456">
        <v>15196.752</v>
      </c>
    </row>
    <row r="542" spans="1:16" x14ac:dyDescent="0.5">
      <c r="A542" s="438"/>
      <c r="B542" s="438"/>
      <c r="C542" s="438" t="s">
        <v>3624</v>
      </c>
      <c r="D542" s="438"/>
      <c r="E542" s="438"/>
      <c r="F542" s="438"/>
      <c r="G542" s="438"/>
      <c r="H542" s="438"/>
      <c r="I542" s="438"/>
      <c r="J542" s="438"/>
      <c r="K542" s="438"/>
      <c r="L542" s="438" t="s">
        <v>3664</v>
      </c>
      <c r="M542" s="456"/>
      <c r="N542" s="456"/>
      <c r="O542" s="456"/>
      <c r="P542" s="456">
        <v>13994.483</v>
      </c>
    </row>
    <row r="543" spans="1:16" x14ac:dyDescent="0.5">
      <c r="A543" s="438"/>
      <c r="B543" s="438"/>
      <c r="C543" s="438" t="s">
        <v>3675</v>
      </c>
      <c r="D543" s="438"/>
      <c r="E543" s="438"/>
      <c r="F543" s="438"/>
      <c r="G543" s="438"/>
      <c r="H543" s="438"/>
      <c r="I543" s="438"/>
      <c r="J543" s="438"/>
      <c r="K543" s="438"/>
      <c r="L543" s="438" t="s">
        <v>3664</v>
      </c>
      <c r="M543" s="456"/>
      <c r="N543" s="456"/>
      <c r="O543" s="456"/>
      <c r="P543" s="456">
        <v>13444.088</v>
      </c>
    </row>
    <row r="544" spans="1:16" x14ac:dyDescent="0.5">
      <c r="A544" s="438"/>
      <c r="B544" s="438"/>
      <c r="C544" s="438" t="s">
        <v>3675</v>
      </c>
      <c r="D544" s="438"/>
      <c r="E544" s="438"/>
      <c r="F544" s="438"/>
      <c r="G544" s="438"/>
      <c r="H544" s="438"/>
      <c r="I544" s="438"/>
      <c r="J544" s="438"/>
      <c r="K544" s="438"/>
      <c r="L544" s="438" t="s">
        <v>3664</v>
      </c>
      <c r="M544" s="456"/>
      <c r="N544" s="456"/>
      <c r="O544" s="456"/>
      <c r="P544" s="456">
        <v>2296.136</v>
      </c>
    </row>
    <row r="545" spans="1:16" x14ac:dyDescent="0.5">
      <c r="A545" s="438"/>
      <c r="B545" s="438"/>
      <c r="C545" s="438" t="s">
        <v>3675</v>
      </c>
      <c r="D545" s="438"/>
      <c r="E545" s="438"/>
      <c r="F545" s="438"/>
      <c r="G545" s="438"/>
      <c r="H545" s="438"/>
      <c r="I545" s="438"/>
      <c r="J545" s="438"/>
      <c r="K545" s="438"/>
      <c r="L545" s="438" t="s">
        <v>3664</v>
      </c>
      <c r="M545" s="456"/>
      <c r="N545" s="456"/>
      <c r="O545" s="456"/>
      <c r="P545" s="456">
        <v>11150.949000000001</v>
      </c>
    </row>
    <row r="546" spans="1:16" x14ac:dyDescent="0.5">
      <c r="A546" s="438"/>
      <c r="B546" s="438"/>
      <c r="C546" s="438" t="s">
        <v>3675</v>
      </c>
      <c r="D546" s="438"/>
      <c r="E546" s="438"/>
      <c r="F546" s="438"/>
      <c r="G546" s="438"/>
      <c r="H546" s="438"/>
      <c r="I546" s="438"/>
      <c r="J546" s="438"/>
      <c r="K546" s="438"/>
      <c r="L546" s="438" t="s">
        <v>3679</v>
      </c>
      <c r="M546" s="456">
        <v>15504.034</v>
      </c>
      <c r="N546" s="456"/>
      <c r="O546" s="456"/>
      <c r="P546" s="456">
        <v>11217.546</v>
      </c>
    </row>
    <row r="547" spans="1:16" x14ac:dyDescent="0.5">
      <c r="A547" s="438"/>
      <c r="B547" s="438"/>
      <c r="C547" s="438" t="s">
        <v>3675</v>
      </c>
      <c r="D547" s="438"/>
      <c r="E547" s="438"/>
      <c r="F547" s="438"/>
      <c r="G547" s="438"/>
      <c r="H547" s="438"/>
      <c r="I547" s="438"/>
      <c r="J547" s="438"/>
      <c r="K547" s="438"/>
      <c r="L547" s="438" t="s">
        <v>3679</v>
      </c>
      <c r="M547" s="456"/>
      <c r="N547" s="456"/>
      <c r="O547" s="456"/>
      <c r="P547" s="456">
        <v>11930.834999999999</v>
      </c>
    </row>
    <row r="548" spans="1:16" x14ac:dyDescent="0.5">
      <c r="A548" s="438"/>
      <c r="B548" s="438"/>
      <c r="C548" s="438" t="s">
        <v>3675</v>
      </c>
      <c r="D548" s="438"/>
      <c r="E548" s="438"/>
      <c r="F548" s="438"/>
      <c r="G548" s="438"/>
      <c r="H548" s="438"/>
      <c r="I548" s="438"/>
      <c r="J548" s="438"/>
      <c r="K548" s="438"/>
      <c r="L548" s="438" t="s">
        <v>3679</v>
      </c>
      <c r="M548" s="456"/>
      <c r="N548" s="456"/>
      <c r="O548" s="456"/>
      <c r="P548" s="456">
        <v>13367.416999999999</v>
      </c>
    </row>
    <row r="549" spans="1:16" x14ac:dyDescent="0.5">
      <c r="A549" s="438"/>
      <c r="B549" s="438"/>
      <c r="C549" s="438" t="s">
        <v>3675</v>
      </c>
      <c r="D549" s="438"/>
      <c r="E549" s="438"/>
      <c r="F549" s="438"/>
      <c r="G549" s="438"/>
      <c r="H549" s="438"/>
      <c r="I549" s="438"/>
      <c r="J549" s="438"/>
      <c r="K549" s="438"/>
      <c r="L549" s="438" t="s">
        <v>3679</v>
      </c>
      <c r="M549" s="456"/>
      <c r="N549" s="456"/>
      <c r="O549" s="456"/>
      <c r="P549" s="456">
        <v>14512.882</v>
      </c>
    </row>
    <row r="550" spans="1:16" x14ac:dyDescent="0.5">
      <c r="A550" s="438"/>
      <c r="B550" s="438"/>
      <c r="C550" s="438" t="s">
        <v>3675</v>
      </c>
      <c r="D550" s="438"/>
      <c r="E550" s="438"/>
      <c r="F550" s="438"/>
      <c r="G550" s="438"/>
      <c r="H550" s="438"/>
      <c r="I550" s="438"/>
      <c r="J550" s="438"/>
      <c r="K550" s="438"/>
      <c r="L550" s="438" t="s">
        <v>3679</v>
      </c>
      <c r="M550" s="456"/>
      <c r="N550" s="456"/>
      <c r="O550" s="456"/>
      <c r="P550" s="456">
        <v>9032.6610000000001</v>
      </c>
    </row>
    <row r="551" spans="1:16" x14ac:dyDescent="0.5">
      <c r="A551" s="438"/>
      <c r="B551" s="438"/>
      <c r="C551" s="438" t="s">
        <v>3675</v>
      </c>
      <c r="D551" s="438"/>
      <c r="E551" s="438"/>
      <c r="F551" s="438"/>
      <c r="G551" s="438"/>
      <c r="H551" s="438"/>
      <c r="I551" s="438"/>
      <c r="J551" s="438"/>
      <c r="K551" s="438"/>
      <c r="L551" s="438" t="s">
        <v>3679</v>
      </c>
      <c r="M551" s="456"/>
      <c r="N551" s="456"/>
      <c r="O551" s="456"/>
      <c r="P551" s="456">
        <v>1931.413</v>
      </c>
    </row>
    <row r="552" spans="1:16" x14ac:dyDescent="0.5">
      <c r="A552" s="438"/>
      <c r="B552" s="438"/>
      <c r="C552" s="438" t="s">
        <v>3675</v>
      </c>
      <c r="D552" s="438"/>
      <c r="E552" s="438"/>
      <c r="F552" s="438"/>
      <c r="G552" s="438"/>
      <c r="H552" s="438"/>
      <c r="I552" s="438"/>
      <c r="J552" s="438"/>
      <c r="K552" s="438"/>
      <c r="L552" s="438" t="s">
        <v>3679</v>
      </c>
      <c r="M552" s="456"/>
      <c r="N552" s="456"/>
      <c r="O552" s="456"/>
      <c r="P552" s="456">
        <v>12102.319</v>
      </c>
    </row>
    <row r="553" spans="1:16" x14ac:dyDescent="0.5">
      <c r="A553" s="438"/>
      <c r="B553" s="438"/>
      <c r="C553" s="438" t="s">
        <v>3675</v>
      </c>
      <c r="D553" s="438"/>
      <c r="E553" s="438"/>
      <c r="F553" s="438"/>
      <c r="G553" s="438"/>
      <c r="H553" s="438"/>
      <c r="I553" s="438"/>
      <c r="J553" s="438"/>
      <c r="K553" s="438"/>
      <c r="L553" s="438" t="s">
        <v>3679</v>
      </c>
      <c r="M553" s="456"/>
      <c r="N553" s="456"/>
      <c r="O553" s="456"/>
      <c r="P553" s="456">
        <v>38290.351999999999</v>
      </c>
    </row>
    <row r="554" spans="1:16" x14ac:dyDescent="0.5">
      <c r="A554" s="438"/>
      <c r="B554" s="438"/>
      <c r="C554" s="438" t="s">
        <v>3675</v>
      </c>
      <c r="D554" s="438"/>
      <c r="E554" s="438"/>
      <c r="F554" s="438"/>
      <c r="G554" s="438"/>
      <c r="H554" s="438"/>
      <c r="I554" s="438"/>
      <c r="J554" s="438"/>
      <c r="K554" s="438"/>
      <c r="L554" s="438" t="s">
        <v>3689</v>
      </c>
      <c r="M554" s="456">
        <v>17693.027000000002</v>
      </c>
      <c r="N554" s="456"/>
      <c r="O554" s="456"/>
      <c r="P554" s="456">
        <v>11956.934999999999</v>
      </c>
    </row>
    <row r="555" spans="1:16" x14ac:dyDescent="0.5">
      <c r="A555" s="438"/>
      <c r="B555" s="438"/>
      <c r="C555" s="438" t="s">
        <v>3675</v>
      </c>
      <c r="D555" s="438"/>
      <c r="E555" s="438"/>
      <c r="F555" s="438"/>
      <c r="G555" s="438"/>
      <c r="H555" s="438"/>
      <c r="I555" s="438"/>
      <c r="J555" s="438"/>
      <c r="K555" s="438"/>
      <c r="L555" s="438" t="s">
        <v>3689</v>
      </c>
      <c r="M555" s="456"/>
      <c r="N555" s="456"/>
      <c r="O555" s="456"/>
      <c r="P555" s="456">
        <v>17902.919999999998</v>
      </c>
    </row>
    <row r="556" spans="1:16" x14ac:dyDescent="0.5">
      <c r="A556" s="438"/>
      <c r="B556" s="438"/>
      <c r="C556" s="438" t="s">
        <v>3675</v>
      </c>
      <c r="D556" s="438"/>
      <c r="E556" s="438"/>
      <c r="F556" s="438"/>
      <c r="G556" s="438"/>
      <c r="H556" s="438"/>
      <c r="I556" s="438"/>
      <c r="J556" s="438"/>
      <c r="K556" s="438"/>
      <c r="L556" s="438" t="s">
        <v>3689</v>
      </c>
      <c r="M556" s="456"/>
      <c r="N556" s="456"/>
      <c r="O556" s="456"/>
      <c r="P556" s="456">
        <v>12061.882</v>
      </c>
    </row>
    <row r="557" spans="1:16" x14ac:dyDescent="0.5">
      <c r="A557" s="438"/>
      <c r="B557" s="438"/>
      <c r="C557" s="438" t="s">
        <v>3675</v>
      </c>
      <c r="D557" s="438"/>
      <c r="E557" s="438"/>
      <c r="F557" s="438"/>
      <c r="G557" s="438"/>
      <c r="H557" s="438"/>
      <c r="I557" s="438"/>
      <c r="J557" s="438"/>
      <c r="K557" s="438"/>
      <c r="L557" s="438" t="s">
        <v>3689</v>
      </c>
      <c r="M557" s="456"/>
      <c r="N557" s="456"/>
      <c r="O557" s="456"/>
      <c r="P557" s="456">
        <v>8239.8209999999999</v>
      </c>
    </row>
    <row r="558" spans="1:16" x14ac:dyDescent="0.5">
      <c r="A558" s="438"/>
      <c r="B558" s="438"/>
      <c r="C558" s="438" t="s">
        <v>3675</v>
      </c>
      <c r="D558" s="438"/>
      <c r="E558" s="438"/>
      <c r="F558" s="438"/>
      <c r="G558" s="438"/>
      <c r="H558" s="438"/>
      <c r="I558" s="438"/>
      <c r="J558" s="438"/>
      <c r="K558" s="438"/>
      <c r="L558" s="438" t="s">
        <v>3689</v>
      </c>
      <c r="M558" s="456"/>
      <c r="N558" s="456"/>
      <c r="O558" s="456"/>
      <c r="P558" s="456">
        <v>16778.490000000002</v>
      </c>
    </row>
    <row r="559" spans="1:16" x14ac:dyDescent="0.5">
      <c r="A559" s="438"/>
      <c r="B559" s="438"/>
      <c r="C559" s="438" t="s">
        <v>3675</v>
      </c>
      <c r="D559" s="438"/>
      <c r="E559" s="438"/>
      <c r="F559" s="438"/>
      <c r="G559" s="438"/>
      <c r="H559" s="438"/>
      <c r="I559" s="438"/>
      <c r="J559" s="438"/>
      <c r="K559" s="438"/>
      <c r="L559" s="438" t="s">
        <v>3689</v>
      </c>
      <c r="M559" s="456"/>
      <c r="N559" s="456"/>
      <c r="O559" s="456"/>
      <c r="P559" s="456">
        <v>9464.2000000000007</v>
      </c>
    </row>
    <row r="560" spans="1:16" x14ac:dyDescent="0.5">
      <c r="A560" s="438"/>
      <c r="B560" s="438"/>
      <c r="C560" s="438" t="s">
        <v>3675</v>
      </c>
      <c r="D560" s="438"/>
      <c r="E560" s="438"/>
      <c r="F560" s="438"/>
      <c r="G560" s="438"/>
      <c r="H560" s="438"/>
      <c r="I560" s="438"/>
      <c r="J560" s="438"/>
      <c r="K560" s="438"/>
      <c r="L560" s="438" t="s">
        <v>3689</v>
      </c>
      <c r="M560" s="456"/>
      <c r="N560" s="456"/>
      <c r="O560" s="456"/>
      <c r="P560" s="456">
        <v>11898.965</v>
      </c>
    </row>
    <row r="561" spans="1:16" x14ac:dyDescent="0.5">
      <c r="A561" s="438"/>
      <c r="B561" s="438"/>
      <c r="C561" s="438" t="s">
        <v>3675</v>
      </c>
      <c r="D561" s="438"/>
      <c r="E561" s="438"/>
      <c r="F561" s="438"/>
      <c r="G561" s="438"/>
      <c r="H561" s="438"/>
      <c r="I561" s="438"/>
      <c r="J561" s="438"/>
      <c r="K561" s="438"/>
      <c r="L561" s="438" t="s">
        <v>3689</v>
      </c>
      <c r="M561" s="456"/>
      <c r="N561" s="456"/>
      <c r="O561" s="456"/>
      <c r="P561" s="456">
        <v>2680.64</v>
      </c>
    </row>
    <row r="562" spans="1:16" x14ac:dyDescent="0.5">
      <c r="A562" s="438"/>
      <c r="B562" s="438"/>
      <c r="C562" s="438" t="s">
        <v>3675</v>
      </c>
      <c r="D562" s="438"/>
      <c r="E562" s="438"/>
      <c r="F562" s="438"/>
      <c r="G562" s="438"/>
      <c r="H562" s="438"/>
      <c r="I562" s="438"/>
      <c r="J562" s="438"/>
      <c r="K562" s="438"/>
      <c r="L562" s="438" t="s">
        <v>3689</v>
      </c>
      <c r="M562" s="456"/>
      <c r="N562" s="456"/>
      <c r="O562" s="456"/>
      <c r="P562" s="456">
        <v>11983.922</v>
      </c>
    </row>
    <row r="563" spans="1:16" x14ac:dyDescent="0.5">
      <c r="A563" s="438"/>
      <c r="B563" s="438"/>
      <c r="C563" s="438" t="s">
        <v>3675</v>
      </c>
      <c r="D563" s="438"/>
      <c r="E563" s="438"/>
      <c r="F563" s="438"/>
      <c r="G563" s="438"/>
      <c r="H563" s="438"/>
      <c r="I563" s="438"/>
      <c r="J563" s="438"/>
      <c r="K563" s="438"/>
      <c r="L563" s="438" t="s">
        <v>3699</v>
      </c>
      <c r="M563" s="456">
        <v>13950.23</v>
      </c>
      <c r="N563" s="456"/>
      <c r="O563" s="456"/>
      <c r="P563" s="456">
        <v>79165.072</v>
      </c>
    </row>
    <row r="564" spans="1:16" x14ac:dyDescent="0.5">
      <c r="A564" s="438"/>
      <c r="B564" s="438"/>
      <c r="C564" s="438" t="s">
        <v>3675</v>
      </c>
      <c r="D564" s="438"/>
      <c r="E564" s="438"/>
      <c r="F564" s="438"/>
      <c r="G564" s="438"/>
      <c r="H564" s="438"/>
      <c r="I564" s="438"/>
      <c r="J564" s="438"/>
      <c r="K564" s="438"/>
      <c r="L564" s="438" t="s">
        <v>3699</v>
      </c>
      <c r="M564" s="456"/>
      <c r="N564" s="456"/>
      <c r="O564" s="456"/>
      <c r="P564" s="456">
        <v>13335.055</v>
      </c>
    </row>
    <row r="565" spans="1:16" x14ac:dyDescent="0.5">
      <c r="A565" s="438"/>
      <c r="B565" s="438"/>
      <c r="C565" s="438" t="s">
        <v>3675</v>
      </c>
      <c r="D565" s="438"/>
      <c r="E565" s="438"/>
      <c r="F565" s="438"/>
      <c r="G565" s="438"/>
      <c r="H565" s="438"/>
      <c r="I565" s="438"/>
      <c r="J565" s="438"/>
      <c r="K565" s="438"/>
      <c r="L565" s="438" t="s">
        <v>3699</v>
      </c>
      <c r="M565" s="456"/>
      <c r="N565" s="456"/>
      <c r="O565" s="456"/>
      <c r="P565" s="456">
        <v>13157.001</v>
      </c>
    </row>
    <row r="566" spans="1:16" x14ac:dyDescent="0.5">
      <c r="A566" s="438"/>
      <c r="B566" s="438"/>
      <c r="C566" s="438" t="s">
        <v>3675</v>
      </c>
      <c r="D566" s="438"/>
      <c r="E566" s="438"/>
      <c r="F566" s="438"/>
      <c r="G566" s="438"/>
      <c r="H566" s="438"/>
      <c r="I566" s="438"/>
      <c r="J566" s="438"/>
      <c r="K566" s="438"/>
      <c r="L566" s="438" t="s">
        <v>3699</v>
      </c>
      <c r="M566" s="456"/>
      <c r="N566" s="456"/>
      <c r="O566" s="456"/>
      <c r="P566" s="456">
        <v>13174.005999999999</v>
      </c>
    </row>
    <row r="567" spans="1:16" x14ac:dyDescent="0.5">
      <c r="A567" s="438"/>
      <c r="B567" s="438"/>
      <c r="C567" s="438" t="s">
        <v>3675</v>
      </c>
      <c r="D567" s="438"/>
      <c r="E567" s="438"/>
      <c r="F567" s="438"/>
      <c r="G567" s="438"/>
      <c r="H567" s="438"/>
      <c r="I567" s="438"/>
      <c r="J567" s="438"/>
      <c r="K567" s="438"/>
      <c r="L567" s="438" t="s">
        <v>3699</v>
      </c>
      <c r="M567" s="456"/>
      <c r="N567" s="456"/>
      <c r="O567" s="456"/>
      <c r="P567" s="456">
        <v>8429.5630000000001</v>
      </c>
    </row>
    <row r="568" spans="1:16" x14ac:dyDescent="0.5">
      <c r="A568" s="438"/>
      <c r="B568" s="438"/>
      <c r="C568" s="438" t="s">
        <v>3675</v>
      </c>
      <c r="D568" s="438"/>
      <c r="E568" s="438"/>
      <c r="F568" s="438"/>
      <c r="G568" s="438"/>
      <c r="H568" s="438"/>
      <c r="I568" s="438"/>
      <c r="J568" s="438"/>
      <c r="K568" s="438"/>
      <c r="L568" s="438" t="s">
        <v>3699</v>
      </c>
      <c r="M568" s="456"/>
      <c r="N568" s="456"/>
      <c r="O568" s="456"/>
      <c r="P568" s="456">
        <v>13549.12</v>
      </c>
    </row>
    <row r="569" spans="1:16" x14ac:dyDescent="0.5">
      <c r="A569" s="438"/>
      <c r="B569" s="438"/>
      <c r="C569" s="438" t="s">
        <v>3675</v>
      </c>
      <c r="D569" s="438"/>
      <c r="E569" s="438"/>
      <c r="F569" s="438"/>
      <c r="G569" s="438"/>
      <c r="H569" s="438"/>
      <c r="I569" s="438"/>
      <c r="J569" s="438"/>
      <c r="K569" s="438"/>
      <c r="L569" s="438" t="s">
        <v>3699</v>
      </c>
      <c r="M569" s="456"/>
      <c r="N569" s="456"/>
      <c r="O569" s="456"/>
      <c r="P569" s="456">
        <v>2493.241</v>
      </c>
    </row>
    <row r="570" spans="1:16" x14ac:dyDescent="0.5">
      <c r="A570" s="438"/>
      <c r="B570" s="438"/>
      <c r="C570" s="438" t="s">
        <v>3675</v>
      </c>
      <c r="D570" s="438"/>
      <c r="E570" s="438"/>
      <c r="F570" s="438"/>
      <c r="G570" s="438"/>
      <c r="H570" s="438"/>
      <c r="I570" s="438"/>
      <c r="J570" s="438"/>
      <c r="K570" s="438"/>
      <c r="L570" s="438" t="s">
        <v>3699</v>
      </c>
      <c r="M570" s="456"/>
      <c r="N570" s="456"/>
      <c r="O570" s="456"/>
      <c r="P570" s="456">
        <v>13235.973</v>
      </c>
    </row>
    <row r="571" spans="1:16" x14ac:dyDescent="0.5">
      <c r="A571" s="438"/>
      <c r="B571" s="438"/>
      <c r="C571" s="438" t="s">
        <v>3675</v>
      </c>
      <c r="D571" s="438"/>
      <c r="E571" s="438"/>
      <c r="F571" s="438"/>
      <c r="G571" s="438"/>
      <c r="H571" s="438"/>
      <c r="I571" s="438"/>
      <c r="J571" s="438"/>
      <c r="K571" s="438"/>
      <c r="L571" s="438" t="s">
        <v>3709</v>
      </c>
      <c r="M571" s="456">
        <v>12763.100999999999</v>
      </c>
      <c r="N571" s="456"/>
      <c r="O571" s="456"/>
      <c r="P571" s="456">
        <v>17249.98</v>
      </c>
    </row>
    <row r="572" spans="1:16" x14ac:dyDescent="0.5">
      <c r="A572" s="438"/>
      <c r="B572" s="438"/>
      <c r="C572" s="438" t="s">
        <v>3675</v>
      </c>
      <c r="D572" s="438"/>
      <c r="E572" s="438"/>
      <c r="F572" s="438"/>
      <c r="G572" s="438"/>
      <c r="H572" s="438"/>
      <c r="I572" s="438"/>
      <c r="J572" s="438"/>
      <c r="K572" s="438"/>
      <c r="L572" s="438" t="s">
        <v>3709</v>
      </c>
      <c r="M572" s="456"/>
      <c r="N572" s="456"/>
      <c r="O572" s="456"/>
      <c r="P572" s="456">
        <v>14667.888000000001</v>
      </c>
    </row>
    <row r="573" spans="1:16" x14ac:dyDescent="0.5">
      <c r="A573" s="438"/>
      <c r="B573" s="438"/>
      <c r="C573" s="438" t="s">
        <v>3675</v>
      </c>
      <c r="D573" s="438"/>
      <c r="E573" s="438"/>
      <c r="F573" s="438"/>
      <c r="G573" s="438"/>
      <c r="H573" s="438"/>
      <c r="I573" s="438"/>
      <c r="J573" s="438"/>
      <c r="K573" s="438"/>
      <c r="L573" s="438" t="s">
        <v>3709</v>
      </c>
      <c r="M573" s="456"/>
      <c r="N573" s="456"/>
      <c r="O573" s="456"/>
      <c r="P573" s="456">
        <v>15917.901</v>
      </c>
    </row>
    <row r="574" spans="1:16" x14ac:dyDescent="0.5">
      <c r="A574" s="438"/>
      <c r="B574" s="438"/>
      <c r="C574" s="438" t="s">
        <v>3715</v>
      </c>
      <c r="D574" s="438"/>
      <c r="E574" s="438"/>
      <c r="F574" s="438"/>
      <c r="G574" s="438"/>
      <c r="H574" s="438"/>
      <c r="I574" s="438"/>
      <c r="J574" s="438"/>
      <c r="K574" s="438"/>
      <c r="L574" s="438" t="s">
        <v>3709</v>
      </c>
      <c r="M574" s="456"/>
      <c r="N574" s="456"/>
      <c r="O574" s="456"/>
      <c r="P574" s="456">
        <v>13382.846</v>
      </c>
    </row>
    <row r="575" spans="1:16" x14ac:dyDescent="0.5">
      <c r="A575" s="438"/>
      <c r="B575" s="438"/>
      <c r="C575" s="438" t="s">
        <v>3715</v>
      </c>
      <c r="D575" s="438"/>
      <c r="E575" s="438"/>
      <c r="F575" s="438"/>
      <c r="G575" s="438"/>
      <c r="H575" s="438"/>
      <c r="I575" s="438"/>
      <c r="J575" s="438"/>
      <c r="K575" s="438"/>
      <c r="L575" s="438" t="s">
        <v>3709</v>
      </c>
      <c r="M575" s="456"/>
      <c r="N575" s="456"/>
      <c r="O575" s="456"/>
      <c r="P575" s="456">
        <v>12636.241</v>
      </c>
    </row>
    <row r="576" spans="1:16" x14ac:dyDescent="0.5">
      <c r="A576" s="438"/>
      <c r="B576" s="438"/>
      <c r="C576" s="438" t="s">
        <v>3715</v>
      </c>
      <c r="D576" s="438"/>
      <c r="E576" s="438"/>
      <c r="F576" s="438"/>
      <c r="G576" s="438"/>
      <c r="H576" s="438"/>
      <c r="I576" s="438"/>
      <c r="J576" s="438"/>
      <c r="K576" s="438"/>
      <c r="L576" s="438" t="s">
        <v>3709</v>
      </c>
      <c r="M576" s="456"/>
      <c r="N576" s="456"/>
      <c r="O576" s="456"/>
      <c r="P576" s="456">
        <v>8196.643</v>
      </c>
    </row>
    <row r="577" spans="1:16" x14ac:dyDescent="0.5">
      <c r="A577" s="438"/>
      <c r="B577" s="438"/>
      <c r="C577" s="438" t="s">
        <v>3715</v>
      </c>
      <c r="D577" s="438"/>
      <c r="E577" s="438"/>
      <c r="F577" s="438"/>
      <c r="G577" s="438"/>
      <c r="H577" s="438"/>
      <c r="I577" s="438"/>
      <c r="J577" s="438"/>
      <c r="K577" s="438"/>
      <c r="L577" s="438" t="s">
        <v>3709</v>
      </c>
      <c r="M577" s="456"/>
      <c r="N577" s="456"/>
      <c r="O577" s="456"/>
      <c r="P577" s="456">
        <v>9835.9719999999998</v>
      </c>
    </row>
    <row r="578" spans="1:16" x14ac:dyDescent="0.5">
      <c r="A578" s="438"/>
      <c r="B578" s="438"/>
      <c r="C578" s="438" t="s">
        <v>3715</v>
      </c>
      <c r="D578" s="438"/>
      <c r="E578" s="438"/>
      <c r="F578" s="438"/>
      <c r="G578" s="438"/>
      <c r="H578" s="438"/>
      <c r="I578" s="438"/>
      <c r="J578" s="438"/>
      <c r="K578" s="438"/>
      <c r="L578" s="438" t="s">
        <v>3709</v>
      </c>
      <c r="M578" s="456"/>
      <c r="N578" s="456"/>
      <c r="O578" s="456"/>
      <c r="P578" s="456">
        <v>14296.65</v>
      </c>
    </row>
    <row r="579" spans="1:16" x14ac:dyDescent="0.5">
      <c r="A579" s="438"/>
      <c r="B579" s="438"/>
      <c r="C579" s="438" t="s">
        <v>3715</v>
      </c>
      <c r="D579" s="438"/>
      <c r="E579" s="438"/>
      <c r="F579" s="438"/>
      <c r="G579" s="438"/>
      <c r="H579" s="438"/>
      <c r="I579" s="438"/>
      <c r="J579" s="438"/>
      <c r="K579" s="438"/>
      <c r="L579" s="438" t="s">
        <v>3709</v>
      </c>
      <c r="M579" s="456"/>
      <c r="N579" s="456"/>
      <c r="O579" s="456"/>
      <c r="P579" s="456">
        <v>13583.867</v>
      </c>
    </row>
    <row r="580" spans="1:16" x14ac:dyDescent="0.5">
      <c r="A580" s="438"/>
      <c r="B580" s="438"/>
      <c r="C580" s="438" t="s">
        <v>3715</v>
      </c>
      <c r="D580" s="438"/>
      <c r="E580" s="438"/>
      <c r="F580" s="438"/>
      <c r="G580" s="438"/>
      <c r="H580" s="438"/>
      <c r="I580" s="438"/>
      <c r="J580" s="438"/>
      <c r="K580" s="438"/>
      <c r="L580" s="438" t="s">
        <v>3709</v>
      </c>
      <c r="M580" s="456"/>
      <c r="N580" s="456"/>
      <c r="O580" s="456"/>
      <c r="P580" s="456">
        <v>297.90899999999999</v>
      </c>
    </row>
    <row r="581" spans="1:16" x14ac:dyDescent="0.5">
      <c r="A581" s="438"/>
      <c r="B581" s="438"/>
      <c r="C581" s="438" t="s">
        <v>3715</v>
      </c>
      <c r="D581" s="438"/>
      <c r="E581" s="438"/>
      <c r="F581" s="438"/>
      <c r="G581" s="438"/>
      <c r="H581" s="438"/>
      <c r="I581" s="438"/>
      <c r="J581" s="438"/>
      <c r="K581" s="438"/>
      <c r="L581" s="438" t="s">
        <v>3709</v>
      </c>
      <c r="M581" s="456"/>
      <c r="N581" s="456"/>
      <c r="O581" s="456"/>
      <c r="P581" s="456">
        <v>13452.906999999999</v>
      </c>
    </row>
    <row r="582" spans="1:16" x14ac:dyDescent="0.5">
      <c r="A582" s="438"/>
      <c r="B582" s="438"/>
      <c r="C582" s="438" t="s">
        <v>3715</v>
      </c>
      <c r="D582" s="438"/>
      <c r="E582" s="438"/>
      <c r="F582" s="438"/>
      <c r="G582" s="438"/>
      <c r="H582" s="438"/>
      <c r="I582" s="438"/>
      <c r="J582" s="438"/>
      <c r="K582" s="438"/>
      <c r="L582" s="438" t="s">
        <v>3709</v>
      </c>
      <c r="M582" s="456"/>
      <c r="N582" s="456"/>
      <c r="O582" s="456"/>
      <c r="P582" s="456">
        <v>33754.730000000003</v>
      </c>
    </row>
    <row r="583" spans="1:16" x14ac:dyDescent="0.5">
      <c r="A583" s="438"/>
      <c r="B583" s="438"/>
      <c r="C583" s="438" t="s">
        <v>3715</v>
      </c>
      <c r="D583" s="438"/>
      <c r="E583" s="438"/>
      <c r="F583" s="438"/>
      <c r="G583" s="438"/>
      <c r="H583" s="438"/>
      <c r="I583" s="438"/>
      <c r="J583" s="438"/>
      <c r="K583" s="438"/>
      <c r="L583" s="438" t="s">
        <v>3729</v>
      </c>
      <c r="M583" s="456">
        <v>15338.921999999999</v>
      </c>
      <c r="N583" s="456"/>
      <c r="O583" s="456"/>
      <c r="P583" s="456">
        <v>14574.477000000001</v>
      </c>
    </row>
    <row r="584" spans="1:16" x14ac:dyDescent="0.5">
      <c r="A584" s="438"/>
      <c r="B584" s="438"/>
      <c r="C584" s="438" t="s">
        <v>3715</v>
      </c>
      <c r="D584" s="438"/>
      <c r="E584" s="438"/>
      <c r="F584" s="438"/>
      <c r="G584" s="438"/>
      <c r="H584" s="438"/>
      <c r="I584" s="438"/>
      <c r="J584" s="438"/>
      <c r="K584" s="438"/>
      <c r="L584" s="438" t="s">
        <v>3729</v>
      </c>
      <c r="M584" s="456"/>
      <c r="N584" s="456"/>
      <c r="O584" s="456"/>
      <c r="P584" s="456">
        <v>12807.298000000001</v>
      </c>
    </row>
    <row r="585" spans="1:16" x14ac:dyDescent="0.5">
      <c r="A585" s="438"/>
      <c r="B585" s="438"/>
      <c r="C585" s="438" t="s">
        <v>3715</v>
      </c>
      <c r="D585" s="438"/>
      <c r="E585" s="438"/>
      <c r="F585" s="438"/>
      <c r="G585" s="438"/>
      <c r="H585" s="438"/>
      <c r="I585" s="438"/>
      <c r="J585" s="438"/>
      <c r="K585" s="438"/>
      <c r="L585" s="438" t="s">
        <v>3729</v>
      </c>
      <c r="M585" s="456"/>
      <c r="N585" s="456"/>
      <c r="O585" s="456"/>
      <c r="P585" s="456">
        <v>13349.352999999999</v>
      </c>
    </row>
    <row r="586" spans="1:16" x14ac:dyDescent="0.5">
      <c r="A586" s="438"/>
      <c r="B586" s="438"/>
      <c r="C586" s="438" t="s">
        <v>3715</v>
      </c>
      <c r="D586" s="438"/>
      <c r="E586" s="438"/>
      <c r="F586" s="438"/>
      <c r="G586" s="438"/>
      <c r="H586" s="438"/>
      <c r="I586" s="438"/>
      <c r="J586" s="438"/>
      <c r="K586" s="438"/>
      <c r="L586" s="438" t="s">
        <v>3729</v>
      </c>
      <c r="M586" s="456"/>
      <c r="N586" s="456"/>
      <c r="O586" s="456"/>
      <c r="P586" s="456">
        <v>17576.780999999999</v>
      </c>
    </row>
    <row r="587" spans="1:16" x14ac:dyDescent="0.5">
      <c r="A587" s="438"/>
      <c r="B587" s="438"/>
      <c r="C587" s="438" t="s">
        <v>3715</v>
      </c>
      <c r="D587" s="438"/>
      <c r="E587" s="438"/>
      <c r="F587" s="438"/>
      <c r="G587" s="438"/>
      <c r="H587" s="438"/>
      <c r="I587" s="438"/>
      <c r="J587" s="438"/>
      <c r="K587" s="438"/>
      <c r="L587" s="438" t="s">
        <v>3729</v>
      </c>
      <c r="M587" s="456"/>
      <c r="N587" s="456"/>
      <c r="O587" s="456"/>
      <c r="P587" s="456">
        <v>11297.145</v>
      </c>
    </row>
    <row r="588" spans="1:16" x14ac:dyDescent="0.5">
      <c r="A588" s="438"/>
      <c r="B588" s="438"/>
      <c r="C588" s="438" t="s">
        <v>3715</v>
      </c>
      <c r="D588" s="438"/>
      <c r="E588" s="438"/>
      <c r="F588" s="438"/>
      <c r="G588" s="438"/>
      <c r="H588" s="438"/>
      <c r="I588" s="438"/>
      <c r="J588" s="438"/>
      <c r="K588" s="438"/>
      <c r="L588" s="438" t="s">
        <v>3729</v>
      </c>
      <c r="M588" s="456"/>
      <c r="N588" s="456"/>
      <c r="O588" s="456"/>
      <c r="P588" s="456">
        <v>10378.052</v>
      </c>
    </row>
    <row r="589" spans="1:16" x14ac:dyDescent="0.5">
      <c r="A589" s="438"/>
      <c r="B589" s="438"/>
      <c r="C589" s="438" t="s">
        <v>3715</v>
      </c>
      <c r="D589" s="438"/>
      <c r="E589" s="438"/>
      <c r="F589" s="438"/>
      <c r="G589" s="438"/>
      <c r="H589" s="438"/>
      <c r="I589" s="438"/>
      <c r="J589" s="438"/>
      <c r="K589" s="438"/>
      <c r="L589" s="438" t="s">
        <v>3729</v>
      </c>
      <c r="M589" s="456"/>
      <c r="N589" s="456"/>
      <c r="O589" s="456"/>
      <c r="P589" s="456">
        <v>15881.61</v>
      </c>
    </row>
    <row r="590" spans="1:16" x14ac:dyDescent="0.5">
      <c r="A590" s="438"/>
      <c r="B590" s="438"/>
      <c r="C590" s="438" t="s">
        <v>3715</v>
      </c>
      <c r="D590" s="438"/>
      <c r="E590" s="438"/>
      <c r="F590" s="438"/>
      <c r="G590" s="438"/>
      <c r="H590" s="438"/>
      <c r="I590" s="438"/>
      <c r="J590" s="438"/>
      <c r="K590" s="438"/>
      <c r="L590" s="438" t="s">
        <v>3729</v>
      </c>
      <c r="M590" s="456"/>
      <c r="N590" s="456"/>
      <c r="O590" s="456"/>
      <c r="P590" s="456">
        <v>9158.9279999999999</v>
      </c>
    </row>
    <row r="591" spans="1:16" x14ac:dyDescent="0.5">
      <c r="A591" s="438"/>
      <c r="B591" s="438"/>
      <c r="C591" s="438" t="s">
        <v>3715</v>
      </c>
      <c r="D591" s="438"/>
      <c r="E591" s="438"/>
      <c r="F591" s="438"/>
      <c r="G591" s="438"/>
      <c r="H591" s="438"/>
      <c r="I591" s="438"/>
      <c r="J591" s="438"/>
      <c r="K591" s="438"/>
      <c r="L591" s="438" t="s">
        <v>3729</v>
      </c>
      <c r="M591" s="456"/>
      <c r="N591" s="456"/>
      <c r="O591" s="456"/>
      <c r="P591" s="456">
        <v>67962.432000000001</v>
      </c>
    </row>
    <row r="592" spans="1:16" x14ac:dyDescent="0.5">
      <c r="A592" s="438"/>
      <c r="B592" s="438"/>
      <c r="C592" s="438" t="s">
        <v>3715</v>
      </c>
      <c r="D592" s="438"/>
      <c r="E592" s="438"/>
      <c r="F592" s="438"/>
      <c r="G592" s="438"/>
      <c r="H592" s="438"/>
      <c r="I592" s="438"/>
      <c r="J592" s="438"/>
      <c r="K592" s="438"/>
      <c r="L592" s="438" t="s">
        <v>3729</v>
      </c>
      <c r="M592" s="456"/>
      <c r="N592" s="456"/>
      <c r="O592" s="456"/>
      <c r="P592" s="456">
        <v>17851.758999999998</v>
      </c>
    </row>
    <row r="593" spans="1:16" x14ac:dyDescent="0.5">
      <c r="A593" s="438"/>
      <c r="B593" s="438"/>
      <c r="C593" s="438" t="s">
        <v>3715</v>
      </c>
      <c r="D593" s="438"/>
      <c r="E593" s="438"/>
      <c r="F593" s="438"/>
      <c r="G593" s="438"/>
      <c r="H593" s="438"/>
      <c r="I593" s="438"/>
      <c r="J593" s="438"/>
      <c r="K593" s="438"/>
      <c r="L593" s="438" t="s">
        <v>3729</v>
      </c>
      <c r="M593" s="456"/>
      <c r="N593" s="456"/>
      <c r="O593" s="456"/>
      <c r="P593" s="456">
        <v>2762.8789999999999</v>
      </c>
    </row>
    <row r="594" spans="1:16" x14ac:dyDescent="0.5">
      <c r="A594" s="438"/>
      <c r="B594" s="438"/>
      <c r="C594" s="438" t="s">
        <v>3715</v>
      </c>
      <c r="D594" s="438"/>
      <c r="E594" s="438"/>
      <c r="F594" s="438"/>
      <c r="G594" s="438"/>
      <c r="H594" s="438"/>
      <c r="I594" s="438"/>
      <c r="J594" s="438"/>
      <c r="K594" s="438"/>
      <c r="L594" s="438" t="s">
        <v>3729</v>
      </c>
      <c r="M594" s="456"/>
      <c r="N594" s="456"/>
      <c r="O594" s="456"/>
      <c r="P594" s="456">
        <v>12697.849</v>
      </c>
    </row>
    <row r="595" spans="1:16" x14ac:dyDescent="0.5">
      <c r="A595" s="438"/>
      <c r="B595" s="438"/>
      <c r="C595" s="438" t="s">
        <v>3715</v>
      </c>
      <c r="D595" s="438"/>
      <c r="E595" s="438"/>
      <c r="F595" s="438"/>
      <c r="G595" s="438"/>
      <c r="H595" s="438"/>
      <c r="I595" s="438"/>
      <c r="J595" s="438"/>
      <c r="K595" s="438"/>
      <c r="L595" s="438" t="s">
        <v>3729</v>
      </c>
      <c r="M595" s="456"/>
      <c r="N595" s="456"/>
      <c r="O595" s="456"/>
      <c r="P595" s="456">
        <v>2455.0039999999999</v>
      </c>
    </row>
    <row r="596" spans="1:16" x14ac:dyDescent="0.5">
      <c r="A596" s="438"/>
      <c r="B596" s="438"/>
      <c r="C596" s="438" t="s">
        <v>3715</v>
      </c>
      <c r="D596" s="438"/>
      <c r="E596" s="438"/>
      <c r="F596" s="438"/>
      <c r="G596" s="438"/>
      <c r="H596" s="438"/>
      <c r="I596" s="438"/>
      <c r="J596" s="438"/>
      <c r="K596" s="438"/>
      <c r="L596" s="438" t="s">
        <v>3729</v>
      </c>
      <c r="M596" s="456"/>
      <c r="N596" s="456"/>
      <c r="O596" s="456"/>
      <c r="P596" s="456">
        <v>13175.655000000001</v>
      </c>
    </row>
    <row r="597" spans="1:16" x14ac:dyDescent="0.5">
      <c r="A597" s="438"/>
      <c r="B597" s="438"/>
      <c r="C597" s="438" t="s">
        <v>3750</v>
      </c>
      <c r="D597" s="438"/>
      <c r="E597" s="438"/>
      <c r="F597" s="438"/>
      <c r="G597" s="438"/>
      <c r="H597" s="438"/>
      <c r="I597" s="438"/>
      <c r="J597" s="438"/>
      <c r="K597" s="438"/>
      <c r="L597" s="438" t="s">
        <v>3749</v>
      </c>
      <c r="M597" s="456">
        <v>18997.869000000002</v>
      </c>
      <c r="N597" s="456"/>
      <c r="O597" s="456"/>
      <c r="P597" s="456">
        <v>1641.501</v>
      </c>
    </row>
    <row r="598" spans="1:16" x14ac:dyDescent="0.5">
      <c r="A598" s="438"/>
      <c r="B598" s="438"/>
      <c r="C598" s="438" t="s">
        <v>3750</v>
      </c>
      <c r="D598" s="438"/>
      <c r="E598" s="438"/>
      <c r="F598" s="438"/>
      <c r="G598" s="438"/>
      <c r="H598" s="438"/>
      <c r="I598" s="438"/>
      <c r="J598" s="438"/>
      <c r="K598" s="438"/>
      <c r="L598" s="438" t="s">
        <v>3749</v>
      </c>
      <c r="M598" s="456"/>
      <c r="N598" s="456"/>
      <c r="O598" s="456"/>
      <c r="P598" s="456">
        <v>14072.718000000001</v>
      </c>
    </row>
    <row r="599" spans="1:16" x14ac:dyDescent="0.5">
      <c r="A599" s="438"/>
      <c r="B599" s="438"/>
      <c r="C599" s="438" t="s">
        <v>3750</v>
      </c>
      <c r="D599" s="438"/>
      <c r="E599" s="438"/>
      <c r="F599" s="438"/>
      <c r="G599" s="438"/>
      <c r="H599" s="438"/>
      <c r="I599" s="438"/>
      <c r="J599" s="438"/>
      <c r="K599" s="438"/>
      <c r="L599" s="438" t="s">
        <v>3749</v>
      </c>
      <c r="M599" s="456"/>
      <c r="N599" s="456"/>
      <c r="O599" s="456"/>
      <c r="P599" s="456">
        <v>31333.467000000001</v>
      </c>
    </row>
    <row r="600" spans="1:16" x14ac:dyDescent="0.5">
      <c r="A600" s="438"/>
      <c r="B600" s="438"/>
      <c r="C600" s="438" t="s">
        <v>3715</v>
      </c>
      <c r="D600" s="438"/>
      <c r="E600" s="438"/>
      <c r="F600" s="438"/>
      <c r="G600" s="438"/>
      <c r="H600" s="438"/>
      <c r="I600" s="438"/>
      <c r="J600" s="438"/>
      <c r="K600" s="438"/>
      <c r="L600" s="438" t="s">
        <v>3749</v>
      </c>
      <c r="M600" s="456"/>
      <c r="N600" s="456"/>
      <c r="O600" s="456"/>
      <c r="P600" s="456">
        <v>13141.995999999999</v>
      </c>
    </row>
    <row r="601" spans="1:16" x14ac:dyDescent="0.5">
      <c r="A601" s="438"/>
      <c r="B601" s="438"/>
      <c r="C601" s="438" t="s">
        <v>3715</v>
      </c>
      <c r="D601" s="438"/>
      <c r="E601" s="438"/>
      <c r="F601" s="438"/>
      <c r="G601" s="438"/>
      <c r="H601" s="438"/>
      <c r="I601" s="438"/>
      <c r="J601" s="438"/>
      <c r="K601" s="438"/>
      <c r="L601" s="438" t="s">
        <v>3749</v>
      </c>
      <c r="M601" s="456"/>
      <c r="N601" s="456"/>
      <c r="O601" s="456"/>
      <c r="P601" s="456">
        <v>13214.018</v>
      </c>
    </row>
    <row r="602" spans="1:16" x14ac:dyDescent="0.5">
      <c r="A602" s="438"/>
      <c r="B602" s="438"/>
      <c r="C602" s="438" t="s">
        <v>3715</v>
      </c>
      <c r="D602" s="438"/>
      <c r="E602" s="438"/>
      <c r="F602" s="438"/>
      <c r="G602" s="438"/>
      <c r="H602" s="438"/>
      <c r="I602" s="438"/>
      <c r="J602" s="438"/>
      <c r="K602" s="438"/>
      <c r="L602" s="438" t="s">
        <v>3749</v>
      </c>
      <c r="M602" s="456"/>
      <c r="N602" s="456"/>
      <c r="O602" s="456"/>
      <c r="P602" s="456">
        <v>14940.543</v>
      </c>
    </row>
    <row r="603" spans="1:16" x14ac:dyDescent="0.5">
      <c r="A603" s="438"/>
      <c r="B603" s="438"/>
      <c r="C603" s="438" t="s">
        <v>3715</v>
      </c>
      <c r="D603" s="438"/>
      <c r="E603" s="438"/>
      <c r="F603" s="438"/>
      <c r="G603" s="438"/>
      <c r="H603" s="438"/>
      <c r="I603" s="438"/>
      <c r="J603" s="438"/>
      <c r="K603" s="438"/>
      <c r="L603" s="438" t="s">
        <v>3749</v>
      </c>
      <c r="M603" s="456"/>
      <c r="N603" s="456"/>
      <c r="O603" s="456"/>
      <c r="P603" s="456">
        <v>11938.63</v>
      </c>
    </row>
    <row r="604" spans="1:16" x14ac:dyDescent="0.5">
      <c r="A604" s="438"/>
      <c r="B604" s="438"/>
      <c r="C604" s="438" t="s">
        <v>3715</v>
      </c>
      <c r="D604" s="438"/>
      <c r="E604" s="438"/>
      <c r="F604" s="438"/>
      <c r="G604" s="438"/>
      <c r="H604" s="438"/>
      <c r="I604" s="438"/>
      <c r="J604" s="438"/>
      <c r="K604" s="438"/>
      <c r="L604" s="438" t="s">
        <v>3749</v>
      </c>
      <c r="M604" s="456"/>
      <c r="N604" s="456"/>
      <c r="O604" s="456"/>
      <c r="P604" s="456">
        <v>8361.5429999999997</v>
      </c>
    </row>
    <row r="605" spans="1:16" x14ac:dyDescent="0.5">
      <c r="A605" s="438"/>
      <c r="B605" s="438"/>
      <c r="C605" s="438" t="s">
        <v>3715</v>
      </c>
      <c r="D605" s="438"/>
      <c r="E605" s="438"/>
      <c r="F605" s="438"/>
      <c r="G605" s="438"/>
      <c r="H605" s="438"/>
      <c r="I605" s="438"/>
      <c r="J605" s="438"/>
      <c r="K605" s="438"/>
      <c r="L605" s="438" t="s">
        <v>3749</v>
      </c>
      <c r="M605" s="456"/>
      <c r="N605" s="456"/>
      <c r="O605" s="456"/>
      <c r="P605" s="456">
        <v>15904.835999999999</v>
      </c>
    </row>
    <row r="606" spans="1:16" x14ac:dyDescent="0.5">
      <c r="A606" s="438"/>
      <c r="B606" s="438"/>
      <c r="C606" s="438" t="s">
        <v>3715</v>
      </c>
      <c r="D606" s="438"/>
      <c r="E606" s="438"/>
      <c r="F606" s="438"/>
      <c r="G606" s="438"/>
      <c r="H606" s="438"/>
      <c r="I606" s="438"/>
      <c r="J606" s="438"/>
      <c r="K606" s="438"/>
      <c r="L606" s="438" t="s">
        <v>3749</v>
      </c>
      <c r="M606" s="456"/>
      <c r="N606" s="456"/>
      <c r="O606" s="456"/>
      <c r="P606" s="456">
        <v>1578.48</v>
      </c>
    </row>
    <row r="607" spans="1:16" x14ac:dyDescent="0.5">
      <c r="A607" s="438"/>
      <c r="B607" s="438"/>
      <c r="C607" s="438" t="s">
        <v>3715</v>
      </c>
      <c r="D607" s="438"/>
      <c r="E607" s="438"/>
      <c r="F607" s="438"/>
      <c r="G607" s="438"/>
      <c r="H607" s="438"/>
      <c r="I607" s="438"/>
      <c r="J607" s="438"/>
      <c r="K607" s="438"/>
      <c r="L607" s="438" t="s">
        <v>3749</v>
      </c>
      <c r="M607" s="456"/>
      <c r="N607" s="456"/>
      <c r="O607" s="456"/>
      <c r="P607" s="456">
        <v>9311.8320000000003</v>
      </c>
    </row>
    <row r="608" spans="1:16" x14ac:dyDescent="0.5">
      <c r="A608" s="438"/>
      <c r="B608" s="438"/>
      <c r="C608" s="438" t="s">
        <v>3715</v>
      </c>
      <c r="D608" s="438"/>
      <c r="E608" s="438"/>
      <c r="F608" s="438"/>
      <c r="G608" s="438"/>
      <c r="H608" s="438"/>
      <c r="I608" s="438"/>
      <c r="J608" s="438"/>
      <c r="K608" s="438"/>
      <c r="L608" s="438" t="s">
        <v>3749</v>
      </c>
      <c r="M608" s="456"/>
      <c r="N608" s="456"/>
      <c r="O608" s="456"/>
      <c r="P608" s="456">
        <v>79641.217000000004</v>
      </c>
    </row>
    <row r="609" spans="1:16" x14ac:dyDescent="0.5">
      <c r="A609" s="438"/>
      <c r="B609" s="438"/>
      <c r="C609" s="438" t="s">
        <v>3715</v>
      </c>
      <c r="D609" s="438"/>
      <c r="E609" s="438"/>
      <c r="F609" s="438"/>
      <c r="G609" s="438"/>
      <c r="H609" s="438"/>
      <c r="I609" s="438"/>
      <c r="J609" s="438"/>
      <c r="K609" s="438"/>
      <c r="L609" s="438" t="s">
        <v>3749</v>
      </c>
      <c r="M609" s="456"/>
      <c r="N609" s="456"/>
      <c r="O609" s="456"/>
      <c r="P609" s="456">
        <v>12181.294</v>
      </c>
    </row>
    <row r="610" spans="1:16" x14ac:dyDescent="0.5">
      <c r="A610" s="438"/>
      <c r="B610" s="438"/>
      <c r="C610" s="438" t="s">
        <v>3715</v>
      </c>
      <c r="D610" s="438"/>
      <c r="E610" s="438"/>
      <c r="F610" s="438"/>
      <c r="G610" s="438"/>
      <c r="H610" s="438"/>
      <c r="I610" s="438"/>
      <c r="J610" s="438"/>
      <c r="K610" s="438"/>
      <c r="L610" s="438" t="s">
        <v>3749</v>
      </c>
      <c r="M610" s="456"/>
      <c r="N610" s="456"/>
      <c r="O610" s="456"/>
      <c r="P610" s="456">
        <v>15127.397000000001</v>
      </c>
    </row>
    <row r="611" spans="1:16" x14ac:dyDescent="0.5">
      <c r="A611" s="438"/>
      <c r="B611" s="438"/>
      <c r="C611" s="438" t="s">
        <v>3750</v>
      </c>
      <c r="D611" s="438"/>
      <c r="E611" s="438"/>
      <c r="F611" s="438"/>
      <c r="G611" s="438"/>
      <c r="H611" s="438"/>
      <c r="I611" s="438"/>
      <c r="J611" s="438"/>
      <c r="K611" s="438"/>
      <c r="L611" s="438" t="s">
        <v>3768</v>
      </c>
      <c r="M611" s="456">
        <v>17704.208999999999</v>
      </c>
      <c r="N611" s="456"/>
      <c r="O611" s="456"/>
      <c r="P611" s="456">
        <v>14360.276</v>
      </c>
    </row>
    <row r="612" spans="1:16" x14ac:dyDescent="0.5">
      <c r="A612" s="438"/>
      <c r="B612" s="438"/>
      <c r="C612" s="438" t="s">
        <v>3750</v>
      </c>
      <c r="D612" s="438"/>
      <c r="E612" s="438"/>
      <c r="F612" s="438"/>
      <c r="G612" s="438"/>
      <c r="H612" s="438"/>
      <c r="I612" s="438"/>
      <c r="J612" s="438"/>
      <c r="K612" s="438"/>
      <c r="L612" s="438" t="s">
        <v>3768</v>
      </c>
      <c r="M612" s="456"/>
      <c r="N612" s="456"/>
      <c r="O612" s="456"/>
      <c r="P612" s="456">
        <v>17684.960999999999</v>
      </c>
    </row>
    <row r="613" spans="1:16" x14ac:dyDescent="0.5">
      <c r="A613" s="438"/>
      <c r="B613" s="438"/>
      <c r="C613" s="438" t="s">
        <v>3750</v>
      </c>
      <c r="D613" s="438"/>
      <c r="E613" s="438"/>
      <c r="F613" s="438"/>
      <c r="G613" s="438"/>
      <c r="H613" s="438"/>
      <c r="I613" s="438"/>
      <c r="J613" s="438"/>
      <c r="K613" s="438"/>
      <c r="L613" s="438" t="s">
        <v>3768</v>
      </c>
      <c r="M613" s="456"/>
      <c r="N613" s="456"/>
      <c r="O613" s="456"/>
      <c r="P613" s="456">
        <v>6308.1959999999999</v>
      </c>
    </row>
    <row r="614" spans="1:16" x14ac:dyDescent="0.5">
      <c r="A614" s="438"/>
      <c r="B614" s="438"/>
      <c r="C614" s="438" t="s">
        <v>3750</v>
      </c>
      <c r="D614" s="438"/>
      <c r="E614" s="438"/>
      <c r="F614" s="438"/>
      <c r="G614" s="438"/>
      <c r="H614" s="438"/>
      <c r="I614" s="438"/>
      <c r="J614" s="438"/>
      <c r="K614" s="438"/>
      <c r="L614" s="438" t="s">
        <v>3768</v>
      </c>
      <c r="M614" s="456"/>
      <c r="N614" s="456"/>
      <c r="O614" s="456"/>
      <c r="P614" s="456">
        <v>11916.038</v>
      </c>
    </row>
    <row r="615" spans="1:16" x14ac:dyDescent="0.5">
      <c r="A615" s="438"/>
      <c r="B615" s="438"/>
      <c r="C615" s="438" t="s">
        <v>3750</v>
      </c>
      <c r="D615" s="438"/>
      <c r="E615" s="438"/>
      <c r="F615" s="438"/>
      <c r="G615" s="438"/>
      <c r="H615" s="438"/>
      <c r="I615" s="438"/>
      <c r="J615" s="438"/>
      <c r="K615" s="438"/>
      <c r="L615" s="438" t="s">
        <v>3768</v>
      </c>
      <c r="M615" s="456"/>
      <c r="N615" s="456"/>
      <c r="O615" s="456"/>
      <c r="P615" s="456">
        <v>15748.98</v>
      </c>
    </row>
    <row r="616" spans="1:16" x14ac:dyDescent="0.5">
      <c r="A616" s="438"/>
      <c r="B616" s="438"/>
      <c r="C616" s="438" t="s">
        <v>3750</v>
      </c>
      <c r="D616" s="438"/>
      <c r="E616" s="438"/>
      <c r="F616" s="438"/>
      <c r="G616" s="438"/>
      <c r="H616" s="438"/>
      <c r="I616" s="438"/>
      <c r="J616" s="438"/>
      <c r="K616" s="438"/>
      <c r="L616" s="438" t="s">
        <v>3768</v>
      </c>
      <c r="M616" s="456"/>
      <c r="N616" s="456"/>
      <c r="O616" s="456"/>
      <c r="P616" s="456">
        <v>13470.825999999999</v>
      </c>
    </row>
    <row r="617" spans="1:16" x14ac:dyDescent="0.5">
      <c r="A617" s="438"/>
      <c r="B617" s="438"/>
      <c r="C617" s="438" t="s">
        <v>3750</v>
      </c>
      <c r="D617" s="438"/>
      <c r="E617" s="438"/>
      <c r="F617" s="438"/>
      <c r="G617" s="438"/>
      <c r="H617" s="438"/>
      <c r="I617" s="438"/>
      <c r="J617" s="438"/>
      <c r="K617" s="438"/>
      <c r="L617" s="438" t="s">
        <v>3768</v>
      </c>
      <c r="M617" s="456"/>
      <c r="N617" s="456"/>
      <c r="O617" s="456"/>
      <c r="P617" s="456">
        <v>9785.0229999999992</v>
      </c>
    </row>
    <row r="618" spans="1:16" x14ac:dyDescent="0.5">
      <c r="A618" s="438"/>
      <c r="B618" s="438"/>
      <c r="C618" s="438" t="s">
        <v>3750</v>
      </c>
      <c r="D618" s="438"/>
      <c r="E618" s="438"/>
      <c r="F618" s="438"/>
      <c r="G618" s="438"/>
      <c r="H618" s="438"/>
      <c r="I618" s="438"/>
      <c r="J618" s="438"/>
      <c r="K618" s="438"/>
      <c r="L618" s="438" t="s">
        <v>3768</v>
      </c>
      <c r="M618" s="456"/>
      <c r="N618" s="456"/>
      <c r="O618" s="456"/>
      <c r="P618" s="456">
        <v>12332.248</v>
      </c>
    </row>
    <row r="619" spans="1:16" x14ac:dyDescent="0.5">
      <c r="A619" s="438"/>
      <c r="B619" s="438"/>
      <c r="C619" s="438" t="s">
        <v>3750</v>
      </c>
      <c r="D619" s="438"/>
      <c r="E619" s="438"/>
      <c r="F619" s="438"/>
      <c r="G619" s="438"/>
      <c r="H619" s="438"/>
      <c r="I619" s="438"/>
      <c r="J619" s="438"/>
      <c r="K619" s="438"/>
      <c r="L619" s="438" t="s">
        <v>3768</v>
      </c>
      <c r="M619" s="456"/>
      <c r="N619" s="456"/>
      <c r="O619" s="456"/>
      <c r="P619" s="456">
        <v>4526.6229999999996</v>
      </c>
    </row>
    <row r="620" spans="1:16" x14ac:dyDescent="0.5">
      <c r="A620" s="438"/>
      <c r="B620" s="438"/>
      <c r="C620" s="438" t="s">
        <v>3750</v>
      </c>
      <c r="D620" s="438"/>
      <c r="E620" s="438"/>
      <c r="F620" s="438"/>
      <c r="G620" s="438"/>
      <c r="H620" s="438"/>
      <c r="I620" s="438"/>
      <c r="J620" s="438"/>
      <c r="K620" s="438"/>
      <c r="L620" s="438" t="s">
        <v>3768</v>
      </c>
      <c r="M620" s="456"/>
      <c r="N620" s="456"/>
      <c r="O620" s="456"/>
      <c r="P620" s="456">
        <v>11300.562</v>
      </c>
    </row>
    <row r="621" spans="1:16" x14ac:dyDescent="0.5">
      <c r="A621" s="438"/>
      <c r="B621" s="438"/>
      <c r="C621" s="438" t="s">
        <v>3750</v>
      </c>
      <c r="D621" s="438"/>
      <c r="E621" s="438"/>
      <c r="F621" s="438"/>
      <c r="G621" s="438"/>
      <c r="H621" s="438"/>
      <c r="I621" s="438"/>
      <c r="J621" s="438"/>
      <c r="K621" s="438"/>
      <c r="L621" s="438" t="s">
        <v>3782</v>
      </c>
      <c r="M621" s="456">
        <v>15893.325000000001</v>
      </c>
      <c r="N621" s="456"/>
      <c r="O621" s="456"/>
      <c r="P621" s="456">
        <v>15165.683999999999</v>
      </c>
    </row>
    <row r="622" spans="1:16" x14ac:dyDescent="0.5">
      <c r="A622" s="438"/>
      <c r="B622" s="438"/>
      <c r="C622" s="438" t="s">
        <v>3750</v>
      </c>
      <c r="D622" s="438"/>
      <c r="E622" s="438"/>
      <c r="F622" s="438"/>
      <c r="G622" s="438"/>
      <c r="H622" s="438"/>
      <c r="I622" s="438"/>
      <c r="J622" s="438"/>
      <c r="K622" s="438"/>
      <c r="L622" s="438" t="s">
        <v>3782</v>
      </c>
      <c r="M622" s="456"/>
      <c r="N622" s="456"/>
      <c r="O622" s="456"/>
      <c r="P622" s="456">
        <v>16194.205</v>
      </c>
    </row>
    <row r="623" spans="1:16" x14ac:dyDescent="0.5">
      <c r="A623" s="438"/>
      <c r="B623" s="438"/>
      <c r="C623" s="438" t="s">
        <v>3750</v>
      </c>
      <c r="D623" s="438"/>
      <c r="E623" s="438"/>
      <c r="F623" s="438"/>
      <c r="G623" s="438"/>
      <c r="H623" s="438"/>
      <c r="I623" s="438"/>
      <c r="J623" s="438"/>
      <c r="K623" s="438"/>
      <c r="L623" s="438" t="s">
        <v>3782</v>
      </c>
      <c r="M623" s="456"/>
      <c r="N623" s="456"/>
      <c r="O623" s="456"/>
      <c r="P623" s="456">
        <v>14055.121999999999</v>
      </c>
    </row>
    <row r="624" spans="1:16" x14ac:dyDescent="0.5">
      <c r="A624" s="438"/>
      <c r="B624" s="438"/>
      <c r="C624" s="438" t="s">
        <v>3750</v>
      </c>
      <c r="D624" s="438"/>
      <c r="E624" s="438"/>
      <c r="F624" s="438"/>
      <c r="G624" s="438"/>
      <c r="H624" s="438"/>
      <c r="I624" s="438"/>
      <c r="J624" s="438"/>
      <c r="K624" s="438"/>
      <c r="L624" s="438" t="s">
        <v>3782</v>
      </c>
      <c r="M624" s="456"/>
      <c r="N624" s="456"/>
      <c r="O624" s="456"/>
      <c r="P624" s="456">
        <v>7092.5940000000001</v>
      </c>
    </row>
    <row r="625" spans="1:16" x14ac:dyDescent="0.5">
      <c r="A625" s="438"/>
      <c r="B625" s="438"/>
      <c r="C625" s="438" t="s">
        <v>3750</v>
      </c>
      <c r="D625" s="438"/>
      <c r="E625" s="438"/>
      <c r="F625" s="438"/>
      <c r="G625" s="438"/>
      <c r="H625" s="438"/>
      <c r="I625" s="438"/>
      <c r="J625" s="438"/>
      <c r="K625" s="438"/>
      <c r="L625" s="438" t="s">
        <v>3782</v>
      </c>
      <c r="M625" s="456"/>
      <c r="N625" s="456"/>
      <c r="O625" s="456"/>
      <c r="P625" s="456">
        <v>14978.59</v>
      </c>
    </row>
    <row r="626" spans="1:16" x14ac:dyDescent="0.5">
      <c r="A626" s="438"/>
      <c r="B626" s="438"/>
      <c r="C626" s="438" t="s">
        <v>3750</v>
      </c>
      <c r="D626" s="438"/>
      <c r="E626" s="438"/>
      <c r="F626" s="438"/>
      <c r="G626" s="438"/>
      <c r="H626" s="438"/>
      <c r="I626" s="438"/>
      <c r="J626" s="438"/>
      <c r="K626" s="438"/>
      <c r="L626" s="438" t="s">
        <v>3782</v>
      </c>
      <c r="M626" s="456"/>
      <c r="N626" s="456"/>
      <c r="O626" s="456"/>
      <c r="P626" s="456">
        <v>9313.7189999999991</v>
      </c>
    </row>
    <row r="627" spans="1:16" x14ac:dyDescent="0.5">
      <c r="A627" s="438"/>
      <c r="B627" s="438"/>
      <c r="C627" s="438" t="s">
        <v>3750</v>
      </c>
      <c r="D627" s="438"/>
      <c r="E627" s="438"/>
      <c r="F627" s="438"/>
      <c r="G627" s="438"/>
      <c r="H627" s="438"/>
      <c r="I627" s="438"/>
      <c r="J627" s="438"/>
      <c r="K627" s="438"/>
      <c r="L627" s="438" t="s">
        <v>3782</v>
      </c>
      <c r="M627" s="456"/>
      <c r="N627" s="456"/>
      <c r="O627" s="456"/>
      <c r="P627" s="456">
        <v>13919.527</v>
      </c>
    </row>
    <row r="628" spans="1:16" x14ac:dyDescent="0.5">
      <c r="A628" s="438"/>
      <c r="B628" s="438"/>
      <c r="C628" s="438" t="s">
        <v>3750</v>
      </c>
      <c r="D628" s="438"/>
      <c r="E628" s="438"/>
      <c r="F628" s="438"/>
      <c r="G628" s="438"/>
      <c r="H628" s="438"/>
      <c r="I628" s="438"/>
      <c r="J628" s="438"/>
      <c r="K628" s="438"/>
      <c r="L628" s="438" t="s">
        <v>3782</v>
      </c>
      <c r="M628" s="456"/>
      <c r="N628" s="456"/>
      <c r="O628" s="456"/>
      <c r="P628" s="456">
        <v>591.64</v>
      </c>
    </row>
    <row r="629" spans="1:16" x14ac:dyDescent="0.5">
      <c r="A629" s="438"/>
      <c r="B629" s="438"/>
      <c r="C629" s="438" t="s">
        <v>3750</v>
      </c>
      <c r="D629" s="438"/>
      <c r="E629" s="438"/>
      <c r="F629" s="438"/>
      <c r="G629" s="438"/>
      <c r="H629" s="438"/>
      <c r="I629" s="438"/>
      <c r="J629" s="438"/>
      <c r="K629" s="438"/>
      <c r="L629" s="438" t="s">
        <v>3782</v>
      </c>
      <c r="M629" s="456"/>
      <c r="N629" s="456"/>
      <c r="O629" s="456"/>
      <c r="P629" s="456">
        <v>15001.868</v>
      </c>
    </row>
    <row r="630" spans="1:16" x14ac:dyDescent="0.5">
      <c r="A630" s="438"/>
      <c r="B630" s="438"/>
      <c r="C630" s="438" t="s">
        <v>3750</v>
      </c>
      <c r="D630" s="438"/>
      <c r="E630" s="438"/>
      <c r="F630" s="438"/>
      <c r="G630" s="438"/>
      <c r="H630" s="438"/>
      <c r="I630" s="438"/>
      <c r="J630" s="438"/>
      <c r="K630" s="438"/>
      <c r="L630" s="438" t="s">
        <v>3782</v>
      </c>
      <c r="M630" s="456"/>
      <c r="N630" s="456"/>
      <c r="O630" s="456"/>
      <c r="P630" s="456">
        <v>4467.2809999999999</v>
      </c>
    </row>
    <row r="631" spans="1:16" x14ac:dyDescent="0.5">
      <c r="A631" s="438"/>
      <c r="B631" s="438"/>
      <c r="C631" s="438" t="s">
        <v>3750</v>
      </c>
      <c r="D631" s="438"/>
      <c r="E631" s="438"/>
      <c r="F631" s="438"/>
      <c r="G631" s="438"/>
      <c r="H631" s="438"/>
      <c r="I631" s="438"/>
      <c r="J631" s="438"/>
      <c r="K631" s="438"/>
      <c r="L631" s="438" t="s">
        <v>3782</v>
      </c>
      <c r="M631" s="456"/>
      <c r="N631" s="456"/>
      <c r="O631" s="456"/>
      <c r="P631" s="456">
        <v>12225.558000000001</v>
      </c>
    </row>
    <row r="632" spans="1:16" x14ac:dyDescent="0.5">
      <c r="A632" s="438"/>
      <c r="B632" s="438"/>
      <c r="C632" s="438" t="s">
        <v>3750</v>
      </c>
      <c r="D632" s="438"/>
      <c r="E632" s="438"/>
      <c r="F632" s="438"/>
      <c r="G632" s="438"/>
      <c r="H632" s="438"/>
      <c r="I632" s="438"/>
      <c r="J632" s="438"/>
      <c r="K632" s="438"/>
      <c r="L632" s="438" t="s">
        <v>3797</v>
      </c>
      <c r="M632" s="456">
        <v>19983.902999999998</v>
      </c>
      <c r="N632" s="456"/>
      <c r="O632" s="456"/>
      <c r="P632" s="456">
        <v>39099.963000000003</v>
      </c>
    </row>
    <row r="633" spans="1:16" x14ac:dyDescent="0.5">
      <c r="A633" s="438"/>
      <c r="B633" s="438"/>
      <c r="C633" s="438" t="s">
        <v>3750</v>
      </c>
      <c r="D633" s="438"/>
      <c r="E633" s="438"/>
      <c r="F633" s="438"/>
      <c r="G633" s="438"/>
      <c r="H633" s="438"/>
      <c r="I633" s="438"/>
      <c r="J633" s="438"/>
      <c r="K633" s="438"/>
      <c r="L633" s="438" t="s">
        <v>3797</v>
      </c>
      <c r="M633" s="456"/>
      <c r="N633" s="456"/>
      <c r="O633" s="456"/>
      <c r="P633" s="456">
        <v>14100.429</v>
      </c>
    </row>
    <row r="634" spans="1:16" x14ac:dyDescent="0.5">
      <c r="A634" s="438"/>
      <c r="B634" s="438"/>
      <c r="C634" s="438" t="s">
        <v>3750</v>
      </c>
      <c r="D634" s="438"/>
      <c r="E634" s="438"/>
      <c r="F634" s="438"/>
      <c r="G634" s="438"/>
      <c r="H634" s="438"/>
      <c r="I634" s="438"/>
      <c r="J634" s="438"/>
      <c r="K634" s="438"/>
      <c r="L634" s="438" t="s">
        <v>3797</v>
      </c>
      <c r="M634" s="456"/>
      <c r="N634" s="456"/>
      <c r="O634" s="456"/>
      <c r="P634" s="456">
        <v>12281.245000000001</v>
      </c>
    </row>
    <row r="635" spans="1:16" x14ac:dyDescent="0.5">
      <c r="A635" s="438"/>
      <c r="B635" s="438"/>
      <c r="C635" s="438" t="s">
        <v>3750</v>
      </c>
      <c r="D635" s="438"/>
      <c r="E635" s="438"/>
      <c r="F635" s="438"/>
      <c r="G635" s="438"/>
      <c r="H635" s="438"/>
      <c r="I635" s="438"/>
      <c r="J635" s="438"/>
      <c r="K635" s="438"/>
      <c r="L635" s="438" t="s">
        <v>3797</v>
      </c>
      <c r="M635" s="456"/>
      <c r="N635" s="456"/>
      <c r="O635" s="456"/>
      <c r="P635" s="456">
        <v>17701.794000000002</v>
      </c>
    </row>
    <row r="636" spans="1:16" x14ac:dyDescent="0.5">
      <c r="A636" s="438"/>
      <c r="B636" s="438"/>
      <c r="C636" s="438" t="s">
        <v>3750</v>
      </c>
      <c r="D636" s="438"/>
      <c r="E636" s="438"/>
      <c r="F636" s="438"/>
      <c r="G636" s="438"/>
      <c r="H636" s="438"/>
      <c r="I636" s="438"/>
      <c r="J636" s="438"/>
      <c r="K636" s="438"/>
      <c r="L636" s="438" t="s">
        <v>3797</v>
      </c>
      <c r="M636" s="456"/>
      <c r="N636" s="456"/>
      <c r="O636" s="456"/>
      <c r="P636" s="456">
        <v>6671.6760000000004</v>
      </c>
    </row>
    <row r="637" spans="1:16" x14ac:dyDescent="0.5">
      <c r="A637" s="438"/>
      <c r="B637" s="438"/>
      <c r="C637" s="438" t="s">
        <v>3750</v>
      </c>
      <c r="D637" s="438"/>
      <c r="E637" s="438"/>
      <c r="F637" s="438"/>
      <c r="G637" s="438"/>
      <c r="H637" s="438"/>
      <c r="I637" s="438"/>
      <c r="J637" s="438"/>
      <c r="K637" s="438"/>
      <c r="L637" s="438" t="s">
        <v>3797</v>
      </c>
      <c r="M637" s="456"/>
      <c r="N637" s="456"/>
      <c r="O637" s="456"/>
      <c r="P637" s="456">
        <v>15806.602000000001</v>
      </c>
    </row>
    <row r="638" spans="1:16" x14ac:dyDescent="0.5">
      <c r="A638" s="438"/>
      <c r="B638" s="438"/>
      <c r="C638" s="438" t="s">
        <v>3750</v>
      </c>
      <c r="D638" s="438"/>
      <c r="E638" s="438"/>
      <c r="F638" s="438"/>
      <c r="G638" s="438"/>
      <c r="H638" s="438"/>
      <c r="I638" s="438"/>
      <c r="J638" s="438"/>
      <c r="K638" s="438"/>
      <c r="L638" s="438" t="s">
        <v>3797</v>
      </c>
      <c r="M638" s="456"/>
      <c r="N638" s="456"/>
      <c r="O638" s="456"/>
      <c r="P638" s="456">
        <v>64058.493000000002</v>
      </c>
    </row>
    <row r="639" spans="1:16" x14ac:dyDescent="0.5">
      <c r="A639" s="438"/>
      <c r="B639" s="438"/>
      <c r="C639" s="438" t="s">
        <v>3750</v>
      </c>
      <c r="D639" s="438"/>
      <c r="E639" s="438"/>
      <c r="F639" s="438"/>
      <c r="G639" s="438"/>
      <c r="H639" s="438"/>
      <c r="I639" s="438"/>
      <c r="J639" s="438"/>
      <c r="K639" s="438"/>
      <c r="L639" s="438" t="s">
        <v>3797</v>
      </c>
      <c r="M639" s="456"/>
      <c r="N639" s="456"/>
      <c r="O639" s="456"/>
      <c r="P639" s="456">
        <v>71909.289000000004</v>
      </c>
    </row>
    <row r="640" spans="1:16" x14ac:dyDescent="0.5">
      <c r="A640" s="438"/>
      <c r="B640" s="438"/>
      <c r="C640" s="438" t="s">
        <v>3750</v>
      </c>
      <c r="D640" s="438"/>
      <c r="E640" s="438"/>
      <c r="F640" s="438"/>
      <c r="G640" s="438"/>
      <c r="H640" s="438"/>
      <c r="I640" s="438"/>
      <c r="J640" s="438"/>
      <c r="K640" s="438"/>
      <c r="L640" s="438" t="s">
        <v>3797</v>
      </c>
      <c r="M640" s="456"/>
      <c r="N640" s="456"/>
      <c r="O640" s="456"/>
      <c r="P640" s="456">
        <v>1873.24</v>
      </c>
    </row>
    <row r="641" spans="1:16" x14ac:dyDescent="0.5">
      <c r="A641" s="438"/>
      <c r="B641" s="438"/>
      <c r="C641" s="438" t="s">
        <v>3750</v>
      </c>
      <c r="D641" s="438"/>
      <c r="E641" s="438"/>
      <c r="F641" s="438"/>
      <c r="G641" s="438"/>
      <c r="H641" s="438"/>
      <c r="I641" s="438"/>
      <c r="J641" s="438"/>
      <c r="K641" s="438"/>
      <c r="L641" s="438" t="s">
        <v>3797</v>
      </c>
      <c r="M641" s="456"/>
      <c r="N641" s="456"/>
      <c r="O641" s="456"/>
      <c r="P641" s="456">
        <v>6184.491</v>
      </c>
    </row>
    <row r="642" spans="1:16" x14ac:dyDescent="0.5">
      <c r="A642" s="438"/>
      <c r="B642" s="438"/>
      <c r="C642" s="438" t="s">
        <v>3750</v>
      </c>
      <c r="D642" s="438"/>
      <c r="E642" s="438"/>
      <c r="F642" s="438"/>
      <c r="G642" s="438"/>
      <c r="H642" s="438"/>
      <c r="I642" s="438"/>
      <c r="J642" s="438"/>
      <c r="K642" s="438"/>
      <c r="L642" s="438" t="s">
        <v>3797</v>
      </c>
      <c r="M642" s="456"/>
      <c r="N642" s="456"/>
      <c r="O642" s="456"/>
      <c r="P642" s="456">
        <v>13941.343999999999</v>
      </c>
    </row>
    <row r="643" spans="1:16" x14ac:dyDescent="0.5">
      <c r="A643" s="438"/>
      <c r="B643" s="438"/>
      <c r="C643" s="438" t="s">
        <v>3810</v>
      </c>
      <c r="D643" s="438"/>
      <c r="E643" s="438"/>
      <c r="F643" s="438"/>
      <c r="G643" s="438"/>
      <c r="H643" s="438"/>
      <c r="I643" s="438"/>
      <c r="J643" s="438"/>
      <c r="K643" s="438"/>
      <c r="L643" s="438" t="s">
        <v>3797</v>
      </c>
      <c r="M643" s="456"/>
      <c r="N643" s="456"/>
      <c r="O643" s="456"/>
      <c r="P643" s="456">
        <v>5827.6360000000004</v>
      </c>
    </row>
    <row r="644" spans="1:16" x14ac:dyDescent="0.5">
      <c r="A644" s="438"/>
      <c r="B644" s="438"/>
      <c r="C644" s="438" t="s">
        <v>3810</v>
      </c>
      <c r="D644" s="438"/>
      <c r="E644" s="438"/>
      <c r="F644" s="438"/>
      <c r="G644" s="438"/>
      <c r="H644" s="438"/>
      <c r="I644" s="438"/>
      <c r="J644" s="438"/>
      <c r="K644" s="438"/>
      <c r="L644" s="438" t="s">
        <v>3797</v>
      </c>
      <c r="M644" s="456"/>
      <c r="N644" s="456"/>
      <c r="O644" s="456"/>
      <c r="P644" s="456">
        <v>14296.2</v>
      </c>
    </row>
    <row r="645" spans="1:16" x14ac:dyDescent="0.5">
      <c r="A645" s="438"/>
      <c r="B645" s="438"/>
      <c r="C645" s="438" t="s">
        <v>3810</v>
      </c>
      <c r="D645" s="438"/>
      <c r="E645" s="438"/>
      <c r="F645" s="438"/>
      <c r="G645" s="438"/>
      <c r="H645" s="438"/>
      <c r="I645" s="438"/>
      <c r="J645" s="438"/>
      <c r="K645" s="438"/>
      <c r="L645" s="438" t="s">
        <v>3813</v>
      </c>
      <c r="M645" s="456">
        <v>14373.71</v>
      </c>
      <c r="N645" s="456"/>
      <c r="O645" s="456"/>
      <c r="P645" s="456">
        <v>15737.018</v>
      </c>
    </row>
    <row r="646" spans="1:16" x14ac:dyDescent="0.5">
      <c r="A646" s="438"/>
      <c r="B646" s="438"/>
      <c r="C646" s="438" t="s">
        <v>3810</v>
      </c>
      <c r="D646" s="438"/>
      <c r="E646" s="438"/>
      <c r="F646" s="438"/>
      <c r="G646" s="438"/>
      <c r="H646" s="438"/>
      <c r="I646" s="438"/>
      <c r="J646" s="438"/>
      <c r="K646" s="438"/>
      <c r="L646" s="438" t="s">
        <v>3813</v>
      </c>
      <c r="M646" s="456"/>
      <c r="N646" s="456"/>
      <c r="O646" s="456"/>
      <c r="P646" s="456">
        <v>14846.47</v>
      </c>
    </row>
    <row r="647" spans="1:16" x14ac:dyDescent="0.5">
      <c r="A647" s="438"/>
      <c r="B647" s="438"/>
      <c r="C647" s="438" t="s">
        <v>3810</v>
      </c>
      <c r="D647" s="438"/>
      <c r="E647" s="438"/>
      <c r="F647" s="438"/>
      <c r="G647" s="438"/>
      <c r="H647" s="438"/>
      <c r="I647" s="438"/>
      <c r="J647" s="438"/>
      <c r="K647" s="438"/>
      <c r="L647" s="438" t="s">
        <v>3813</v>
      </c>
      <c r="M647" s="456"/>
      <c r="N647" s="456"/>
      <c r="O647" s="456"/>
      <c r="P647" s="456">
        <v>12840.486999999999</v>
      </c>
    </row>
    <row r="648" spans="1:16" x14ac:dyDescent="0.5">
      <c r="A648" s="438"/>
      <c r="B648" s="438"/>
      <c r="C648" s="438" t="s">
        <v>3810</v>
      </c>
      <c r="D648" s="438"/>
      <c r="E648" s="438"/>
      <c r="F648" s="438"/>
      <c r="G648" s="438"/>
      <c r="H648" s="438"/>
      <c r="I648" s="438"/>
      <c r="J648" s="438"/>
      <c r="K648" s="438"/>
      <c r="L648" s="438" t="s">
        <v>3813</v>
      </c>
      <c r="M648" s="456"/>
      <c r="N648" s="456"/>
      <c r="O648" s="456"/>
      <c r="P648" s="456">
        <v>12786.514999999999</v>
      </c>
    </row>
    <row r="649" spans="1:16" x14ac:dyDescent="0.5">
      <c r="A649" s="438"/>
      <c r="B649" s="438"/>
      <c r="C649" s="438" t="s">
        <v>3810</v>
      </c>
      <c r="D649" s="438"/>
      <c r="E649" s="438"/>
      <c r="F649" s="438"/>
      <c r="G649" s="438"/>
      <c r="H649" s="438"/>
      <c r="I649" s="438"/>
      <c r="J649" s="438"/>
      <c r="K649" s="438"/>
      <c r="L649" s="438" t="s">
        <v>3813</v>
      </c>
      <c r="M649" s="456"/>
      <c r="N649" s="456"/>
      <c r="O649" s="456"/>
      <c r="P649" s="456">
        <v>6800.5510000000004</v>
      </c>
    </row>
    <row r="650" spans="1:16" x14ac:dyDescent="0.5">
      <c r="A650" s="438"/>
      <c r="B650" s="438"/>
      <c r="C650" s="438" t="s">
        <v>3810</v>
      </c>
      <c r="D650" s="438"/>
      <c r="E650" s="438"/>
      <c r="F650" s="438"/>
      <c r="G650" s="438"/>
      <c r="H650" s="438"/>
      <c r="I650" s="438"/>
      <c r="J650" s="438"/>
      <c r="K650" s="438"/>
      <c r="L650" s="438" t="s">
        <v>3813</v>
      </c>
      <c r="M650" s="456"/>
      <c r="N650" s="456"/>
      <c r="O650" s="456"/>
      <c r="P650" s="456">
        <v>927.53</v>
      </c>
    </row>
    <row r="651" spans="1:16" x14ac:dyDescent="0.5">
      <c r="A651" s="438"/>
      <c r="B651" s="438"/>
      <c r="C651" s="438" t="s">
        <v>3810</v>
      </c>
      <c r="D651" s="438"/>
      <c r="E651" s="438"/>
      <c r="F651" s="438"/>
      <c r="G651" s="438"/>
      <c r="H651" s="438"/>
      <c r="I651" s="438"/>
      <c r="J651" s="438"/>
      <c r="K651" s="438"/>
      <c r="L651" s="438" t="s">
        <v>3813</v>
      </c>
      <c r="M651" s="456"/>
      <c r="N651" s="456"/>
      <c r="O651" s="456"/>
      <c r="P651" s="456">
        <v>12090.868</v>
      </c>
    </row>
    <row r="652" spans="1:16" x14ac:dyDescent="0.5">
      <c r="A652" s="438"/>
      <c r="B652" s="438"/>
      <c r="C652" s="438" t="s">
        <v>3810</v>
      </c>
      <c r="D652" s="438"/>
      <c r="E652" s="438"/>
      <c r="F652" s="438"/>
      <c r="G652" s="438"/>
      <c r="H652" s="438"/>
      <c r="I652" s="438"/>
      <c r="J652" s="438"/>
      <c r="K652" s="438"/>
      <c r="L652" s="438" t="s">
        <v>3813</v>
      </c>
      <c r="M652" s="456"/>
      <c r="N652" s="456"/>
      <c r="O652" s="456"/>
      <c r="P652" s="456">
        <v>17864.938999999998</v>
      </c>
    </row>
    <row r="653" spans="1:16" x14ac:dyDescent="0.5">
      <c r="A653" s="438"/>
      <c r="B653" s="438"/>
      <c r="C653" s="438" t="s">
        <v>3810</v>
      </c>
      <c r="D653" s="438"/>
      <c r="E653" s="438"/>
      <c r="F653" s="438"/>
      <c r="G653" s="438"/>
      <c r="H653" s="438"/>
      <c r="I653" s="438"/>
      <c r="J653" s="438"/>
      <c r="K653" s="438"/>
      <c r="L653" s="438" t="s">
        <v>3813</v>
      </c>
      <c r="M653" s="456"/>
      <c r="N653" s="456"/>
      <c r="O653" s="456"/>
      <c r="P653" s="456">
        <v>4920.5039999999999</v>
      </c>
    </row>
    <row r="654" spans="1:16" x14ac:dyDescent="0.5">
      <c r="A654" s="438"/>
      <c r="B654" s="438"/>
      <c r="C654" s="438" t="s">
        <v>3810</v>
      </c>
      <c r="D654" s="438"/>
      <c r="E654" s="438"/>
      <c r="F654" s="438"/>
      <c r="G654" s="438"/>
      <c r="H654" s="438"/>
      <c r="I654" s="438"/>
      <c r="J654" s="438"/>
      <c r="K654" s="438"/>
      <c r="L654" s="438" t="s">
        <v>3826</v>
      </c>
      <c r="M654" s="456">
        <v>8379.244999999999</v>
      </c>
      <c r="N654" s="456"/>
      <c r="O654" s="456"/>
      <c r="P654" s="456">
        <v>14021.102999999999</v>
      </c>
    </row>
    <row r="655" spans="1:16" x14ac:dyDescent="0.5">
      <c r="A655" s="438"/>
      <c r="B655" s="438"/>
      <c r="C655" s="438" t="s">
        <v>3810</v>
      </c>
      <c r="D655" s="438"/>
      <c r="E655" s="438"/>
      <c r="F655" s="438"/>
      <c r="G655" s="438"/>
      <c r="H655" s="438"/>
      <c r="I655" s="438"/>
      <c r="J655" s="438"/>
      <c r="K655" s="438"/>
      <c r="L655" s="438" t="s">
        <v>3826</v>
      </c>
      <c r="M655" s="456"/>
      <c r="N655" s="456"/>
      <c r="O655" s="456"/>
      <c r="P655" s="456">
        <v>13163.669</v>
      </c>
    </row>
    <row r="656" spans="1:16" x14ac:dyDescent="0.5">
      <c r="A656" s="438"/>
      <c r="B656" s="438"/>
      <c r="C656" s="438" t="s">
        <v>3810</v>
      </c>
      <c r="D656" s="438"/>
      <c r="E656" s="438"/>
      <c r="F656" s="438"/>
      <c r="G656" s="438"/>
      <c r="H656" s="438"/>
      <c r="I656" s="438"/>
      <c r="J656" s="438"/>
      <c r="K656" s="438"/>
      <c r="L656" s="438" t="s">
        <v>3826</v>
      </c>
      <c r="M656" s="456"/>
      <c r="N656" s="456"/>
      <c r="O656" s="456"/>
      <c r="P656" s="456">
        <v>12940.556</v>
      </c>
    </row>
    <row r="657" spans="1:16" x14ac:dyDescent="0.5">
      <c r="A657" s="438"/>
      <c r="B657" s="438"/>
      <c r="C657" s="438" t="s">
        <v>3810</v>
      </c>
      <c r="D657" s="438"/>
      <c r="E657" s="438"/>
      <c r="F657" s="438"/>
      <c r="G657" s="438"/>
      <c r="H657" s="438"/>
      <c r="I657" s="438"/>
      <c r="J657" s="438"/>
      <c r="K657" s="438"/>
      <c r="L657" s="438" t="s">
        <v>3826</v>
      </c>
      <c r="M657" s="456"/>
      <c r="N657" s="456"/>
      <c r="O657" s="456"/>
      <c r="P657" s="456">
        <v>13922.053</v>
      </c>
    </row>
    <row r="658" spans="1:16" x14ac:dyDescent="0.5">
      <c r="A658" s="438"/>
      <c r="B658" s="438"/>
      <c r="C658" s="438" t="s">
        <v>3810</v>
      </c>
      <c r="D658" s="438"/>
      <c r="E658" s="438"/>
      <c r="F658" s="438"/>
      <c r="G658" s="438"/>
      <c r="H658" s="438"/>
      <c r="I658" s="438"/>
      <c r="J658" s="438"/>
      <c r="K658" s="438"/>
      <c r="L658" s="438" t="s">
        <v>3826</v>
      </c>
      <c r="M658" s="456"/>
      <c r="N658" s="456"/>
      <c r="O658" s="456"/>
      <c r="P658" s="456">
        <v>17093.659</v>
      </c>
    </row>
    <row r="659" spans="1:16" x14ac:dyDescent="0.5">
      <c r="A659" s="438"/>
      <c r="B659" s="438"/>
      <c r="C659" s="438" t="s">
        <v>3810</v>
      </c>
      <c r="D659" s="438"/>
      <c r="E659" s="438"/>
      <c r="F659" s="438"/>
      <c r="G659" s="438"/>
      <c r="H659" s="438"/>
      <c r="I659" s="438"/>
      <c r="J659" s="438"/>
      <c r="K659" s="438"/>
      <c r="L659" s="438" t="s">
        <v>3826</v>
      </c>
      <c r="M659" s="456"/>
      <c r="N659" s="456"/>
      <c r="O659" s="456"/>
      <c r="P659" s="456">
        <v>6036.058</v>
      </c>
    </row>
    <row r="660" spans="1:16" x14ac:dyDescent="0.5">
      <c r="A660" s="438"/>
      <c r="B660" s="438"/>
      <c r="C660" s="438" t="s">
        <v>3810</v>
      </c>
      <c r="D660" s="438"/>
      <c r="E660" s="438"/>
      <c r="F660" s="438"/>
      <c r="G660" s="438"/>
      <c r="H660" s="438"/>
      <c r="I660" s="438"/>
      <c r="J660" s="438"/>
      <c r="K660" s="438"/>
      <c r="L660" s="438" t="s">
        <v>3826</v>
      </c>
      <c r="M660" s="456"/>
      <c r="N660" s="456"/>
      <c r="O660" s="456"/>
      <c r="P660" s="456">
        <v>11335.743</v>
      </c>
    </row>
    <row r="661" spans="1:16" x14ac:dyDescent="0.5">
      <c r="A661" s="438"/>
      <c r="B661" s="438"/>
      <c r="C661" s="438" t="s">
        <v>3810</v>
      </c>
      <c r="D661" s="438"/>
      <c r="E661" s="438"/>
      <c r="F661" s="438"/>
      <c r="G661" s="438"/>
      <c r="H661" s="438"/>
      <c r="I661" s="438"/>
      <c r="J661" s="438"/>
      <c r="K661" s="438"/>
      <c r="L661" s="438" t="s">
        <v>3826</v>
      </c>
      <c r="M661" s="456"/>
      <c r="N661" s="456"/>
      <c r="O661" s="456"/>
      <c r="P661" s="456">
        <v>15703.955</v>
      </c>
    </row>
    <row r="662" spans="1:16" x14ac:dyDescent="0.5">
      <c r="A662" s="438"/>
      <c r="B662" s="438"/>
      <c r="C662" s="438" t="s">
        <v>3810</v>
      </c>
      <c r="D662" s="438"/>
      <c r="E662" s="438"/>
      <c r="F662" s="438"/>
      <c r="G662" s="438"/>
      <c r="H662" s="438"/>
      <c r="I662" s="438"/>
      <c r="J662" s="438"/>
      <c r="K662" s="438"/>
      <c r="L662" s="438" t="s">
        <v>3826</v>
      </c>
      <c r="M662" s="456"/>
      <c r="N662" s="456"/>
      <c r="O662" s="456"/>
      <c r="P662" s="456">
        <v>15246.09</v>
      </c>
    </row>
    <row r="663" spans="1:16" x14ac:dyDescent="0.5">
      <c r="A663" s="438"/>
      <c r="B663" s="438"/>
      <c r="C663" s="438" t="s">
        <v>3810</v>
      </c>
      <c r="D663" s="438"/>
      <c r="E663" s="438"/>
      <c r="F663" s="438"/>
      <c r="G663" s="438"/>
      <c r="H663" s="438"/>
      <c r="I663" s="438"/>
      <c r="J663" s="438"/>
      <c r="K663" s="438"/>
      <c r="L663" s="438" t="s">
        <v>3826</v>
      </c>
      <c r="M663" s="456"/>
      <c r="N663" s="456"/>
      <c r="O663" s="456"/>
      <c r="P663" s="456">
        <v>16514.347000000002</v>
      </c>
    </row>
    <row r="664" spans="1:16" x14ac:dyDescent="0.5">
      <c r="A664" s="438"/>
      <c r="B664" s="438"/>
      <c r="C664" s="438" t="s">
        <v>3810</v>
      </c>
      <c r="D664" s="438"/>
      <c r="E664" s="438"/>
      <c r="F664" s="438"/>
      <c r="G664" s="438"/>
      <c r="H664" s="438"/>
      <c r="I664" s="438"/>
      <c r="J664" s="438"/>
      <c r="K664" s="438"/>
      <c r="L664" s="438" t="s">
        <v>3826</v>
      </c>
      <c r="M664" s="456"/>
      <c r="N664" s="456"/>
      <c r="O664" s="456"/>
      <c r="P664" s="456">
        <v>2254.4569999999999</v>
      </c>
    </row>
    <row r="665" spans="1:16" x14ac:dyDescent="0.5">
      <c r="A665" s="438"/>
      <c r="B665" s="438"/>
      <c r="C665" s="438" t="s">
        <v>3810</v>
      </c>
      <c r="D665" s="438"/>
      <c r="E665" s="438"/>
      <c r="F665" s="438"/>
      <c r="G665" s="438"/>
      <c r="H665" s="438"/>
      <c r="I665" s="438"/>
      <c r="J665" s="438"/>
      <c r="K665" s="438"/>
      <c r="L665" s="438" t="s">
        <v>3826</v>
      </c>
      <c r="M665" s="456"/>
      <c r="N665" s="456"/>
      <c r="O665" s="456"/>
      <c r="P665" s="456">
        <v>35518.199000000001</v>
      </c>
    </row>
    <row r="666" spans="1:16" x14ac:dyDescent="0.5">
      <c r="A666" s="438"/>
      <c r="B666" s="438"/>
      <c r="C666" s="438" t="s">
        <v>3810</v>
      </c>
      <c r="D666" s="438"/>
      <c r="E666" s="438"/>
      <c r="F666" s="438"/>
      <c r="G666" s="438"/>
      <c r="H666" s="438"/>
      <c r="I666" s="438"/>
      <c r="J666" s="438"/>
      <c r="K666" s="438"/>
      <c r="L666" s="438" t="s">
        <v>3841</v>
      </c>
      <c r="M666" s="456">
        <v>6970.991</v>
      </c>
      <c r="N666" s="456"/>
      <c r="O666" s="456"/>
      <c r="P666" s="456">
        <v>14586.391</v>
      </c>
    </row>
    <row r="667" spans="1:16" x14ac:dyDescent="0.5">
      <c r="A667" s="438"/>
      <c r="B667" s="438"/>
      <c r="C667" s="438" t="s">
        <v>3810</v>
      </c>
      <c r="D667" s="438"/>
      <c r="E667" s="438"/>
      <c r="F667" s="438"/>
      <c r="G667" s="438"/>
      <c r="H667" s="438"/>
      <c r="I667" s="438"/>
      <c r="J667" s="438"/>
      <c r="K667" s="438"/>
      <c r="L667" s="438" t="s">
        <v>3841</v>
      </c>
      <c r="M667" s="456"/>
      <c r="N667" s="456"/>
      <c r="O667" s="456"/>
      <c r="P667" s="456">
        <v>18092.167000000001</v>
      </c>
    </row>
    <row r="668" spans="1:16" x14ac:dyDescent="0.5">
      <c r="A668" s="438"/>
      <c r="B668" s="438"/>
      <c r="C668" s="438" t="s">
        <v>3810</v>
      </c>
      <c r="D668" s="438"/>
      <c r="E668" s="438"/>
      <c r="F668" s="438"/>
      <c r="G668" s="438"/>
      <c r="H668" s="438"/>
      <c r="I668" s="438"/>
      <c r="J668" s="438"/>
      <c r="K668" s="438"/>
      <c r="L668" s="438" t="s">
        <v>3841</v>
      </c>
      <c r="M668" s="456"/>
      <c r="N668" s="456"/>
      <c r="O668" s="456"/>
      <c r="P668" s="456">
        <v>12121.142</v>
      </c>
    </row>
    <row r="669" spans="1:16" x14ac:dyDescent="0.5">
      <c r="A669" s="438"/>
      <c r="B669" s="438"/>
      <c r="C669" s="438" t="s">
        <v>3810</v>
      </c>
      <c r="D669" s="438"/>
      <c r="E669" s="438"/>
      <c r="F669" s="438"/>
      <c r="G669" s="438"/>
      <c r="H669" s="438"/>
      <c r="I669" s="438"/>
      <c r="J669" s="438"/>
      <c r="K669" s="438"/>
      <c r="L669" s="438" t="s">
        <v>3841</v>
      </c>
      <c r="M669" s="456"/>
      <c r="N669" s="456"/>
      <c r="O669" s="456"/>
      <c r="P669" s="456">
        <v>4953.51</v>
      </c>
    </row>
    <row r="670" spans="1:16" x14ac:dyDescent="0.5">
      <c r="A670" s="438"/>
      <c r="B670" s="438"/>
      <c r="C670" s="438" t="s">
        <v>3810</v>
      </c>
      <c r="D670" s="438"/>
      <c r="E670" s="438"/>
      <c r="F670" s="438"/>
      <c r="G670" s="438"/>
      <c r="H670" s="438"/>
      <c r="I670" s="438"/>
      <c r="J670" s="438"/>
      <c r="K670" s="438"/>
      <c r="L670" s="438" t="s">
        <v>3841</v>
      </c>
      <c r="M670" s="456"/>
      <c r="N670" s="456"/>
      <c r="O670" s="456"/>
      <c r="P670" s="456">
        <v>12406.286</v>
      </c>
    </row>
    <row r="671" spans="1:16" x14ac:dyDescent="0.5">
      <c r="A671" s="438"/>
      <c r="B671" s="438"/>
      <c r="C671" s="438" t="s">
        <v>3810</v>
      </c>
      <c r="D671" s="438"/>
      <c r="E671" s="438"/>
      <c r="F671" s="438"/>
      <c r="G671" s="438"/>
      <c r="H671" s="438"/>
      <c r="I671" s="438"/>
      <c r="J671" s="438"/>
      <c r="K671" s="438"/>
      <c r="L671" s="438" t="s">
        <v>3841</v>
      </c>
      <c r="M671" s="456"/>
      <c r="N671" s="456"/>
      <c r="O671" s="456"/>
      <c r="P671" s="456">
        <v>75228.116999999998</v>
      </c>
    </row>
    <row r="672" spans="1:16" x14ac:dyDescent="0.5">
      <c r="A672" s="438"/>
      <c r="B672" s="438"/>
      <c r="C672" s="438" t="s">
        <v>3810</v>
      </c>
      <c r="D672" s="438"/>
      <c r="E672" s="438"/>
      <c r="F672" s="438"/>
      <c r="G672" s="438"/>
      <c r="H672" s="438"/>
      <c r="I672" s="438"/>
      <c r="J672" s="438"/>
      <c r="K672" s="438"/>
      <c r="L672" s="438" t="s">
        <v>3841</v>
      </c>
      <c r="M672" s="456"/>
      <c r="N672" s="456"/>
      <c r="O672" s="456"/>
      <c r="P672" s="456">
        <v>81134.11</v>
      </c>
    </row>
    <row r="673" spans="1:16" x14ac:dyDescent="0.5">
      <c r="A673" s="438"/>
      <c r="B673" s="438"/>
      <c r="C673" s="438" t="s">
        <v>3810</v>
      </c>
      <c r="D673" s="438"/>
      <c r="E673" s="438"/>
      <c r="F673" s="438"/>
      <c r="G673" s="438"/>
      <c r="H673" s="438"/>
      <c r="I673" s="438"/>
      <c r="J673" s="438"/>
      <c r="K673" s="438"/>
      <c r="L673" s="438" t="s">
        <v>3841</v>
      </c>
      <c r="M673" s="456"/>
      <c r="N673" s="456"/>
      <c r="O673" s="456"/>
      <c r="P673" s="456">
        <v>9720.9259999999995</v>
      </c>
    </row>
    <row r="674" spans="1:16" x14ac:dyDescent="0.5">
      <c r="A674" s="438"/>
      <c r="B674" s="438"/>
      <c r="C674" s="438" t="s">
        <v>3810</v>
      </c>
      <c r="D674" s="438"/>
      <c r="E674" s="438"/>
      <c r="F674" s="438"/>
      <c r="G674" s="438"/>
      <c r="H674" s="438"/>
      <c r="I674" s="438"/>
      <c r="J674" s="438"/>
      <c r="K674" s="438"/>
      <c r="L674" s="438" t="s">
        <v>3841</v>
      </c>
      <c r="M674" s="456"/>
      <c r="N674" s="456"/>
      <c r="O674" s="456"/>
      <c r="P674" s="456">
        <v>12982.05</v>
      </c>
    </row>
    <row r="675" spans="1:16" x14ac:dyDescent="0.5">
      <c r="A675" s="438"/>
      <c r="B675" s="438"/>
      <c r="C675" s="438" t="s">
        <v>3810</v>
      </c>
      <c r="D675" s="438"/>
      <c r="E675" s="438"/>
      <c r="F675" s="438"/>
      <c r="G675" s="438"/>
      <c r="H675" s="438"/>
      <c r="I675" s="438"/>
      <c r="J675" s="438"/>
      <c r="K675" s="438"/>
      <c r="L675" s="438" t="s">
        <v>3841</v>
      </c>
      <c r="M675" s="456"/>
      <c r="N675" s="456"/>
      <c r="O675" s="456"/>
      <c r="P675" s="456">
        <v>38768.203999999998</v>
      </c>
    </row>
    <row r="676" spans="1:16" x14ac:dyDescent="0.5">
      <c r="A676" s="438"/>
      <c r="B676" s="438"/>
      <c r="C676" s="438" t="s">
        <v>3810</v>
      </c>
      <c r="D676" s="438"/>
      <c r="E676" s="438"/>
      <c r="F676" s="438"/>
      <c r="G676" s="438"/>
      <c r="H676" s="438"/>
      <c r="I676" s="438"/>
      <c r="J676" s="438"/>
      <c r="K676" s="438"/>
      <c r="L676" s="438" t="s">
        <v>3841</v>
      </c>
      <c r="M676" s="456"/>
      <c r="N676" s="456"/>
      <c r="O676" s="456"/>
      <c r="P676" s="456">
        <v>2441.2570000000001</v>
      </c>
    </row>
    <row r="677" spans="1:16" x14ac:dyDescent="0.5">
      <c r="A677" s="438"/>
      <c r="B677" s="438"/>
      <c r="C677" s="438" t="s">
        <v>3810</v>
      </c>
      <c r="D677" s="438"/>
      <c r="E677" s="438"/>
      <c r="F677" s="438"/>
      <c r="G677" s="438"/>
      <c r="H677" s="438"/>
      <c r="I677" s="438"/>
      <c r="J677" s="438"/>
      <c r="K677" s="438"/>
      <c r="L677" s="438" t="s">
        <v>3841</v>
      </c>
      <c r="M677" s="456"/>
      <c r="N677" s="456"/>
      <c r="O677" s="456"/>
      <c r="P677" s="456">
        <v>12361.239</v>
      </c>
    </row>
    <row r="678" spans="1:16" x14ac:dyDescent="0.5">
      <c r="A678" s="438"/>
      <c r="B678" s="438"/>
      <c r="C678" s="438" t="s">
        <v>3810</v>
      </c>
      <c r="D678" s="438"/>
      <c r="E678" s="438"/>
      <c r="F678" s="438"/>
      <c r="G678" s="438"/>
      <c r="H678" s="438"/>
      <c r="I678" s="438"/>
      <c r="J678" s="438"/>
      <c r="K678" s="438"/>
      <c r="L678" s="438" t="s">
        <v>3859</v>
      </c>
      <c r="M678" s="456">
        <v>11509.601000000001</v>
      </c>
      <c r="N678" s="456"/>
      <c r="O678" s="456"/>
      <c r="P678" s="456">
        <v>14228.441999999999</v>
      </c>
    </row>
    <row r="679" spans="1:16" x14ac:dyDescent="0.5">
      <c r="A679" s="438"/>
      <c r="B679" s="438"/>
      <c r="C679" s="438" t="s">
        <v>3810</v>
      </c>
      <c r="D679" s="438"/>
      <c r="E679" s="438"/>
      <c r="F679" s="438"/>
      <c r="G679" s="438"/>
      <c r="H679" s="438"/>
      <c r="I679" s="438"/>
      <c r="J679" s="438"/>
      <c r="K679" s="438"/>
      <c r="L679" s="438" t="s">
        <v>3859</v>
      </c>
      <c r="M679" s="456"/>
      <c r="N679" s="456"/>
      <c r="O679" s="456"/>
      <c r="P679" s="456">
        <v>13337.352000000001</v>
      </c>
    </row>
    <row r="680" spans="1:16" x14ac:dyDescent="0.5">
      <c r="A680" s="438"/>
      <c r="B680" s="438"/>
      <c r="C680" s="438" t="s">
        <v>3810</v>
      </c>
      <c r="D680" s="438"/>
      <c r="E680" s="438"/>
      <c r="F680" s="438"/>
      <c r="G680" s="438"/>
      <c r="H680" s="438"/>
      <c r="I680" s="438"/>
      <c r="J680" s="438"/>
      <c r="K680" s="438"/>
      <c r="L680" s="438" t="s">
        <v>3859</v>
      </c>
      <c r="M680" s="456"/>
      <c r="N680" s="456"/>
      <c r="O680" s="456"/>
      <c r="P680" s="456">
        <v>14982.518</v>
      </c>
    </row>
    <row r="681" spans="1:16" x14ac:dyDescent="0.5">
      <c r="A681" s="438"/>
      <c r="B681" s="438"/>
      <c r="C681" s="438" t="s">
        <v>3810</v>
      </c>
      <c r="D681" s="438"/>
      <c r="E681" s="438"/>
      <c r="F681" s="438"/>
      <c r="G681" s="438"/>
      <c r="H681" s="438"/>
      <c r="I681" s="438"/>
      <c r="J681" s="438"/>
      <c r="K681" s="438"/>
      <c r="L681" s="438" t="s">
        <v>3859</v>
      </c>
      <c r="M681" s="456"/>
      <c r="N681" s="456"/>
      <c r="O681" s="456"/>
      <c r="P681" s="456">
        <v>8042.8149999999996</v>
      </c>
    </row>
    <row r="682" spans="1:16" x14ac:dyDescent="0.5">
      <c r="A682" s="438"/>
      <c r="B682" s="438"/>
      <c r="C682" s="438" t="s">
        <v>3810</v>
      </c>
      <c r="D682" s="438"/>
      <c r="E682" s="438"/>
      <c r="F682" s="438"/>
      <c r="G682" s="438"/>
      <c r="H682" s="438"/>
      <c r="I682" s="438"/>
      <c r="J682" s="438"/>
      <c r="K682" s="438"/>
      <c r="L682" s="438" t="s">
        <v>3859</v>
      </c>
      <c r="M682" s="456"/>
      <c r="N682" s="456"/>
      <c r="O682" s="456"/>
      <c r="P682" s="456">
        <v>16605.683000000001</v>
      </c>
    </row>
    <row r="683" spans="1:16" x14ac:dyDescent="0.5">
      <c r="A683" s="438"/>
      <c r="B683" s="438"/>
      <c r="C683" s="438" t="s">
        <v>3867</v>
      </c>
      <c r="D683" s="438"/>
      <c r="E683" s="438"/>
      <c r="F683" s="438"/>
      <c r="G683" s="438"/>
      <c r="H683" s="438"/>
      <c r="I683" s="438"/>
      <c r="J683" s="438"/>
      <c r="K683" s="438"/>
      <c r="L683" s="438" t="s">
        <v>3859</v>
      </c>
      <c r="M683" s="456"/>
      <c r="N683" s="456"/>
      <c r="O683" s="456"/>
      <c r="P683" s="456">
        <v>9039.9159999999993</v>
      </c>
    </row>
    <row r="684" spans="1:16" x14ac:dyDescent="0.5">
      <c r="A684" s="438"/>
      <c r="B684" s="438"/>
      <c r="C684" s="438" t="s">
        <v>3867</v>
      </c>
      <c r="D684" s="438"/>
      <c r="E684" s="438"/>
      <c r="F684" s="438"/>
      <c r="G684" s="438"/>
      <c r="H684" s="438"/>
      <c r="I684" s="438"/>
      <c r="J684" s="438"/>
      <c r="K684" s="438"/>
      <c r="L684" s="438" t="s">
        <v>3859</v>
      </c>
      <c r="M684" s="456"/>
      <c r="N684" s="456"/>
      <c r="O684" s="456"/>
      <c r="P684" s="456">
        <v>83547.467000000004</v>
      </c>
    </row>
    <row r="685" spans="1:16" x14ac:dyDescent="0.5">
      <c r="A685" s="438"/>
      <c r="B685" s="438"/>
      <c r="C685" s="438" t="s">
        <v>3867</v>
      </c>
      <c r="D685" s="438"/>
      <c r="E685" s="438"/>
      <c r="F685" s="438"/>
      <c r="G685" s="438"/>
      <c r="H685" s="438"/>
      <c r="I685" s="438"/>
      <c r="J685" s="438"/>
      <c r="K685" s="438"/>
      <c r="L685" s="438" t="s">
        <v>3859</v>
      </c>
      <c r="M685" s="456"/>
      <c r="N685" s="456"/>
      <c r="O685" s="456"/>
      <c r="P685" s="456">
        <v>15303.24</v>
      </c>
    </row>
    <row r="686" spans="1:16" x14ac:dyDescent="0.5">
      <c r="A686" s="438"/>
      <c r="B686" s="438"/>
      <c r="C686" s="438" t="s">
        <v>3867</v>
      </c>
      <c r="D686" s="438"/>
      <c r="E686" s="438"/>
      <c r="F686" s="438"/>
      <c r="G686" s="438"/>
      <c r="H686" s="438"/>
      <c r="I686" s="438"/>
      <c r="J686" s="438"/>
      <c r="K686" s="438"/>
      <c r="L686" s="438" t="s">
        <v>3859</v>
      </c>
      <c r="M686" s="456"/>
      <c r="N686" s="456"/>
      <c r="O686" s="456"/>
      <c r="P686" s="456">
        <v>15887.942999999999</v>
      </c>
    </row>
    <row r="687" spans="1:16" x14ac:dyDescent="0.5">
      <c r="A687" s="438"/>
      <c r="B687" s="438"/>
      <c r="C687" s="438" t="s">
        <v>3867</v>
      </c>
      <c r="D687" s="438"/>
      <c r="E687" s="438"/>
      <c r="F687" s="438"/>
      <c r="G687" s="438"/>
      <c r="H687" s="438"/>
      <c r="I687" s="438"/>
      <c r="J687" s="438"/>
      <c r="K687" s="438"/>
      <c r="L687" s="438" t="s">
        <v>3859</v>
      </c>
      <c r="M687" s="456"/>
      <c r="N687" s="456"/>
      <c r="O687" s="456"/>
      <c r="P687" s="456">
        <v>6488.71</v>
      </c>
    </row>
    <row r="688" spans="1:16" x14ac:dyDescent="0.5">
      <c r="A688" s="438"/>
      <c r="B688" s="438"/>
      <c r="C688" s="438" t="s">
        <v>3867</v>
      </c>
      <c r="D688" s="438"/>
      <c r="E688" s="438"/>
      <c r="F688" s="438"/>
      <c r="G688" s="438"/>
      <c r="H688" s="438"/>
      <c r="I688" s="438"/>
      <c r="J688" s="438"/>
      <c r="K688" s="438"/>
      <c r="L688" s="438" t="s">
        <v>3859</v>
      </c>
      <c r="M688" s="456"/>
      <c r="N688" s="456"/>
      <c r="O688" s="456"/>
      <c r="P688" s="456">
        <v>3710.1190000000001</v>
      </c>
    </row>
    <row r="689" spans="1:16" x14ac:dyDescent="0.5">
      <c r="A689" s="438"/>
      <c r="B689" s="438"/>
      <c r="C689" s="438" t="s">
        <v>3867</v>
      </c>
      <c r="D689" s="438"/>
      <c r="E689" s="438"/>
      <c r="F689" s="438"/>
      <c r="G689" s="438"/>
      <c r="H689" s="438"/>
      <c r="I689" s="438"/>
      <c r="J689" s="438"/>
      <c r="K689" s="438"/>
      <c r="L689" s="438" t="s">
        <v>3859</v>
      </c>
      <c r="M689" s="456"/>
      <c r="N689" s="456"/>
      <c r="O689" s="456"/>
      <c r="P689" s="456">
        <v>37230.120999999999</v>
      </c>
    </row>
    <row r="690" spans="1:16" x14ac:dyDescent="0.5">
      <c r="A690" s="438"/>
      <c r="B690" s="438"/>
      <c r="C690" s="438" t="s">
        <v>3867</v>
      </c>
      <c r="D690" s="438"/>
      <c r="E690" s="438"/>
      <c r="F690" s="438"/>
      <c r="G690" s="438"/>
      <c r="H690" s="438"/>
      <c r="I690" s="438"/>
      <c r="J690" s="438"/>
      <c r="K690" s="438"/>
      <c r="L690" s="438" t="s">
        <v>3877</v>
      </c>
      <c r="M690" s="456">
        <v>13727.992999999999</v>
      </c>
      <c r="N690" s="456"/>
      <c r="O690" s="456"/>
      <c r="P690" s="456">
        <v>14422.222</v>
      </c>
    </row>
    <row r="691" spans="1:16" x14ac:dyDescent="0.5">
      <c r="A691" s="438"/>
      <c r="B691" s="438"/>
      <c r="C691" s="438" t="s">
        <v>3867</v>
      </c>
      <c r="D691" s="438"/>
      <c r="E691" s="438"/>
      <c r="F691" s="438"/>
      <c r="G691" s="438"/>
      <c r="H691" s="438"/>
      <c r="I691" s="438"/>
      <c r="J691" s="438"/>
      <c r="K691" s="438"/>
      <c r="L691" s="438" t="s">
        <v>3877</v>
      </c>
      <c r="M691" s="456"/>
      <c r="N691" s="456"/>
      <c r="O691" s="456"/>
      <c r="P691" s="456">
        <v>17645.259999999998</v>
      </c>
    </row>
    <row r="692" spans="1:16" x14ac:dyDescent="0.5">
      <c r="A692" s="438"/>
      <c r="B692" s="438"/>
      <c r="C692" s="438" t="s">
        <v>3867</v>
      </c>
      <c r="D692" s="438"/>
      <c r="E692" s="438"/>
      <c r="F692" s="438"/>
      <c r="G692" s="438"/>
      <c r="H692" s="438"/>
      <c r="I692" s="438"/>
      <c r="J692" s="438"/>
      <c r="K692" s="438"/>
      <c r="L692" s="438" t="s">
        <v>3877</v>
      </c>
      <c r="M692" s="456"/>
      <c r="N692" s="456"/>
      <c r="O692" s="456"/>
      <c r="P692" s="456">
        <v>12815.2</v>
      </c>
    </row>
    <row r="693" spans="1:16" x14ac:dyDescent="0.5">
      <c r="A693" s="438"/>
      <c r="B693" s="438"/>
      <c r="C693" s="438" t="s">
        <v>3867</v>
      </c>
      <c r="D693" s="438"/>
      <c r="E693" s="438"/>
      <c r="F693" s="438"/>
      <c r="G693" s="438"/>
      <c r="H693" s="438"/>
      <c r="I693" s="438"/>
      <c r="J693" s="438"/>
      <c r="K693" s="438"/>
      <c r="L693" s="438" t="s">
        <v>3877</v>
      </c>
      <c r="M693" s="456"/>
      <c r="N693" s="456"/>
      <c r="O693" s="456"/>
      <c r="P693" s="456">
        <v>710.56799999999998</v>
      </c>
    </row>
    <row r="694" spans="1:16" x14ac:dyDescent="0.5">
      <c r="A694" s="438"/>
      <c r="B694" s="438"/>
      <c r="C694" s="438" t="s">
        <v>3867</v>
      </c>
      <c r="D694" s="438"/>
      <c r="E694" s="438"/>
      <c r="F694" s="438"/>
      <c r="G694" s="438"/>
      <c r="H694" s="438"/>
      <c r="I694" s="438"/>
      <c r="J694" s="438"/>
      <c r="K694" s="438"/>
      <c r="L694" s="438" t="s">
        <v>3877</v>
      </c>
      <c r="M694" s="456"/>
      <c r="N694" s="456"/>
      <c r="O694" s="456"/>
      <c r="P694" s="456">
        <v>11591.945</v>
      </c>
    </row>
    <row r="695" spans="1:16" x14ac:dyDescent="0.5">
      <c r="A695" s="438"/>
      <c r="B695" s="438"/>
      <c r="C695" s="438" t="s">
        <v>3867</v>
      </c>
      <c r="D695" s="438"/>
      <c r="E695" s="438"/>
      <c r="F695" s="438"/>
      <c r="G695" s="438"/>
      <c r="H695" s="438"/>
      <c r="I695" s="438"/>
      <c r="J695" s="438"/>
      <c r="K695" s="438"/>
      <c r="L695" s="438" t="s">
        <v>3877</v>
      </c>
      <c r="M695" s="456"/>
      <c r="N695" s="456"/>
      <c r="O695" s="456"/>
      <c r="P695" s="456">
        <v>13968.08</v>
      </c>
    </row>
    <row r="696" spans="1:16" x14ac:dyDescent="0.5">
      <c r="A696" s="438"/>
      <c r="B696" s="438"/>
      <c r="C696" s="438" t="s">
        <v>3867</v>
      </c>
      <c r="D696" s="438"/>
      <c r="E696" s="438"/>
      <c r="F696" s="438"/>
      <c r="G696" s="438"/>
      <c r="H696" s="438"/>
      <c r="I696" s="438"/>
      <c r="J696" s="438"/>
      <c r="K696" s="438"/>
      <c r="L696" s="438" t="s">
        <v>3877</v>
      </c>
      <c r="M696" s="456"/>
      <c r="N696" s="456"/>
      <c r="O696" s="456"/>
      <c r="P696" s="456">
        <v>17625.482</v>
      </c>
    </row>
    <row r="697" spans="1:16" x14ac:dyDescent="0.5">
      <c r="A697" s="438"/>
      <c r="B697" s="438"/>
      <c r="C697" s="438" t="s">
        <v>3867</v>
      </c>
      <c r="D697" s="438"/>
      <c r="E697" s="438"/>
      <c r="F697" s="438"/>
      <c r="G697" s="438"/>
      <c r="H697" s="438"/>
      <c r="I697" s="438"/>
      <c r="J697" s="438"/>
      <c r="K697" s="438"/>
      <c r="L697" s="438" t="s">
        <v>3877</v>
      </c>
      <c r="M697" s="456"/>
      <c r="N697" s="456"/>
      <c r="O697" s="456"/>
      <c r="P697" s="456">
        <v>5461.1210000000001</v>
      </c>
    </row>
    <row r="698" spans="1:16" x14ac:dyDescent="0.5">
      <c r="A698" s="438"/>
      <c r="B698" s="438"/>
      <c r="C698" s="438" t="s">
        <v>3867</v>
      </c>
      <c r="D698" s="438"/>
      <c r="E698" s="438"/>
      <c r="F698" s="438"/>
      <c r="G698" s="438"/>
      <c r="H698" s="438"/>
      <c r="I698" s="438"/>
      <c r="J698" s="438"/>
      <c r="K698" s="438"/>
      <c r="L698" s="438" t="s">
        <v>3877</v>
      </c>
      <c r="M698" s="456"/>
      <c r="N698" s="456"/>
      <c r="O698" s="456"/>
      <c r="P698" s="456">
        <v>12746.947</v>
      </c>
    </row>
    <row r="699" spans="1:16" x14ac:dyDescent="0.5">
      <c r="A699" s="438"/>
      <c r="B699" s="438"/>
      <c r="C699" s="438" t="s">
        <v>3867</v>
      </c>
      <c r="D699" s="438"/>
      <c r="E699" s="438"/>
      <c r="F699" s="438"/>
      <c r="G699" s="438"/>
      <c r="H699" s="438"/>
      <c r="I699" s="438"/>
      <c r="J699" s="438"/>
      <c r="K699" s="438"/>
      <c r="L699" s="438" t="s">
        <v>3889</v>
      </c>
      <c r="M699" s="456">
        <v>11903.271000000001</v>
      </c>
      <c r="N699" s="456"/>
      <c r="O699" s="456"/>
      <c r="P699" s="456">
        <v>12162.698</v>
      </c>
    </row>
    <row r="700" spans="1:16" x14ac:dyDescent="0.5">
      <c r="A700" s="438"/>
      <c r="B700" s="438"/>
      <c r="C700" s="438" t="s">
        <v>3867</v>
      </c>
      <c r="D700" s="438"/>
      <c r="E700" s="438"/>
      <c r="F700" s="438"/>
      <c r="G700" s="438"/>
      <c r="H700" s="438"/>
      <c r="I700" s="438"/>
      <c r="J700" s="438"/>
      <c r="K700" s="438"/>
      <c r="L700" s="438" t="s">
        <v>3889</v>
      </c>
      <c r="M700" s="456"/>
      <c r="N700" s="456"/>
      <c r="O700" s="456"/>
      <c r="P700" s="456">
        <v>12282.735000000001</v>
      </c>
    </row>
    <row r="701" spans="1:16" x14ac:dyDescent="0.5">
      <c r="A701" s="438"/>
      <c r="B701" s="438"/>
      <c r="C701" s="438" t="s">
        <v>3867</v>
      </c>
      <c r="D701" s="438"/>
      <c r="E701" s="438"/>
      <c r="F701" s="438"/>
      <c r="G701" s="438"/>
      <c r="H701" s="438"/>
      <c r="I701" s="438"/>
      <c r="J701" s="438"/>
      <c r="K701" s="438"/>
      <c r="L701" s="438" t="s">
        <v>3889</v>
      </c>
      <c r="M701" s="456"/>
      <c r="N701" s="456"/>
      <c r="O701" s="456"/>
      <c r="P701" s="456">
        <v>14359.366</v>
      </c>
    </row>
    <row r="702" spans="1:16" x14ac:dyDescent="0.5">
      <c r="A702" s="438"/>
      <c r="B702" s="438"/>
      <c r="C702" s="438" t="s">
        <v>3867</v>
      </c>
      <c r="D702" s="438"/>
      <c r="E702" s="438"/>
      <c r="F702" s="438"/>
      <c r="G702" s="438"/>
      <c r="H702" s="438"/>
      <c r="I702" s="438"/>
      <c r="J702" s="438"/>
      <c r="K702" s="438"/>
      <c r="L702" s="438" t="s">
        <v>3889</v>
      </c>
      <c r="M702" s="456"/>
      <c r="N702" s="456"/>
      <c r="O702" s="456"/>
      <c r="P702" s="456">
        <v>11624.535</v>
      </c>
    </row>
    <row r="703" spans="1:16" x14ac:dyDescent="0.5">
      <c r="A703" s="438"/>
      <c r="B703" s="438"/>
      <c r="C703" s="438" t="s">
        <v>3867</v>
      </c>
      <c r="D703" s="438"/>
      <c r="E703" s="438"/>
      <c r="F703" s="438"/>
      <c r="G703" s="438"/>
      <c r="H703" s="438"/>
      <c r="I703" s="438"/>
      <c r="J703" s="438"/>
      <c r="K703" s="438"/>
      <c r="L703" s="438" t="s">
        <v>3889</v>
      </c>
      <c r="M703" s="456"/>
      <c r="N703" s="456"/>
      <c r="O703" s="456"/>
      <c r="P703" s="456">
        <v>7364.2389999999996</v>
      </c>
    </row>
    <row r="704" spans="1:16" x14ac:dyDescent="0.5">
      <c r="A704" s="438"/>
      <c r="B704" s="438"/>
      <c r="C704" s="438" t="s">
        <v>3867</v>
      </c>
      <c r="D704" s="438"/>
      <c r="E704" s="438"/>
      <c r="F704" s="438"/>
      <c r="G704" s="438"/>
      <c r="H704" s="438"/>
      <c r="I704" s="438"/>
      <c r="J704" s="438"/>
      <c r="K704" s="438"/>
      <c r="L704" s="438" t="s">
        <v>3889</v>
      </c>
      <c r="M704" s="456"/>
      <c r="N704" s="456"/>
      <c r="O704" s="456"/>
      <c r="P704" s="456">
        <v>14892.528</v>
      </c>
    </row>
    <row r="705" spans="1:16" x14ac:dyDescent="0.5">
      <c r="A705" s="438"/>
      <c r="B705" s="438"/>
      <c r="C705" s="438" t="s">
        <v>3867</v>
      </c>
      <c r="D705" s="438"/>
      <c r="E705" s="438"/>
      <c r="F705" s="438"/>
      <c r="G705" s="438"/>
      <c r="H705" s="438"/>
      <c r="I705" s="438"/>
      <c r="J705" s="438"/>
      <c r="K705" s="438"/>
      <c r="L705" s="438" t="s">
        <v>3889</v>
      </c>
      <c r="M705" s="456"/>
      <c r="N705" s="456"/>
      <c r="O705" s="456"/>
      <c r="P705" s="456">
        <v>9428.8670000000002</v>
      </c>
    </row>
    <row r="706" spans="1:16" x14ac:dyDescent="0.5">
      <c r="A706" s="438"/>
      <c r="B706" s="438"/>
      <c r="C706" s="438" t="s">
        <v>3867</v>
      </c>
      <c r="D706" s="438"/>
      <c r="E706" s="438"/>
      <c r="F706" s="438"/>
      <c r="G706" s="438"/>
      <c r="H706" s="438"/>
      <c r="I706" s="438"/>
      <c r="J706" s="438"/>
      <c r="K706" s="438"/>
      <c r="L706" s="438" t="s">
        <v>3889</v>
      </c>
      <c r="M706" s="456"/>
      <c r="N706" s="456"/>
      <c r="O706" s="456"/>
      <c r="P706" s="456">
        <v>864.73699999999997</v>
      </c>
    </row>
    <row r="707" spans="1:16" x14ac:dyDescent="0.5">
      <c r="A707" s="438"/>
      <c r="B707" s="438"/>
      <c r="C707" s="438" t="s">
        <v>3867</v>
      </c>
      <c r="D707" s="438"/>
      <c r="E707" s="438"/>
      <c r="F707" s="438"/>
      <c r="G707" s="438"/>
      <c r="H707" s="438"/>
      <c r="I707" s="438"/>
      <c r="J707" s="438"/>
      <c r="K707" s="438"/>
      <c r="L707" s="438" t="s">
        <v>3889</v>
      </c>
      <c r="M707" s="456"/>
      <c r="N707" s="456"/>
      <c r="O707" s="456"/>
      <c r="P707" s="456">
        <v>12773.114</v>
      </c>
    </row>
    <row r="708" spans="1:16" x14ac:dyDescent="0.5">
      <c r="A708" s="438"/>
      <c r="B708" s="438"/>
      <c r="C708" s="438" t="s">
        <v>3867</v>
      </c>
      <c r="D708" s="438"/>
      <c r="E708" s="438"/>
      <c r="F708" s="438"/>
      <c r="G708" s="438"/>
      <c r="H708" s="438"/>
      <c r="I708" s="438"/>
      <c r="J708" s="438"/>
      <c r="K708" s="438"/>
      <c r="L708" s="438" t="s">
        <v>3889</v>
      </c>
      <c r="M708" s="456"/>
      <c r="N708" s="456"/>
      <c r="O708" s="456"/>
      <c r="P708" s="456">
        <v>14883.472</v>
      </c>
    </row>
    <row r="709" spans="1:16" x14ac:dyDescent="0.5">
      <c r="A709" s="438"/>
      <c r="B709" s="438"/>
      <c r="C709" s="438" t="s">
        <v>3867</v>
      </c>
      <c r="D709" s="438"/>
      <c r="E709" s="438"/>
      <c r="F709" s="438"/>
      <c r="G709" s="438"/>
      <c r="H709" s="438"/>
      <c r="I709" s="438"/>
      <c r="J709" s="438"/>
      <c r="K709" s="438"/>
      <c r="L709" s="438" t="s">
        <v>3889</v>
      </c>
      <c r="M709" s="456"/>
      <c r="N709" s="456"/>
      <c r="O709" s="456"/>
      <c r="P709" s="456">
        <v>4303.6909999999998</v>
      </c>
    </row>
    <row r="710" spans="1:16" x14ac:dyDescent="0.5">
      <c r="A710" s="438"/>
      <c r="B710" s="438"/>
      <c r="C710" s="438" t="s">
        <v>3867</v>
      </c>
      <c r="D710" s="438"/>
      <c r="E710" s="438"/>
      <c r="F710" s="438"/>
      <c r="G710" s="438"/>
      <c r="H710" s="438"/>
      <c r="I710" s="438"/>
      <c r="J710" s="438"/>
      <c r="K710" s="438"/>
      <c r="L710" s="438" t="s">
        <v>3889</v>
      </c>
      <c r="M710" s="456"/>
      <c r="N710" s="456"/>
      <c r="O710" s="456"/>
      <c r="P710" s="456">
        <v>35530.19</v>
      </c>
    </row>
    <row r="711" spans="1:16" x14ac:dyDescent="0.5">
      <c r="A711" s="438"/>
      <c r="B711" s="438"/>
      <c r="C711" s="438" t="s">
        <v>3867</v>
      </c>
      <c r="D711" s="438"/>
      <c r="E711" s="438"/>
      <c r="F711" s="438"/>
      <c r="G711" s="438"/>
      <c r="H711" s="438"/>
      <c r="I711" s="438"/>
      <c r="J711" s="438"/>
      <c r="K711" s="438"/>
      <c r="L711" s="438" t="s">
        <v>3905</v>
      </c>
      <c r="M711" s="456">
        <v>11843</v>
      </c>
      <c r="N711" s="456"/>
      <c r="O711" s="456"/>
      <c r="P711" s="456">
        <v>14153</v>
      </c>
    </row>
    <row r="712" spans="1:16" x14ac:dyDescent="0.5">
      <c r="A712" s="438"/>
      <c r="B712" s="438"/>
      <c r="C712" s="438" t="s">
        <v>3867</v>
      </c>
      <c r="D712" s="438"/>
      <c r="E712" s="438"/>
      <c r="F712" s="438"/>
      <c r="G712" s="438"/>
      <c r="H712" s="438"/>
      <c r="I712" s="438"/>
      <c r="J712" s="438"/>
      <c r="K712" s="438"/>
      <c r="L712" s="438" t="s">
        <v>3905</v>
      </c>
      <c r="M712" s="456"/>
      <c r="N712" s="456"/>
      <c r="O712" s="456"/>
      <c r="P712" s="456">
        <v>13963</v>
      </c>
    </row>
    <row r="713" spans="1:16" x14ac:dyDescent="0.5">
      <c r="A713" s="438"/>
      <c r="B713" s="438"/>
      <c r="C713" s="438" t="s">
        <v>3867</v>
      </c>
      <c r="D713" s="438"/>
      <c r="E713" s="438"/>
      <c r="F713" s="438"/>
      <c r="G713" s="438"/>
      <c r="H713" s="438"/>
      <c r="I713" s="438"/>
      <c r="J713" s="438"/>
      <c r="K713" s="438"/>
      <c r="L713" s="438" t="s">
        <v>3905</v>
      </c>
      <c r="M713" s="456"/>
      <c r="N713" s="456"/>
      <c r="O713" s="456"/>
      <c r="P713" s="456">
        <v>18637</v>
      </c>
    </row>
    <row r="714" spans="1:16" x14ac:dyDescent="0.5">
      <c r="A714" s="438"/>
      <c r="B714" s="438"/>
      <c r="C714" s="438" t="s">
        <v>3867</v>
      </c>
      <c r="D714" s="438"/>
      <c r="E714" s="438"/>
      <c r="F714" s="438"/>
      <c r="G714" s="438"/>
      <c r="H714" s="438"/>
      <c r="I714" s="438"/>
      <c r="J714" s="438"/>
      <c r="K714" s="438"/>
      <c r="L714" s="438" t="s">
        <v>3905</v>
      </c>
      <c r="M714" s="456"/>
      <c r="N714" s="456"/>
      <c r="O714" s="456"/>
      <c r="P714" s="456">
        <v>10928</v>
      </c>
    </row>
    <row r="715" spans="1:16" x14ac:dyDescent="0.5">
      <c r="A715" s="438"/>
      <c r="B715" s="438"/>
      <c r="C715" s="438" t="s">
        <v>3867</v>
      </c>
      <c r="D715" s="438"/>
      <c r="E715" s="438"/>
      <c r="F715" s="438"/>
      <c r="G715" s="438"/>
      <c r="H715" s="438"/>
      <c r="I715" s="438"/>
      <c r="J715" s="438"/>
      <c r="K715" s="438"/>
      <c r="L715" s="438" t="s">
        <v>3905</v>
      </c>
      <c r="M715" s="456"/>
      <c r="N715" s="456"/>
      <c r="O715" s="456"/>
      <c r="P715" s="456">
        <v>8365</v>
      </c>
    </row>
    <row r="716" spans="1:16" x14ac:dyDescent="0.5">
      <c r="A716" s="438"/>
      <c r="B716" s="438"/>
      <c r="C716" s="438" t="s">
        <v>3867</v>
      </c>
      <c r="D716" s="438"/>
      <c r="E716" s="438"/>
      <c r="F716" s="438"/>
      <c r="G716" s="438"/>
      <c r="H716" s="438"/>
      <c r="I716" s="438"/>
      <c r="J716" s="438"/>
      <c r="K716" s="438"/>
      <c r="L716" s="438" t="s">
        <v>3905</v>
      </c>
      <c r="M716" s="456"/>
      <c r="N716" s="456"/>
      <c r="O716" s="456"/>
      <c r="P716" s="456">
        <v>8834</v>
      </c>
    </row>
    <row r="717" spans="1:16" x14ac:dyDescent="0.5">
      <c r="A717" s="438"/>
      <c r="B717" s="438"/>
      <c r="C717" s="438" t="s">
        <v>3867</v>
      </c>
      <c r="D717" s="438"/>
      <c r="E717" s="438"/>
      <c r="F717" s="438"/>
      <c r="G717" s="438"/>
      <c r="H717" s="438"/>
      <c r="I717" s="438"/>
      <c r="J717" s="438"/>
      <c r="K717" s="438"/>
      <c r="L717" s="438" t="s">
        <v>3905</v>
      </c>
      <c r="M717" s="456"/>
      <c r="N717" s="456"/>
      <c r="O717" s="456"/>
      <c r="P717" s="456">
        <v>69900</v>
      </c>
    </row>
    <row r="718" spans="1:16" x14ac:dyDescent="0.5">
      <c r="A718" s="438"/>
      <c r="B718" s="438"/>
      <c r="C718" s="438" t="s">
        <v>3867</v>
      </c>
      <c r="D718" s="438"/>
      <c r="E718" s="438"/>
      <c r="F718" s="438"/>
      <c r="G718" s="438"/>
      <c r="H718" s="438"/>
      <c r="I718" s="438"/>
      <c r="J718" s="438"/>
      <c r="K718" s="438"/>
      <c r="L718" s="438" t="s">
        <v>3905</v>
      </c>
      <c r="M718" s="456"/>
      <c r="N718" s="456"/>
      <c r="O718" s="456"/>
      <c r="P718" s="456">
        <v>11956</v>
      </c>
    </row>
    <row r="719" spans="1:16" x14ac:dyDescent="0.5">
      <c r="A719" s="438"/>
      <c r="B719" s="438"/>
      <c r="C719" s="438" t="s">
        <v>3916</v>
      </c>
      <c r="D719" s="438"/>
      <c r="E719" s="438"/>
      <c r="F719" s="438"/>
      <c r="G719" s="438"/>
      <c r="H719" s="438"/>
      <c r="I719" s="438"/>
      <c r="J719" s="438"/>
      <c r="K719" s="438"/>
      <c r="L719" s="438" t="s">
        <v>3905</v>
      </c>
      <c r="M719" s="456"/>
      <c r="N719" s="456"/>
      <c r="O719" s="456"/>
      <c r="P719" s="456">
        <v>6226</v>
      </c>
    </row>
    <row r="720" spans="1:16" x14ac:dyDescent="0.5">
      <c r="A720" s="438"/>
      <c r="B720" s="438"/>
      <c r="C720" s="438" t="s">
        <v>3916</v>
      </c>
      <c r="D720" s="438"/>
      <c r="E720" s="438"/>
      <c r="F720" s="438"/>
      <c r="G720" s="438"/>
      <c r="H720" s="438"/>
      <c r="I720" s="438"/>
      <c r="J720" s="438"/>
      <c r="K720" s="438"/>
      <c r="L720" s="438" t="s">
        <v>3918</v>
      </c>
      <c r="M720" s="456">
        <v>9150.8700000000008</v>
      </c>
      <c r="N720" s="456"/>
      <c r="O720" s="456"/>
      <c r="P720" s="456">
        <v>16096.153</v>
      </c>
    </row>
    <row r="721" spans="1:16" x14ac:dyDescent="0.5">
      <c r="A721" s="438"/>
      <c r="B721" s="438"/>
      <c r="C721" s="438" t="s">
        <v>3916</v>
      </c>
      <c r="D721" s="438"/>
      <c r="E721" s="438"/>
      <c r="F721" s="438"/>
      <c r="G721" s="438"/>
      <c r="H721" s="438"/>
      <c r="I721" s="438"/>
      <c r="J721" s="438"/>
      <c r="K721" s="438"/>
      <c r="L721" s="438" t="s">
        <v>3918</v>
      </c>
      <c r="M721" s="456"/>
      <c r="N721" s="456"/>
      <c r="O721" s="456"/>
      <c r="P721" s="456">
        <v>14704.448</v>
      </c>
    </row>
    <row r="722" spans="1:16" x14ac:dyDescent="0.5">
      <c r="A722" s="438"/>
      <c r="B722" s="438"/>
      <c r="C722" s="438" t="s">
        <v>3916</v>
      </c>
      <c r="D722" s="438"/>
      <c r="E722" s="438"/>
      <c r="F722" s="438"/>
      <c r="G722" s="438"/>
      <c r="H722" s="438"/>
      <c r="I722" s="438"/>
      <c r="J722" s="438"/>
      <c r="K722" s="438"/>
      <c r="L722" s="438" t="s">
        <v>3918</v>
      </c>
      <c r="M722" s="456"/>
      <c r="N722" s="456"/>
      <c r="O722" s="456"/>
      <c r="P722" s="456">
        <v>12222.191000000001</v>
      </c>
    </row>
    <row r="723" spans="1:16" x14ac:dyDescent="0.5">
      <c r="A723" s="438"/>
      <c r="B723" s="438"/>
      <c r="C723" s="438" t="s">
        <v>3916</v>
      </c>
      <c r="D723" s="438"/>
      <c r="E723" s="438"/>
      <c r="F723" s="438"/>
      <c r="G723" s="438"/>
      <c r="H723" s="438"/>
      <c r="I723" s="438"/>
      <c r="J723" s="438"/>
      <c r="K723" s="438"/>
      <c r="L723" s="438" t="s">
        <v>3918</v>
      </c>
      <c r="M723" s="456"/>
      <c r="N723" s="456"/>
      <c r="O723" s="456"/>
      <c r="P723" s="456">
        <v>6986.5389999999998</v>
      </c>
    </row>
    <row r="724" spans="1:16" x14ac:dyDescent="0.5">
      <c r="A724" s="438"/>
      <c r="B724" s="438"/>
      <c r="C724" s="438" t="s">
        <v>3916</v>
      </c>
      <c r="D724" s="438"/>
      <c r="E724" s="438"/>
      <c r="F724" s="438"/>
      <c r="G724" s="438"/>
      <c r="H724" s="438"/>
      <c r="I724" s="438"/>
      <c r="J724" s="438"/>
      <c r="K724" s="438"/>
      <c r="L724" s="438" t="s">
        <v>3918</v>
      </c>
      <c r="M724" s="456"/>
      <c r="N724" s="456"/>
      <c r="O724" s="456"/>
      <c r="P724" s="456">
        <v>13208.691000000001</v>
      </c>
    </row>
    <row r="725" spans="1:16" x14ac:dyDescent="0.5">
      <c r="A725" s="438"/>
      <c r="B725" s="438"/>
      <c r="C725" s="438" t="s">
        <v>3916</v>
      </c>
      <c r="D725" s="438"/>
      <c r="E725" s="438"/>
      <c r="F725" s="438"/>
      <c r="G725" s="438"/>
      <c r="H725" s="438"/>
      <c r="I725" s="438"/>
      <c r="J725" s="438"/>
      <c r="K725" s="438"/>
      <c r="L725" s="438" t="s">
        <v>3918</v>
      </c>
      <c r="M725" s="456"/>
      <c r="N725" s="456"/>
      <c r="O725" s="456"/>
      <c r="P725" s="456">
        <v>4735.4799999999996</v>
      </c>
    </row>
    <row r="726" spans="1:16" x14ac:dyDescent="0.5">
      <c r="A726" s="438"/>
      <c r="B726" s="438"/>
      <c r="C726" s="438" t="s">
        <v>3916</v>
      </c>
      <c r="D726" s="438"/>
      <c r="E726" s="438"/>
      <c r="F726" s="438"/>
      <c r="G726" s="438"/>
      <c r="H726" s="438"/>
      <c r="I726" s="438"/>
      <c r="J726" s="438"/>
      <c r="K726" s="438"/>
      <c r="L726" s="438" t="s">
        <v>3918</v>
      </c>
      <c r="M726" s="456"/>
      <c r="N726" s="456"/>
      <c r="O726" s="456"/>
      <c r="P726" s="456">
        <v>15323.553</v>
      </c>
    </row>
    <row r="727" spans="1:16" ht="12.75" x14ac:dyDescent="0.2">
      <c r="A727" s="468"/>
      <c r="B727" s="468"/>
      <c r="C727" s="468"/>
      <c r="D727" s="468"/>
      <c r="E727" s="468"/>
      <c r="F727" s="468"/>
      <c r="G727" s="468"/>
      <c r="H727" s="468"/>
      <c r="I727" s="468"/>
      <c r="J727" s="468"/>
      <c r="K727" s="468"/>
      <c r="L727" s="468"/>
      <c r="M727" s="457">
        <f>SUM(M436:M726)</f>
        <v>429385.5230000001</v>
      </c>
      <c r="N727" s="457"/>
      <c r="O727" s="457"/>
      <c r="P727" s="457">
        <f>SUM(P436:P726)</f>
        <v>4535608.1979999999</v>
      </c>
    </row>
    <row r="728" spans="1:16" x14ac:dyDescent="0.5">
      <c r="M728" s="453">
        <f>+M727-P428</f>
        <v>0</v>
      </c>
      <c r="P728" s="453">
        <f>+P727-P295</f>
        <v>0</v>
      </c>
    </row>
    <row r="730" spans="1:16" x14ac:dyDescent="0.5">
      <c r="A730" s="438"/>
      <c r="B730" s="438"/>
      <c r="C730" s="438"/>
      <c r="D730" s="438"/>
      <c r="E730" s="438" t="s">
        <v>2560</v>
      </c>
      <c r="F730" s="438" t="s">
        <v>2554</v>
      </c>
      <c r="G730" s="438" t="s">
        <v>2620</v>
      </c>
      <c r="H730" s="438" t="s">
        <v>3489</v>
      </c>
      <c r="I730" s="438" t="s">
        <v>2563</v>
      </c>
      <c r="J730" s="438" t="s">
        <v>2576</v>
      </c>
      <c r="K730" s="438" t="s">
        <v>2621</v>
      </c>
      <c r="L730" s="438" t="s">
        <v>3531</v>
      </c>
      <c r="M730" s="456">
        <v>14351.507000000001</v>
      </c>
      <c r="N730" s="456"/>
      <c r="O730" s="456"/>
      <c r="P730" s="456"/>
    </row>
    <row r="731" spans="1:16" x14ac:dyDescent="0.5">
      <c r="A731" s="438"/>
      <c r="B731" s="438"/>
      <c r="C731" s="438"/>
      <c r="D731" s="438"/>
      <c r="E731" s="438" t="s">
        <v>2560</v>
      </c>
      <c r="F731" s="438" t="s">
        <v>2554</v>
      </c>
      <c r="G731" s="438" t="s">
        <v>2620</v>
      </c>
      <c r="H731" s="438" t="s">
        <v>3489</v>
      </c>
      <c r="I731" s="438" t="s">
        <v>2563</v>
      </c>
      <c r="J731" s="438" t="s">
        <v>2576</v>
      </c>
      <c r="K731" s="438" t="s">
        <v>2621</v>
      </c>
      <c r="L731" s="438" t="s">
        <v>3545</v>
      </c>
      <c r="M731" s="456">
        <v>14938.186000000002</v>
      </c>
      <c r="N731" s="456"/>
      <c r="O731" s="456"/>
      <c r="P731" s="456"/>
    </row>
    <row r="732" spans="1:16" x14ac:dyDescent="0.5">
      <c r="A732" s="438"/>
      <c r="B732" s="438"/>
      <c r="C732" s="438"/>
      <c r="D732" s="438"/>
      <c r="E732" s="438" t="s">
        <v>2560</v>
      </c>
      <c r="F732" s="438" t="s">
        <v>2554</v>
      </c>
      <c r="G732" s="438" t="s">
        <v>2620</v>
      </c>
      <c r="H732" s="438" t="s">
        <v>3489</v>
      </c>
      <c r="I732" s="438" t="s">
        <v>2563</v>
      </c>
      <c r="J732" s="438" t="s">
        <v>2576</v>
      </c>
      <c r="K732" s="438" t="s">
        <v>2621</v>
      </c>
      <c r="L732" s="438" t="s">
        <v>3552</v>
      </c>
      <c r="M732" s="456">
        <v>13606.445</v>
      </c>
      <c r="N732" s="456"/>
      <c r="O732" s="456"/>
      <c r="P732" s="456"/>
    </row>
    <row r="733" spans="1:16" x14ac:dyDescent="0.5">
      <c r="A733" s="438"/>
      <c r="B733" s="438"/>
      <c r="C733" s="438"/>
      <c r="D733" s="438"/>
      <c r="E733" s="438" t="s">
        <v>2560</v>
      </c>
      <c r="F733" s="438" t="s">
        <v>2554</v>
      </c>
      <c r="G733" s="438" t="s">
        <v>2620</v>
      </c>
      <c r="H733" s="438" t="s">
        <v>3489</v>
      </c>
      <c r="I733" s="438" t="s">
        <v>2563</v>
      </c>
      <c r="J733" s="438" t="s">
        <v>2576</v>
      </c>
      <c r="K733" s="438" t="s">
        <v>2621</v>
      </c>
      <c r="L733" s="438" t="s">
        <v>3564</v>
      </c>
      <c r="M733" s="456">
        <v>15096.154999999999</v>
      </c>
      <c r="N733" s="456"/>
      <c r="O733" s="456"/>
      <c r="P733" s="456"/>
    </row>
    <row r="734" spans="1:16" x14ac:dyDescent="0.5">
      <c r="A734" s="438"/>
      <c r="B734" s="438"/>
      <c r="C734" s="438"/>
      <c r="D734" s="438"/>
      <c r="E734" s="438" t="s">
        <v>2560</v>
      </c>
      <c r="F734" s="438" t="s">
        <v>2554</v>
      </c>
      <c r="G734" s="438" t="s">
        <v>2620</v>
      </c>
      <c r="H734" s="438" t="s">
        <v>3489</v>
      </c>
      <c r="I734" s="438" t="s">
        <v>2563</v>
      </c>
      <c r="J734" s="438" t="s">
        <v>2576</v>
      </c>
      <c r="K734" s="438" t="s">
        <v>2621</v>
      </c>
      <c r="L734" s="438" t="s">
        <v>3575</v>
      </c>
      <c r="M734" s="456">
        <v>14131.613000000001</v>
      </c>
      <c r="N734" s="456"/>
      <c r="O734" s="456"/>
      <c r="P734" s="456"/>
    </row>
    <row r="735" spans="1:16" x14ac:dyDescent="0.5">
      <c r="A735" s="438"/>
      <c r="B735" s="438"/>
      <c r="C735" s="438"/>
      <c r="D735" s="438"/>
      <c r="E735" s="438" t="s">
        <v>2560</v>
      </c>
      <c r="F735" s="438" t="s">
        <v>2554</v>
      </c>
      <c r="G735" s="438" t="s">
        <v>2620</v>
      </c>
      <c r="H735" s="438" t="s">
        <v>2749</v>
      </c>
      <c r="I735" s="438" t="s">
        <v>2563</v>
      </c>
      <c r="J735" s="438" t="s">
        <v>2576</v>
      </c>
      <c r="K735" s="438" t="s">
        <v>2621</v>
      </c>
      <c r="L735" s="438" t="s">
        <v>3583</v>
      </c>
      <c r="M735" s="456">
        <v>16180.352999999999</v>
      </c>
      <c r="N735" s="456"/>
      <c r="O735" s="456"/>
      <c r="P735" s="456"/>
    </row>
    <row r="736" spans="1:16" x14ac:dyDescent="0.5">
      <c r="A736" s="438"/>
      <c r="B736" s="438"/>
      <c r="C736" s="438"/>
      <c r="D736" s="438"/>
      <c r="E736" s="438" t="s">
        <v>2560</v>
      </c>
      <c r="F736" s="438" t="s">
        <v>2554</v>
      </c>
      <c r="G736" s="438" t="s">
        <v>2620</v>
      </c>
      <c r="H736" s="438" t="s">
        <v>2749</v>
      </c>
      <c r="I736" s="438" t="s">
        <v>2563</v>
      </c>
      <c r="J736" s="438" t="s">
        <v>2576</v>
      </c>
      <c r="K736" s="438" t="s">
        <v>2621</v>
      </c>
      <c r="L736" s="438" t="s">
        <v>3595</v>
      </c>
      <c r="M736" s="456">
        <v>21272.173999999999</v>
      </c>
      <c r="N736" s="456"/>
      <c r="O736" s="456"/>
      <c r="P736" s="456"/>
    </row>
    <row r="737" spans="1:16" x14ac:dyDescent="0.5">
      <c r="A737" s="438"/>
      <c r="B737" s="438"/>
      <c r="C737" s="438"/>
      <c r="D737" s="438"/>
      <c r="E737" s="438" t="s">
        <v>2560</v>
      </c>
      <c r="F737" s="438" t="s">
        <v>2554</v>
      </c>
      <c r="G737" s="438" t="s">
        <v>2620</v>
      </c>
      <c r="H737" s="438" t="s">
        <v>2749</v>
      </c>
      <c r="I737" s="438" t="s">
        <v>2563</v>
      </c>
      <c r="J737" s="438" t="s">
        <v>2576</v>
      </c>
      <c r="K737" s="438" t="s">
        <v>2621</v>
      </c>
      <c r="L737" s="438" t="s">
        <v>3602</v>
      </c>
      <c r="M737" s="456">
        <v>14451.921999999999</v>
      </c>
      <c r="N737" s="456"/>
      <c r="O737" s="456"/>
      <c r="P737" s="456"/>
    </row>
    <row r="738" spans="1:16" x14ac:dyDescent="0.5">
      <c r="A738" s="438"/>
      <c r="B738" s="438"/>
      <c r="C738" s="438"/>
      <c r="D738" s="438"/>
      <c r="E738" s="438" t="s">
        <v>2560</v>
      </c>
      <c r="F738" s="438" t="s">
        <v>2554</v>
      </c>
      <c r="G738" s="438" t="s">
        <v>2620</v>
      </c>
      <c r="H738" s="438" t="s">
        <v>2749</v>
      </c>
      <c r="I738" s="438" t="s">
        <v>2563</v>
      </c>
      <c r="J738" s="438" t="s">
        <v>2576</v>
      </c>
      <c r="K738" s="438" t="s">
        <v>2621</v>
      </c>
      <c r="L738" s="438" t="s">
        <v>3616</v>
      </c>
      <c r="M738" s="456">
        <v>11123.257000000001</v>
      </c>
      <c r="N738" s="456"/>
      <c r="O738" s="456"/>
      <c r="P738" s="456"/>
    </row>
    <row r="739" spans="1:16" x14ac:dyDescent="0.5">
      <c r="A739" s="438"/>
      <c r="B739" s="438"/>
      <c r="C739" s="438"/>
      <c r="D739" s="438"/>
      <c r="E739" s="438" t="s">
        <v>2560</v>
      </c>
      <c r="F739" s="438" t="s">
        <v>2554</v>
      </c>
      <c r="G739" s="438" t="s">
        <v>2620</v>
      </c>
      <c r="H739" s="438" t="s">
        <v>2749</v>
      </c>
      <c r="I739" s="438" t="s">
        <v>2563</v>
      </c>
      <c r="J739" s="438" t="s">
        <v>2576</v>
      </c>
      <c r="K739" s="438" t="s">
        <v>2621</v>
      </c>
      <c r="L739" s="438" t="s">
        <v>3626</v>
      </c>
      <c r="M739" s="456">
        <v>13439.124</v>
      </c>
      <c r="N739" s="456"/>
      <c r="O739" s="456"/>
      <c r="P739" s="456"/>
    </row>
    <row r="740" spans="1:16" x14ac:dyDescent="0.5">
      <c r="A740" s="438"/>
      <c r="B740" s="438"/>
      <c r="C740" s="438"/>
      <c r="D740" s="438"/>
      <c r="E740" s="438" t="s">
        <v>2560</v>
      </c>
      <c r="F740" s="438" t="s">
        <v>2554</v>
      </c>
      <c r="G740" s="438" t="s">
        <v>2620</v>
      </c>
      <c r="H740" s="438" t="s">
        <v>2749</v>
      </c>
      <c r="I740" s="438" t="s">
        <v>2563</v>
      </c>
      <c r="J740" s="438" t="s">
        <v>2576</v>
      </c>
      <c r="K740" s="438" t="s">
        <v>2621</v>
      </c>
      <c r="L740" s="438" t="s">
        <v>3637</v>
      </c>
      <c r="M740" s="456">
        <v>12608.16</v>
      </c>
      <c r="N740" s="456"/>
      <c r="O740" s="456"/>
      <c r="P740" s="456"/>
    </row>
    <row r="741" spans="1:16" x14ac:dyDescent="0.5">
      <c r="A741" s="438"/>
      <c r="B741" s="438"/>
      <c r="C741" s="438"/>
      <c r="D741" s="438"/>
      <c r="E741" s="438" t="s">
        <v>2560</v>
      </c>
      <c r="F741" s="438" t="s">
        <v>2554</v>
      </c>
      <c r="G741" s="438" t="s">
        <v>2620</v>
      </c>
      <c r="H741" s="438" t="s">
        <v>2749</v>
      </c>
      <c r="I741" s="438" t="s">
        <v>2563</v>
      </c>
      <c r="J741" s="438" t="s">
        <v>2576</v>
      </c>
      <c r="K741" s="438" t="s">
        <v>2621</v>
      </c>
      <c r="L741" s="438" t="s">
        <v>3648</v>
      </c>
      <c r="M741" s="456">
        <v>13279.922999999999</v>
      </c>
      <c r="N741" s="456"/>
      <c r="O741" s="456"/>
      <c r="P741" s="456"/>
    </row>
    <row r="742" spans="1:16" x14ac:dyDescent="0.5">
      <c r="A742" s="438"/>
      <c r="B742" s="438"/>
      <c r="C742" s="438"/>
      <c r="D742" s="438"/>
      <c r="E742" s="438" t="s">
        <v>2560</v>
      </c>
      <c r="F742" s="438" t="s">
        <v>2554</v>
      </c>
      <c r="G742" s="438" t="s">
        <v>2620</v>
      </c>
      <c r="H742" s="438" t="s">
        <v>2749</v>
      </c>
      <c r="I742" s="438" t="s">
        <v>2562</v>
      </c>
      <c r="J742" s="438" t="s">
        <v>2576</v>
      </c>
      <c r="K742" s="438" t="s">
        <v>2621</v>
      </c>
      <c r="L742" s="438" t="s">
        <v>3664</v>
      </c>
      <c r="M742" s="456">
        <v>19219.403000000002</v>
      </c>
      <c r="N742" s="456"/>
      <c r="O742" s="456"/>
      <c r="P742" s="456"/>
    </row>
    <row r="743" spans="1:16" x14ac:dyDescent="0.5">
      <c r="A743" s="438"/>
      <c r="B743" s="438"/>
      <c r="C743" s="438"/>
      <c r="D743" s="438"/>
      <c r="E743" s="438" t="s">
        <v>2560</v>
      </c>
      <c r="F743" s="438" t="s">
        <v>2554</v>
      </c>
      <c r="G743" s="438" t="s">
        <v>2620</v>
      </c>
      <c r="H743" s="438" t="s">
        <v>2749</v>
      </c>
      <c r="I743" s="438" t="s">
        <v>2563</v>
      </c>
      <c r="J743" s="438" t="s">
        <v>2576</v>
      </c>
      <c r="K743" s="438" t="s">
        <v>2621</v>
      </c>
      <c r="L743" s="438" t="s">
        <v>3679</v>
      </c>
      <c r="M743" s="456">
        <v>15504.034</v>
      </c>
      <c r="N743" s="456"/>
      <c r="O743" s="456"/>
      <c r="P743" s="456"/>
    </row>
    <row r="744" spans="1:16" x14ac:dyDescent="0.5">
      <c r="A744" s="438"/>
      <c r="B744" s="438"/>
      <c r="C744" s="438"/>
      <c r="D744" s="438"/>
      <c r="E744" s="438" t="s">
        <v>2560</v>
      </c>
      <c r="F744" s="438" t="s">
        <v>2554</v>
      </c>
      <c r="G744" s="438" t="s">
        <v>2620</v>
      </c>
      <c r="H744" s="438" t="s">
        <v>2749</v>
      </c>
      <c r="I744" s="438" t="s">
        <v>2563</v>
      </c>
      <c r="J744" s="438" t="s">
        <v>2576</v>
      </c>
      <c r="K744" s="438" t="s">
        <v>2621</v>
      </c>
      <c r="L744" s="438" t="s">
        <v>3689</v>
      </c>
      <c r="M744" s="456">
        <v>17693.027000000002</v>
      </c>
      <c r="N744" s="456"/>
      <c r="O744" s="456"/>
      <c r="P744" s="456"/>
    </row>
    <row r="745" spans="1:16" x14ac:dyDescent="0.5">
      <c r="A745" s="438"/>
      <c r="B745" s="438"/>
      <c r="C745" s="438"/>
      <c r="D745" s="438"/>
      <c r="E745" s="438" t="s">
        <v>2560</v>
      </c>
      <c r="F745" s="438" t="s">
        <v>2554</v>
      </c>
      <c r="G745" s="438" t="s">
        <v>2620</v>
      </c>
      <c r="H745" s="438" t="s">
        <v>2749</v>
      </c>
      <c r="I745" s="438" t="s">
        <v>2563</v>
      </c>
      <c r="J745" s="438" t="s">
        <v>2576</v>
      </c>
      <c r="K745" s="438" t="s">
        <v>2621</v>
      </c>
      <c r="L745" s="438" t="s">
        <v>3699</v>
      </c>
      <c r="M745" s="456">
        <v>13950.23</v>
      </c>
      <c r="N745" s="456"/>
      <c r="O745" s="456"/>
      <c r="P745" s="456"/>
    </row>
    <row r="746" spans="1:16" x14ac:dyDescent="0.5">
      <c r="A746" s="438"/>
      <c r="B746" s="438"/>
      <c r="C746" s="438"/>
      <c r="D746" s="438"/>
      <c r="E746" s="438" t="s">
        <v>2560</v>
      </c>
      <c r="F746" s="438" t="s">
        <v>2554</v>
      </c>
      <c r="G746" s="438" t="s">
        <v>2620</v>
      </c>
      <c r="H746" s="438" t="s">
        <v>2749</v>
      </c>
      <c r="I746" s="438" t="s">
        <v>2563</v>
      </c>
      <c r="J746" s="438" t="s">
        <v>2576</v>
      </c>
      <c r="K746" s="438" t="s">
        <v>2621</v>
      </c>
      <c r="L746" s="438" t="s">
        <v>3709</v>
      </c>
      <c r="M746" s="456">
        <v>12763.100999999999</v>
      </c>
      <c r="N746" s="456"/>
      <c r="O746" s="456"/>
      <c r="P746" s="456"/>
    </row>
    <row r="747" spans="1:16" x14ac:dyDescent="0.5">
      <c r="A747" s="438"/>
      <c r="B747" s="438"/>
      <c r="C747" s="438"/>
      <c r="D747" s="438"/>
      <c r="E747" s="438" t="s">
        <v>2560</v>
      </c>
      <c r="F747" s="438" t="s">
        <v>2554</v>
      </c>
      <c r="G747" s="438" t="s">
        <v>2620</v>
      </c>
      <c r="H747" s="438" t="s">
        <v>2749</v>
      </c>
      <c r="I747" s="438" t="s">
        <v>2563</v>
      </c>
      <c r="J747" s="438" t="s">
        <v>2576</v>
      </c>
      <c r="K747" s="438" t="s">
        <v>2621</v>
      </c>
      <c r="L747" s="438" t="s">
        <v>3729</v>
      </c>
      <c r="M747" s="456">
        <v>15338.921999999999</v>
      </c>
      <c r="N747" s="456"/>
      <c r="O747" s="456"/>
      <c r="P747" s="456"/>
    </row>
    <row r="748" spans="1:16" x14ac:dyDescent="0.5">
      <c r="A748" s="438"/>
      <c r="B748" s="438"/>
      <c r="C748" s="438"/>
      <c r="D748" s="438"/>
      <c r="E748" s="438" t="s">
        <v>2560</v>
      </c>
      <c r="F748" s="438" t="s">
        <v>2554</v>
      </c>
      <c r="G748" s="438" t="s">
        <v>2620</v>
      </c>
      <c r="H748" s="438" t="s">
        <v>2749</v>
      </c>
      <c r="I748" s="438" t="s">
        <v>2563</v>
      </c>
      <c r="J748" s="438" t="s">
        <v>2576</v>
      </c>
      <c r="K748" s="438" t="s">
        <v>2621</v>
      </c>
      <c r="L748" s="438" t="s">
        <v>3749</v>
      </c>
      <c r="M748" s="456">
        <v>18997.869000000002</v>
      </c>
      <c r="N748" s="456"/>
      <c r="O748" s="456"/>
      <c r="P748" s="456"/>
    </row>
    <row r="749" spans="1:16" x14ac:dyDescent="0.5">
      <c r="A749" s="438"/>
      <c r="B749" s="438"/>
      <c r="C749" s="438"/>
      <c r="D749" s="438"/>
      <c r="E749" s="438" t="s">
        <v>2560</v>
      </c>
      <c r="F749" s="438" t="s">
        <v>2554</v>
      </c>
      <c r="G749" s="438" t="s">
        <v>2620</v>
      </c>
      <c r="H749" s="438" t="s">
        <v>3480</v>
      </c>
      <c r="I749" s="438" t="s">
        <v>2563</v>
      </c>
      <c r="J749" s="438" t="s">
        <v>2576</v>
      </c>
      <c r="K749" s="438" t="s">
        <v>2621</v>
      </c>
      <c r="L749" s="438" t="s">
        <v>3768</v>
      </c>
      <c r="M749" s="456">
        <v>17704.208999999999</v>
      </c>
      <c r="N749" s="456"/>
      <c r="O749" s="456"/>
      <c r="P749" s="456"/>
    </row>
    <row r="750" spans="1:16" x14ac:dyDescent="0.5">
      <c r="A750" s="438"/>
      <c r="B750" s="438"/>
      <c r="C750" s="438"/>
      <c r="D750" s="438"/>
      <c r="E750" s="438" t="s">
        <v>2560</v>
      </c>
      <c r="F750" s="438" t="s">
        <v>2554</v>
      </c>
      <c r="G750" s="438" t="s">
        <v>2620</v>
      </c>
      <c r="H750" s="438" t="s">
        <v>3480</v>
      </c>
      <c r="I750" s="438" t="s">
        <v>2563</v>
      </c>
      <c r="J750" s="438" t="s">
        <v>2576</v>
      </c>
      <c r="K750" s="438" t="s">
        <v>2621</v>
      </c>
      <c r="L750" s="438" t="s">
        <v>3782</v>
      </c>
      <c r="M750" s="456">
        <v>15893.325000000001</v>
      </c>
      <c r="N750" s="456"/>
      <c r="O750" s="456"/>
      <c r="P750" s="456"/>
    </row>
    <row r="751" spans="1:16" x14ac:dyDescent="0.5">
      <c r="A751" s="438"/>
      <c r="B751" s="438"/>
      <c r="C751" s="438"/>
      <c r="D751" s="438"/>
      <c r="E751" s="438" t="s">
        <v>2560</v>
      </c>
      <c r="F751" s="438" t="s">
        <v>2554</v>
      </c>
      <c r="G751" s="438" t="s">
        <v>2620</v>
      </c>
      <c r="H751" s="438" t="s">
        <v>3480</v>
      </c>
      <c r="I751" s="438" t="s">
        <v>2563</v>
      </c>
      <c r="J751" s="438" t="s">
        <v>2576</v>
      </c>
      <c r="K751" s="438" t="s">
        <v>2621</v>
      </c>
      <c r="L751" s="438" t="s">
        <v>3797</v>
      </c>
      <c r="M751" s="456">
        <v>19983.902999999998</v>
      </c>
      <c r="N751" s="456"/>
      <c r="O751" s="456"/>
      <c r="P751" s="456"/>
    </row>
    <row r="752" spans="1:16" x14ac:dyDescent="0.5">
      <c r="A752" s="438"/>
      <c r="B752" s="438"/>
      <c r="C752" s="438"/>
      <c r="D752" s="438"/>
      <c r="E752" s="438" t="s">
        <v>2560</v>
      </c>
      <c r="F752" s="438" t="s">
        <v>2554</v>
      </c>
      <c r="G752" s="438" t="s">
        <v>2620</v>
      </c>
      <c r="H752" s="438" t="s">
        <v>3480</v>
      </c>
      <c r="I752" s="438" t="s">
        <v>2563</v>
      </c>
      <c r="J752" s="438" t="s">
        <v>2576</v>
      </c>
      <c r="K752" s="438" t="s">
        <v>2621</v>
      </c>
      <c r="L752" s="438" t="s">
        <v>3813</v>
      </c>
      <c r="M752" s="456">
        <v>14373.71</v>
      </c>
      <c r="N752" s="456"/>
      <c r="O752" s="456"/>
      <c r="P752" s="456"/>
    </row>
    <row r="753" spans="1:16" x14ac:dyDescent="0.5">
      <c r="A753" s="438"/>
      <c r="B753" s="438"/>
      <c r="C753" s="438"/>
      <c r="D753" s="438"/>
      <c r="E753" s="438" t="s">
        <v>2560</v>
      </c>
      <c r="F753" s="438" t="s">
        <v>2554</v>
      </c>
      <c r="G753" s="438" t="s">
        <v>2620</v>
      </c>
      <c r="H753" s="438" t="s">
        <v>3480</v>
      </c>
      <c r="I753" s="438" t="s">
        <v>2563</v>
      </c>
      <c r="J753" s="438" t="s">
        <v>2576</v>
      </c>
      <c r="K753" s="438" t="s">
        <v>2621</v>
      </c>
      <c r="L753" s="438" t="s">
        <v>3826</v>
      </c>
      <c r="M753" s="456">
        <v>8379.244999999999</v>
      </c>
      <c r="N753" s="456"/>
      <c r="O753" s="456"/>
      <c r="P753" s="456"/>
    </row>
    <row r="754" spans="1:16" x14ac:dyDescent="0.5">
      <c r="A754" s="438"/>
      <c r="B754" s="438"/>
      <c r="C754" s="438"/>
      <c r="D754" s="438"/>
      <c r="E754" s="438" t="s">
        <v>2560</v>
      </c>
      <c r="F754" s="438" t="s">
        <v>2554</v>
      </c>
      <c r="G754" s="438" t="s">
        <v>2622</v>
      </c>
      <c r="H754" s="438" t="s">
        <v>2981</v>
      </c>
      <c r="I754" s="438" t="s">
        <v>2623</v>
      </c>
      <c r="J754" s="438" t="s">
        <v>2623</v>
      </c>
      <c r="K754" s="438" t="s">
        <v>2621</v>
      </c>
      <c r="L754" s="438" t="s">
        <v>3841</v>
      </c>
      <c r="M754" s="456">
        <v>6970.991</v>
      </c>
      <c r="N754" s="456"/>
      <c r="O754" s="456"/>
      <c r="P754" s="456"/>
    </row>
    <row r="755" spans="1:16" x14ac:dyDescent="0.5">
      <c r="A755" s="438"/>
      <c r="B755" s="438"/>
      <c r="C755" s="438"/>
      <c r="D755" s="438"/>
      <c r="E755" s="438" t="s">
        <v>2560</v>
      </c>
      <c r="F755" s="438" t="s">
        <v>2554</v>
      </c>
      <c r="G755" s="438" t="s">
        <v>2620</v>
      </c>
      <c r="H755" s="438" t="s">
        <v>3857</v>
      </c>
      <c r="I755" s="438" t="s">
        <v>2563</v>
      </c>
      <c r="J755" s="438" t="s">
        <v>2576</v>
      </c>
      <c r="K755" s="438" t="s">
        <v>2621</v>
      </c>
      <c r="L755" s="438" t="s">
        <v>3859</v>
      </c>
      <c r="M755" s="456">
        <v>11509.601000000001</v>
      </c>
      <c r="N755" s="456"/>
      <c r="O755" s="456"/>
      <c r="P755" s="456"/>
    </row>
    <row r="756" spans="1:16" x14ac:dyDescent="0.5">
      <c r="A756" s="438"/>
      <c r="B756" s="438"/>
      <c r="C756" s="438"/>
      <c r="D756" s="438"/>
      <c r="E756" s="438" t="s">
        <v>2625</v>
      </c>
      <c r="F756" s="438" t="s">
        <v>2554</v>
      </c>
      <c r="G756" s="438" t="s">
        <v>3950</v>
      </c>
      <c r="H756" s="438" t="s">
        <v>2921</v>
      </c>
      <c r="I756" s="438" t="s">
        <v>2628</v>
      </c>
      <c r="J756" s="438" t="s">
        <v>2628</v>
      </c>
      <c r="K756" s="438" t="s">
        <v>2621</v>
      </c>
      <c r="L756" s="438" t="s">
        <v>3877</v>
      </c>
      <c r="M756" s="456">
        <v>13727.992999999999</v>
      </c>
      <c r="N756" s="456"/>
      <c r="O756" s="456"/>
      <c r="P756" s="456"/>
    </row>
    <row r="757" spans="1:16" x14ac:dyDescent="0.5">
      <c r="A757" s="438"/>
      <c r="B757" s="438"/>
      <c r="C757" s="438"/>
      <c r="D757" s="438"/>
      <c r="E757" s="438" t="s">
        <v>2560</v>
      </c>
      <c r="F757" s="438" t="s">
        <v>2554</v>
      </c>
      <c r="G757" s="438" t="s">
        <v>2622</v>
      </c>
      <c r="H757" s="438" t="s">
        <v>3343</v>
      </c>
      <c r="I757" s="438" t="s">
        <v>2623</v>
      </c>
      <c r="J757" s="438" t="s">
        <v>2623</v>
      </c>
      <c r="K757" s="438" t="s">
        <v>2621</v>
      </c>
      <c r="L757" s="438" t="s">
        <v>3889</v>
      </c>
      <c r="M757" s="456">
        <v>11903.271000000001</v>
      </c>
      <c r="N757" s="456"/>
      <c r="O757" s="456"/>
      <c r="P757" s="456"/>
    </row>
    <row r="758" spans="1:16" x14ac:dyDescent="0.5">
      <c r="A758" s="438"/>
      <c r="B758" s="438"/>
      <c r="C758" s="438"/>
      <c r="D758" s="438"/>
      <c r="E758" s="438" t="s">
        <v>2560</v>
      </c>
      <c r="F758" s="438" t="s">
        <v>2554</v>
      </c>
      <c r="G758" s="438" t="s">
        <v>2622</v>
      </c>
      <c r="H758" s="438" t="s">
        <v>3343</v>
      </c>
      <c r="I758" s="438" t="s">
        <v>2623</v>
      </c>
      <c r="J758" s="438" t="s">
        <v>2623</v>
      </c>
      <c r="K758" s="438" t="s">
        <v>2621</v>
      </c>
      <c r="L758" s="438" t="s">
        <v>3905</v>
      </c>
      <c r="M758" s="456">
        <v>11843</v>
      </c>
      <c r="N758" s="456"/>
      <c r="O758" s="456"/>
      <c r="P758" s="456"/>
    </row>
    <row r="759" spans="1:16" x14ac:dyDescent="0.5">
      <c r="A759" s="438"/>
      <c r="B759" s="438"/>
      <c r="C759" s="438"/>
      <c r="D759" s="438"/>
      <c r="E759" s="438" t="s">
        <v>2625</v>
      </c>
      <c r="F759" s="438" t="s">
        <v>2554</v>
      </c>
      <c r="G759" s="438" t="s">
        <v>3950</v>
      </c>
      <c r="H759" s="438" t="s">
        <v>3874</v>
      </c>
      <c r="I759" s="438" t="s">
        <v>2628</v>
      </c>
      <c r="J759" s="438" t="s">
        <v>2628</v>
      </c>
      <c r="K759" s="438" t="s">
        <v>2621</v>
      </c>
      <c r="L759" s="438" t="s">
        <v>3918</v>
      </c>
      <c r="M759" s="456">
        <v>9150.8700000000008</v>
      </c>
      <c r="N759" s="456"/>
      <c r="O759" s="456"/>
      <c r="P759" s="456"/>
    </row>
    <row r="760" spans="1:16" ht="12.75" x14ac:dyDescent="0.2">
      <c r="A760" s="436"/>
      <c r="B760" s="436"/>
      <c r="C760" s="436"/>
      <c r="D760" s="436"/>
      <c r="E760" s="436"/>
      <c r="F760" s="436"/>
      <c r="G760" s="436"/>
      <c r="H760" s="436"/>
      <c r="I760" s="436"/>
      <c r="J760" s="436"/>
      <c r="K760" s="436"/>
      <c r="L760" s="436"/>
      <c r="M760" s="446">
        <f>SUM(M730:M759)</f>
        <v>429385.5230000001</v>
      </c>
      <c r="N760" s="446"/>
      <c r="O760" s="446"/>
      <c r="P760" s="436"/>
    </row>
    <row r="761" spans="1:16" ht="12.75" x14ac:dyDescent="0.2">
      <c r="A761" s="436"/>
      <c r="B761" s="436"/>
      <c r="C761" s="436"/>
      <c r="D761" s="436"/>
      <c r="E761" s="436"/>
      <c r="F761" s="436"/>
      <c r="G761" s="436"/>
      <c r="H761" s="436"/>
      <c r="I761" s="436"/>
      <c r="J761" s="436"/>
      <c r="K761" s="436"/>
      <c r="L761" s="436"/>
      <c r="M761" s="446">
        <f>+M760-P428</f>
        <v>0</v>
      </c>
      <c r="N761" s="446"/>
      <c r="O761" s="446"/>
      <c r="P761" s="436"/>
    </row>
    <row r="762" spans="1:16" ht="12.75" x14ac:dyDescent="0.2">
      <c r="A762" s="436"/>
      <c r="B762" s="436"/>
      <c r="C762" s="436"/>
      <c r="D762" s="436"/>
      <c r="E762" s="436"/>
      <c r="F762" s="436"/>
      <c r="G762" s="436"/>
      <c r="H762" s="436"/>
      <c r="I762" s="436"/>
      <c r="J762" s="436"/>
      <c r="K762" s="436"/>
      <c r="L762" s="436"/>
      <c r="M762" s="436"/>
      <c r="N762" s="436"/>
      <c r="O762" s="436"/>
      <c r="P762" s="436"/>
    </row>
    <row r="763" spans="1:16" ht="12.75" x14ac:dyDescent="0.2">
      <c r="A763" s="436"/>
      <c r="B763" s="436"/>
      <c r="C763" s="436"/>
      <c r="D763" s="436"/>
      <c r="E763" s="436"/>
      <c r="F763" s="436"/>
      <c r="G763" s="436"/>
      <c r="H763" s="436"/>
      <c r="I763" s="436"/>
      <c r="J763" s="436"/>
      <c r="K763" s="436"/>
      <c r="L763" s="436"/>
      <c r="M763" s="436"/>
      <c r="N763" s="436"/>
      <c r="O763" s="436"/>
      <c r="P763" s="436"/>
    </row>
    <row r="764" spans="1:16" ht="12.75" x14ac:dyDescent="0.2">
      <c r="A764" s="436"/>
      <c r="B764" s="436"/>
      <c r="C764" s="436"/>
      <c r="D764" s="436"/>
      <c r="E764" s="436"/>
      <c r="F764" s="436"/>
      <c r="G764" s="436"/>
      <c r="H764" s="436"/>
      <c r="I764" s="436"/>
      <c r="J764" s="436"/>
      <c r="K764" s="436"/>
      <c r="L764" s="436"/>
      <c r="M764" s="436"/>
      <c r="N764" s="436"/>
      <c r="O764" s="436"/>
      <c r="P764" s="436"/>
    </row>
    <row r="765" spans="1:16" ht="12.75" x14ac:dyDescent="0.2">
      <c r="A765" s="436"/>
      <c r="B765" s="436"/>
      <c r="C765" s="436"/>
      <c r="D765" s="436"/>
      <c r="E765" s="436"/>
      <c r="F765" s="436"/>
      <c r="G765" s="436"/>
      <c r="H765" s="436"/>
      <c r="I765" s="436"/>
      <c r="J765" s="436"/>
      <c r="K765" s="436"/>
      <c r="L765" s="436"/>
      <c r="M765" s="436"/>
      <c r="N765" s="436"/>
      <c r="O765" s="436"/>
      <c r="P765" s="436"/>
    </row>
    <row r="766" spans="1:16" ht="12.75" x14ac:dyDescent="0.2">
      <c r="A766" s="436"/>
      <c r="B766" s="436"/>
      <c r="C766" s="436"/>
      <c r="D766" s="436"/>
      <c r="E766" s="436"/>
      <c r="F766" s="436"/>
      <c r="G766" s="436"/>
      <c r="H766" s="436"/>
      <c r="I766" s="436"/>
      <c r="J766" s="436"/>
      <c r="K766" s="436"/>
      <c r="L766" s="436"/>
      <c r="M766" s="436"/>
      <c r="N766" s="436"/>
      <c r="O766" s="436"/>
      <c r="P766" s="436"/>
    </row>
    <row r="767" spans="1:16" ht="12.75" x14ac:dyDescent="0.2">
      <c r="A767" s="436"/>
      <c r="B767" s="436"/>
      <c r="C767" s="436"/>
      <c r="D767" s="436"/>
      <c r="E767" s="436"/>
      <c r="F767" s="436"/>
      <c r="G767" s="436"/>
      <c r="H767" s="436"/>
      <c r="I767" s="436"/>
      <c r="J767" s="436"/>
      <c r="K767" s="436"/>
      <c r="L767" s="436"/>
      <c r="M767" s="436"/>
      <c r="N767" s="436"/>
      <c r="O767" s="436"/>
      <c r="P767" s="436"/>
    </row>
    <row r="768" spans="1:16" ht="12.75" x14ac:dyDescent="0.2">
      <c r="A768" s="436"/>
      <c r="B768" s="436"/>
      <c r="C768" s="436"/>
      <c r="D768" s="436"/>
      <c r="E768" s="436"/>
      <c r="F768" s="436"/>
      <c r="G768" s="436"/>
      <c r="H768" s="436"/>
      <c r="I768" s="436"/>
      <c r="J768" s="436"/>
      <c r="K768" s="436"/>
      <c r="L768" s="436"/>
      <c r="M768" s="436"/>
      <c r="N768" s="436"/>
      <c r="O768" s="436"/>
      <c r="P768" s="436"/>
    </row>
    <row r="769" spans="1:16" ht="12.75" x14ac:dyDescent="0.2">
      <c r="A769" s="436"/>
      <c r="B769" s="436"/>
      <c r="C769" s="436"/>
      <c r="D769" s="436"/>
      <c r="E769" s="436"/>
      <c r="F769" s="436"/>
      <c r="G769" s="436"/>
      <c r="H769" s="436"/>
      <c r="I769" s="436"/>
      <c r="J769" s="436"/>
      <c r="K769" s="436"/>
      <c r="L769" s="436"/>
      <c r="M769" s="436"/>
      <c r="N769" s="436"/>
      <c r="O769" s="436"/>
      <c r="P769" s="436"/>
    </row>
    <row r="770" spans="1:16" ht="12.75" x14ac:dyDescent="0.2">
      <c r="A770" s="436"/>
      <c r="B770" s="436"/>
      <c r="C770" s="436"/>
      <c r="D770" s="436"/>
      <c r="E770" s="436"/>
      <c r="F770" s="436"/>
      <c r="G770" s="436"/>
      <c r="H770" s="436"/>
      <c r="I770" s="436"/>
      <c r="J770" s="436"/>
      <c r="K770" s="436"/>
      <c r="L770" s="436"/>
      <c r="M770" s="436"/>
      <c r="N770" s="436"/>
      <c r="O770" s="436"/>
      <c r="P770" s="436"/>
    </row>
    <row r="771" spans="1:16" ht="12.75" x14ac:dyDescent="0.2">
      <c r="A771" s="436"/>
      <c r="B771" s="436"/>
      <c r="C771" s="436"/>
      <c r="D771" s="436"/>
      <c r="E771" s="436"/>
      <c r="F771" s="436"/>
      <c r="G771" s="436"/>
      <c r="H771" s="436"/>
      <c r="I771" s="436"/>
      <c r="J771" s="436"/>
      <c r="K771" s="436"/>
      <c r="L771" s="436"/>
      <c r="M771" s="436"/>
      <c r="N771" s="436"/>
      <c r="O771" s="436"/>
      <c r="P771" s="436"/>
    </row>
    <row r="772" spans="1:16" ht="12.75" x14ac:dyDescent="0.2">
      <c r="A772" s="436"/>
      <c r="B772" s="436"/>
      <c r="C772" s="436"/>
      <c r="D772" s="436"/>
      <c r="E772" s="436"/>
      <c r="F772" s="436"/>
      <c r="G772" s="436"/>
      <c r="H772" s="436"/>
      <c r="I772" s="436"/>
      <c r="J772" s="436"/>
      <c r="K772" s="436"/>
      <c r="L772" s="436"/>
      <c r="M772" s="436"/>
      <c r="N772" s="436"/>
      <c r="O772" s="436"/>
      <c r="P772" s="436"/>
    </row>
    <row r="773" spans="1:16" ht="12.75" x14ac:dyDescent="0.2">
      <c r="A773" s="436"/>
      <c r="B773" s="436"/>
      <c r="C773" s="436"/>
      <c r="D773" s="436"/>
      <c r="E773" s="436"/>
      <c r="F773" s="436"/>
      <c r="G773" s="436"/>
      <c r="H773" s="436"/>
      <c r="I773" s="436"/>
      <c r="J773" s="436"/>
      <c r="K773" s="436"/>
      <c r="L773" s="436"/>
      <c r="M773" s="436"/>
      <c r="N773" s="436"/>
      <c r="O773" s="436"/>
      <c r="P773" s="436"/>
    </row>
    <row r="774" spans="1:16" ht="12.75" x14ac:dyDescent="0.2">
      <c r="A774" s="436"/>
      <c r="B774" s="436"/>
      <c r="C774" s="436"/>
      <c r="D774" s="436"/>
      <c r="E774" s="436"/>
      <c r="F774" s="436"/>
      <c r="G774" s="436"/>
      <c r="H774" s="436"/>
      <c r="I774" s="436"/>
      <c r="J774" s="436"/>
      <c r="K774" s="436"/>
      <c r="L774" s="436"/>
      <c r="M774" s="436"/>
      <c r="N774" s="436"/>
      <c r="O774" s="436"/>
      <c r="P774" s="436"/>
    </row>
    <row r="775" spans="1:16" ht="12.75" x14ac:dyDescent="0.2">
      <c r="A775" s="436"/>
      <c r="B775" s="436"/>
      <c r="C775" s="436"/>
      <c r="D775" s="436"/>
      <c r="E775" s="436"/>
      <c r="F775" s="436"/>
      <c r="G775" s="436"/>
      <c r="H775" s="436"/>
      <c r="I775" s="436"/>
      <c r="J775" s="436"/>
      <c r="K775" s="436"/>
      <c r="L775" s="436"/>
      <c r="M775" s="436"/>
      <c r="N775" s="436"/>
      <c r="O775" s="436"/>
      <c r="P775" s="436"/>
    </row>
    <row r="776" spans="1:16" ht="12.75" x14ac:dyDescent="0.2">
      <c r="A776" s="436"/>
      <c r="B776" s="436"/>
      <c r="C776" s="436"/>
      <c r="D776" s="436"/>
      <c r="E776" s="436"/>
      <c r="F776" s="436"/>
      <c r="G776" s="436"/>
      <c r="H776" s="436"/>
      <c r="I776" s="436"/>
      <c r="J776" s="436"/>
      <c r="K776" s="436"/>
      <c r="L776" s="436"/>
      <c r="M776" s="436"/>
      <c r="N776" s="436"/>
      <c r="O776" s="436"/>
      <c r="P776" s="436"/>
    </row>
    <row r="777" spans="1:16" ht="12.75" x14ac:dyDescent="0.2">
      <c r="A777" s="436"/>
      <c r="B777" s="436"/>
      <c r="C777" s="436"/>
      <c r="D777" s="436"/>
      <c r="E777" s="436"/>
      <c r="F777" s="436"/>
      <c r="G777" s="436"/>
      <c r="H777" s="436"/>
      <c r="I777" s="436"/>
      <c r="J777" s="436"/>
      <c r="K777" s="436"/>
      <c r="L777" s="436"/>
      <c r="M777" s="436"/>
      <c r="N777" s="436"/>
      <c r="O777" s="436"/>
      <c r="P777" s="436"/>
    </row>
    <row r="778" spans="1:16" ht="12.75" x14ac:dyDescent="0.2">
      <c r="A778" s="436"/>
      <c r="B778" s="436"/>
      <c r="C778" s="436"/>
      <c r="D778" s="436"/>
      <c r="E778" s="436"/>
      <c r="F778" s="436"/>
      <c r="G778" s="436"/>
      <c r="H778" s="436"/>
      <c r="I778" s="436"/>
      <c r="J778" s="436"/>
      <c r="K778" s="436"/>
      <c r="L778" s="436"/>
      <c r="M778" s="436"/>
      <c r="N778" s="436"/>
      <c r="O778" s="436"/>
      <c r="P778" s="436"/>
    </row>
    <row r="779" spans="1:16" ht="12.75" x14ac:dyDescent="0.2">
      <c r="A779" s="436"/>
      <c r="B779" s="436"/>
      <c r="C779" s="436"/>
      <c r="D779" s="436"/>
      <c r="E779" s="436"/>
      <c r="F779" s="436"/>
      <c r="G779" s="436"/>
      <c r="H779" s="436"/>
      <c r="I779" s="436"/>
      <c r="J779" s="436"/>
      <c r="K779" s="436"/>
      <c r="L779" s="436"/>
      <c r="M779" s="436"/>
      <c r="N779" s="436"/>
      <c r="O779" s="436"/>
      <c r="P779" s="436"/>
    </row>
    <row r="780" spans="1:16" ht="12.75" x14ac:dyDescent="0.2">
      <c r="A780" s="436"/>
      <c r="B780" s="436"/>
      <c r="C780" s="436"/>
      <c r="D780" s="436"/>
      <c r="E780" s="436"/>
      <c r="F780" s="436"/>
      <c r="G780" s="436"/>
      <c r="H780" s="436"/>
      <c r="I780" s="436"/>
      <c r="J780" s="436"/>
      <c r="K780" s="436"/>
      <c r="L780" s="436"/>
      <c r="M780" s="436"/>
      <c r="N780" s="436"/>
      <c r="O780" s="436"/>
      <c r="P780" s="436"/>
    </row>
    <row r="781" spans="1:16" ht="12.75" x14ac:dyDescent="0.2">
      <c r="A781" s="436"/>
      <c r="B781" s="436"/>
      <c r="C781" s="436"/>
      <c r="D781" s="436"/>
      <c r="E781" s="436"/>
      <c r="F781" s="436"/>
      <c r="G781" s="436"/>
      <c r="H781" s="436"/>
      <c r="I781" s="436"/>
      <c r="J781" s="436"/>
      <c r="K781" s="436"/>
      <c r="L781" s="436"/>
      <c r="M781" s="436"/>
      <c r="N781" s="436"/>
      <c r="O781" s="436"/>
      <c r="P781" s="436"/>
    </row>
    <row r="782" spans="1:16" ht="12.75" x14ac:dyDescent="0.2">
      <c r="A782" s="436"/>
      <c r="B782" s="436"/>
      <c r="C782" s="436"/>
      <c r="D782" s="436"/>
      <c r="E782" s="436"/>
      <c r="F782" s="436"/>
      <c r="G782" s="436"/>
      <c r="H782" s="436"/>
      <c r="I782" s="436"/>
      <c r="J782" s="436"/>
      <c r="K782" s="436"/>
      <c r="L782" s="436"/>
      <c r="M782" s="436"/>
      <c r="N782" s="436"/>
      <c r="O782" s="436"/>
      <c r="P782" s="436"/>
    </row>
    <row r="783" spans="1:16" ht="12.75" x14ac:dyDescent="0.2">
      <c r="A783" s="436"/>
      <c r="B783" s="436"/>
      <c r="C783" s="436"/>
      <c r="D783" s="436"/>
      <c r="E783" s="436"/>
      <c r="F783" s="436"/>
      <c r="G783" s="436"/>
      <c r="H783" s="436"/>
      <c r="I783" s="436"/>
      <c r="J783" s="436"/>
      <c r="K783" s="436"/>
      <c r="L783" s="436"/>
      <c r="M783" s="436"/>
      <c r="N783" s="436"/>
      <c r="O783" s="436"/>
      <c r="P783" s="436"/>
    </row>
    <row r="784" spans="1:16" ht="12.75" x14ac:dyDescent="0.2">
      <c r="A784" s="436"/>
      <c r="B784" s="436"/>
      <c r="C784" s="436"/>
      <c r="D784" s="436"/>
      <c r="E784" s="436"/>
      <c r="F784" s="436"/>
      <c r="G784" s="436"/>
      <c r="H784" s="436"/>
      <c r="I784" s="436"/>
      <c r="J784" s="436"/>
      <c r="K784" s="436"/>
      <c r="L784" s="436"/>
      <c r="M784" s="436"/>
      <c r="N784" s="436"/>
      <c r="O784" s="436"/>
      <c r="P784" s="436"/>
    </row>
    <row r="785" spans="1:16" ht="12.75" x14ac:dyDescent="0.2">
      <c r="A785" s="436"/>
      <c r="B785" s="436"/>
      <c r="C785" s="436"/>
      <c r="D785" s="436"/>
      <c r="E785" s="436"/>
      <c r="F785" s="436"/>
      <c r="G785" s="436"/>
      <c r="H785" s="436"/>
      <c r="I785" s="436"/>
      <c r="J785" s="436"/>
      <c r="K785" s="436"/>
      <c r="L785" s="436"/>
      <c r="M785" s="436"/>
      <c r="N785" s="436"/>
      <c r="O785" s="436"/>
      <c r="P785" s="436"/>
    </row>
    <row r="786" spans="1:16" ht="12.75" x14ac:dyDescent="0.2">
      <c r="A786" s="436"/>
      <c r="B786" s="436"/>
      <c r="C786" s="436"/>
      <c r="D786" s="436"/>
      <c r="E786" s="436"/>
      <c r="F786" s="436"/>
      <c r="G786" s="436"/>
      <c r="H786" s="436"/>
      <c r="I786" s="436"/>
      <c r="J786" s="436"/>
      <c r="K786" s="436"/>
      <c r="L786" s="436"/>
      <c r="M786" s="436"/>
      <c r="N786" s="436"/>
      <c r="O786" s="436"/>
      <c r="P786" s="436"/>
    </row>
    <row r="787" spans="1:16" ht="12.75" x14ac:dyDescent="0.2">
      <c r="A787" s="436"/>
      <c r="B787" s="436"/>
      <c r="C787" s="436"/>
      <c r="D787" s="436"/>
      <c r="E787" s="436"/>
      <c r="F787" s="436"/>
      <c r="G787" s="436"/>
      <c r="H787" s="436"/>
      <c r="I787" s="436"/>
      <c r="J787" s="436"/>
      <c r="K787" s="436"/>
      <c r="L787" s="436"/>
      <c r="M787" s="436"/>
      <c r="N787" s="436"/>
      <c r="O787" s="436"/>
      <c r="P787" s="436"/>
    </row>
    <row r="788" spans="1:16" ht="12.75" x14ac:dyDescent="0.2">
      <c r="A788" s="436"/>
      <c r="B788" s="436"/>
      <c r="C788" s="436"/>
      <c r="D788" s="436"/>
      <c r="E788" s="436"/>
      <c r="F788" s="436"/>
      <c r="G788" s="436"/>
      <c r="H788" s="436"/>
      <c r="I788" s="436"/>
      <c r="J788" s="436"/>
      <c r="K788" s="436"/>
      <c r="L788" s="436"/>
      <c r="M788" s="436"/>
      <c r="N788" s="436"/>
      <c r="O788" s="436"/>
      <c r="P788" s="436"/>
    </row>
    <row r="789" spans="1:16" ht="12.75" x14ac:dyDescent="0.2">
      <c r="A789" s="436"/>
      <c r="B789" s="436"/>
      <c r="C789" s="436"/>
      <c r="D789" s="436"/>
      <c r="E789" s="436"/>
      <c r="F789" s="436"/>
      <c r="G789" s="436"/>
      <c r="H789" s="436"/>
      <c r="I789" s="436"/>
      <c r="J789" s="436"/>
      <c r="K789" s="436"/>
      <c r="L789" s="436"/>
      <c r="M789" s="436"/>
      <c r="N789" s="436"/>
      <c r="O789" s="436"/>
      <c r="P789" s="436"/>
    </row>
    <row r="790" spans="1:16" ht="12.75" x14ac:dyDescent="0.2">
      <c r="A790" s="436"/>
      <c r="B790" s="436"/>
      <c r="C790" s="436"/>
      <c r="D790" s="436"/>
      <c r="E790" s="436"/>
      <c r="F790" s="436"/>
      <c r="G790" s="436"/>
      <c r="H790" s="436"/>
      <c r="I790" s="436"/>
      <c r="J790" s="436"/>
      <c r="K790" s="436"/>
      <c r="L790" s="436"/>
      <c r="M790" s="436"/>
      <c r="N790" s="436"/>
      <c r="O790" s="436"/>
      <c r="P790" s="436"/>
    </row>
    <row r="791" spans="1:16" ht="12.75" x14ac:dyDescent="0.2">
      <c r="A791" s="436"/>
      <c r="B791" s="436"/>
      <c r="C791" s="436"/>
      <c r="D791" s="436"/>
      <c r="E791" s="436"/>
      <c r="F791" s="436"/>
      <c r="G791" s="436"/>
      <c r="H791" s="436"/>
      <c r="I791" s="436"/>
      <c r="J791" s="436"/>
      <c r="K791" s="436"/>
      <c r="L791" s="436"/>
      <c r="M791" s="436"/>
      <c r="N791" s="436"/>
      <c r="O791" s="436"/>
      <c r="P791" s="436"/>
    </row>
    <row r="792" spans="1:16" ht="12.75" x14ac:dyDescent="0.2">
      <c r="A792" s="436"/>
      <c r="B792" s="436"/>
      <c r="C792" s="436"/>
      <c r="D792" s="436"/>
      <c r="E792" s="436"/>
      <c r="F792" s="436"/>
      <c r="G792" s="436"/>
      <c r="H792" s="436"/>
      <c r="I792" s="436"/>
      <c r="J792" s="436"/>
      <c r="K792" s="436"/>
      <c r="L792" s="436"/>
      <c r="M792" s="436"/>
      <c r="N792" s="436"/>
      <c r="O792" s="436"/>
      <c r="P792" s="436"/>
    </row>
    <row r="793" spans="1:16" ht="12.75" x14ac:dyDescent="0.2">
      <c r="A793" s="436"/>
      <c r="B793" s="436"/>
      <c r="C793" s="436"/>
      <c r="D793" s="436"/>
      <c r="E793" s="436"/>
      <c r="F793" s="436"/>
      <c r="G793" s="436"/>
      <c r="H793" s="436"/>
      <c r="I793" s="436"/>
      <c r="J793" s="436"/>
      <c r="K793" s="436"/>
      <c r="L793" s="436"/>
      <c r="M793" s="436"/>
      <c r="N793" s="436"/>
      <c r="O793" s="436"/>
      <c r="P793" s="436"/>
    </row>
    <row r="794" spans="1:16" ht="12.75" x14ac:dyDescent="0.2">
      <c r="A794" s="436"/>
      <c r="B794" s="436"/>
      <c r="C794" s="436"/>
      <c r="D794" s="436"/>
      <c r="E794" s="436"/>
      <c r="F794" s="436"/>
      <c r="G794" s="436"/>
      <c r="H794" s="436"/>
      <c r="I794" s="436"/>
      <c r="J794" s="436"/>
      <c r="K794" s="436"/>
      <c r="L794" s="436"/>
      <c r="M794" s="436"/>
      <c r="N794" s="436"/>
      <c r="O794" s="436"/>
      <c r="P794" s="436"/>
    </row>
    <row r="795" spans="1:16" ht="12.75" x14ac:dyDescent="0.2">
      <c r="A795" s="436"/>
      <c r="B795" s="436"/>
      <c r="C795" s="436"/>
      <c r="D795" s="436"/>
      <c r="E795" s="436"/>
      <c r="F795" s="436"/>
      <c r="G795" s="436"/>
      <c r="H795" s="436"/>
      <c r="I795" s="436"/>
      <c r="J795" s="436"/>
      <c r="K795" s="436"/>
      <c r="L795" s="436"/>
      <c r="M795" s="436"/>
      <c r="N795" s="436"/>
      <c r="O795" s="436"/>
      <c r="P795" s="436"/>
    </row>
    <row r="796" spans="1:16" ht="12.75" x14ac:dyDescent="0.2">
      <c r="A796" s="436"/>
      <c r="B796" s="436"/>
      <c r="C796" s="436"/>
      <c r="D796" s="436"/>
      <c r="E796" s="436"/>
      <c r="F796" s="436"/>
      <c r="G796" s="436"/>
      <c r="H796" s="436"/>
      <c r="I796" s="436"/>
      <c r="J796" s="436"/>
      <c r="K796" s="436"/>
      <c r="L796" s="436"/>
      <c r="M796" s="436"/>
      <c r="N796" s="436"/>
      <c r="O796" s="436"/>
      <c r="P796" s="436"/>
    </row>
    <row r="797" spans="1:16" ht="12.75" x14ac:dyDescent="0.2">
      <c r="A797" s="436"/>
      <c r="B797" s="436"/>
      <c r="C797" s="436"/>
      <c r="D797" s="436"/>
      <c r="E797" s="436"/>
      <c r="F797" s="436"/>
      <c r="G797" s="436"/>
      <c r="H797" s="436"/>
      <c r="I797" s="436"/>
      <c r="J797" s="436"/>
      <c r="K797" s="436"/>
      <c r="L797" s="436"/>
      <c r="M797" s="436"/>
      <c r="N797" s="436"/>
      <c r="O797" s="436"/>
      <c r="P797" s="436"/>
    </row>
    <row r="798" spans="1:16" ht="12.75" x14ac:dyDescent="0.2">
      <c r="A798" s="436"/>
      <c r="B798" s="436"/>
      <c r="C798" s="436"/>
      <c r="D798" s="436"/>
      <c r="E798" s="436"/>
      <c r="F798" s="436"/>
      <c r="G798" s="436"/>
      <c r="H798" s="436"/>
      <c r="I798" s="436"/>
      <c r="J798" s="436"/>
      <c r="K798" s="436"/>
      <c r="L798" s="436"/>
      <c r="M798" s="436"/>
      <c r="N798" s="436"/>
      <c r="O798" s="436"/>
      <c r="P798" s="436"/>
    </row>
    <row r="799" spans="1:16" ht="12.75" x14ac:dyDescent="0.2">
      <c r="A799" s="436"/>
      <c r="B799" s="436"/>
      <c r="C799" s="436"/>
      <c r="D799" s="436"/>
      <c r="E799" s="436"/>
      <c r="F799" s="436"/>
      <c r="G799" s="436"/>
      <c r="H799" s="436"/>
      <c r="I799" s="436"/>
      <c r="J799" s="436"/>
      <c r="K799" s="436"/>
      <c r="L799" s="436"/>
      <c r="M799" s="436"/>
      <c r="N799" s="436"/>
      <c r="O799" s="436"/>
      <c r="P799" s="436"/>
    </row>
    <row r="800" spans="1:16" ht="12.75" x14ac:dyDescent="0.2">
      <c r="A800" s="436"/>
      <c r="B800" s="436"/>
      <c r="C800" s="436"/>
      <c r="D800" s="436"/>
      <c r="E800" s="436"/>
      <c r="F800" s="436"/>
      <c r="G800" s="436"/>
      <c r="H800" s="436"/>
      <c r="I800" s="436"/>
      <c r="J800" s="436"/>
      <c r="K800" s="436"/>
      <c r="L800" s="436"/>
      <c r="M800" s="436"/>
      <c r="N800" s="436"/>
      <c r="O800" s="436"/>
      <c r="P800" s="436"/>
    </row>
    <row r="801" spans="1:16" ht="12.75" x14ac:dyDescent="0.2">
      <c r="A801" s="436"/>
      <c r="B801" s="436"/>
      <c r="C801" s="436"/>
      <c r="D801" s="436"/>
      <c r="E801" s="436"/>
      <c r="F801" s="436"/>
      <c r="G801" s="436"/>
      <c r="H801" s="436"/>
      <c r="I801" s="436"/>
      <c r="J801" s="436"/>
      <c r="K801" s="436"/>
      <c r="L801" s="436"/>
      <c r="M801" s="436"/>
      <c r="N801" s="436"/>
      <c r="O801" s="436"/>
      <c r="P801" s="436"/>
    </row>
    <row r="802" spans="1:16" ht="12.75" x14ac:dyDescent="0.2">
      <c r="A802" s="436"/>
      <c r="B802" s="436"/>
      <c r="C802" s="436"/>
      <c r="D802" s="436"/>
      <c r="E802" s="436"/>
      <c r="F802" s="436"/>
      <c r="G802" s="436"/>
      <c r="H802" s="436"/>
      <c r="I802" s="436"/>
      <c r="J802" s="436"/>
      <c r="K802" s="436"/>
      <c r="L802" s="436"/>
      <c r="M802" s="436"/>
      <c r="N802" s="436"/>
      <c r="O802" s="436"/>
      <c r="P802" s="436"/>
    </row>
    <row r="803" spans="1:16" ht="12.75" x14ac:dyDescent="0.2">
      <c r="A803" s="436"/>
      <c r="B803" s="436"/>
      <c r="C803" s="436"/>
      <c r="D803" s="436"/>
      <c r="E803" s="436"/>
      <c r="F803" s="436"/>
      <c r="G803" s="436"/>
      <c r="H803" s="436"/>
      <c r="I803" s="436"/>
      <c r="J803" s="436"/>
      <c r="K803" s="436"/>
      <c r="L803" s="436"/>
      <c r="M803" s="436"/>
      <c r="N803" s="436"/>
      <c r="O803" s="436"/>
      <c r="P803" s="436"/>
    </row>
    <row r="804" spans="1:16" ht="12.75" x14ac:dyDescent="0.2">
      <c r="A804" s="436"/>
      <c r="B804" s="436"/>
      <c r="C804" s="436"/>
      <c r="D804" s="436"/>
      <c r="E804" s="436"/>
      <c r="F804" s="436"/>
      <c r="G804" s="436"/>
      <c r="H804" s="436"/>
      <c r="I804" s="436"/>
      <c r="J804" s="436"/>
      <c r="K804" s="436"/>
      <c r="L804" s="436"/>
      <c r="M804" s="436"/>
      <c r="N804" s="436"/>
      <c r="O804" s="436"/>
      <c r="P804" s="436"/>
    </row>
    <row r="805" spans="1:16" ht="12.75" x14ac:dyDescent="0.2">
      <c r="A805" s="436"/>
      <c r="B805" s="436"/>
      <c r="C805" s="436"/>
      <c r="D805" s="436"/>
      <c r="E805" s="436"/>
      <c r="F805" s="436"/>
      <c r="G805" s="436"/>
      <c r="H805" s="436"/>
      <c r="I805" s="436"/>
      <c r="J805" s="436"/>
      <c r="K805" s="436"/>
      <c r="L805" s="436"/>
      <c r="M805" s="436"/>
      <c r="N805" s="436"/>
      <c r="O805" s="436"/>
      <c r="P805" s="436"/>
    </row>
    <row r="806" spans="1:16" ht="12.75" x14ac:dyDescent="0.2">
      <c r="A806" s="436"/>
      <c r="B806" s="436"/>
      <c r="C806" s="436"/>
      <c r="D806" s="436"/>
      <c r="E806" s="436"/>
      <c r="F806" s="436"/>
      <c r="G806" s="436"/>
      <c r="H806" s="436"/>
      <c r="I806" s="436"/>
      <c r="J806" s="436"/>
      <c r="K806" s="436"/>
      <c r="L806" s="436"/>
      <c r="M806" s="436"/>
      <c r="N806" s="436"/>
      <c r="O806" s="436"/>
      <c r="P806" s="436"/>
    </row>
    <row r="807" spans="1:16" ht="12.75" x14ac:dyDescent="0.2">
      <c r="A807" s="436"/>
      <c r="B807" s="436"/>
      <c r="C807" s="436"/>
      <c r="D807" s="436"/>
      <c r="E807" s="436"/>
      <c r="F807" s="436"/>
      <c r="G807" s="436"/>
      <c r="H807" s="436"/>
      <c r="I807" s="436"/>
      <c r="J807" s="436"/>
      <c r="K807" s="436"/>
      <c r="L807" s="436"/>
      <c r="M807" s="436"/>
      <c r="N807" s="436"/>
      <c r="O807" s="436"/>
      <c r="P807" s="436"/>
    </row>
    <row r="808" spans="1:16" ht="12.75" x14ac:dyDescent="0.2">
      <c r="A808" s="436"/>
      <c r="B808" s="436"/>
      <c r="C808" s="436"/>
      <c r="D808" s="436"/>
      <c r="E808" s="436"/>
      <c r="F808" s="436"/>
      <c r="G808" s="436"/>
      <c r="H808" s="436"/>
      <c r="I808" s="436"/>
      <c r="J808" s="436"/>
      <c r="K808" s="436"/>
      <c r="L808" s="436"/>
      <c r="M808" s="436"/>
      <c r="N808" s="436"/>
      <c r="O808" s="436"/>
      <c r="P808" s="436"/>
    </row>
    <row r="809" spans="1:16" ht="12.75" x14ac:dyDescent="0.2">
      <c r="A809" s="436"/>
      <c r="B809" s="436"/>
      <c r="C809" s="436"/>
      <c r="D809" s="436"/>
      <c r="E809" s="436"/>
      <c r="F809" s="436"/>
      <c r="G809" s="436"/>
      <c r="H809" s="436"/>
      <c r="I809" s="436"/>
      <c r="J809" s="436"/>
      <c r="K809" s="436"/>
      <c r="L809" s="436"/>
      <c r="M809" s="436"/>
      <c r="N809" s="436"/>
      <c r="O809" s="436"/>
      <c r="P809" s="436"/>
    </row>
    <row r="810" spans="1:16" ht="12.75" x14ac:dyDescent="0.2">
      <c r="A810" s="436"/>
      <c r="B810" s="436"/>
      <c r="C810" s="436"/>
      <c r="D810" s="436"/>
      <c r="E810" s="436"/>
      <c r="F810" s="436"/>
      <c r="G810" s="436"/>
      <c r="H810" s="436"/>
      <c r="I810" s="436"/>
      <c r="J810" s="436"/>
      <c r="K810" s="436"/>
      <c r="L810" s="436"/>
      <c r="M810" s="436"/>
      <c r="N810" s="436"/>
      <c r="O810" s="436"/>
      <c r="P810" s="436"/>
    </row>
    <row r="811" spans="1:16" ht="12.75" x14ac:dyDescent="0.2">
      <c r="A811" s="436"/>
      <c r="B811" s="436"/>
      <c r="C811" s="436"/>
      <c r="D811" s="436"/>
      <c r="E811" s="436"/>
      <c r="F811" s="436"/>
      <c r="G811" s="436"/>
      <c r="H811" s="436"/>
      <c r="I811" s="436"/>
      <c r="J811" s="436"/>
      <c r="K811" s="436"/>
      <c r="L811" s="436"/>
      <c r="M811" s="436"/>
      <c r="N811" s="436"/>
      <c r="O811" s="436"/>
      <c r="P811" s="436"/>
    </row>
    <row r="812" spans="1:16" ht="12.75" x14ac:dyDescent="0.2">
      <c r="A812" s="436"/>
      <c r="B812" s="436"/>
      <c r="C812" s="436"/>
      <c r="D812" s="436"/>
      <c r="E812" s="436"/>
      <c r="F812" s="436"/>
      <c r="G812" s="436"/>
      <c r="H812" s="436"/>
      <c r="I812" s="436"/>
      <c r="J812" s="436"/>
      <c r="K812" s="436"/>
      <c r="L812" s="436"/>
      <c r="M812" s="436"/>
      <c r="N812" s="436"/>
      <c r="O812" s="436"/>
      <c r="P812" s="436"/>
    </row>
    <row r="813" spans="1:16" ht="12.75" x14ac:dyDescent="0.2">
      <c r="A813" s="436"/>
      <c r="B813" s="436"/>
      <c r="C813" s="436"/>
      <c r="D813" s="436"/>
      <c r="E813" s="436"/>
      <c r="F813" s="436"/>
      <c r="G813" s="436"/>
      <c r="H813" s="436"/>
      <c r="I813" s="436"/>
      <c r="J813" s="436"/>
      <c r="K813" s="436"/>
      <c r="L813" s="436"/>
      <c r="M813" s="436"/>
      <c r="N813" s="436"/>
      <c r="O813" s="436"/>
      <c r="P813" s="436"/>
    </row>
    <row r="814" spans="1:16" ht="12.75" x14ac:dyDescent="0.2">
      <c r="A814" s="436"/>
      <c r="B814" s="436"/>
      <c r="C814" s="436"/>
      <c r="D814" s="436"/>
      <c r="E814" s="436"/>
      <c r="F814" s="436"/>
      <c r="G814" s="436"/>
      <c r="H814" s="436"/>
      <c r="I814" s="436"/>
      <c r="J814" s="436"/>
      <c r="K814" s="436"/>
      <c r="L814" s="436"/>
      <c r="M814" s="436"/>
      <c r="N814" s="436"/>
      <c r="O814" s="436"/>
      <c r="P814" s="436"/>
    </row>
    <row r="815" spans="1:16" ht="12.75" x14ac:dyDescent="0.2">
      <c r="A815" s="436"/>
      <c r="B815" s="436"/>
      <c r="C815" s="436"/>
      <c r="D815" s="436"/>
      <c r="E815" s="436"/>
      <c r="F815" s="436"/>
      <c r="G815" s="436"/>
      <c r="H815" s="436"/>
      <c r="I815" s="436"/>
      <c r="J815" s="436"/>
      <c r="K815" s="436"/>
      <c r="L815" s="436"/>
      <c r="M815" s="436"/>
      <c r="N815" s="436"/>
      <c r="O815" s="436"/>
      <c r="P815" s="436"/>
    </row>
    <row r="816" spans="1:16" ht="12.75" x14ac:dyDescent="0.2">
      <c r="A816" s="436"/>
      <c r="B816" s="436"/>
      <c r="C816" s="436"/>
      <c r="D816" s="436"/>
      <c r="E816" s="436"/>
      <c r="F816" s="436"/>
      <c r="G816" s="436"/>
      <c r="H816" s="436"/>
      <c r="I816" s="436"/>
      <c r="J816" s="436"/>
      <c r="K816" s="436"/>
      <c r="L816" s="436"/>
      <c r="M816" s="436"/>
      <c r="N816" s="436"/>
      <c r="O816" s="436"/>
      <c r="P816" s="436"/>
    </row>
    <row r="817" spans="1:16" ht="12.75" x14ac:dyDescent="0.2">
      <c r="A817" s="436"/>
      <c r="B817" s="436"/>
      <c r="C817" s="436"/>
      <c r="D817" s="436"/>
      <c r="E817" s="436"/>
      <c r="F817" s="436"/>
      <c r="G817" s="436"/>
      <c r="H817" s="436"/>
      <c r="I817" s="436"/>
      <c r="J817" s="436"/>
      <c r="K817" s="436"/>
      <c r="L817" s="436"/>
      <c r="M817" s="436"/>
      <c r="N817" s="436"/>
      <c r="O817" s="436"/>
      <c r="P817" s="436"/>
    </row>
    <row r="818" spans="1:16" ht="12.75" x14ac:dyDescent="0.2">
      <c r="A818" s="436"/>
      <c r="B818" s="436"/>
      <c r="C818" s="436"/>
      <c r="D818" s="436"/>
      <c r="E818" s="436"/>
      <c r="F818" s="436"/>
      <c r="G818" s="436"/>
      <c r="H818" s="436"/>
      <c r="I818" s="436"/>
      <c r="J818" s="436"/>
      <c r="K818" s="436"/>
      <c r="L818" s="436"/>
      <c r="M818" s="436"/>
      <c r="N818" s="436"/>
      <c r="O818" s="436"/>
      <c r="P818" s="436"/>
    </row>
    <row r="819" spans="1:16" ht="12.75" x14ac:dyDescent="0.2">
      <c r="A819" s="436"/>
      <c r="B819" s="436"/>
      <c r="C819" s="436"/>
      <c r="D819" s="436"/>
      <c r="E819" s="436"/>
      <c r="F819" s="436"/>
      <c r="G819" s="436"/>
      <c r="H819" s="436"/>
      <c r="I819" s="436"/>
      <c r="J819" s="436"/>
      <c r="K819" s="436"/>
      <c r="L819" s="436"/>
      <c r="M819" s="436"/>
      <c r="N819" s="436"/>
      <c r="O819" s="436"/>
      <c r="P819" s="436"/>
    </row>
    <row r="820" spans="1:16" ht="12.75" x14ac:dyDescent="0.2">
      <c r="A820" s="436"/>
      <c r="B820" s="436"/>
      <c r="C820" s="436"/>
      <c r="D820" s="436"/>
      <c r="E820" s="436"/>
      <c r="F820" s="436"/>
      <c r="G820" s="436"/>
      <c r="H820" s="436"/>
      <c r="I820" s="436"/>
      <c r="J820" s="436"/>
      <c r="K820" s="436"/>
      <c r="L820" s="436"/>
      <c r="M820" s="436"/>
      <c r="N820" s="436"/>
      <c r="O820" s="436"/>
      <c r="P820" s="436"/>
    </row>
    <row r="821" spans="1:16" ht="12.75" x14ac:dyDescent="0.2">
      <c r="A821" s="436"/>
      <c r="B821" s="436"/>
      <c r="C821" s="436"/>
      <c r="D821" s="436"/>
      <c r="E821" s="436"/>
      <c r="F821" s="436"/>
      <c r="G821" s="436"/>
      <c r="H821" s="436"/>
      <c r="I821" s="436"/>
      <c r="J821" s="436"/>
      <c r="K821" s="436"/>
      <c r="L821" s="436"/>
      <c r="M821" s="436"/>
      <c r="N821" s="436"/>
      <c r="O821" s="436"/>
      <c r="P821" s="436"/>
    </row>
    <row r="822" spans="1:16" ht="12.75" x14ac:dyDescent="0.2">
      <c r="A822" s="436"/>
      <c r="B822" s="436"/>
      <c r="C822" s="436"/>
      <c r="D822" s="436"/>
      <c r="E822" s="436"/>
      <c r="F822" s="436"/>
      <c r="G822" s="436"/>
      <c r="H822" s="436"/>
      <c r="I822" s="436"/>
      <c r="J822" s="436"/>
      <c r="K822" s="436"/>
      <c r="L822" s="436"/>
      <c r="M822" s="436"/>
      <c r="N822" s="436"/>
      <c r="O822" s="436"/>
      <c r="P822" s="436"/>
    </row>
    <row r="823" spans="1:16" ht="12.75" x14ac:dyDescent="0.2">
      <c r="A823" s="436"/>
      <c r="B823" s="436"/>
      <c r="C823" s="436"/>
      <c r="D823" s="436"/>
      <c r="E823" s="436"/>
      <c r="F823" s="436"/>
      <c r="G823" s="436"/>
      <c r="H823" s="436"/>
      <c r="I823" s="436"/>
      <c r="J823" s="436"/>
      <c r="K823" s="436"/>
      <c r="L823" s="436"/>
      <c r="M823" s="436"/>
      <c r="N823" s="436"/>
      <c r="O823" s="436"/>
      <c r="P823" s="436"/>
    </row>
    <row r="824" spans="1:16" ht="12.75" x14ac:dyDescent="0.2">
      <c r="A824" s="436"/>
      <c r="B824" s="436"/>
      <c r="C824" s="436"/>
      <c r="D824" s="436"/>
      <c r="E824" s="436"/>
      <c r="F824" s="436"/>
      <c r="G824" s="436"/>
      <c r="H824" s="436"/>
      <c r="I824" s="436"/>
      <c r="J824" s="436"/>
      <c r="K824" s="436"/>
      <c r="L824" s="436"/>
      <c r="M824" s="436"/>
      <c r="N824" s="436"/>
      <c r="O824" s="436"/>
      <c r="P824" s="436"/>
    </row>
    <row r="825" spans="1:16" ht="12.75" x14ac:dyDescent="0.2">
      <c r="A825" s="436"/>
      <c r="B825" s="436"/>
      <c r="C825" s="436"/>
      <c r="D825" s="436"/>
      <c r="E825" s="436"/>
      <c r="F825" s="436"/>
      <c r="G825" s="436"/>
      <c r="H825" s="436"/>
      <c r="I825" s="436"/>
      <c r="J825" s="436"/>
      <c r="K825" s="436"/>
      <c r="L825" s="436"/>
      <c r="M825" s="436"/>
      <c r="N825" s="436"/>
      <c r="O825" s="436"/>
      <c r="P825" s="436"/>
    </row>
    <row r="826" spans="1:16" ht="12.75" x14ac:dyDescent="0.2">
      <c r="A826" s="436"/>
      <c r="B826" s="436"/>
      <c r="C826" s="436"/>
      <c r="D826" s="436"/>
      <c r="E826" s="436"/>
      <c r="F826" s="436"/>
      <c r="G826" s="436"/>
      <c r="H826" s="436"/>
      <c r="I826" s="436"/>
      <c r="J826" s="436"/>
      <c r="K826" s="436"/>
      <c r="L826" s="436"/>
      <c r="M826" s="436"/>
      <c r="N826" s="436"/>
      <c r="O826" s="436"/>
      <c r="P826" s="436"/>
    </row>
    <row r="827" spans="1:16" ht="12.75" x14ac:dyDescent="0.2">
      <c r="A827" s="436"/>
      <c r="B827" s="436"/>
      <c r="C827" s="436"/>
      <c r="D827" s="436"/>
      <c r="E827" s="436"/>
      <c r="F827" s="436"/>
      <c r="G827" s="436"/>
      <c r="H827" s="436"/>
      <c r="I827" s="436"/>
      <c r="J827" s="436"/>
      <c r="K827" s="436"/>
      <c r="L827" s="436"/>
      <c r="M827" s="436"/>
      <c r="N827" s="436"/>
      <c r="O827" s="436"/>
      <c r="P827" s="436"/>
    </row>
    <row r="828" spans="1:16" ht="12.75" x14ac:dyDescent="0.2">
      <c r="A828" s="436"/>
      <c r="B828" s="436"/>
      <c r="C828" s="436"/>
      <c r="D828" s="436"/>
      <c r="E828" s="436"/>
      <c r="F828" s="436"/>
      <c r="G828" s="436"/>
      <c r="H828" s="436"/>
      <c r="I828" s="436"/>
      <c r="J828" s="436"/>
      <c r="K828" s="436"/>
      <c r="L828" s="436"/>
      <c r="M828" s="436"/>
      <c r="N828" s="436"/>
      <c r="O828" s="436"/>
      <c r="P828" s="436"/>
    </row>
    <row r="829" spans="1:16" ht="12.75" x14ac:dyDescent="0.2">
      <c r="A829" s="436"/>
      <c r="B829" s="436"/>
      <c r="C829" s="436"/>
      <c r="D829" s="436"/>
      <c r="E829" s="436"/>
      <c r="F829" s="436"/>
      <c r="G829" s="436"/>
      <c r="H829" s="436"/>
      <c r="I829" s="436"/>
      <c r="J829" s="436"/>
      <c r="K829" s="436"/>
      <c r="L829" s="436"/>
      <c r="M829" s="436"/>
      <c r="N829" s="436"/>
      <c r="O829" s="436"/>
      <c r="P829" s="436"/>
    </row>
    <row r="830" spans="1:16" ht="12.75" x14ac:dyDescent="0.2">
      <c r="A830" s="436"/>
      <c r="B830" s="436"/>
      <c r="C830" s="436"/>
      <c r="D830" s="436"/>
      <c r="E830" s="436"/>
      <c r="F830" s="436"/>
      <c r="G830" s="436"/>
      <c r="H830" s="436"/>
      <c r="I830" s="436"/>
      <c r="J830" s="436"/>
      <c r="K830" s="436"/>
      <c r="L830" s="436"/>
      <c r="M830" s="436"/>
      <c r="N830" s="436"/>
      <c r="O830" s="436"/>
      <c r="P830" s="436"/>
    </row>
    <row r="831" spans="1:16" ht="12.75" x14ac:dyDescent="0.2">
      <c r="A831" s="436"/>
      <c r="B831" s="436"/>
      <c r="C831" s="436"/>
      <c r="D831" s="436"/>
      <c r="E831" s="436"/>
      <c r="F831" s="436"/>
      <c r="G831" s="436"/>
      <c r="H831" s="436"/>
      <c r="I831" s="436"/>
      <c r="J831" s="436"/>
      <c r="K831" s="436"/>
      <c r="L831" s="436"/>
      <c r="M831" s="436"/>
      <c r="N831" s="436"/>
      <c r="O831" s="436"/>
      <c r="P831" s="436"/>
    </row>
    <row r="832" spans="1:16" ht="12.75" x14ac:dyDescent="0.2">
      <c r="A832" s="436"/>
      <c r="B832" s="436"/>
      <c r="C832" s="436"/>
      <c r="D832" s="436"/>
      <c r="E832" s="436"/>
      <c r="F832" s="436"/>
      <c r="G832" s="436"/>
      <c r="H832" s="436"/>
      <c r="I832" s="436"/>
      <c r="J832" s="436"/>
      <c r="K832" s="436"/>
      <c r="L832" s="436"/>
      <c r="M832" s="436"/>
      <c r="N832" s="436"/>
      <c r="O832" s="436"/>
      <c r="P832" s="436"/>
    </row>
    <row r="833" spans="1:16" ht="12.75" x14ac:dyDescent="0.2">
      <c r="A833" s="436"/>
      <c r="B833" s="436"/>
      <c r="C833" s="436"/>
      <c r="D833" s="436"/>
      <c r="E833" s="436"/>
      <c r="F833" s="436"/>
      <c r="G833" s="436"/>
      <c r="H833" s="436"/>
      <c r="I833" s="436"/>
      <c r="J833" s="436"/>
      <c r="K833" s="436"/>
      <c r="L833" s="436"/>
      <c r="M833" s="436"/>
      <c r="N833" s="436"/>
      <c r="O833" s="436"/>
      <c r="P833" s="436"/>
    </row>
    <row r="834" spans="1:16" ht="12.75" x14ac:dyDescent="0.2">
      <c r="A834" s="436"/>
      <c r="B834" s="436"/>
      <c r="C834" s="436"/>
      <c r="D834" s="436"/>
      <c r="E834" s="436"/>
      <c r="F834" s="436"/>
      <c r="G834" s="436"/>
      <c r="H834" s="436"/>
      <c r="I834" s="436"/>
      <c r="J834" s="436"/>
      <c r="K834" s="436"/>
      <c r="L834" s="436"/>
      <c r="M834" s="436"/>
      <c r="N834" s="436"/>
      <c r="O834" s="436"/>
      <c r="P834" s="436"/>
    </row>
    <row r="835" spans="1:16" ht="12.75" x14ac:dyDescent="0.2">
      <c r="A835" s="436"/>
      <c r="B835" s="436"/>
      <c r="C835" s="436"/>
      <c r="D835" s="436"/>
      <c r="E835" s="436"/>
      <c r="F835" s="436"/>
      <c r="G835" s="436"/>
      <c r="H835" s="436"/>
      <c r="I835" s="436"/>
      <c r="J835" s="436"/>
      <c r="K835" s="436"/>
      <c r="L835" s="436"/>
      <c r="M835" s="436"/>
      <c r="N835" s="436"/>
      <c r="O835" s="436"/>
      <c r="P835" s="436"/>
    </row>
    <row r="836" spans="1:16" ht="12.75" x14ac:dyDescent="0.2">
      <c r="A836" s="436"/>
      <c r="B836" s="436"/>
      <c r="C836" s="436"/>
      <c r="D836" s="436"/>
      <c r="E836" s="436"/>
      <c r="F836" s="436"/>
      <c r="G836" s="436"/>
      <c r="H836" s="436"/>
      <c r="I836" s="436"/>
      <c r="J836" s="436"/>
      <c r="K836" s="436"/>
      <c r="L836" s="436"/>
      <c r="M836" s="436"/>
      <c r="N836" s="436"/>
      <c r="O836" s="436"/>
      <c r="P836" s="436"/>
    </row>
    <row r="837" spans="1:16" ht="12.75" x14ac:dyDescent="0.2">
      <c r="A837" s="436"/>
      <c r="B837" s="436"/>
      <c r="C837" s="436"/>
      <c r="D837" s="436"/>
      <c r="E837" s="436"/>
      <c r="F837" s="436"/>
      <c r="G837" s="436"/>
      <c r="H837" s="436"/>
      <c r="I837" s="436"/>
      <c r="J837" s="436"/>
      <c r="K837" s="436"/>
      <c r="L837" s="436"/>
      <c r="M837" s="436"/>
      <c r="N837" s="436"/>
      <c r="O837" s="436"/>
      <c r="P837" s="436"/>
    </row>
    <row r="838" spans="1:16" ht="12.75" x14ac:dyDescent="0.2">
      <c r="A838" s="436"/>
      <c r="B838" s="436"/>
      <c r="C838" s="436"/>
      <c r="D838" s="436"/>
      <c r="E838" s="436"/>
      <c r="F838" s="436"/>
      <c r="G838" s="436"/>
      <c r="H838" s="436"/>
      <c r="I838" s="436"/>
      <c r="J838" s="436"/>
      <c r="K838" s="436"/>
      <c r="L838" s="436"/>
      <c r="M838" s="436"/>
      <c r="N838" s="436"/>
      <c r="O838" s="436"/>
      <c r="P838" s="436"/>
    </row>
    <row r="839" spans="1:16" ht="12.75" x14ac:dyDescent="0.2">
      <c r="A839" s="436"/>
      <c r="B839" s="436"/>
      <c r="C839" s="436"/>
      <c r="D839" s="436"/>
      <c r="E839" s="436"/>
      <c r="F839" s="436"/>
      <c r="G839" s="436"/>
      <c r="H839" s="436"/>
      <c r="I839" s="436"/>
      <c r="J839" s="436"/>
      <c r="K839" s="436"/>
      <c r="L839" s="436"/>
      <c r="M839" s="436"/>
      <c r="N839" s="436"/>
      <c r="O839" s="436"/>
      <c r="P839" s="436"/>
    </row>
    <row r="840" spans="1:16" ht="12.75" x14ac:dyDescent="0.2">
      <c r="A840" s="436"/>
      <c r="B840" s="436"/>
      <c r="C840" s="436"/>
      <c r="D840" s="436"/>
      <c r="E840" s="436"/>
      <c r="F840" s="436"/>
      <c r="G840" s="436"/>
      <c r="H840" s="436"/>
      <c r="I840" s="436"/>
      <c r="J840" s="436"/>
      <c r="K840" s="436"/>
      <c r="L840" s="436"/>
      <c r="M840" s="436"/>
      <c r="N840" s="436"/>
      <c r="O840" s="436"/>
      <c r="P840" s="436"/>
    </row>
    <row r="841" spans="1:16" ht="12.75" x14ac:dyDescent="0.2">
      <c r="A841" s="436"/>
      <c r="B841" s="436"/>
      <c r="C841" s="436"/>
      <c r="D841" s="436"/>
      <c r="E841" s="436"/>
      <c r="F841" s="436"/>
      <c r="G841" s="436"/>
      <c r="H841" s="436"/>
      <c r="I841" s="436"/>
      <c r="J841" s="436"/>
      <c r="K841" s="436"/>
      <c r="L841" s="436"/>
      <c r="M841" s="436"/>
      <c r="N841" s="436"/>
      <c r="O841" s="436"/>
      <c r="P841" s="436"/>
    </row>
    <row r="842" spans="1:16" ht="12.75" x14ac:dyDescent="0.2">
      <c r="A842" s="436"/>
      <c r="B842" s="436"/>
      <c r="C842" s="436"/>
      <c r="D842" s="436"/>
      <c r="E842" s="436"/>
      <c r="F842" s="436"/>
      <c r="G842" s="436"/>
      <c r="H842" s="436"/>
      <c r="I842" s="436"/>
      <c r="J842" s="436"/>
      <c r="K842" s="436"/>
      <c r="L842" s="436"/>
      <c r="M842" s="436"/>
      <c r="N842" s="436"/>
      <c r="O842" s="436"/>
      <c r="P842" s="436"/>
    </row>
    <row r="843" spans="1:16" ht="12.75" x14ac:dyDescent="0.2">
      <c r="A843" s="436"/>
      <c r="B843" s="436"/>
      <c r="C843" s="436"/>
      <c r="D843" s="436"/>
      <c r="E843" s="436"/>
      <c r="F843" s="436"/>
      <c r="G843" s="436"/>
      <c r="H843" s="436"/>
      <c r="I843" s="436"/>
      <c r="J843" s="436"/>
      <c r="K843" s="436"/>
      <c r="L843" s="436"/>
      <c r="M843" s="436"/>
      <c r="N843" s="436"/>
      <c r="O843" s="436"/>
      <c r="P843" s="436"/>
    </row>
    <row r="844" spans="1:16" ht="12.75" x14ac:dyDescent="0.2">
      <c r="A844" s="436"/>
      <c r="B844" s="436"/>
      <c r="C844" s="436"/>
      <c r="D844" s="436"/>
      <c r="E844" s="436"/>
      <c r="F844" s="436"/>
      <c r="G844" s="436"/>
      <c r="H844" s="436"/>
      <c r="I844" s="436"/>
      <c r="J844" s="436"/>
      <c r="K844" s="436"/>
      <c r="L844" s="436"/>
      <c r="M844" s="436"/>
      <c r="N844" s="436"/>
      <c r="O844" s="436"/>
      <c r="P844" s="436"/>
    </row>
    <row r="845" spans="1:16" ht="12.75" x14ac:dyDescent="0.2">
      <c r="A845" s="436"/>
      <c r="B845" s="436"/>
      <c r="C845" s="436"/>
      <c r="D845" s="436"/>
      <c r="E845" s="436"/>
      <c r="F845" s="436"/>
      <c r="G845" s="436"/>
      <c r="H845" s="436"/>
      <c r="I845" s="436"/>
      <c r="J845" s="436"/>
      <c r="K845" s="436"/>
      <c r="L845" s="436"/>
      <c r="M845" s="436"/>
      <c r="N845" s="436"/>
      <c r="O845" s="436"/>
      <c r="P845" s="436"/>
    </row>
    <row r="846" spans="1:16" ht="12.75" x14ac:dyDescent="0.2">
      <c r="A846" s="436"/>
      <c r="B846" s="436"/>
      <c r="C846" s="436"/>
      <c r="D846" s="436"/>
      <c r="E846" s="436"/>
      <c r="F846" s="436"/>
      <c r="G846" s="436"/>
      <c r="H846" s="436"/>
      <c r="I846" s="436"/>
      <c r="J846" s="436"/>
      <c r="K846" s="436"/>
      <c r="L846" s="436"/>
      <c r="M846" s="436"/>
      <c r="N846" s="436"/>
      <c r="O846" s="436"/>
      <c r="P846" s="436"/>
    </row>
    <row r="847" spans="1:16" ht="12.75" x14ac:dyDescent="0.2">
      <c r="A847" s="436"/>
      <c r="B847" s="436"/>
      <c r="C847" s="436"/>
      <c r="D847" s="436"/>
      <c r="E847" s="436"/>
      <c r="F847" s="436"/>
      <c r="G847" s="436"/>
      <c r="H847" s="436"/>
      <c r="I847" s="436"/>
      <c r="J847" s="436"/>
      <c r="K847" s="436"/>
      <c r="L847" s="436"/>
      <c r="M847" s="436"/>
      <c r="N847" s="436"/>
      <c r="O847" s="436"/>
      <c r="P847" s="436"/>
    </row>
    <row r="848" spans="1:16" ht="12.75" x14ac:dyDescent="0.2">
      <c r="A848" s="436"/>
      <c r="B848" s="436"/>
      <c r="C848" s="436"/>
      <c r="D848" s="436"/>
      <c r="E848" s="436"/>
      <c r="F848" s="436"/>
      <c r="G848" s="436"/>
      <c r="H848" s="436"/>
      <c r="I848" s="436"/>
      <c r="J848" s="436"/>
      <c r="K848" s="436"/>
      <c r="L848" s="436"/>
      <c r="M848" s="436"/>
      <c r="N848" s="436"/>
      <c r="O848" s="436"/>
      <c r="P848" s="436"/>
    </row>
    <row r="849" spans="1:16" ht="12.75" x14ac:dyDescent="0.2">
      <c r="A849" s="436"/>
      <c r="B849" s="436"/>
      <c r="C849" s="436"/>
      <c r="D849" s="436"/>
      <c r="E849" s="436"/>
      <c r="F849" s="436"/>
      <c r="G849" s="436"/>
      <c r="H849" s="436"/>
      <c r="I849" s="436"/>
      <c r="J849" s="436"/>
      <c r="K849" s="436"/>
      <c r="L849" s="436"/>
      <c r="M849" s="436"/>
      <c r="N849" s="436"/>
      <c r="O849" s="436"/>
      <c r="P849" s="436"/>
    </row>
    <row r="850" spans="1:16" ht="12.75" x14ac:dyDescent="0.2">
      <c r="A850" s="436"/>
      <c r="B850" s="436"/>
      <c r="C850" s="436"/>
      <c r="D850" s="436"/>
      <c r="E850" s="436"/>
      <c r="F850" s="436"/>
      <c r="G850" s="436"/>
      <c r="H850" s="436"/>
      <c r="I850" s="436"/>
      <c r="J850" s="436"/>
      <c r="K850" s="436"/>
      <c r="L850" s="436"/>
      <c r="M850" s="436"/>
      <c r="N850" s="436"/>
      <c r="O850" s="436"/>
      <c r="P850" s="436"/>
    </row>
    <row r="851" spans="1:16" ht="12.75" x14ac:dyDescent="0.2">
      <c r="A851" s="436"/>
      <c r="B851" s="436"/>
      <c r="C851" s="436"/>
      <c r="D851" s="436"/>
      <c r="E851" s="436"/>
      <c r="F851" s="436"/>
      <c r="G851" s="436"/>
      <c r="H851" s="436"/>
      <c r="I851" s="436"/>
      <c r="J851" s="436"/>
      <c r="K851" s="436"/>
      <c r="L851" s="436"/>
      <c r="M851" s="436"/>
      <c r="N851" s="436"/>
      <c r="O851" s="436"/>
      <c r="P851" s="436"/>
    </row>
    <row r="852" spans="1:16" ht="12.75" x14ac:dyDescent="0.2">
      <c r="A852" s="436"/>
      <c r="B852" s="436"/>
      <c r="C852" s="436"/>
      <c r="D852" s="436"/>
      <c r="E852" s="436"/>
      <c r="F852" s="436"/>
      <c r="G852" s="436"/>
      <c r="H852" s="436"/>
      <c r="I852" s="436"/>
      <c r="J852" s="436"/>
      <c r="K852" s="436"/>
      <c r="L852" s="436"/>
      <c r="M852" s="436"/>
      <c r="N852" s="436"/>
      <c r="O852" s="436"/>
      <c r="P852" s="436"/>
    </row>
    <row r="853" spans="1:16" ht="12.75" x14ac:dyDescent="0.2">
      <c r="A853" s="436"/>
      <c r="B853" s="436"/>
      <c r="C853" s="436"/>
      <c r="D853" s="436"/>
      <c r="E853" s="436"/>
      <c r="F853" s="436"/>
      <c r="G853" s="436"/>
      <c r="H853" s="436"/>
      <c r="I853" s="436"/>
      <c r="J853" s="436"/>
      <c r="K853" s="436"/>
      <c r="L853" s="436"/>
      <c r="M853" s="436"/>
      <c r="N853" s="436"/>
      <c r="O853" s="436"/>
      <c r="P853" s="436"/>
    </row>
    <row r="854" spans="1:16" ht="12.75" x14ac:dyDescent="0.2">
      <c r="A854" s="436"/>
      <c r="B854" s="436"/>
      <c r="C854" s="436"/>
      <c r="D854" s="436"/>
      <c r="E854" s="436"/>
      <c r="F854" s="436"/>
      <c r="G854" s="436"/>
      <c r="H854" s="436"/>
      <c r="I854" s="436"/>
      <c r="J854" s="436"/>
      <c r="K854" s="436"/>
      <c r="L854" s="436"/>
      <c r="M854" s="436"/>
      <c r="N854" s="436"/>
      <c r="O854" s="436"/>
      <c r="P854" s="436"/>
    </row>
    <row r="855" spans="1:16" ht="12.75" x14ac:dyDescent="0.2">
      <c r="A855" s="436"/>
      <c r="B855" s="436"/>
      <c r="C855" s="436"/>
      <c r="D855" s="436"/>
      <c r="E855" s="436"/>
      <c r="F855" s="436"/>
      <c r="G855" s="436"/>
      <c r="H855" s="436"/>
      <c r="I855" s="436"/>
      <c r="J855" s="436"/>
      <c r="K855" s="436"/>
      <c r="L855" s="436"/>
      <c r="M855" s="436"/>
      <c r="N855" s="436"/>
      <c r="O855" s="436"/>
      <c r="P855" s="436"/>
    </row>
    <row r="856" spans="1:16" ht="12.75" x14ac:dyDescent="0.2">
      <c r="A856" s="436"/>
      <c r="B856" s="436"/>
      <c r="C856" s="436"/>
      <c r="D856" s="436"/>
      <c r="E856" s="436"/>
      <c r="F856" s="436"/>
      <c r="G856" s="436"/>
      <c r="H856" s="436"/>
      <c r="I856" s="436"/>
      <c r="J856" s="436"/>
      <c r="K856" s="436"/>
      <c r="L856" s="436"/>
      <c r="M856" s="436"/>
      <c r="N856" s="436"/>
      <c r="O856" s="436"/>
      <c r="P856" s="436"/>
    </row>
    <row r="857" spans="1:16" ht="12.75" x14ac:dyDescent="0.2">
      <c r="A857" s="436"/>
      <c r="B857" s="436"/>
      <c r="C857" s="436"/>
      <c r="D857" s="436"/>
      <c r="E857" s="436"/>
      <c r="F857" s="436"/>
      <c r="G857" s="436"/>
      <c r="H857" s="436"/>
      <c r="I857" s="436"/>
      <c r="J857" s="436"/>
      <c r="K857" s="436"/>
      <c r="L857" s="436"/>
      <c r="M857" s="436"/>
      <c r="N857" s="436"/>
      <c r="O857" s="436"/>
      <c r="P857" s="436"/>
    </row>
    <row r="858" spans="1:16" ht="12.75" x14ac:dyDescent="0.2">
      <c r="A858" s="436"/>
      <c r="B858" s="436"/>
      <c r="C858" s="436"/>
      <c r="D858" s="436"/>
      <c r="E858" s="436"/>
      <c r="F858" s="436"/>
      <c r="G858" s="436"/>
      <c r="H858" s="436"/>
      <c r="I858" s="436"/>
      <c r="J858" s="436"/>
      <c r="K858" s="436"/>
      <c r="L858" s="436"/>
      <c r="M858" s="436"/>
      <c r="N858" s="436"/>
      <c r="O858" s="436"/>
      <c r="P858" s="436"/>
    </row>
    <row r="859" spans="1:16" ht="12.75" x14ac:dyDescent="0.2">
      <c r="A859" s="436"/>
      <c r="B859" s="436"/>
      <c r="C859" s="436"/>
      <c r="D859" s="436"/>
      <c r="E859" s="436"/>
      <c r="F859" s="436"/>
      <c r="G859" s="436"/>
      <c r="H859" s="436"/>
      <c r="I859" s="436"/>
      <c r="J859" s="436"/>
      <c r="K859" s="436"/>
      <c r="L859" s="436"/>
      <c r="M859" s="436"/>
      <c r="N859" s="436"/>
      <c r="O859" s="436"/>
      <c r="P859" s="436"/>
    </row>
    <row r="860" spans="1:16" ht="12.75" x14ac:dyDescent="0.2">
      <c r="A860" s="436"/>
      <c r="B860" s="436"/>
      <c r="C860" s="436"/>
      <c r="D860" s="436"/>
      <c r="E860" s="436"/>
      <c r="F860" s="436"/>
      <c r="G860" s="436"/>
      <c r="H860" s="436"/>
      <c r="I860" s="436"/>
      <c r="J860" s="436"/>
      <c r="K860" s="436"/>
      <c r="L860" s="436"/>
      <c r="M860" s="436"/>
      <c r="N860" s="436"/>
      <c r="O860" s="436"/>
      <c r="P860" s="436"/>
    </row>
    <row r="861" spans="1:16" ht="12.75" x14ac:dyDescent="0.2">
      <c r="A861" s="436"/>
      <c r="B861" s="436"/>
      <c r="C861" s="436"/>
      <c r="D861" s="436"/>
      <c r="E861" s="436"/>
      <c r="F861" s="436"/>
      <c r="G861" s="436"/>
      <c r="H861" s="436"/>
      <c r="I861" s="436"/>
      <c r="J861" s="436"/>
      <c r="K861" s="436"/>
      <c r="L861" s="436"/>
      <c r="M861" s="436"/>
      <c r="N861" s="436"/>
      <c r="O861" s="436"/>
      <c r="P861" s="436"/>
    </row>
  </sheetData>
  <mergeCells count="5">
    <mergeCell ref="A295:L295"/>
    <mergeCell ref="A428:L428"/>
    <mergeCell ref="A429:L429"/>
    <mergeCell ref="A433:L433"/>
    <mergeCell ref="A727:L727"/>
  </mergeCells>
  <printOptions horizontalCentered="1"/>
  <pageMargins left="0.31496062992125984" right="0.31496062992125984" top="0.35433070866141736" bottom="0.15748031496062992" header="0.11811023622047245" footer="0.31496062992125984"/>
  <pageSetup paperSize="9" orientation="portrait" r:id="rId1"/>
  <headerFooter>
    <oddHeader>&amp;R&amp;P/&amp;N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95"/>
  <sheetViews>
    <sheetView zoomScale="115" zoomScaleNormal="115" workbookViewId="0">
      <pane ySplit="6" topLeftCell="A134" activePane="bottomLeft" state="frozen"/>
      <selection pane="bottomLeft" activeCell="M151" sqref="M151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1418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1397</v>
      </c>
      <c r="B7" s="146"/>
      <c r="C7" s="147">
        <v>90992.33506200953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90992.33506200953</v>
      </c>
      <c r="O7" s="147">
        <f>+C150</f>
        <v>414987.0520620094</v>
      </c>
    </row>
    <row r="8" spans="1:15" x14ac:dyDescent="0.15">
      <c r="A8" s="154" t="s">
        <v>1398</v>
      </c>
      <c r="B8" s="151"/>
      <c r="C8" s="152">
        <v>263912.08399999992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90992.33506200953</v>
      </c>
      <c r="O8" s="152">
        <f t="shared" ref="O8:O9" si="0">O7+G8-I8-L8</f>
        <v>414987.0520620094</v>
      </c>
    </row>
    <row r="9" spans="1:15" x14ac:dyDescent="0.15">
      <c r="A9" s="157" t="s">
        <v>1399</v>
      </c>
      <c r="B9" s="151"/>
      <c r="C9" s="152">
        <v>60082.632999999994</v>
      </c>
      <c r="D9" s="154"/>
      <c r="E9" s="154"/>
      <c r="F9" s="154"/>
      <c r="G9" s="152"/>
      <c r="H9" s="154"/>
      <c r="I9" s="152"/>
      <c r="J9" s="154"/>
      <c r="K9" s="154"/>
      <c r="L9" s="227"/>
      <c r="M9" s="154"/>
      <c r="N9" s="227">
        <f t="shared" ref="N9" si="1">+N8-I9-L9</f>
        <v>90992.33506200953</v>
      </c>
      <c r="O9" s="152">
        <f t="shared" si="0"/>
        <v>414987.0520620094</v>
      </c>
    </row>
    <row r="10" spans="1:15" x14ac:dyDescent="0.15">
      <c r="A10" s="154"/>
      <c r="B10" s="151"/>
      <c r="C10" s="152"/>
      <c r="D10" s="155"/>
      <c r="E10" s="154"/>
      <c r="F10" s="157"/>
      <c r="G10" s="152"/>
      <c r="H10" s="155"/>
      <c r="I10" s="152"/>
      <c r="J10" s="154"/>
      <c r="K10" s="154"/>
      <c r="L10" s="227"/>
      <c r="M10" s="154"/>
      <c r="N10" s="227">
        <f t="shared" ref="N10:N81" si="2">+N9-I10-L10</f>
        <v>90992.33506200953</v>
      </c>
      <c r="O10" s="152">
        <f t="shared" ref="O10:O81" si="3">O9+G10-I10-L10</f>
        <v>414987.0520620094</v>
      </c>
    </row>
    <row r="11" spans="1:15" x14ac:dyDescent="0.15">
      <c r="A11" s="154"/>
      <c r="B11" s="151"/>
      <c r="C11" s="152"/>
      <c r="D11" s="155" t="s">
        <v>1419</v>
      </c>
      <c r="E11" s="154" t="s">
        <v>72</v>
      </c>
      <c r="F11" s="157" t="s">
        <v>1399</v>
      </c>
      <c r="G11" s="152">
        <v>109094.2810000001</v>
      </c>
      <c r="H11" s="155" t="s">
        <v>1419</v>
      </c>
      <c r="I11" s="152">
        <v>1743.8838000000001</v>
      </c>
      <c r="J11" s="154" t="s">
        <v>1397</v>
      </c>
      <c r="K11" s="154"/>
      <c r="L11" s="227"/>
      <c r="M11" s="154"/>
      <c r="N11" s="227">
        <f t="shared" si="2"/>
        <v>89248.451262009534</v>
      </c>
      <c r="O11" s="152">
        <f t="shared" si="3"/>
        <v>522337.44926200953</v>
      </c>
    </row>
    <row r="12" spans="1:15" x14ac:dyDescent="0.15">
      <c r="A12" s="154"/>
      <c r="B12" s="151"/>
      <c r="C12" s="152"/>
      <c r="D12" s="155" t="s">
        <v>1419</v>
      </c>
      <c r="E12" s="154" t="s">
        <v>72</v>
      </c>
      <c r="F12" s="157" t="s">
        <v>1447</v>
      </c>
      <c r="G12" s="152">
        <v>94899.532999999894</v>
      </c>
      <c r="H12" s="155" t="s">
        <v>1419</v>
      </c>
      <c r="I12" s="152"/>
      <c r="J12" s="154"/>
      <c r="K12" s="154"/>
      <c r="L12" s="227"/>
      <c r="M12" s="154"/>
      <c r="N12" s="227">
        <f t="shared" si="2"/>
        <v>89248.451262009534</v>
      </c>
      <c r="O12" s="152">
        <f t="shared" si="3"/>
        <v>617236.98226200941</v>
      </c>
    </row>
    <row r="13" spans="1:15" x14ac:dyDescent="0.15">
      <c r="A13" s="154"/>
      <c r="B13" s="151"/>
      <c r="C13" s="152"/>
      <c r="D13" s="155" t="s">
        <v>1420</v>
      </c>
      <c r="E13" s="154" t="s">
        <v>72</v>
      </c>
      <c r="F13" s="157" t="s">
        <v>1447</v>
      </c>
      <c r="G13" s="152">
        <v>79965.014999999999</v>
      </c>
      <c r="H13" s="155" t="s">
        <v>1420</v>
      </c>
      <c r="I13" s="152">
        <v>8483.2980000000007</v>
      </c>
      <c r="J13" s="154" t="s">
        <v>1397</v>
      </c>
      <c r="K13" s="154" t="s">
        <v>1463</v>
      </c>
      <c r="L13" s="227">
        <v>15318.76</v>
      </c>
      <c r="M13" s="154" t="s">
        <v>1397</v>
      </c>
      <c r="N13" s="227">
        <f t="shared" si="2"/>
        <v>65446.393262009537</v>
      </c>
      <c r="O13" s="152">
        <f t="shared" si="3"/>
        <v>673399.93926200946</v>
      </c>
    </row>
    <row r="14" spans="1:15" x14ac:dyDescent="0.15">
      <c r="A14" s="154"/>
      <c r="B14" s="151"/>
      <c r="C14" s="152"/>
      <c r="D14" s="155"/>
      <c r="E14" s="154"/>
      <c r="F14" s="157"/>
      <c r="G14" s="152"/>
      <c r="H14" s="155" t="s">
        <v>1420</v>
      </c>
      <c r="I14" s="152"/>
      <c r="J14" s="154"/>
      <c r="K14" s="154" t="s">
        <v>1463</v>
      </c>
      <c r="L14" s="227">
        <v>65446.393262009537</v>
      </c>
      <c r="M14" s="154" t="s">
        <v>1397</v>
      </c>
      <c r="N14" s="227">
        <f t="shared" ref="N14:N18" si="4">+N13-I14-L14</f>
        <v>0</v>
      </c>
      <c r="O14" s="152">
        <f t="shared" ref="O14:O18" si="5">O13+G14-I14-L14</f>
        <v>607953.54599999997</v>
      </c>
    </row>
    <row r="15" spans="1:15" x14ac:dyDescent="0.15">
      <c r="A15" s="154"/>
      <c r="B15" s="151"/>
      <c r="C15" s="152"/>
      <c r="D15" s="155"/>
      <c r="E15" s="154"/>
      <c r="F15" s="157"/>
      <c r="G15" s="152"/>
      <c r="H15" s="155" t="s">
        <v>1420</v>
      </c>
      <c r="I15" s="152"/>
      <c r="J15" s="154"/>
      <c r="K15" s="154" t="s">
        <v>1463</v>
      </c>
      <c r="L15" s="227">
        <v>15024.3867379905</v>
      </c>
      <c r="M15" s="154" t="s">
        <v>1398</v>
      </c>
      <c r="N15" s="227">
        <f>C8+N14-I15-L15</f>
        <v>248887.6972620094</v>
      </c>
      <c r="O15" s="152">
        <f t="shared" si="5"/>
        <v>592929.15926200943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155" t="s">
        <v>1420</v>
      </c>
      <c r="I16" s="152"/>
      <c r="J16" s="154"/>
      <c r="K16" s="154" t="s">
        <v>1463</v>
      </c>
      <c r="L16" s="227">
        <v>1308.5999999999999</v>
      </c>
      <c r="M16" s="154" t="s">
        <v>1398</v>
      </c>
      <c r="N16" s="227">
        <f t="shared" si="4"/>
        <v>247579.0972620094</v>
      </c>
      <c r="O16" s="152">
        <f t="shared" si="5"/>
        <v>591620.55926200945</v>
      </c>
    </row>
    <row r="17" spans="1:15" x14ac:dyDescent="0.15">
      <c r="A17" s="154"/>
      <c r="B17" s="151"/>
      <c r="C17" s="152"/>
      <c r="D17" s="155"/>
      <c r="E17" s="155"/>
      <c r="F17" s="157"/>
      <c r="G17" s="152"/>
      <c r="H17" s="155" t="s">
        <v>1420</v>
      </c>
      <c r="I17" s="152"/>
      <c r="J17" s="154"/>
      <c r="K17" s="154" t="s">
        <v>1463</v>
      </c>
      <c r="L17" s="227">
        <v>31926.29</v>
      </c>
      <c r="M17" s="154" t="s">
        <v>1398</v>
      </c>
      <c r="N17" s="227">
        <f t="shared" si="4"/>
        <v>215652.80726200939</v>
      </c>
      <c r="O17" s="152">
        <f t="shared" si="5"/>
        <v>559694.26926200942</v>
      </c>
    </row>
    <row r="18" spans="1:15" x14ac:dyDescent="0.15">
      <c r="A18" s="154"/>
      <c r="B18" s="151"/>
      <c r="C18" s="152"/>
      <c r="D18" s="155" t="s">
        <v>1421</v>
      </c>
      <c r="E18" s="154" t="s">
        <v>72</v>
      </c>
      <c r="F18" s="157" t="s">
        <v>1447</v>
      </c>
      <c r="G18" s="152">
        <v>182023.01699999999</v>
      </c>
      <c r="H18" s="155" t="s">
        <v>1421</v>
      </c>
      <c r="I18" s="152">
        <v>6533.7715000000007</v>
      </c>
      <c r="J18" s="154" t="s">
        <v>1398</v>
      </c>
      <c r="K18" s="154" t="s">
        <v>1463</v>
      </c>
      <c r="L18" s="227">
        <v>13993.09</v>
      </c>
      <c r="M18" s="154" t="s">
        <v>1398</v>
      </c>
      <c r="N18" s="227">
        <f t="shared" si="4"/>
        <v>195125.94576200939</v>
      </c>
      <c r="O18" s="152">
        <f t="shared" si="5"/>
        <v>721190.42476200941</v>
      </c>
    </row>
    <row r="19" spans="1:15" x14ac:dyDescent="0.15">
      <c r="A19" s="154"/>
      <c r="B19" s="151"/>
      <c r="C19" s="152"/>
      <c r="D19" s="155"/>
      <c r="E19" s="155"/>
      <c r="F19" s="157"/>
      <c r="G19" s="152"/>
      <c r="H19" s="155" t="s">
        <v>1421</v>
      </c>
      <c r="I19" s="152"/>
      <c r="J19" s="154"/>
      <c r="K19" s="154" t="s">
        <v>1463</v>
      </c>
      <c r="L19" s="227">
        <v>73643.320000000007</v>
      </c>
      <c r="M19" s="154" t="s">
        <v>1398</v>
      </c>
      <c r="N19" s="227">
        <f t="shared" si="2"/>
        <v>121482.62576200938</v>
      </c>
      <c r="O19" s="152">
        <f t="shared" si="3"/>
        <v>647547.10476200934</v>
      </c>
    </row>
    <row r="20" spans="1:15" x14ac:dyDescent="0.15">
      <c r="A20" s="154"/>
      <c r="B20" s="151"/>
      <c r="C20" s="152"/>
      <c r="D20" s="155"/>
      <c r="E20" s="155"/>
      <c r="F20" s="157"/>
      <c r="G20" s="152"/>
      <c r="H20" s="155" t="s">
        <v>1421</v>
      </c>
      <c r="I20" s="152"/>
      <c r="J20" s="154"/>
      <c r="K20" s="154" t="s">
        <v>1463</v>
      </c>
      <c r="L20" s="227">
        <v>75024.02</v>
      </c>
      <c r="M20" s="154" t="s">
        <v>1398</v>
      </c>
      <c r="N20" s="227">
        <f t="shared" si="2"/>
        <v>46458.605762009378</v>
      </c>
      <c r="O20" s="152">
        <f t="shared" si="3"/>
        <v>572523.08476200933</v>
      </c>
    </row>
    <row r="21" spans="1:15" x14ac:dyDescent="0.15">
      <c r="A21" s="154"/>
      <c r="B21" s="151"/>
      <c r="C21" s="152"/>
      <c r="D21" s="155"/>
      <c r="E21" s="155"/>
      <c r="F21" s="157"/>
      <c r="G21" s="152"/>
      <c r="H21" s="155" t="s">
        <v>1421</v>
      </c>
      <c r="I21" s="152"/>
      <c r="J21" s="154"/>
      <c r="K21" s="154" t="s">
        <v>1463</v>
      </c>
      <c r="L21" s="227">
        <v>46458.605762009378</v>
      </c>
      <c r="M21" s="154" t="s">
        <v>1398</v>
      </c>
      <c r="N21" s="227">
        <f t="shared" ref="N21:N25" si="6">+N20-I21-L21</f>
        <v>0</v>
      </c>
      <c r="O21" s="152">
        <f t="shared" ref="O21:O25" si="7">O20+G21-I21-L21</f>
        <v>526064.47899999993</v>
      </c>
    </row>
    <row r="22" spans="1:15" x14ac:dyDescent="0.15">
      <c r="A22" s="154"/>
      <c r="B22" s="151"/>
      <c r="C22" s="152"/>
      <c r="D22" s="155"/>
      <c r="E22" s="155"/>
      <c r="F22" s="157"/>
      <c r="G22" s="152"/>
      <c r="H22" s="155" t="s">
        <v>1421</v>
      </c>
      <c r="I22" s="152"/>
      <c r="J22" s="154"/>
      <c r="K22" s="154" t="s">
        <v>1464</v>
      </c>
      <c r="L22" s="227">
        <v>35262.804237990596</v>
      </c>
      <c r="M22" s="157" t="s">
        <v>1399</v>
      </c>
      <c r="N22" s="227">
        <f>C9+G11+N21-I22-L22</f>
        <v>133914.10976200952</v>
      </c>
      <c r="O22" s="152">
        <f t="shared" si="7"/>
        <v>490801.67476200935</v>
      </c>
    </row>
    <row r="23" spans="1:15" x14ac:dyDescent="0.15">
      <c r="A23" s="154"/>
      <c r="B23" s="151"/>
      <c r="C23" s="152"/>
      <c r="D23" s="155" t="s">
        <v>1422</v>
      </c>
      <c r="E23" s="154" t="s">
        <v>72</v>
      </c>
      <c r="F23" s="157" t="s">
        <v>1447</v>
      </c>
      <c r="G23" s="152">
        <v>41988.643000000098</v>
      </c>
      <c r="H23" s="155" t="s">
        <v>1422</v>
      </c>
      <c r="I23" s="152">
        <v>276.91570000000002</v>
      </c>
      <c r="J23" s="157" t="s">
        <v>1399</v>
      </c>
      <c r="K23" s="154" t="s">
        <v>1464</v>
      </c>
      <c r="L23" s="227">
        <v>14108.15</v>
      </c>
      <c r="M23" s="157" t="s">
        <v>1399</v>
      </c>
      <c r="N23" s="227">
        <f t="shared" si="6"/>
        <v>119529.04406200952</v>
      </c>
      <c r="O23" s="152">
        <f t="shared" si="7"/>
        <v>518405.25206200941</v>
      </c>
    </row>
    <row r="24" spans="1:15" x14ac:dyDescent="0.15">
      <c r="A24" s="154"/>
      <c r="B24" s="151"/>
      <c r="C24" s="152"/>
      <c r="D24" s="155" t="s">
        <v>1422</v>
      </c>
      <c r="E24" s="154" t="s">
        <v>72</v>
      </c>
      <c r="F24" s="157" t="s">
        <v>1448</v>
      </c>
      <c r="G24" s="152">
        <v>82035.893999999898</v>
      </c>
      <c r="H24" s="155" t="s">
        <v>1422</v>
      </c>
      <c r="I24" s="152"/>
      <c r="J24" s="154"/>
      <c r="K24" s="154" t="s">
        <v>1464</v>
      </c>
      <c r="L24" s="227">
        <v>86503.679999999993</v>
      </c>
      <c r="M24" s="157" t="s">
        <v>1399</v>
      </c>
      <c r="N24" s="227">
        <f t="shared" si="6"/>
        <v>33025.364062009525</v>
      </c>
      <c r="O24" s="152">
        <f t="shared" si="7"/>
        <v>513937.46606200928</v>
      </c>
    </row>
    <row r="25" spans="1:15" x14ac:dyDescent="0.15">
      <c r="A25" s="154"/>
      <c r="B25" s="151"/>
      <c r="C25" s="152"/>
      <c r="D25" s="155" t="s">
        <v>1423</v>
      </c>
      <c r="E25" s="154" t="s">
        <v>72</v>
      </c>
      <c r="F25" s="157" t="s">
        <v>1448</v>
      </c>
      <c r="G25" s="152">
        <v>163874.17599999998</v>
      </c>
      <c r="H25" s="155" t="s">
        <v>1423</v>
      </c>
      <c r="I25" s="152">
        <v>2903.1194</v>
      </c>
      <c r="J25" s="157" t="s">
        <v>1399</v>
      </c>
      <c r="K25" s="154" t="s">
        <v>1464</v>
      </c>
      <c r="L25" s="227">
        <v>30122.244662009525</v>
      </c>
      <c r="M25" s="157" t="s">
        <v>1399</v>
      </c>
      <c r="N25" s="227">
        <f t="shared" si="6"/>
        <v>0</v>
      </c>
      <c r="O25" s="152">
        <f t="shared" si="7"/>
        <v>644786.27799999982</v>
      </c>
    </row>
    <row r="26" spans="1:15" x14ac:dyDescent="0.15">
      <c r="A26" s="154"/>
      <c r="B26" s="151"/>
      <c r="C26" s="152"/>
      <c r="D26" s="155"/>
      <c r="E26" s="154"/>
      <c r="F26" s="157"/>
      <c r="G26" s="152"/>
      <c r="H26" s="155" t="s">
        <v>1423</v>
      </c>
      <c r="I26" s="152"/>
      <c r="J26" s="154"/>
      <c r="K26" s="154" t="s">
        <v>1463</v>
      </c>
      <c r="L26" s="227">
        <v>19952.125337990499</v>
      </c>
      <c r="M26" s="157" t="s">
        <v>1447</v>
      </c>
      <c r="N26" s="227">
        <f>G12+G13+G18+G23+N25-I26-L26</f>
        <v>378924.08266200946</v>
      </c>
      <c r="O26" s="152">
        <f t="shared" ref="O26:O31" si="8">O25+G26-I26-L26</f>
        <v>624834.15266200935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1423</v>
      </c>
      <c r="I27" s="152"/>
      <c r="J27" s="154"/>
      <c r="K27" s="154" t="s">
        <v>1463</v>
      </c>
      <c r="L27" s="227">
        <v>735.37</v>
      </c>
      <c r="M27" s="157" t="s">
        <v>1447</v>
      </c>
      <c r="N27" s="227">
        <f t="shared" ref="N27:N31" si="9">+N26-I27-L27</f>
        <v>378188.71266200946</v>
      </c>
      <c r="O27" s="152">
        <f t="shared" si="8"/>
        <v>624098.78266200935</v>
      </c>
    </row>
    <row r="28" spans="1:15" x14ac:dyDescent="0.15">
      <c r="A28" s="154"/>
      <c r="B28" s="151"/>
      <c r="C28" s="152"/>
      <c r="D28" s="155" t="s">
        <v>1424</v>
      </c>
      <c r="E28" s="154" t="s">
        <v>72</v>
      </c>
      <c r="F28" s="157" t="s">
        <v>1449</v>
      </c>
      <c r="G28" s="152">
        <v>102110.92</v>
      </c>
      <c r="H28" s="155" t="s">
        <v>1424</v>
      </c>
      <c r="I28" s="152">
        <v>1770.4612000000002</v>
      </c>
      <c r="J28" s="157" t="s">
        <v>1447</v>
      </c>
      <c r="K28" s="154" t="s">
        <v>1463</v>
      </c>
      <c r="L28" s="227">
        <v>14454.32</v>
      </c>
      <c r="M28" s="157" t="s">
        <v>1447</v>
      </c>
      <c r="N28" s="227">
        <f t="shared" si="9"/>
        <v>361963.93146200944</v>
      </c>
      <c r="O28" s="152">
        <f t="shared" si="8"/>
        <v>709984.92146200943</v>
      </c>
    </row>
    <row r="29" spans="1:15" x14ac:dyDescent="0.15">
      <c r="A29" s="154"/>
      <c r="B29" s="151"/>
      <c r="C29" s="152"/>
      <c r="D29" s="155"/>
      <c r="E29" s="155"/>
      <c r="F29" s="157"/>
      <c r="G29" s="152"/>
      <c r="H29" s="155" t="s">
        <v>1424</v>
      </c>
      <c r="I29" s="152"/>
      <c r="J29" s="154"/>
      <c r="K29" s="154" t="s">
        <v>1463</v>
      </c>
      <c r="L29" s="227">
        <v>74727.87</v>
      </c>
      <c r="M29" s="157" t="s">
        <v>1447</v>
      </c>
      <c r="N29" s="227">
        <f t="shared" si="9"/>
        <v>287236.06146200944</v>
      </c>
      <c r="O29" s="152">
        <f t="shared" si="8"/>
        <v>635257.05146200943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155" t="s">
        <v>1425</v>
      </c>
      <c r="I30" s="152"/>
      <c r="J30" s="154"/>
      <c r="K30" s="154" t="s">
        <v>1463</v>
      </c>
      <c r="L30" s="227">
        <v>14502.35</v>
      </c>
      <c r="M30" s="157" t="s">
        <v>1447</v>
      </c>
      <c r="N30" s="227">
        <f t="shared" si="9"/>
        <v>272733.71146200947</v>
      </c>
      <c r="O30" s="152">
        <f t="shared" si="8"/>
        <v>620754.70146200946</v>
      </c>
    </row>
    <row r="31" spans="1:15" x14ac:dyDescent="0.15">
      <c r="A31" s="154"/>
      <c r="B31" s="151"/>
      <c r="C31" s="152"/>
      <c r="D31" s="155"/>
      <c r="E31" s="155"/>
      <c r="F31" s="157"/>
      <c r="G31" s="152"/>
      <c r="H31" s="155" t="s">
        <v>1425</v>
      </c>
      <c r="I31" s="152"/>
      <c r="J31" s="154"/>
      <c r="K31" s="154" t="s">
        <v>1463</v>
      </c>
      <c r="L31" s="227">
        <v>83593.36</v>
      </c>
      <c r="M31" s="157" t="s">
        <v>1447</v>
      </c>
      <c r="N31" s="227">
        <f t="shared" si="9"/>
        <v>189140.35146200948</v>
      </c>
      <c r="O31" s="152">
        <f t="shared" si="8"/>
        <v>537161.34146200947</v>
      </c>
    </row>
    <row r="32" spans="1:15" x14ac:dyDescent="0.15">
      <c r="A32" s="154"/>
      <c r="B32" s="151"/>
      <c r="C32" s="152"/>
      <c r="D32" s="155"/>
      <c r="E32" s="155"/>
      <c r="F32" s="157"/>
      <c r="G32" s="152"/>
      <c r="H32" s="155" t="s">
        <v>1425</v>
      </c>
      <c r="I32" s="152"/>
      <c r="J32" s="154"/>
      <c r="K32" s="154" t="s">
        <v>1463</v>
      </c>
      <c r="L32" s="227">
        <v>84294.35</v>
      </c>
      <c r="M32" s="157" t="s">
        <v>1447</v>
      </c>
      <c r="N32" s="227">
        <f t="shared" si="2"/>
        <v>104846.00146200947</v>
      </c>
      <c r="O32" s="152">
        <f t="shared" si="3"/>
        <v>452866.99146200949</v>
      </c>
    </row>
    <row r="33" spans="1:15" x14ac:dyDescent="0.15">
      <c r="A33" s="154"/>
      <c r="B33" s="151"/>
      <c r="C33" s="152"/>
      <c r="D33" s="155"/>
      <c r="E33" s="155"/>
      <c r="F33" s="157"/>
      <c r="G33" s="152"/>
      <c r="H33" s="155" t="s">
        <v>1425</v>
      </c>
      <c r="I33" s="152"/>
      <c r="J33" s="154"/>
      <c r="K33" s="154" t="s">
        <v>1463</v>
      </c>
      <c r="L33" s="227">
        <v>34541.49</v>
      </c>
      <c r="M33" s="157" t="s">
        <v>1447</v>
      </c>
      <c r="N33" s="227">
        <f t="shared" si="2"/>
        <v>70304.511462009483</v>
      </c>
      <c r="O33" s="152">
        <f t="shared" si="3"/>
        <v>418325.5014620095</v>
      </c>
    </row>
    <row r="34" spans="1:15" x14ac:dyDescent="0.15">
      <c r="A34" s="154"/>
      <c r="B34" s="151"/>
      <c r="C34" s="152"/>
      <c r="D34" s="155" t="s">
        <v>1426</v>
      </c>
      <c r="E34" s="154" t="s">
        <v>72</v>
      </c>
      <c r="F34" s="157" t="s">
        <v>1450</v>
      </c>
      <c r="G34" s="152">
        <v>203868.39399999997</v>
      </c>
      <c r="H34" s="155" t="s">
        <v>1426</v>
      </c>
      <c r="I34" s="152">
        <v>4392.67</v>
      </c>
      <c r="J34" s="157" t="s">
        <v>1447</v>
      </c>
      <c r="K34" s="154" t="s">
        <v>1463</v>
      </c>
      <c r="L34" s="227">
        <v>15514.43</v>
      </c>
      <c r="M34" s="157" t="s">
        <v>1447</v>
      </c>
      <c r="N34" s="227">
        <f t="shared" si="2"/>
        <v>50397.411462009484</v>
      </c>
      <c r="O34" s="152">
        <f t="shared" si="3"/>
        <v>602286.79546200938</v>
      </c>
    </row>
    <row r="35" spans="1:15" x14ac:dyDescent="0.15">
      <c r="A35" s="154"/>
      <c r="B35" s="151"/>
      <c r="C35" s="152"/>
      <c r="D35" s="155"/>
      <c r="E35" s="155"/>
      <c r="F35" s="157"/>
      <c r="G35" s="152"/>
      <c r="H35" s="155" t="s">
        <v>1426</v>
      </c>
      <c r="I35" s="152"/>
      <c r="J35" s="154"/>
      <c r="K35" s="154" t="s">
        <v>1463</v>
      </c>
      <c r="L35" s="227">
        <v>12572.64</v>
      </c>
      <c r="M35" s="157" t="s">
        <v>1447</v>
      </c>
      <c r="N35" s="227">
        <f t="shared" si="2"/>
        <v>37824.771462009485</v>
      </c>
      <c r="O35" s="152">
        <f t="shared" si="3"/>
        <v>589714.15546200937</v>
      </c>
    </row>
    <row r="36" spans="1:15" x14ac:dyDescent="0.15">
      <c r="A36" s="154"/>
      <c r="B36" s="151"/>
      <c r="C36" s="152"/>
      <c r="D36" s="155"/>
      <c r="E36" s="155"/>
      <c r="F36" s="157"/>
      <c r="G36" s="152"/>
      <c r="H36" s="155" t="s">
        <v>1426</v>
      </c>
      <c r="I36" s="152"/>
      <c r="J36" s="154"/>
      <c r="K36" s="154" t="s">
        <v>1463</v>
      </c>
      <c r="L36" s="227">
        <v>13484.2</v>
      </c>
      <c r="M36" s="157" t="s">
        <v>1447</v>
      </c>
      <c r="N36" s="227">
        <f t="shared" si="2"/>
        <v>24340.571462009484</v>
      </c>
      <c r="O36" s="152">
        <f t="shared" si="3"/>
        <v>576229.95546200941</v>
      </c>
    </row>
    <row r="37" spans="1:15" x14ac:dyDescent="0.15">
      <c r="A37" s="154"/>
      <c r="B37" s="151"/>
      <c r="C37" s="152"/>
      <c r="D37" s="155"/>
      <c r="E37" s="155"/>
      <c r="F37" s="157"/>
      <c r="G37" s="152"/>
      <c r="H37" s="155" t="s">
        <v>1426</v>
      </c>
      <c r="I37" s="152"/>
      <c r="J37" s="154"/>
      <c r="K37" s="154" t="s">
        <v>1463</v>
      </c>
      <c r="L37" s="227">
        <v>13420.16</v>
      </c>
      <c r="M37" s="157" t="s">
        <v>1447</v>
      </c>
      <c r="N37" s="227">
        <f t="shared" si="2"/>
        <v>10920.411462009484</v>
      </c>
      <c r="O37" s="152">
        <f t="shared" si="3"/>
        <v>562809.79546200938</v>
      </c>
    </row>
    <row r="38" spans="1:15" x14ac:dyDescent="0.15">
      <c r="A38" s="154"/>
      <c r="B38" s="151"/>
      <c r="C38" s="152"/>
      <c r="D38" s="155" t="s">
        <v>1427</v>
      </c>
      <c r="E38" s="154" t="s">
        <v>72</v>
      </c>
      <c r="F38" s="157" t="s">
        <v>1450</v>
      </c>
      <c r="G38" s="152">
        <v>101972.32</v>
      </c>
      <c r="H38" s="155" t="s">
        <v>1427</v>
      </c>
      <c r="I38" s="152"/>
      <c r="J38" s="154"/>
      <c r="K38" s="154" t="s">
        <v>1463</v>
      </c>
      <c r="L38" s="227">
        <v>6504</v>
      </c>
      <c r="M38" s="157" t="s">
        <v>1447</v>
      </c>
      <c r="N38" s="227">
        <f t="shared" si="2"/>
        <v>4416.4114620094842</v>
      </c>
      <c r="O38" s="152">
        <f t="shared" si="3"/>
        <v>658278.11546200933</v>
      </c>
    </row>
    <row r="39" spans="1:15" x14ac:dyDescent="0.15">
      <c r="A39" s="154"/>
      <c r="B39" s="151"/>
      <c r="C39" s="152"/>
      <c r="D39" s="155" t="s">
        <v>1427</v>
      </c>
      <c r="E39" s="154" t="s">
        <v>72</v>
      </c>
      <c r="F39" s="157" t="s">
        <v>1451</v>
      </c>
      <c r="G39" s="152">
        <v>19995.944</v>
      </c>
      <c r="H39" s="155" t="s">
        <v>1427</v>
      </c>
      <c r="I39" s="152"/>
      <c r="J39" s="154"/>
      <c r="K39" s="154" t="s">
        <v>1463</v>
      </c>
      <c r="L39" s="227">
        <v>4416.4114620094842</v>
      </c>
      <c r="M39" s="157" t="s">
        <v>1447</v>
      </c>
      <c r="N39" s="227">
        <f t="shared" si="2"/>
        <v>0</v>
      </c>
      <c r="O39" s="152">
        <f t="shared" si="3"/>
        <v>673857.64799999981</v>
      </c>
    </row>
    <row r="40" spans="1:15" x14ac:dyDescent="0.15">
      <c r="A40" s="154"/>
      <c r="B40" s="151"/>
      <c r="C40" s="152"/>
      <c r="D40" s="155"/>
      <c r="E40" s="154"/>
      <c r="F40" s="157"/>
      <c r="G40" s="152"/>
      <c r="H40" s="155" t="s">
        <v>1427</v>
      </c>
      <c r="I40" s="152"/>
      <c r="J40" s="154"/>
      <c r="K40" s="154" t="s">
        <v>1463</v>
      </c>
      <c r="L40" s="227">
        <v>2868.2785379905199</v>
      </c>
      <c r="M40" s="157" t="s">
        <v>1448</v>
      </c>
      <c r="N40" s="227">
        <f>G24+G25+N39-I40-L40</f>
        <v>243041.79146200937</v>
      </c>
      <c r="O40" s="152">
        <f t="shared" ref="O40:O45" si="10">O39+G40-I40-L40</f>
        <v>670989.36946200929</v>
      </c>
    </row>
    <row r="41" spans="1:15" x14ac:dyDescent="0.15">
      <c r="A41" s="154"/>
      <c r="B41" s="151"/>
      <c r="C41" s="152"/>
      <c r="D41" s="155"/>
      <c r="E41" s="155"/>
      <c r="F41" s="157"/>
      <c r="G41" s="152"/>
      <c r="H41" s="155" t="s">
        <v>1427</v>
      </c>
      <c r="I41" s="152"/>
      <c r="J41" s="154"/>
      <c r="K41" s="154" t="s">
        <v>1463</v>
      </c>
      <c r="L41" s="227">
        <v>6864.48</v>
      </c>
      <c r="M41" s="157" t="s">
        <v>1448</v>
      </c>
      <c r="N41" s="227">
        <f t="shared" ref="N41:N45" si="11">+N40-I41-L41</f>
        <v>236177.31146200935</v>
      </c>
      <c r="O41" s="152">
        <f t="shared" si="10"/>
        <v>664124.88946200931</v>
      </c>
    </row>
    <row r="42" spans="1:15" x14ac:dyDescent="0.15">
      <c r="A42" s="154"/>
      <c r="B42" s="151"/>
      <c r="C42" s="152"/>
      <c r="D42" s="155"/>
      <c r="E42" s="154"/>
      <c r="F42" s="157"/>
      <c r="G42" s="152"/>
      <c r="H42" s="155" t="s">
        <v>1427</v>
      </c>
      <c r="I42" s="152"/>
      <c r="J42" s="154"/>
      <c r="K42" s="154" t="s">
        <v>1463</v>
      </c>
      <c r="L42" s="227">
        <v>14295.24</v>
      </c>
      <c r="M42" s="157" t="s">
        <v>1448</v>
      </c>
      <c r="N42" s="227">
        <f t="shared" si="11"/>
        <v>221882.07146200936</v>
      </c>
      <c r="O42" s="152">
        <f t="shared" si="10"/>
        <v>649829.64946200931</v>
      </c>
    </row>
    <row r="43" spans="1:15" x14ac:dyDescent="0.15">
      <c r="A43" s="154"/>
      <c r="B43" s="151"/>
      <c r="C43" s="152"/>
      <c r="D43" s="155"/>
      <c r="E43" s="154"/>
      <c r="F43" s="157"/>
      <c r="G43" s="152"/>
      <c r="H43" s="155" t="s">
        <v>1427</v>
      </c>
      <c r="I43" s="152"/>
      <c r="J43" s="154"/>
      <c r="K43" s="154" t="s">
        <v>1463</v>
      </c>
      <c r="L43" s="227">
        <v>14745.47</v>
      </c>
      <c r="M43" s="157" t="s">
        <v>1448</v>
      </c>
      <c r="N43" s="227">
        <f t="shared" si="11"/>
        <v>207136.60146200936</v>
      </c>
      <c r="O43" s="152">
        <f t="shared" si="10"/>
        <v>635084.17946200934</v>
      </c>
    </row>
    <row r="44" spans="1:15" x14ac:dyDescent="0.15">
      <c r="A44" s="154"/>
      <c r="B44" s="151"/>
      <c r="C44" s="152"/>
      <c r="D44" s="155"/>
      <c r="E44" s="154"/>
      <c r="F44" s="157"/>
      <c r="G44" s="152"/>
      <c r="H44" s="155" t="s">
        <v>1427</v>
      </c>
      <c r="I44" s="152"/>
      <c r="J44" s="154"/>
      <c r="K44" s="154" t="s">
        <v>1463</v>
      </c>
      <c r="L44" s="227">
        <v>14113.15</v>
      </c>
      <c r="M44" s="157" t="s">
        <v>1448</v>
      </c>
      <c r="N44" s="227">
        <f t="shared" si="11"/>
        <v>193023.45146200937</v>
      </c>
      <c r="O44" s="152">
        <f t="shared" si="10"/>
        <v>620971.02946200932</v>
      </c>
    </row>
    <row r="45" spans="1:15" x14ac:dyDescent="0.15">
      <c r="A45" s="154"/>
      <c r="B45" s="151"/>
      <c r="C45" s="152"/>
      <c r="D45" s="155"/>
      <c r="E45" s="154"/>
      <c r="F45" s="157"/>
      <c r="G45" s="152"/>
      <c r="H45" s="155" t="s">
        <v>1427</v>
      </c>
      <c r="I45" s="152"/>
      <c r="J45" s="154"/>
      <c r="K45" s="154" t="s">
        <v>1463</v>
      </c>
      <c r="L45" s="227">
        <v>14656.43</v>
      </c>
      <c r="M45" s="157" t="s">
        <v>1448</v>
      </c>
      <c r="N45" s="227">
        <f t="shared" si="11"/>
        <v>178367.02146200938</v>
      </c>
      <c r="O45" s="152">
        <f t="shared" si="10"/>
        <v>606314.59946200927</v>
      </c>
    </row>
    <row r="46" spans="1:15" x14ac:dyDescent="0.15">
      <c r="A46" s="154"/>
      <c r="B46" s="151"/>
      <c r="C46" s="152"/>
      <c r="D46" s="155"/>
      <c r="E46" s="154"/>
      <c r="F46" s="157"/>
      <c r="G46" s="152"/>
      <c r="H46" s="155" t="s">
        <v>1427</v>
      </c>
      <c r="I46" s="152"/>
      <c r="J46" s="154"/>
      <c r="K46" s="154" t="s">
        <v>1463</v>
      </c>
      <c r="L46" s="227">
        <v>15177.69</v>
      </c>
      <c r="M46" s="157" t="s">
        <v>1448</v>
      </c>
      <c r="N46" s="227">
        <f t="shared" si="2"/>
        <v>163189.33146200937</v>
      </c>
      <c r="O46" s="152">
        <f t="shared" si="3"/>
        <v>591136.90946200932</v>
      </c>
    </row>
    <row r="47" spans="1:15" x14ac:dyDescent="0.15">
      <c r="A47" s="154"/>
      <c r="B47" s="151"/>
      <c r="C47" s="152"/>
      <c r="D47" s="155"/>
      <c r="E47" s="154"/>
      <c r="F47" s="157"/>
      <c r="G47" s="152"/>
      <c r="H47" s="155" t="s">
        <v>1427</v>
      </c>
      <c r="I47" s="152"/>
      <c r="J47" s="154"/>
      <c r="K47" s="154" t="s">
        <v>1463</v>
      </c>
      <c r="L47" s="227">
        <v>31842.14</v>
      </c>
      <c r="M47" s="157" t="s">
        <v>1448</v>
      </c>
      <c r="N47" s="227">
        <f t="shared" si="2"/>
        <v>131347.19146200939</v>
      </c>
      <c r="O47" s="152">
        <f t="shared" si="3"/>
        <v>559294.76946200931</v>
      </c>
    </row>
    <row r="48" spans="1:15" x14ac:dyDescent="0.15">
      <c r="A48" s="154"/>
      <c r="B48" s="151"/>
      <c r="C48" s="152"/>
      <c r="D48" s="155"/>
      <c r="E48" s="154"/>
      <c r="F48" s="157"/>
      <c r="G48" s="152"/>
      <c r="H48" s="155" t="s">
        <v>1427</v>
      </c>
      <c r="I48" s="152"/>
      <c r="J48" s="154"/>
      <c r="K48" s="154" t="s">
        <v>1463</v>
      </c>
      <c r="L48" s="227">
        <v>373.19</v>
      </c>
      <c r="M48" s="157" t="s">
        <v>1448</v>
      </c>
      <c r="N48" s="227">
        <f t="shared" si="2"/>
        <v>130974.00146200939</v>
      </c>
      <c r="O48" s="152">
        <f t="shared" si="3"/>
        <v>558921.57946200937</v>
      </c>
    </row>
    <row r="49" spans="1:15" x14ac:dyDescent="0.15">
      <c r="A49" s="154"/>
      <c r="B49" s="151"/>
      <c r="C49" s="152"/>
      <c r="D49" s="155"/>
      <c r="E49" s="154"/>
      <c r="F49" s="157"/>
      <c r="G49" s="152"/>
      <c r="H49" s="155" t="s">
        <v>1427</v>
      </c>
      <c r="I49" s="152"/>
      <c r="J49" s="154"/>
      <c r="K49" s="154" t="s">
        <v>1463</v>
      </c>
      <c r="L49" s="227">
        <v>76538.789999999994</v>
      </c>
      <c r="M49" s="157" t="s">
        <v>1448</v>
      </c>
      <c r="N49" s="227">
        <f t="shared" ref="N49:N53" si="12">+N48-I49-L49</f>
        <v>54435.211462009393</v>
      </c>
      <c r="O49" s="152">
        <f t="shared" ref="O49:O53" si="13">O48+G49-I49-L49</f>
        <v>482382.78946200939</v>
      </c>
    </row>
    <row r="50" spans="1:15" x14ac:dyDescent="0.15">
      <c r="A50" s="154"/>
      <c r="B50" s="151"/>
      <c r="C50" s="151"/>
      <c r="D50" s="155" t="s">
        <v>1428</v>
      </c>
      <c r="E50" s="154" t="s">
        <v>72</v>
      </c>
      <c r="F50" s="157" t="s">
        <v>1451</v>
      </c>
      <c r="G50" s="152">
        <v>124343.1249999999</v>
      </c>
      <c r="H50" s="155" t="s">
        <v>1428</v>
      </c>
      <c r="I50" s="152"/>
      <c r="J50" s="154"/>
      <c r="K50" s="154" t="s">
        <v>1463</v>
      </c>
      <c r="L50" s="227">
        <v>54435.211462009393</v>
      </c>
      <c r="M50" s="157" t="s">
        <v>1448</v>
      </c>
      <c r="N50" s="227">
        <f t="shared" si="12"/>
        <v>0</v>
      </c>
      <c r="O50" s="152">
        <f t="shared" si="13"/>
        <v>552290.70299999998</v>
      </c>
    </row>
    <row r="51" spans="1:15" x14ac:dyDescent="0.15">
      <c r="A51" s="154"/>
      <c r="B51" s="151"/>
      <c r="C51" s="151"/>
      <c r="D51" s="155" t="s">
        <v>1428</v>
      </c>
      <c r="E51" s="154" t="s">
        <v>72</v>
      </c>
      <c r="F51" s="157" t="s">
        <v>1452</v>
      </c>
      <c r="G51" s="152">
        <v>159410.80300000001</v>
      </c>
      <c r="H51" s="155" t="s">
        <v>1428</v>
      </c>
      <c r="I51" s="152"/>
      <c r="J51" s="154"/>
      <c r="K51" s="154" t="s">
        <v>1464</v>
      </c>
      <c r="L51" s="227">
        <v>18401.6985379906</v>
      </c>
      <c r="M51" s="157" t="s">
        <v>1449</v>
      </c>
      <c r="N51" s="227">
        <f>G28+N50-I51-L51</f>
        <v>83709.221462009402</v>
      </c>
      <c r="O51" s="152">
        <f t="shared" si="13"/>
        <v>693299.80746200948</v>
      </c>
    </row>
    <row r="52" spans="1:15" x14ac:dyDescent="0.15">
      <c r="A52" s="154"/>
      <c r="B52" s="151"/>
      <c r="C52" s="151"/>
      <c r="D52" s="155"/>
      <c r="E52" s="154"/>
      <c r="F52" s="157"/>
      <c r="G52" s="152"/>
      <c r="H52" s="155" t="s">
        <v>1428</v>
      </c>
      <c r="I52" s="152"/>
      <c r="J52" s="154"/>
      <c r="K52" s="154" t="s">
        <v>1464</v>
      </c>
      <c r="L52" s="227">
        <v>71838.399999999994</v>
      </c>
      <c r="M52" s="157" t="s">
        <v>1449</v>
      </c>
      <c r="N52" s="227">
        <f t="shared" si="12"/>
        <v>11870.821462009408</v>
      </c>
      <c r="O52" s="152">
        <f t="shared" si="13"/>
        <v>621461.40746200946</v>
      </c>
    </row>
    <row r="53" spans="1:15" x14ac:dyDescent="0.15">
      <c r="A53" s="154"/>
      <c r="B53" s="151"/>
      <c r="C53" s="151"/>
      <c r="D53" s="155"/>
      <c r="E53" s="154"/>
      <c r="F53" s="157"/>
      <c r="G53" s="152"/>
      <c r="H53" s="155" t="s">
        <v>1428</v>
      </c>
      <c r="I53" s="152"/>
      <c r="J53" s="157"/>
      <c r="K53" s="154" t="s">
        <v>1464</v>
      </c>
      <c r="L53" s="227">
        <v>11870.821462009408</v>
      </c>
      <c r="M53" s="157" t="s">
        <v>1449</v>
      </c>
      <c r="N53" s="227">
        <f t="shared" si="12"/>
        <v>0</v>
      </c>
      <c r="O53" s="152">
        <f t="shared" si="13"/>
        <v>609590.58600000001</v>
      </c>
    </row>
    <row r="54" spans="1:15" x14ac:dyDescent="0.15">
      <c r="A54" s="154"/>
      <c r="B54" s="151"/>
      <c r="C54" s="151"/>
      <c r="D54" s="155"/>
      <c r="E54" s="154"/>
      <c r="F54" s="157"/>
      <c r="G54" s="152"/>
      <c r="H54" s="155" t="s">
        <v>1428</v>
      </c>
      <c r="I54" s="152"/>
      <c r="J54" s="157"/>
      <c r="K54" s="154" t="s">
        <v>1464</v>
      </c>
      <c r="L54" s="227">
        <v>65388.328537990601</v>
      </c>
      <c r="M54" s="157" t="s">
        <v>1450</v>
      </c>
      <c r="N54" s="227">
        <f>G34+G38+N53-I54-L54</f>
        <v>240452.38546200938</v>
      </c>
      <c r="O54" s="152">
        <f t="shared" ref="O54:O59" si="14">O53+G54-I54-L54</f>
        <v>544202.25746200944</v>
      </c>
    </row>
    <row r="55" spans="1:15" x14ac:dyDescent="0.15">
      <c r="A55" s="154"/>
      <c r="B55" s="151"/>
      <c r="C55" s="151"/>
      <c r="D55" s="155"/>
      <c r="E55" s="154"/>
      <c r="F55" s="157"/>
      <c r="G55" s="152"/>
      <c r="H55" s="155" t="s">
        <v>1428</v>
      </c>
      <c r="I55" s="152"/>
      <c r="J55" s="154"/>
      <c r="K55" s="154" t="s">
        <v>1464</v>
      </c>
      <c r="L55" s="227">
        <v>65588.039999999994</v>
      </c>
      <c r="M55" s="157" t="s">
        <v>1450</v>
      </c>
      <c r="N55" s="227">
        <f t="shared" ref="N55:N59" si="15">+N54-I55-L55</f>
        <v>174864.34546200937</v>
      </c>
      <c r="O55" s="152">
        <f t="shared" si="14"/>
        <v>478614.21746200946</v>
      </c>
    </row>
    <row r="56" spans="1:15" x14ac:dyDescent="0.15">
      <c r="A56" s="154"/>
      <c r="B56" s="151"/>
      <c r="C56" s="151"/>
      <c r="D56" s="155"/>
      <c r="E56" s="155"/>
      <c r="F56" s="157"/>
      <c r="G56" s="152"/>
      <c r="H56" s="155" t="s">
        <v>1428</v>
      </c>
      <c r="I56" s="152"/>
      <c r="J56" s="154"/>
      <c r="K56" s="154" t="s">
        <v>1464</v>
      </c>
      <c r="L56" s="227">
        <v>2298.3000000000002</v>
      </c>
      <c r="M56" s="157" t="s">
        <v>1450</v>
      </c>
      <c r="N56" s="227">
        <f t="shared" si="15"/>
        <v>172566.04546200938</v>
      </c>
      <c r="O56" s="152">
        <f t="shared" si="14"/>
        <v>476315.91746200947</v>
      </c>
    </row>
    <row r="57" spans="1:15" x14ac:dyDescent="0.15">
      <c r="A57" s="154"/>
      <c r="B57" s="151"/>
      <c r="C57" s="151"/>
      <c r="D57" s="155"/>
      <c r="E57" s="154"/>
      <c r="F57" s="157"/>
      <c r="G57" s="152"/>
      <c r="H57" s="155" t="s">
        <v>1428</v>
      </c>
      <c r="I57" s="152"/>
      <c r="J57" s="154"/>
      <c r="K57" s="154" t="s">
        <v>1464</v>
      </c>
      <c r="L57" s="227">
        <v>15166.39</v>
      </c>
      <c r="M57" s="157" t="s">
        <v>1450</v>
      </c>
      <c r="N57" s="227">
        <f t="shared" si="15"/>
        <v>157399.65546200937</v>
      </c>
      <c r="O57" s="152">
        <f t="shared" si="14"/>
        <v>461149.52746200946</v>
      </c>
    </row>
    <row r="58" spans="1:15" x14ac:dyDescent="0.15">
      <c r="A58" s="154"/>
      <c r="B58" s="151"/>
      <c r="C58" s="151"/>
      <c r="D58" s="155" t="s">
        <v>1429</v>
      </c>
      <c r="E58" s="154" t="s">
        <v>72</v>
      </c>
      <c r="F58" s="157" t="s">
        <v>1452</v>
      </c>
      <c r="G58" s="152">
        <v>123902.66800000001</v>
      </c>
      <c r="H58" s="155" t="s">
        <v>1429</v>
      </c>
      <c r="I58" s="152">
        <v>416.87</v>
      </c>
      <c r="J58" s="157" t="s">
        <v>1450</v>
      </c>
      <c r="K58" s="154" t="s">
        <v>1464</v>
      </c>
      <c r="L58" s="227">
        <v>14486.34</v>
      </c>
      <c r="M58" s="157" t="s">
        <v>1450</v>
      </c>
      <c r="N58" s="227">
        <f t="shared" si="15"/>
        <v>142496.44546200937</v>
      </c>
      <c r="O58" s="152">
        <f t="shared" si="14"/>
        <v>570148.98546200944</v>
      </c>
    </row>
    <row r="59" spans="1:15" x14ac:dyDescent="0.15">
      <c r="A59" s="154"/>
      <c r="B59" s="151"/>
      <c r="C59" s="151"/>
      <c r="D59" s="155"/>
      <c r="E59" s="154"/>
      <c r="F59" s="157"/>
      <c r="G59" s="152"/>
      <c r="H59" s="155" t="s">
        <v>1429</v>
      </c>
      <c r="I59" s="152"/>
      <c r="J59" s="154"/>
      <c r="K59" s="154" t="s">
        <v>1464</v>
      </c>
      <c r="L59" s="227">
        <v>15161.68</v>
      </c>
      <c r="M59" s="157" t="s">
        <v>1450</v>
      </c>
      <c r="N59" s="227">
        <f t="shared" si="15"/>
        <v>127334.76546200938</v>
      </c>
      <c r="O59" s="152">
        <f t="shared" si="14"/>
        <v>554987.30546200939</v>
      </c>
    </row>
    <row r="60" spans="1:15" x14ac:dyDescent="0.15">
      <c r="A60" s="154"/>
      <c r="B60" s="151"/>
      <c r="C60" s="151"/>
      <c r="D60" s="155"/>
      <c r="E60" s="155"/>
      <c r="F60" s="157"/>
      <c r="G60" s="152"/>
      <c r="H60" s="155" t="s">
        <v>1429</v>
      </c>
      <c r="I60" s="152"/>
      <c r="J60" s="154"/>
      <c r="K60" s="154" t="s">
        <v>1464</v>
      </c>
      <c r="L60" s="227">
        <v>15157.68</v>
      </c>
      <c r="M60" s="157" t="s">
        <v>1450</v>
      </c>
      <c r="N60" s="227">
        <f t="shared" si="2"/>
        <v>112177.08546200939</v>
      </c>
      <c r="O60" s="152">
        <f t="shared" si="3"/>
        <v>539829.62546200934</v>
      </c>
    </row>
    <row r="61" spans="1:15" x14ac:dyDescent="0.15">
      <c r="A61" s="154"/>
      <c r="B61" s="151"/>
      <c r="C61" s="151"/>
      <c r="D61" s="155"/>
      <c r="E61" s="155"/>
      <c r="F61" s="157"/>
      <c r="G61" s="152"/>
      <c r="H61" s="155" t="s">
        <v>1429</v>
      </c>
      <c r="I61" s="152"/>
      <c r="J61" s="154"/>
      <c r="K61" s="154" t="s">
        <v>1464</v>
      </c>
      <c r="L61" s="227">
        <v>15097.41</v>
      </c>
      <c r="M61" s="157" t="s">
        <v>1450</v>
      </c>
      <c r="N61" s="227">
        <f t="shared" si="2"/>
        <v>97079.675462009385</v>
      </c>
      <c r="O61" s="152">
        <f t="shared" si="3"/>
        <v>524732.21546200931</v>
      </c>
    </row>
    <row r="62" spans="1:15" x14ac:dyDescent="0.15">
      <c r="A62" s="154"/>
      <c r="B62" s="151"/>
      <c r="C62" s="151"/>
      <c r="D62" s="155"/>
      <c r="E62" s="154"/>
      <c r="F62" s="157"/>
      <c r="G62" s="152"/>
      <c r="H62" s="155" t="s">
        <v>1429</v>
      </c>
      <c r="I62" s="152"/>
      <c r="J62" s="154"/>
      <c r="K62" s="154" t="s">
        <v>1464</v>
      </c>
      <c r="L62" s="227">
        <v>81095.33</v>
      </c>
      <c r="M62" s="157" t="s">
        <v>1450</v>
      </c>
      <c r="N62" s="227">
        <f t="shared" si="2"/>
        <v>15984.345462009383</v>
      </c>
      <c r="O62" s="152">
        <f t="shared" si="3"/>
        <v>443636.88546200929</v>
      </c>
    </row>
    <row r="63" spans="1:15" x14ac:dyDescent="0.15">
      <c r="A63" s="154"/>
      <c r="B63" s="151"/>
      <c r="C63" s="151"/>
      <c r="D63" s="155" t="s">
        <v>1430</v>
      </c>
      <c r="E63" s="154" t="s">
        <v>72</v>
      </c>
      <c r="F63" s="157" t="s">
        <v>1452</v>
      </c>
      <c r="G63" s="152">
        <v>143878.639</v>
      </c>
      <c r="H63" s="155" t="s">
        <v>1430</v>
      </c>
      <c r="I63" s="152">
        <v>673.8</v>
      </c>
      <c r="J63" s="157" t="s">
        <v>1450</v>
      </c>
      <c r="K63" s="154" t="s">
        <v>1464</v>
      </c>
      <c r="L63" s="227">
        <v>14747.47</v>
      </c>
      <c r="M63" s="157" t="s">
        <v>1450</v>
      </c>
      <c r="N63" s="227">
        <f t="shared" si="2"/>
        <v>563.07546200938486</v>
      </c>
      <c r="O63" s="152">
        <f t="shared" si="3"/>
        <v>572094.2544620093</v>
      </c>
    </row>
    <row r="64" spans="1:15" x14ac:dyDescent="0.15">
      <c r="A64" s="154"/>
      <c r="B64" s="151"/>
      <c r="C64" s="151"/>
      <c r="D64" s="155"/>
      <c r="E64" s="154"/>
      <c r="F64" s="157"/>
      <c r="G64" s="152"/>
      <c r="H64" s="155" t="s">
        <v>1430</v>
      </c>
      <c r="I64" s="152"/>
      <c r="J64" s="154"/>
      <c r="K64" s="154" t="s">
        <v>1464</v>
      </c>
      <c r="L64" s="227">
        <v>563.07546200938486</v>
      </c>
      <c r="M64" s="157" t="s">
        <v>1450</v>
      </c>
      <c r="N64" s="227">
        <f t="shared" si="2"/>
        <v>0</v>
      </c>
      <c r="O64" s="152">
        <f t="shared" si="3"/>
        <v>571531.17899999989</v>
      </c>
    </row>
    <row r="65" spans="1:15" x14ac:dyDescent="0.15">
      <c r="A65" s="154"/>
      <c r="B65" s="151"/>
      <c r="C65" s="151"/>
      <c r="D65" s="155"/>
      <c r="E65" s="154"/>
      <c r="F65" s="157"/>
      <c r="G65" s="152"/>
      <c r="H65" s="155" t="s">
        <v>1430</v>
      </c>
      <c r="I65" s="152"/>
      <c r="J65" s="154"/>
      <c r="K65" s="154" t="s">
        <v>1464</v>
      </c>
      <c r="L65" s="227">
        <v>14044.3245379906</v>
      </c>
      <c r="M65" s="157" t="s">
        <v>1451</v>
      </c>
      <c r="N65" s="227">
        <f>G39+G50+N64-I65-L65</f>
        <v>130294.7444620093</v>
      </c>
      <c r="O65" s="152">
        <f t="shared" ref="O65:O69" si="16">O64+G65-I65-L65</f>
        <v>557486.85446200927</v>
      </c>
    </row>
    <row r="66" spans="1:15" x14ac:dyDescent="0.15">
      <c r="A66" s="154"/>
      <c r="B66" s="151"/>
      <c r="C66" s="151"/>
      <c r="D66" s="155"/>
      <c r="E66" s="154"/>
      <c r="F66" s="157"/>
      <c r="G66" s="152"/>
      <c r="H66" s="155" t="s">
        <v>1430</v>
      </c>
      <c r="I66" s="152"/>
      <c r="J66" s="154"/>
      <c r="K66" s="154" t="s">
        <v>1464</v>
      </c>
      <c r="L66" s="227">
        <v>15067.63</v>
      </c>
      <c r="M66" s="157" t="s">
        <v>1451</v>
      </c>
      <c r="N66" s="227">
        <f t="shared" ref="N66:N69" si="17">+N65-I66-L66</f>
        <v>115227.1144620093</v>
      </c>
      <c r="O66" s="152">
        <f t="shared" si="16"/>
        <v>542419.22446200927</v>
      </c>
    </row>
    <row r="67" spans="1:15" x14ac:dyDescent="0.15">
      <c r="A67" s="154"/>
      <c r="B67" s="151"/>
      <c r="C67" s="151"/>
      <c r="D67" s="155"/>
      <c r="E67" s="154"/>
      <c r="F67" s="291"/>
      <c r="G67" s="152"/>
      <c r="H67" s="155" t="s">
        <v>1430</v>
      </c>
      <c r="I67" s="152"/>
      <c r="J67" s="157"/>
      <c r="K67" s="154" t="s">
        <v>1464</v>
      </c>
      <c r="L67" s="227">
        <v>14022.1</v>
      </c>
      <c r="M67" s="157" t="s">
        <v>1451</v>
      </c>
      <c r="N67" s="227">
        <f t="shared" si="17"/>
        <v>101205.01446200929</v>
      </c>
      <c r="O67" s="152">
        <f t="shared" si="16"/>
        <v>528397.12446200929</v>
      </c>
    </row>
    <row r="68" spans="1:15" x14ac:dyDescent="0.15">
      <c r="A68" s="154"/>
      <c r="B68" s="151"/>
      <c r="C68" s="151"/>
      <c r="D68" s="155"/>
      <c r="E68" s="154"/>
      <c r="F68" s="157"/>
      <c r="G68" s="152"/>
      <c r="H68" s="155" t="s">
        <v>1430</v>
      </c>
      <c r="I68" s="152"/>
      <c r="J68" s="154"/>
      <c r="K68" s="154" t="s">
        <v>1464</v>
      </c>
      <c r="L68" s="227">
        <v>15224.71</v>
      </c>
      <c r="M68" s="157" t="s">
        <v>1451</v>
      </c>
      <c r="N68" s="227">
        <f t="shared" si="17"/>
        <v>85980.304462009284</v>
      </c>
      <c r="O68" s="152">
        <f t="shared" si="16"/>
        <v>513172.41446200927</v>
      </c>
    </row>
    <row r="69" spans="1:15" x14ac:dyDescent="0.15">
      <c r="A69" s="154"/>
      <c r="B69" s="151"/>
      <c r="C69" s="151"/>
      <c r="D69" s="155"/>
      <c r="E69" s="154"/>
      <c r="F69" s="291"/>
      <c r="G69" s="152"/>
      <c r="H69" s="155" t="s">
        <v>1430</v>
      </c>
      <c r="I69" s="152"/>
      <c r="J69" s="154"/>
      <c r="K69" s="154" t="s">
        <v>1464</v>
      </c>
      <c r="L69" s="227">
        <v>50475.58</v>
      </c>
      <c r="M69" s="157" t="s">
        <v>1451</v>
      </c>
      <c r="N69" s="227">
        <f t="shared" si="17"/>
        <v>35504.724462009282</v>
      </c>
      <c r="O69" s="152">
        <f t="shared" si="16"/>
        <v>462696.83446200925</v>
      </c>
    </row>
    <row r="70" spans="1:15" x14ac:dyDescent="0.15">
      <c r="A70" s="154"/>
      <c r="B70" s="151"/>
      <c r="C70" s="151"/>
      <c r="D70" s="155"/>
      <c r="E70" s="155"/>
      <c r="F70" s="157"/>
      <c r="G70" s="152"/>
      <c r="H70" s="155" t="s">
        <v>1430</v>
      </c>
      <c r="I70" s="152"/>
      <c r="J70" s="154"/>
      <c r="K70" s="154" t="s">
        <v>1464</v>
      </c>
      <c r="L70" s="227">
        <v>33868.699999999997</v>
      </c>
      <c r="M70" s="157" t="s">
        <v>1451</v>
      </c>
      <c r="N70" s="227">
        <f t="shared" ref="N70:N76" si="18">+N69-I70-L70</f>
        <v>1636.0244620092853</v>
      </c>
      <c r="O70" s="152">
        <f t="shared" ref="O70:O76" si="19">O69+G70-I70-L70</f>
        <v>428828.13446200924</v>
      </c>
    </row>
    <row r="71" spans="1:15" x14ac:dyDescent="0.15">
      <c r="A71" s="154"/>
      <c r="B71" s="151"/>
      <c r="C71" s="151"/>
      <c r="D71" s="155"/>
      <c r="E71" s="154"/>
      <c r="F71" s="291"/>
      <c r="G71" s="152"/>
      <c r="H71" s="155" t="s">
        <v>1430</v>
      </c>
      <c r="I71" s="152"/>
      <c r="J71" s="154"/>
      <c r="K71" s="154" t="s">
        <v>1464</v>
      </c>
      <c r="L71" s="227">
        <v>1636.0244620092853</v>
      </c>
      <c r="M71" s="157" t="s">
        <v>1451</v>
      </c>
      <c r="N71" s="227">
        <f t="shared" si="18"/>
        <v>0</v>
      </c>
      <c r="O71" s="152">
        <f t="shared" si="19"/>
        <v>427192.11</v>
      </c>
    </row>
    <row r="72" spans="1:15" x14ac:dyDescent="0.15">
      <c r="A72" s="154"/>
      <c r="B72" s="151"/>
      <c r="C72" s="151"/>
      <c r="D72" s="155"/>
      <c r="E72" s="154"/>
      <c r="F72" s="291"/>
      <c r="G72" s="152"/>
      <c r="H72" s="155" t="s">
        <v>1430</v>
      </c>
      <c r="I72" s="152"/>
      <c r="J72" s="154"/>
      <c r="K72" s="154" t="s">
        <v>1463</v>
      </c>
      <c r="L72" s="227">
        <v>603.29553799071505</v>
      </c>
      <c r="M72" s="157" t="s">
        <v>1452</v>
      </c>
      <c r="N72" s="227">
        <f>G51+G58+G63+G75+N71-I72-L72</f>
        <v>486581.20946200931</v>
      </c>
      <c r="O72" s="152">
        <f t="shared" si="19"/>
        <v>426588.81446200929</v>
      </c>
    </row>
    <row r="73" spans="1:15" x14ac:dyDescent="0.15">
      <c r="A73" s="154"/>
      <c r="B73" s="151"/>
      <c r="C73" s="151"/>
      <c r="D73" s="155"/>
      <c r="E73" s="155"/>
      <c r="F73" s="157"/>
      <c r="G73" s="152"/>
      <c r="H73" s="155" t="s">
        <v>1430</v>
      </c>
      <c r="I73" s="152"/>
      <c r="J73" s="154"/>
      <c r="K73" s="154" t="s">
        <v>1463</v>
      </c>
      <c r="L73" s="227">
        <v>36978.75</v>
      </c>
      <c r="M73" s="157" t="s">
        <v>1452</v>
      </c>
      <c r="N73" s="227">
        <f t="shared" si="18"/>
        <v>449602.45946200931</v>
      </c>
      <c r="O73" s="152">
        <f t="shared" si="19"/>
        <v>389610.06446200929</v>
      </c>
    </row>
    <row r="74" spans="1:15" x14ac:dyDescent="0.15">
      <c r="A74" s="154"/>
      <c r="B74" s="151"/>
      <c r="C74" s="151"/>
      <c r="D74" s="155"/>
      <c r="E74" s="154"/>
      <c r="F74" s="291"/>
      <c r="G74" s="152"/>
      <c r="H74" s="155" t="s">
        <v>1430</v>
      </c>
      <c r="I74" s="152"/>
      <c r="J74" s="157"/>
      <c r="K74" s="154" t="s">
        <v>1463</v>
      </c>
      <c r="L74" s="227">
        <v>5498.33</v>
      </c>
      <c r="M74" s="157" t="s">
        <v>1452</v>
      </c>
      <c r="N74" s="227">
        <f t="shared" si="18"/>
        <v>444104.1294620093</v>
      </c>
      <c r="O74" s="152">
        <f t="shared" si="19"/>
        <v>384111.73446200928</v>
      </c>
    </row>
    <row r="75" spans="1:15" x14ac:dyDescent="0.15">
      <c r="A75" s="154"/>
      <c r="B75" s="151"/>
      <c r="C75" s="151"/>
      <c r="D75" s="155" t="s">
        <v>1431</v>
      </c>
      <c r="E75" s="154" t="s">
        <v>72</v>
      </c>
      <c r="F75" s="157" t="s">
        <v>1452</v>
      </c>
      <c r="G75" s="152">
        <v>59992.39499999999</v>
      </c>
      <c r="H75" s="155" t="s">
        <v>1431</v>
      </c>
      <c r="I75" s="152"/>
      <c r="J75" s="154"/>
      <c r="K75" s="154" t="s">
        <v>1463</v>
      </c>
      <c r="L75" s="227">
        <v>5080</v>
      </c>
      <c r="M75" s="157" t="s">
        <v>1452</v>
      </c>
      <c r="N75" s="227">
        <f t="shared" si="18"/>
        <v>439024.1294620093</v>
      </c>
      <c r="O75" s="152">
        <f t="shared" si="19"/>
        <v>439024.1294620093</v>
      </c>
    </row>
    <row r="76" spans="1:15" x14ac:dyDescent="0.15">
      <c r="A76" s="154"/>
      <c r="B76" s="151"/>
      <c r="C76" s="151"/>
      <c r="D76" s="155" t="s">
        <v>1431</v>
      </c>
      <c r="E76" s="154" t="s">
        <v>72</v>
      </c>
      <c r="F76" s="157" t="s">
        <v>1453</v>
      </c>
      <c r="G76" s="152">
        <v>183977.59299999999</v>
      </c>
      <c r="H76" s="155" t="s">
        <v>1431</v>
      </c>
      <c r="I76" s="152"/>
      <c r="J76" s="154"/>
      <c r="K76" s="154" t="s">
        <v>1463</v>
      </c>
      <c r="L76" s="227">
        <v>5782.93</v>
      </c>
      <c r="M76" s="157" t="s">
        <v>1452</v>
      </c>
      <c r="N76" s="227">
        <f t="shared" si="18"/>
        <v>433241.1994620093</v>
      </c>
      <c r="O76" s="152">
        <f t="shared" si="19"/>
        <v>617218.79246200924</v>
      </c>
    </row>
    <row r="77" spans="1:15" x14ac:dyDescent="0.15">
      <c r="A77" s="154"/>
      <c r="B77" s="151"/>
      <c r="C77" s="151"/>
      <c r="D77" s="152"/>
      <c r="E77" s="154"/>
      <c r="F77" s="291"/>
      <c r="G77" s="152"/>
      <c r="H77" s="155" t="s">
        <v>1431</v>
      </c>
      <c r="I77" s="152"/>
      <c r="J77" s="154"/>
      <c r="K77" s="154" t="s">
        <v>1463</v>
      </c>
      <c r="L77" s="227">
        <v>13718.95</v>
      </c>
      <c r="M77" s="157" t="s">
        <v>1452</v>
      </c>
      <c r="N77" s="227">
        <f t="shared" si="2"/>
        <v>419522.24946200929</v>
      </c>
      <c r="O77" s="152">
        <f t="shared" si="3"/>
        <v>603499.84246200928</v>
      </c>
    </row>
    <row r="78" spans="1:15" x14ac:dyDescent="0.15">
      <c r="A78" s="154"/>
      <c r="B78" s="151"/>
      <c r="C78" s="151"/>
      <c r="D78" s="152"/>
      <c r="E78" s="154"/>
      <c r="F78" s="291"/>
      <c r="G78" s="152"/>
      <c r="H78" s="155" t="s">
        <v>1431</v>
      </c>
      <c r="I78" s="152"/>
      <c r="J78" s="154"/>
      <c r="K78" s="154" t="s">
        <v>1463</v>
      </c>
      <c r="L78" s="227">
        <v>12016.09</v>
      </c>
      <c r="M78" s="157" t="s">
        <v>1452</v>
      </c>
      <c r="N78" s="227">
        <f t="shared" si="2"/>
        <v>407506.15946200927</v>
      </c>
      <c r="O78" s="152">
        <f t="shared" si="3"/>
        <v>591483.75246200932</v>
      </c>
    </row>
    <row r="79" spans="1:15" x14ac:dyDescent="0.15">
      <c r="A79" s="154"/>
      <c r="B79" s="151"/>
      <c r="C79" s="151"/>
      <c r="D79" s="152"/>
      <c r="E79" s="154"/>
      <c r="F79" s="291"/>
      <c r="G79" s="152"/>
      <c r="H79" s="155" t="s">
        <v>1431</v>
      </c>
      <c r="I79" s="152"/>
      <c r="J79" s="154"/>
      <c r="K79" s="154" t="s">
        <v>1463</v>
      </c>
      <c r="L79" s="227">
        <v>17411.82</v>
      </c>
      <c r="M79" s="157" t="s">
        <v>1452</v>
      </c>
      <c r="N79" s="227">
        <f t="shared" si="2"/>
        <v>390094.33946200926</v>
      </c>
      <c r="O79" s="152">
        <f t="shared" si="3"/>
        <v>574071.93246200937</v>
      </c>
    </row>
    <row r="80" spans="1:15" x14ac:dyDescent="0.15">
      <c r="A80" s="154"/>
      <c r="B80" s="151"/>
      <c r="C80" s="151"/>
      <c r="D80" s="152"/>
      <c r="E80" s="154"/>
      <c r="F80" s="291"/>
      <c r="G80" s="152"/>
      <c r="H80" s="155" t="s">
        <v>1431</v>
      </c>
      <c r="I80" s="152"/>
      <c r="J80" s="157"/>
      <c r="K80" s="154" t="s">
        <v>1463</v>
      </c>
      <c r="L80" s="227">
        <v>14967.58</v>
      </c>
      <c r="M80" s="157" t="s">
        <v>1452</v>
      </c>
      <c r="N80" s="227">
        <f t="shared" si="2"/>
        <v>375126.75946200924</v>
      </c>
      <c r="O80" s="152">
        <f t="shared" si="3"/>
        <v>559104.35246200941</v>
      </c>
    </row>
    <row r="81" spans="1:15" x14ac:dyDescent="0.15">
      <c r="A81" s="154"/>
      <c r="B81" s="151"/>
      <c r="C81" s="151"/>
      <c r="D81" s="152"/>
      <c r="E81" s="154"/>
      <c r="F81" s="291"/>
      <c r="G81" s="152"/>
      <c r="H81" s="155" t="s">
        <v>1431</v>
      </c>
      <c r="I81" s="152"/>
      <c r="J81" s="157"/>
      <c r="K81" s="154" t="s">
        <v>1463</v>
      </c>
      <c r="L81" s="227">
        <v>14448.32</v>
      </c>
      <c r="M81" s="157" t="s">
        <v>1452</v>
      </c>
      <c r="N81" s="227">
        <f t="shared" si="2"/>
        <v>360678.43946200924</v>
      </c>
      <c r="O81" s="152">
        <f t="shared" si="3"/>
        <v>544656.03246200946</v>
      </c>
    </row>
    <row r="82" spans="1:15" x14ac:dyDescent="0.15">
      <c r="A82" s="154"/>
      <c r="B82" s="151"/>
      <c r="C82" s="151"/>
      <c r="D82" s="152"/>
      <c r="E82" s="154"/>
      <c r="F82" s="291"/>
      <c r="G82" s="152"/>
      <c r="H82" s="155" t="s">
        <v>1431</v>
      </c>
      <c r="I82" s="152"/>
      <c r="J82" s="154"/>
      <c r="K82" s="154" t="s">
        <v>1463</v>
      </c>
      <c r="L82" s="227">
        <v>14767.48</v>
      </c>
      <c r="M82" s="157" t="s">
        <v>1452</v>
      </c>
      <c r="N82" s="227">
        <f t="shared" ref="N82:N149" si="20">+N81-I82-L82</f>
        <v>345910.95946200925</v>
      </c>
      <c r="O82" s="152">
        <f t="shared" ref="O82:O149" si="21">O81+G82-I82-L82</f>
        <v>529888.55246200948</v>
      </c>
    </row>
    <row r="83" spans="1:15" x14ac:dyDescent="0.15">
      <c r="A83" s="154"/>
      <c r="B83" s="151"/>
      <c r="C83" s="151"/>
      <c r="D83" s="152"/>
      <c r="E83" s="154"/>
      <c r="F83" s="157"/>
      <c r="G83" s="152"/>
      <c r="H83" s="155" t="s">
        <v>1431</v>
      </c>
      <c r="I83" s="152"/>
      <c r="J83" s="157"/>
      <c r="K83" s="154" t="s">
        <v>1463</v>
      </c>
      <c r="L83" s="227">
        <v>70595.77</v>
      </c>
      <c r="M83" s="157" t="s">
        <v>1452</v>
      </c>
      <c r="N83" s="227">
        <f t="shared" si="20"/>
        <v>275315.18946200924</v>
      </c>
      <c r="O83" s="152">
        <f t="shared" si="21"/>
        <v>459292.78246200946</v>
      </c>
    </row>
    <row r="84" spans="1:15" x14ac:dyDescent="0.15">
      <c r="A84" s="154"/>
      <c r="B84" s="151"/>
      <c r="C84" s="151"/>
      <c r="D84" s="152"/>
      <c r="E84" s="154"/>
      <c r="F84" s="157"/>
      <c r="G84" s="152"/>
      <c r="H84" s="155" t="s">
        <v>1431</v>
      </c>
      <c r="I84" s="152"/>
      <c r="J84" s="154"/>
      <c r="K84" s="154" t="s">
        <v>1463</v>
      </c>
      <c r="L84" s="227">
        <v>36024.25</v>
      </c>
      <c r="M84" s="157" t="s">
        <v>1452</v>
      </c>
      <c r="N84" s="227">
        <f t="shared" si="20"/>
        <v>239290.93946200924</v>
      </c>
      <c r="O84" s="152">
        <f t="shared" si="21"/>
        <v>423268.53246200946</v>
      </c>
    </row>
    <row r="85" spans="1:15" x14ac:dyDescent="0.15">
      <c r="A85" s="154"/>
      <c r="B85" s="151"/>
      <c r="C85" s="151"/>
      <c r="D85" s="152"/>
      <c r="E85" s="154"/>
      <c r="F85" s="291"/>
      <c r="G85" s="152"/>
      <c r="H85" s="155" t="s">
        <v>1431</v>
      </c>
      <c r="I85" s="152"/>
      <c r="J85" s="154"/>
      <c r="K85" s="154" t="s">
        <v>1463</v>
      </c>
      <c r="L85" s="227">
        <v>74237.62</v>
      </c>
      <c r="M85" s="157" t="s">
        <v>1452</v>
      </c>
      <c r="N85" s="227">
        <f t="shared" si="20"/>
        <v>165053.31946200924</v>
      </c>
      <c r="O85" s="152">
        <f t="shared" si="21"/>
        <v>349030.91246200947</v>
      </c>
    </row>
    <row r="86" spans="1:15" x14ac:dyDescent="0.15">
      <c r="A86" s="154"/>
      <c r="B86" s="151"/>
      <c r="C86" s="151"/>
      <c r="D86" s="155" t="s">
        <v>1432</v>
      </c>
      <c r="E86" s="154" t="s">
        <v>72</v>
      </c>
      <c r="F86" s="157" t="s">
        <v>1453</v>
      </c>
      <c r="G86" s="152">
        <v>281806.75099999999</v>
      </c>
      <c r="H86" s="155" t="s">
        <v>1432</v>
      </c>
      <c r="I86" s="152"/>
      <c r="J86" s="291"/>
      <c r="K86" s="154" t="s">
        <v>1463</v>
      </c>
      <c r="L86" s="227">
        <v>14840.52</v>
      </c>
      <c r="M86" s="157" t="s">
        <v>1452</v>
      </c>
      <c r="N86" s="227">
        <f t="shared" si="20"/>
        <v>150212.79946200925</v>
      </c>
      <c r="O86" s="152">
        <f t="shared" si="21"/>
        <v>615997.1434620095</v>
      </c>
    </row>
    <row r="87" spans="1:15" x14ac:dyDescent="0.15">
      <c r="A87" s="154"/>
      <c r="B87" s="151"/>
      <c r="C87" s="151"/>
      <c r="D87" s="155"/>
      <c r="E87" s="154"/>
      <c r="F87" s="157"/>
      <c r="G87" s="152"/>
      <c r="H87" s="155" t="s">
        <v>1432</v>
      </c>
      <c r="I87" s="152"/>
      <c r="J87" s="154"/>
      <c r="K87" s="154" t="s">
        <v>1463</v>
      </c>
      <c r="L87" s="227">
        <v>79680.37</v>
      </c>
      <c r="M87" s="157" t="s">
        <v>1452</v>
      </c>
      <c r="N87" s="227">
        <f t="shared" ref="N87:N93" si="22">+N86-I87-L87</f>
        <v>70532.429462009255</v>
      </c>
      <c r="O87" s="152">
        <f t="shared" ref="O87:O93" si="23">O86+G87-I87-L87</f>
        <v>536316.7734620095</v>
      </c>
    </row>
    <row r="88" spans="1:15" x14ac:dyDescent="0.15">
      <c r="A88" s="154"/>
      <c r="B88" s="151"/>
      <c r="C88" s="151"/>
      <c r="D88" s="155"/>
      <c r="E88" s="154"/>
      <c r="F88" s="291"/>
      <c r="G88" s="152"/>
      <c r="H88" s="155" t="s">
        <v>1432</v>
      </c>
      <c r="I88" s="152"/>
      <c r="J88" s="157"/>
      <c r="K88" s="154" t="s">
        <v>1463</v>
      </c>
      <c r="L88" s="227">
        <v>70532.429462009255</v>
      </c>
      <c r="M88" s="157" t="s">
        <v>1452</v>
      </c>
      <c r="N88" s="227">
        <f t="shared" si="22"/>
        <v>0</v>
      </c>
      <c r="O88" s="152">
        <f t="shared" si="23"/>
        <v>465784.34400000027</v>
      </c>
    </row>
    <row r="89" spans="1:15" x14ac:dyDescent="0.15">
      <c r="A89" s="154"/>
      <c r="B89" s="151"/>
      <c r="C89" s="151"/>
      <c r="D89" s="155"/>
      <c r="E89" s="154"/>
      <c r="F89" s="291"/>
      <c r="G89" s="152"/>
      <c r="H89" s="155" t="s">
        <v>1432</v>
      </c>
      <c r="I89" s="152"/>
      <c r="J89" s="157"/>
      <c r="K89" s="154" t="s">
        <v>1464</v>
      </c>
      <c r="L89" s="227">
        <v>10602.880537990701</v>
      </c>
      <c r="M89" s="157" t="s">
        <v>1453</v>
      </c>
      <c r="N89" s="227">
        <f>G76+G86+G91+N88-I89-L89</f>
        <v>474160.9824620093</v>
      </c>
      <c r="O89" s="152">
        <f t="shared" si="23"/>
        <v>455181.46346200956</v>
      </c>
    </row>
    <row r="90" spans="1:15" x14ac:dyDescent="0.15">
      <c r="A90" s="154"/>
      <c r="B90" s="151"/>
      <c r="C90" s="151"/>
      <c r="D90" s="155"/>
      <c r="E90" s="155"/>
      <c r="F90" s="157"/>
      <c r="G90" s="152"/>
      <c r="H90" s="155" t="s">
        <v>1432</v>
      </c>
      <c r="I90" s="152"/>
      <c r="J90" s="157"/>
      <c r="K90" s="154" t="s">
        <v>1464</v>
      </c>
      <c r="L90" s="227">
        <v>32037.25</v>
      </c>
      <c r="M90" s="157" t="s">
        <v>1453</v>
      </c>
      <c r="N90" s="227">
        <f t="shared" si="22"/>
        <v>442123.7324620093</v>
      </c>
      <c r="O90" s="152">
        <f t="shared" si="23"/>
        <v>423144.21346200956</v>
      </c>
    </row>
    <row r="91" spans="1:15" x14ac:dyDescent="0.15">
      <c r="A91" s="154"/>
      <c r="B91" s="151"/>
      <c r="C91" s="151"/>
      <c r="D91" s="155" t="s">
        <v>1433</v>
      </c>
      <c r="E91" s="154" t="s">
        <v>72</v>
      </c>
      <c r="F91" s="157" t="s">
        <v>1453</v>
      </c>
      <c r="G91" s="152">
        <v>18979.519000000029</v>
      </c>
      <c r="H91" s="155" t="s">
        <v>1433</v>
      </c>
      <c r="I91" s="152"/>
      <c r="J91" s="154"/>
      <c r="K91" s="154" t="s">
        <v>1464</v>
      </c>
      <c r="L91" s="227">
        <v>14827.51</v>
      </c>
      <c r="M91" s="157" t="s">
        <v>1453</v>
      </c>
      <c r="N91" s="227">
        <f t="shared" si="22"/>
        <v>427296.22246200929</v>
      </c>
      <c r="O91" s="152">
        <f t="shared" si="23"/>
        <v>427296.22246200958</v>
      </c>
    </row>
    <row r="92" spans="1:15" x14ac:dyDescent="0.15">
      <c r="A92" s="154"/>
      <c r="B92" s="151"/>
      <c r="C92" s="151"/>
      <c r="D92" s="155" t="s">
        <v>1433</v>
      </c>
      <c r="E92" s="154" t="s">
        <v>72</v>
      </c>
      <c r="F92" s="291" t="s">
        <v>1454</v>
      </c>
      <c r="G92" s="152">
        <v>199782.24299999999</v>
      </c>
      <c r="H92" s="155" t="s">
        <v>1433</v>
      </c>
      <c r="I92" s="152"/>
      <c r="J92" s="154"/>
      <c r="K92" s="154" t="s">
        <v>1464</v>
      </c>
      <c r="L92" s="227">
        <v>32917.68</v>
      </c>
      <c r="M92" s="157" t="s">
        <v>1453</v>
      </c>
      <c r="N92" s="227">
        <f t="shared" si="22"/>
        <v>394378.5424620093</v>
      </c>
      <c r="O92" s="152">
        <f t="shared" si="23"/>
        <v>594160.78546200949</v>
      </c>
    </row>
    <row r="93" spans="1:15" x14ac:dyDescent="0.15">
      <c r="A93" s="154"/>
      <c r="B93" s="151"/>
      <c r="C93" s="151"/>
      <c r="D93" s="155" t="s">
        <v>1434</v>
      </c>
      <c r="E93" s="154" t="s">
        <v>72</v>
      </c>
      <c r="F93" s="157" t="s">
        <v>1454</v>
      </c>
      <c r="G93" s="152">
        <v>160733.17600000001</v>
      </c>
      <c r="H93" s="155" t="s">
        <v>1434</v>
      </c>
      <c r="I93" s="152"/>
      <c r="J93" s="157"/>
      <c r="K93" s="154" t="s">
        <v>1464</v>
      </c>
      <c r="L93" s="227">
        <v>13834.21</v>
      </c>
      <c r="M93" s="157" t="s">
        <v>1453</v>
      </c>
      <c r="N93" s="227">
        <f t="shared" si="22"/>
        <v>380544.33246200928</v>
      </c>
      <c r="O93" s="152">
        <f t="shared" si="23"/>
        <v>741059.7514620095</v>
      </c>
    </row>
    <row r="94" spans="1:15" x14ac:dyDescent="0.15">
      <c r="A94" s="154"/>
      <c r="B94" s="151"/>
      <c r="C94" s="151"/>
      <c r="D94" s="155" t="s">
        <v>1434</v>
      </c>
      <c r="E94" s="154" t="s">
        <v>72</v>
      </c>
      <c r="F94" s="157" t="s">
        <v>1455</v>
      </c>
      <c r="G94" s="152">
        <v>39998.783000000003</v>
      </c>
      <c r="H94" s="155" t="s">
        <v>1434</v>
      </c>
      <c r="I94" s="152"/>
      <c r="J94" s="154"/>
      <c r="K94" s="154" t="s">
        <v>1464</v>
      </c>
      <c r="L94" s="227">
        <v>13894.22</v>
      </c>
      <c r="M94" s="157" t="s">
        <v>1453</v>
      </c>
      <c r="N94" s="227">
        <f t="shared" si="20"/>
        <v>366650.1124620093</v>
      </c>
      <c r="O94" s="152">
        <f t="shared" si="21"/>
        <v>767164.31446200958</v>
      </c>
    </row>
    <row r="95" spans="1:15" x14ac:dyDescent="0.15">
      <c r="A95" s="154"/>
      <c r="B95" s="151"/>
      <c r="C95" s="151"/>
      <c r="D95" s="152"/>
      <c r="E95" s="155"/>
      <c r="F95" s="157"/>
      <c r="G95" s="152"/>
      <c r="H95" s="155" t="s">
        <v>1434</v>
      </c>
      <c r="I95" s="152"/>
      <c r="J95" s="154"/>
      <c r="K95" s="154" t="s">
        <v>1464</v>
      </c>
      <c r="L95" s="227">
        <v>14654.46</v>
      </c>
      <c r="M95" s="157" t="s">
        <v>1453</v>
      </c>
      <c r="N95" s="227">
        <f t="shared" si="20"/>
        <v>351995.65246200928</v>
      </c>
      <c r="O95" s="152">
        <f t="shared" si="21"/>
        <v>752509.85446200962</v>
      </c>
    </row>
    <row r="96" spans="1:15" x14ac:dyDescent="0.15">
      <c r="A96" s="154"/>
      <c r="B96" s="151"/>
      <c r="C96" s="151"/>
      <c r="D96" s="152"/>
      <c r="E96" s="154"/>
      <c r="F96" s="291"/>
      <c r="G96" s="152"/>
      <c r="H96" s="155" t="s">
        <v>1434</v>
      </c>
      <c r="I96" s="152"/>
      <c r="J96" s="291"/>
      <c r="K96" s="154" t="s">
        <v>1464</v>
      </c>
      <c r="L96" s="227">
        <v>13665.16</v>
      </c>
      <c r="M96" s="157" t="s">
        <v>1453</v>
      </c>
      <c r="N96" s="227">
        <f t="shared" si="20"/>
        <v>338330.49246200931</v>
      </c>
      <c r="O96" s="152">
        <f t="shared" si="21"/>
        <v>738844.69446200959</v>
      </c>
    </row>
    <row r="97" spans="1:15" x14ac:dyDescent="0.15">
      <c r="A97" s="154"/>
      <c r="B97" s="151"/>
      <c r="C97" s="151"/>
      <c r="D97" s="152"/>
      <c r="E97" s="155"/>
      <c r="F97" s="157"/>
      <c r="G97" s="152"/>
      <c r="H97" s="155" t="s">
        <v>1434</v>
      </c>
      <c r="I97" s="152"/>
      <c r="J97" s="154"/>
      <c r="K97" s="154" t="s">
        <v>1464</v>
      </c>
      <c r="L97" s="227">
        <v>73422.33</v>
      </c>
      <c r="M97" s="157" t="s">
        <v>1453</v>
      </c>
      <c r="N97" s="227">
        <f t="shared" si="20"/>
        <v>264908.16246200929</v>
      </c>
      <c r="O97" s="152">
        <f t="shared" si="21"/>
        <v>665422.36446200963</v>
      </c>
    </row>
    <row r="98" spans="1:15" x14ac:dyDescent="0.15">
      <c r="A98" s="154"/>
      <c r="B98" s="151"/>
      <c r="C98" s="151"/>
      <c r="D98" s="152"/>
      <c r="E98" s="154"/>
      <c r="F98" s="291"/>
      <c r="G98" s="152"/>
      <c r="H98" s="155" t="s">
        <v>1434</v>
      </c>
      <c r="I98" s="152"/>
      <c r="J98" s="154"/>
      <c r="K98" s="154" t="s">
        <v>1464</v>
      </c>
      <c r="L98" s="227">
        <v>35371.29</v>
      </c>
      <c r="M98" s="157" t="s">
        <v>1453</v>
      </c>
      <c r="N98" s="227">
        <f t="shared" si="20"/>
        <v>229536.87246200928</v>
      </c>
      <c r="O98" s="152">
        <f t="shared" si="21"/>
        <v>630051.07446200959</v>
      </c>
    </row>
    <row r="99" spans="1:15" x14ac:dyDescent="0.15">
      <c r="A99" s="154"/>
      <c r="B99" s="151"/>
      <c r="C99" s="151"/>
      <c r="D99" s="152"/>
      <c r="E99" s="154"/>
      <c r="F99" s="291"/>
      <c r="G99" s="152"/>
      <c r="H99" s="155" t="s">
        <v>1434</v>
      </c>
      <c r="I99" s="152"/>
      <c r="J99" s="154"/>
      <c r="K99" s="154" t="s">
        <v>1464</v>
      </c>
      <c r="L99" s="227">
        <v>36720.19</v>
      </c>
      <c r="M99" s="157" t="s">
        <v>1453</v>
      </c>
      <c r="N99" s="227">
        <f t="shared" si="20"/>
        <v>192816.68246200928</v>
      </c>
      <c r="O99" s="152">
        <f t="shared" si="21"/>
        <v>593330.88446200965</v>
      </c>
    </row>
    <row r="100" spans="1:15" x14ac:dyDescent="0.15">
      <c r="A100" s="154"/>
      <c r="B100" s="151"/>
      <c r="C100" s="151"/>
      <c r="D100" s="152"/>
      <c r="E100" s="154"/>
      <c r="F100" s="291"/>
      <c r="G100" s="152"/>
      <c r="H100" s="155" t="s">
        <v>1434</v>
      </c>
      <c r="I100" s="152"/>
      <c r="J100" s="157"/>
      <c r="K100" s="154" t="s">
        <v>1464</v>
      </c>
      <c r="L100" s="227">
        <v>34571.94</v>
      </c>
      <c r="M100" s="157" t="s">
        <v>1453</v>
      </c>
      <c r="N100" s="227">
        <f t="shared" si="20"/>
        <v>158244.74246200928</v>
      </c>
      <c r="O100" s="152">
        <f t="shared" si="21"/>
        <v>558758.94446200971</v>
      </c>
    </row>
    <row r="101" spans="1:15" x14ac:dyDescent="0.15">
      <c r="A101" s="154"/>
      <c r="B101" s="151"/>
      <c r="C101" s="151"/>
      <c r="D101" s="152"/>
      <c r="E101" s="154"/>
      <c r="F101" s="291"/>
      <c r="G101" s="152"/>
      <c r="H101" s="155" t="s">
        <v>1435</v>
      </c>
      <c r="I101" s="152">
        <v>1758.57</v>
      </c>
      <c r="J101" s="157" t="s">
        <v>1453</v>
      </c>
      <c r="K101" s="154" t="s">
        <v>1464</v>
      </c>
      <c r="L101" s="227">
        <v>15074.58</v>
      </c>
      <c r="M101" s="157" t="s">
        <v>1453</v>
      </c>
      <c r="N101" s="227">
        <f t="shared" si="20"/>
        <v>141411.59246200928</v>
      </c>
      <c r="O101" s="152">
        <f t="shared" si="21"/>
        <v>541925.7944620098</v>
      </c>
    </row>
    <row r="102" spans="1:15" x14ac:dyDescent="0.15">
      <c r="A102" s="154"/>
      <c r="B102" s="151"/>
      <c r="C102" s="151"/>
      <c r="D102" s="152"/>
      <c r="E102" s="154"/>
      <c r="F102" s="157"/>
      <c r="G102" s="152"/>
      <c r="H102" s="155" t="s">
        <v>1435</v>
      </c>
      <c r="I102" s="152"/>
      <c r="J102" s="154"/>
      <c r="K102" s="154" t="s">
        <v>1464</v>
      </c>
      <c r="L102" s="227">
        <v>14492.41</v>
      </c>
      <c r="M102" s="157" t="s">
        <v>1453</v>
      </c>
      <c r="N102" s="227">
        <f t="shared" si="20"/>
        <v>126919.18246200928</v>
      </c>
      <c r="O102" s="152">
        <f t="shared" si="21"/>
        <v>527433.38446200977</v>
      </c>
    </row>
    <row r="103" spans="1:15" x14ac:dyDescent="0.15">
      <c r="A103" s="154"/>
      <c r="B103" s="151"/>
      <c r="C103" s="151"/>
      <c r="D103" s="152"/>
      <c r="E103" s="154"/>
      <c r="F103" s="157"/>
      <c r="G103" s="152"/>
      <c r="H103" s="155" t="s">
        <v>1435</v>
      </c>
      <c r="I103" s="152"/>
      <c r="J103" s="154"/>
      <c r="K103" s="154" t="s">
        <v>1464</v>
      </c>
      <c r="L103" s="227">
        <v>12951.94</v>
      </c>
      <c r="M103" s="157" t="s">
        <v>1453</v>
      </c>
      <c r="N103" s="227">
        <f t="shared" si="20"/>
        <v>113967.24246200928</v>
      </c>
      <c r="O103" s="152">
        <f t="shared" si="21"/>
        <v>514481.44446200976</v>
      </c>
    </row>
    <row r="104" spans="1:15" x14ac:dyDescent="0.15">
      <c r="A104" s="154"/>
      <c r="B104" s="151"/>
      <c r="C104" s="151"/>
      <c r="D104" s="152"/>
      <c r="E104" s="154"/>
      <c r="F104" s="157"/>
      <c r="G104" s="152"/>
      <c r="H104" s="155" t="s">
        <v>1435</v>
      </c>
      <c r="I104" s="152"/>
      <c r="J104" s="154"/>
      <c r="K104" s="154" t="s">
        <v>1464</v>
      </c>
      <c r="L104" s="227">
        <v>6852.08</v>
      </c>
      <c r="M104" s="157" t="s">
        <v>1453</v>
      </c>
      <c r="N104" s="227">
        <f t="shared" si="20"/>
        <v>107115.16246200928</v>
      </c>
      <c r="O104" s="152">
        <f t="shared" si="21"/>
        <v>507629.36446200975</v>
      </c>
    </row>
    <row r="105" spans="1:15" x14ac:dyDescent="0.15">
      <c r="A105" s="154"/>
      <c r="B105" s="151"/>
      <c r="C105" s="151"/>
      <c r="D105" s="152"/>
      <c r="E105" s="154"/>
      <c r="F105" s="157"/>
      <c r="G105" s="152"/>
      <c r="H105" s="155" t="s">
        <v>1435</v>
      </c>
      <c r="I105" s="152"/>
      <c r="J105" s="154"/>
      <c r="K105" s="154" t="s">
        <v>1464</v>
      </c>
      <c r="L105" s="227">
        <v>15134.6</v>
      </c>
      <c r="M105" s="157" t="s">
        <v>1453</v>
      </c>
      <c r="N105" s="227">
        <f t="shared" si="20"/>
        <v>91980.562462009271</v>
      </c>
      <c r="O105" s="152">
        <f t="shared" si="21"/>
        <v>492494.76446200977</v>
      </c>
    </row>
    <row r="106" spans="1:15" x14ac:dyDescent="0.15">
      <c r="A106" s="154"/>
      <c r="B106" s="151"/>
      <c r="C106" s="151"/>
      <c r="D106" s="152"/>
      <c r="E106" s="155"/>
      <c r="F106" s="157"/>
      <c r="G106" s="152"/>
      <c r="H106" s="155" t="s">
        <v>1435</v>
      </c>
      <c r="I106" s="152"/>
      <c r="J106" s="154"/>
      <c r="K106" s="154" t="s">
        <v>1464</v>
      </c>
      <c r="L106" s="227">
        <v>13544.12</v>
      </c>
      <c r="M106" s="157" t="s">
        <v>1453</v>
      </c>
      <c r="N106" s="227">
        <f t="shared" si="20"/>
        <v>78436.442462009276</v>
      </c>
      <c r="O106" s="152">
        <f t="shared" si="21"/>
        <v>478950.64446200978</v>
      </c>
    </row>
    <row r="107" spans="1:15" x14ac:dyDescent="0.15">
      <c r="A107" s="154"/>
      <c r="B107" s="151"/>
      <c r="C107" s="151"/>
      <c r="D107" s="152"/>
      <c r="E107" s="154"/>
      <c r="F107" s="291"/>
      <c r="G107" s="152"/>
      <c r="H107" s="155" t="s">
        <v>1435</v>
      </c>
      <c r="I107" s="152"/>
      <c r="J107" s="154"/>
      <c r="K107" s="154" t="s">
        <v>1464</v>
      </c>
      <c r="L107" s="227">
        <v>70221.350000000006</v>
      </c>
      <c r="M107" s="157" t="s">
        <v>1453</v>
      </c>
      <c r="N107" s="227">
        <f t="shared" si="20"/>
        <v>8215.0924620092701</v>
      </c>
      <c r="O107" s="152">
        <f t="shared" si="21"/>
        <v>408729.2944620098</v>
      </c>
    </row>
    <row r="108" spans="1:15" x14ac:dyDescent="0.15">
      <c r="A108" s="154"/>
      <c r="B108" s="151"/>
      <c r="C108" s="151"/>
      <c r="D108" s="152"/>
      <c r="E108" s="154"/>
      <c r="F108" s="291"/>
      <c r="G108" s="152"/>
      <c r="H108" s="155" t="s">
        <v>1435</v>
      </c>
      <c r="I108" s="152"/>
      <c r="J108" s="157"/>
      <c r="K108" s="154" t="s">
        <v>1464</v>
      </c>
      <c r="L108" s="227">
        <v>8215.0924620092701</v>
      </c>
      <c r="M108" s="157" t="s">
        <v>1453</v>
      </c>
      <c r="N108" s="227">
        <f t="shared" ref="N108:N114" si="24">+N107-I108-L108</f>
        <v>0</v>
      </c>
      <c r="O108" s="152">
        <f t="shared" ref="O108:O114" si="25">O107+G108-I108-L108</f>
        <v>400514.20200000051</v>
      </c>
    </row>
    <row r="109" spans="1:15" x14ac:dyDescent="0.15">
      <c r="A109" s="154"/>
      <c r="B109" s="151"/>
      <c r="C109" s="151"/>
      <c r="D109" s="152"/>
      <c r="E109" s="154"/>
      <c r="F109" s="291"/>
      <c r="G109" s="152"/>
      <c r="H109" s="155" t="s">
        <v>1435</v>
      </c>
      <c r="I109" s="152"/>
      <c r="J109" s="157"/>
      <c r="K109" s="154" t="s">
        <v>1463</v>
      </c>
      <c r="L109" s="227">
        <v>65481.317537990697</v>
      </c>
      <c r="M109" s="157" t="s">
        <v>1454</v>
      </c>
      <c r="N109" s="227">
        <f>G92+G93+N108-I109-L109</f>
        <v>295034.1014620093</v>
      </c>
      <c r="O109" s="152">
        <f t="shared" si="25"/>
        <v>335032.88446200982</v>
      </c>
    </row>
    <row r="110" spans="1:15" x14ac:dyDescent="0.15">
      <c r="A110" s="154"/>
      <c r="B110" s="151"/>
      <c r="C110" s="151"/>
      <c r="D110" s="152"/>
      <c r="E110" s="154"/>
      <c r="F110" s="291"/>
      <c r="G110" s="152"/>
      <c r="H110" s="155" t="s">
        <v>1435</v>
      </c>
      <c r="I110" s="152"/>
      <c r="J110" s="154"/>
      <c r="K110" s="154" t="s">
        <v>1463</v>
      </c>
      <c r="L110" s="227">
        <v>78223.789999999994</v>
      </c>
      <c r="M110" s="157" t="s">
        <v>1454</v>
      </c>
      <c r="N110" s="227">
        <f t="shared" si="24"/>
        <v>216810.31146200933</v>
      </c>
      <c r="O110" s="152">
        <f t="shared" si="25"/>
        <v>256809.09446200985</v>
      </c>
    </row>
    <row r="111" spans="1:15" x14ac:dyDescent="0.15">
      <c r="A111" s="154"/>
      <c r="B111" s="151"/>
      <c r="C111" s="151"/>
      <c r="D111" s="152"/>
      <c r="E111" s="154"/>
      <c r="F111" s="291"/>
      <c r="G111" s="152"/>
      <c r="H111" s="155" t="s">
        <v>1435</v>
      </c>
      <c r="I111" s="152"/>
      <c r="J111" s="154"/>
      <c r="K111" s="154" t="s">
        <v>1463</v>
      </c>
      <c r="L111" s="227">
        <v>31119.74</v>
      </c>
      <c r="M111" s="157" t="s">
        <v>1454</v>
      </c>
      <c r="N111" s="227">
        <f t="shared" si="24"/>
        <v>185690.57146200933</v>
      </c>
      <c r="O111" s="152">
        <f t="shared" si="25"/>
        <v>225689.35446200985</v>
      </c>
    </row>
    <row r="112" spans="1:15" x14ac:dyDescent="0.15">
      <c r="A112" s="154"/>
      <c r="B112" s="151"/>
      <c r="C112" s="151"/>
      <c r="D112" s="155" t="s">
        <v>1436</v>
      </c>
      <c r="E112" s="154" t="s">
        <v>72</v>
      </c>
      <c r="F112" s="157" t="s">
        <v>1455</v>
      </c>
      <c r="G112" s="152">
        <v>159588.46</v>
      </c>
      <c r="H112" s="155" t="s">
        <v>1436</v>
      </c>
      <c r="I112" s="152">
        <v>2509.9556000000002</v>
      </c>
      <c r="J112" s="157" t="s">
        <v>1454</v>
      </c>
      <c r="K112" s="154" t="s">
        <v>1463</v>
      </c>
      <c r="L112" s="227">
        <v>11462.32</v>
      </c>
      <c r="M112" s="157" t="s">
        <v>1454</v>
      </c>
      <c r="N112" s="227">
        <f t="shared" si="24"/>
        <v>171718.29586200934</v>
      </c>
      <c r="O112" s="152">
        <f t="shared" si="25"/>
        <v>371305.53886200982</v>
      </c>
    </row>
    <row r="113" spans="1:15" x14ac:dyDescent="0.15">
      <c r="A113" s="154"/>
      <c r="B113" s="151"/>
      <c r="C113" s="151"/>
      <c r="D113" s="155" t="s">
        <v>1436</v>
      </c>
      <c r="E113" s="154" t="s">
        <v>72</v>
      </c>
      <c r="F113" s="157" t="s">
        <v>1456</v>
      </c>
      <c r="G113" s="152">
        <v>58883.1</v>
      </c>
      <c r="H113" s="155" t="s">
        <v>1436</v>
      </c>
      <c r="I113" s="152"/>
      <c r="J113" s="154"/>
      <c r="K113" s="154" t="s">
        <v>1463</v>
      </c>
      <c r="L113" s="227">
        <v>31834.16</v>
      </c>
      <c r="M113" s="157" t="s">
        <v>1454</v>
      </c>
      <c r="N113" s="227">
        <f t="shared" si="24"/>
        <v>139884.13586200934</v>
      </c>
      <c r="O113" s="152">
        <f t="shared" si="25"/>
        <v>398354.47886200983</v>
      </c>
    </row>
    <row r="114" spans="1:15" x14ac:dyDescent="0.15">
      <c r="A114" s="154"/>
      <c r="B114" s="151"/>
      <c r="C114" s="151"/>
      <c r="D114" s="155"/>
      <c r="E114" s="154"/>
      <c r="F114" s="157"/>
      <c r="G114" s="152"/>
      <c r="H114" s="155" t="s">
        <v>1436</v>
      </c>
      <c r="I114" s="152"/>
      <c r="J114" s="154"/>
      <c r="K114" s="154" t="s">
        <v>1463</v>
      </c>
      <c r="L114" s="227">
        <v>35441.230000000003</v>
      </c>
      <c r="M114" s="157" t="s">
        <v>1454</v>
      </c>
      <c r="N114" s="227">
        <f t="shared" si="24"/>
        <v>104442.90586200933</v>
      </c>
      <c r="O114" s="152">
        <f t="shared" si="25"/>
        <v>362913.24886200984</v>
      </c>
    </row>
    <row r="115" spans="1:15" x14ac:dyDescent="0.15">
      <c r="A115" s="154"/>
      <c r="B115" s="151"/>
      <c r="C115" s="151"/>
      <c r="D115" s="155"/>
      <c r="E115" s="155"/>
      <c r="F115" s="157"/>
      <c r="G115" s="152"/>
      <c r="H115" s="155" t="s">
        <v>1436</v>
      </c>
      <c r="I115" s="152"/>
      <c r="J115" s="154"/>
      <c r="K115" s="154" t="s">
        <v>1463</v>
      </c>
      <c r="L115" s="227">
        <v>84901.08</v>
      </c>
      <c r="M115" s="157" t="s">
        <v>1454</v>
      </c>
      <c r="N115" s="227">
        <f t="shared" si="20"/>
        <v>19541.825862009326</v>
      </c>
      <c r="O115" s="152">
        <f t="shared" si="21"/>
        <v>278012.16886200983</v>
      </c>
    </row>
    <row r="116" spans="1:15" x14ac:dyDescent="0.15">
      <c r="A116" s="154"/>
      <c r="B116" s="151"/>
      <c r="C116" s="151"/>
      <c r="D116" s="155" t="s">
        <v>1437</v>
      </c>
      <c r="E116" s="154" t="s">
        <v>72</v>
      </c>
      <c r="F116" s="291" t="s">
        <v>1456</v>
      </c>
      <c r="G116" s="152">
        <v>39966.745000000003</v>
      </c>
      <c r="H116" s="155" t="s">
        <v>1437</v>
      </c>
      <c r="I116" s="152"/>
      <c r="J116" s="157"/>
      <c r="K116" s="154" t="s">
        <v>1463</v>
      </c>
      <c r="L116" s="227">
        <v>14265.34</v>
      </c>
      <c r="M116" s="157" t="s">
        <v>1454</v>
      </c>
      <c r="N116" s="227">
        <f t="shared" si="20"/>
        <v>5276.4858620093255</v>
      </c>
      <c r="O116" s="152">
        <f t="shared" si="21"/>
        <v>303713.5738620098</v>
      </c>
    </row>
    <row r="117" spans="1:15" x14ac:dyDescent="0.15">
      <c r="A117" s="154"/>
      <c r="B117" s="151"/>
      <c r="C117" s="151"/>
      <c r="D117" s="155" t="s">
        <v>1437</v>
      </c>
      <c r="E117" s="154" t="s">
        <v>72</v>
      </c>
      <c r="F117" s="291" t="s">
        <v>1457</v>
      </c>
      <c r="G117" s="152">
        <v>96993.917000000001</v>
      </c>
      <c r="H117" s="155" t="s">
        <v>1437</v>
      </c>
      <c r="I117" s="152"/>
      <c r="J117" s="157"/>
      <c r="K117" s="154" t="s">
        <v>1463</v>
      </c>
      <c r="L117" s="227">
        <v>5276.4858620093255</v>
      </c>
      <c r="M117" s="157" t="s">
        <v>1454</v>
      </c>
      <c r="N117" s="227">
        <f t="shared" si="20"/>
        <v>0</v>
      </c>
      <c r="O117" s="152">
        <f t="shared" si="21"/>
        <v>395431.00500000047</v>
      </c>
    </row>
    <row r="118" spans="1:15" x14ac:dyDescent="0.15">
      <c r="A118" s="154"/>
      <c r="B118" s="151"/>
      <c r="C118" s="151"/>
      <c r="D118" s="155"/>
      <c r="E118" s="154"/>
      <c r="F118" s="291"/>
      <c r="G118" s="152"/>
      <c r="H118" s="155" t="s">
        <v>1437</v>
      </c>
      <c r="I118" s="152"/>
      <c r="J118" s="157"/>
      <c r="K118" s="154" t="s">
        <v>1463</v>
      </c>
      <c r="L118" s="227">
        <v>8873.8141379906701</v>
      </c>
      <c r="M118" s="157" t="s">
        <v>1455</v>
      </c>
      <c r="N118" s="227">
        <f>G94+G112+N117-I118-L118</f>
        <v>190713.42886200931</v>
      </c>
      <c r="O118" s="152">
        <f t="shared" ref="O118:O122" si="26">O117+G118-I118-L118</f>
        <v>386557.19086200983</v>
      </c>
    </row>
    <row r="119" spans="1:15" x14ac:dyDescent="0.15">
      <c r="A119" s="154"/>
      <c r="B119" s="151"/>
      <c r="C119" s="151"/>
      <c r="D119" s="155"/>
      <c r="E119" s="154"/>
      <c r="F119" s="291"/>
      <c r="G119" s="152"/>
      <c r="H119" s="155" t="s">
        <v>1437</v>
      </c>
      <c r="I119" s="152"/>
      <c r="J119" s="154"/>
      <c r="K119" s="154" t="s">
        <v>1463</v>
      </c>
      <c r="L119" s="227">
        <v>47224.36</v>
      </c>
      <c r="M119" s="157" t="s">
        <v>1455</v>
      </c>
      <c r="N119" s="227">
        <f t="shared" ref="N119:N122" si="27">+N118-I119-L119</f>
        <v>143489.06886200933</v>
      </c>
      <c r="O119" s="152">
        <f t="shared" si="26"/>
        <v>339332.83086200984</v>
      </c>
    </row>
    <row r="120" spans="1:15" x14ac:dyDescent="0.15">
      <c r="A120" s="154"/>
      <c r="B120" s="151"/>
      <c r="C120" s="151"/>
      <c r="D120" s="155" t="s">
        <v>1438</v>
      </c>
      <c r="E120" s="154" t="s">
        <v>72</v>
      </c>
      <c r="F120" s="157" t="s">
        <v>1457</v>
      </c>
      <c r="G120" s="152">
        <v>119918.68399999999</v>
      </c>
      <c r="H120" s="155" t="s">
        <v>1438</v>
      </c>
      <c r="I120" s="152">
        <v>904.28</v>
      </c>
      <c r="J120" s="157" t="s">
        <v>1455</v>
      </c>
      <c r="K120" s="154" t="s">
        <v>1463</v>
      </c>
      <c r="L120" s="227">
        <v>14450.39</v>
      </c>
      <c r="M120" s="157" t="s">
        <v>1455</v>
      </c>
      <c r="N120" s="227">
        <f t="shared" si="27"/>
        <v>128134.39886200933</v>
      </c>
      <c r="O120" s="152">
        <f t="shared" si="26"/>
        <v>443896.84486200981</v>
      </c>
    </row>
    <row r="121" spans="1:15" x14ac:dyDescent="0.15">
      <c r="A121" s="154"/>
      <c r="B121" s="151"/>
      <c r="C121" s="151"/>
      <c r="D121" s="155" t="s">
        <v>1438</v>
      </c>
      <c r="E121" s="154" t="s">
        <v>72</v>
      </c>
      <c r="F121" s="291" t="s">
        <v>1458</v>
      </c>
      <c r="G121" s="152">
        <v>99008.414000000004</v>
      </c>
      <c r="H121" s="155" t="s">
        <v>1438</v>
      </c>
      <c r="I121" s="152"/>
      <c r="J121" s="157"/>
      <c r="K121" s="154" t="s">
        <v>1463</v>
      </c>
      <c r="L121" s="227">
        <v>71843.850000000006</v>
      </c>
      <c r="M121" s="157" t="s">
        <v>1455</v>
      </c>
      <c r="N121" s="227">
        <f t="shared" si="27"/>
        <v>56290.548862009324</v>
      </c>
      <c r="O121" s="152">
        <f t="shared" si="26"/>
        <v>471061.40886200988</v>
      </c>
    </row>
    <row r="122" spans="1:15" x14ac:dyDescent="0.15">
      <c r="A122" s="154"/>
      <c r="B122" s="151"/>
      <c r="C122" s="151"/>
      <c r="D122" s="155" t="s">
        <v>1439</v>
      </c>
      <c r="E122" s="154" t="s">
        <v>72</v>
      </c>
      <c r="F122" s="291" t="s">
        <v>1459</v>
      </c>
      <c r="G122" s="152">
        <v>38009.631999999998</v>
      </c>
      <c r="H122" s="155" t="s">
        <v>1439</v>
      </c>
      <c r="I122" s="152"/>
      <c r="J122" s="157"/>
      <c r="K122" s="154" t="s">
        <v>1463</v>
      </c>
      <c r="L122" s="227">
        <v>15588.74</v>
      </c>
      <c r="M122" s="157" t="s">
        <v>1455</v>
      </c>
      <c r="N122" s="227">
        <f t="shared" si="27"/>
        <v>40701.808862009326</v>
      </c>
      <c r="O122" s="152">
        <f t="shared" si="26"/>
        <v>493482.30086200987</v>
      </c>
    </row>
    <row r="123" spans="1:15" x14ac:dyDescent="0.15">
      <c r="A123" s="154"/>
      <c r="B123" s="151"/>
      <c r="C123" s="151"/>
      <c r="D123" s="155"/>
      <c r="E123" s="154"/>
      <c r="F123" s="157"/>
      <c r="G123" s="152"/>
      <c r="H123" s="155" t="s">
        <v>1439</v>
      </c>
      <c r="I123" s="152"/>
      <c r="J123" s="154"/>
      <c r="K123" s="154" t="s">
        <v>1463</v>
      </c>
      <c r="L123" s="227">
        <v>919.28</v>
      </c>
      <c r="M123" s="157" t="s">
        <v>1455</v>
      </c>
      <c r="N123" s="227">
        <f t="shared" si="20"/>
        <v>39782.528862009327</v>
      </c>
      <c r="O123" s="152">
        <f t="shared" si="21"/>
        <v>492563.02086200984</v>
      </c>
    </row>
    <row r="124" spans="1:15" x14ac:dyDescent="0.15">
      <c r="A124" s="154"/>
      <c r="B124" s="151"/>
      <c r="C124" s="151"/>
      <c r="D124" s="155"/>
      <c r="E124" s="155"/>
      <c r="F124" s="157"/>
      <c r="G124" s="152"/>
      <c r="H124" s="155" t="s">
        <v>1439</v>
      </c>
      <c r="I124" s="152"/>
      <c r="J124" s="157"/>
      <c r="K124" s="154" t="s">
        <v>1463</v>
      </c>
      <c r="L124" s="227">
        <v>39782.528862009327</v>
      </c>
      <c r="M124" s="157" t="s">
        <v>1455</v>
      </c>
      <c r="N124" s="227">
        <f t="shared" ref="N124:N126" si="28">+N123-I124-L124</f>
        <v>0</v>
      </c>
      <c r="O124" s="152">
        <f t="shared" ref="O124:O126" si="29">O123+G124-I124-L124</f>
        <v>452780.49200000049</v>
      </c>
    </row>
    <row r="125" spans="1:15" x14ac:dyDescent="0.15">
      <c r="A125" s="154"/>
      <c r="B125" s="151"/>
      <c r="C125" s="151"/>
      <c r="D125" s="155"/>
      <c r="E125" s="155"/>
      <c r="F125" s="157"/>
      <c r="G125" s="152"/>
      <c r="H125" s="155" t="s">
        <v>1439</v>
      </c>
      <c r="I125" s="152"/>
      <c r="J125" s="157"/>
      <c r="K125" s="154" t="s">
        <v>1463</v>
      </c>
      <c r="L125" s="227">
        <v>38501.271137990698</v>
      </c>
      <c r="M125" s="157" t="s">
        <v>1456</v>
      </c>
      <c r="N125" s="227">
        <f>G113+G116+N124-I125-L125</f>
        <v>60348.573862009303</v>
      </c>
      <c r="O125" s="152">
        <f t="shared" si="29"/>
        <v>414279.2208620098</v>
      </c>
    </row>
    <row r="126" spans="1:15" x14ac:dyDescent="0.15">
      <c r="A126" s="154"/>
      <c r="B126" s="151"/>
      <c r="C126" s="151"/>
      <c r="D126" s="155"/>
      <c r="E126" s="155"/>
      <c r="F126" s="157"/>
      <c r="G126" s="152"/>
      <c r="H126" s="155" t="s">
        <v>1439</v>
      </c>
      <c r="I126" s="152"/>
      <c r="J126" s="157"/>
      <c r="K126" s="154" t="s">
        <v>1463</v>
      </c>
      <c r="L126" s="227">
        <v>60348.573862009303</v>
      </c>
      <c r="M126" s="291" t="s">
        <v>1456</v>
      </c>
      <c r="N126" s="227">
        <f t="shared" si="28"/>
        <v>0</v>
      </c>
      <c r="O126" s="152">
        <f t="shared" si="29"/>
        <v>353930.64700000046</v>
      </c>
    </row>
    <row r="127" spans="1:15" x14ac:dyDescent="0.15">
      <c r="A127" s="154"/>
      <c r="B127" s="151"/>
      <c r="C127" s="151"/>
      <c r="D127" s="155"/>
      <c r="E127" s="155"/>
      <c r="F127" s="157"/>
      <c r="G127" s="152"/>
      <c r="H127" s="155" t="s">
        <v>1439</v>
      </c>
      <c r="I127" s="152"/>
      <c r="J127" s="157"/>
      <c r="K127" s="154" t="s">
        <v>1463</v>
      </c>
      <c r="L127" s="227">
        <v>2673.5861379907001</v>
      </c>
      <c r="M127" s="291" t="s">
        <v>1457</v>
      </c>
      <c r="N127" s="227">
        <f>G117+G120+N126-I127-L127</f>
        <v>214239.0148620093</v>
      </c>
      <c r="O127" s="152">
        <f t="shared" ref="O127:O131" si="30">O126+G127-I127-L127</f>
        <v>351257.06086200976</v>
      </c>
    </row>
    <row r="128" spans="1:15" x14ac:dyDescent="0.15">
      <c r="A128" s="154"/>
      <c r="B128" s="151"/>
      <c r="C128" s="151"/>
      <c r="D128" s="155"/>
      <c r="E128" s="155"/>
      <c r="F128" s="157"/>
      <c r="G128" s="152"/>
      <c r="H128" s="155" t="s">
        <v>1439</v>
      </c>
      <c r="I128" s="152"/>
      <c r="J128" s="157"/>
      <c r="K128" s="154" t="s">
        <v>1463</v>
      </c>
      <c r="L128" s="227">
        <v>80724.47</v>
      </c>
      <c r="M128" s="157" t="s">
        <v>1457</v>
      </c>
      <c r="N128" s="227">
        <f t="shared" ref="N128:N131" si="31">+N127-I128-L128</f>
        <v>133514.54486200929</v>
      </c>
      <c r="O128" s="152">
        <f t="shared" si="30"/>
        <v>270532.59086200979</v>
      </c>
    </row>
    <row r="129" spans="1:15" x14ac:dyDescent="0.15">
      <c r="A129" s="154"/>
      <c r="B129" s="151"/>
      <c r="C129" s="151"/>
      <c r="D129" s="155" t="s">
        <v>1440</v>
      </c>
      <c r="E129" s="154" t="s">
        <v>72</v>
      </c>
      <c r="F129" s="157" t="s">
        <v>1459</v>
      </c>
      <c r="G129" s="152">
        <v>137892.93</v>
      </c>
      <c r="H129" s="155" t="s">
        <v>1440</v>
      </c>
      <c r="I129" s="152"/>
      <c r="J129" s="157"/>
      <c r="K129" s="154" t="s">
        <v>1463</v>
      </c>
      <c r="L129" s="227">
        <v>13583.13</v>
      </c>
      <c r="M129" s="157" t="s">
        <v>1457</v>
      </c>
      <c r="N129" s="227">
        <f t="shared" si="31"/>
        <v>119931.41486200929</v>
      </c>
      <c r="O129" s="152">
        <f t="shared" si="30"/>
        <v>394842.39086200978</v>
      </c>
    </row>
    <row r="130" spans="1:15" x14ac:dyDescent="0.15">
      <c r="A130" s="154"/>
      <c r="B130" s="151"/>
      <c r="C130" s="151"/>
      <c r="D130" s="155" t="s">
        <v>1440</v>
      </c>
      <c r="E130" s="154" t="s">
        <v>72</v>
      </c>
      <c r="F130" s="157" t="s">
        <v>1460</v>
      </c>
      <c r="G130" s="152">
        <v>81000.607000000004</v>
      </c>
      <c r="H130" s="155" t="s">
        <v>1440</v>
      </c>
      <c r="I130" s="152"/>
      <c r="J130" s="157"/>
      <c r="K130" s="154" t="s">
        <v>1463</v>
      </c>
      <c r="L130" s="227">
        <v>32973.230000000003</v>
      </c>
      <c r="M130" s="157" t="s">
        <v>1457</v>
      </c>
      <c r="N130" s="227">
        <f t="shared" si="31"/>
        <v>86958.184862009279</v>
      </c>
      <c r="O130" s="152">
        <f t="shared" si="30"/>
        <v>442869.76786200982</v>
      </c>
    </row>
    <row r="131" spans="1:15" x14ac:dyDescent="0.15">
      <c r="A131" s="154"/>
      <c r="B131" s="151"/>
      <c r="C131" s="151"/>
      <c r="D131" s="155" t="s">
        <v>1441</v>
      </c>
      <c r="E131" s="154" t="s">
        <v>72</v>
      </c>
      <c r="F131" s="157" t="s">
        <v>1460</v>
      </c>
      <c r="G131" s="152">
        <v>246049.08000000002</v>
      </c>
      <c r="H131" s="155" t="s">
        <v>1441</v>
      </c>
      <c r="I131" s="152">
        <v>6771.28</v>
      </c>
      <c r="J131" s="157" t="s">
        <v>1457</v>
      </c>
      <c r="K131" s="154" t="s">
        <v>1463</v>
      </c>
      <c r="L131" s="227">
        <v>13152</v>
      </c>
      <c r="M131" s="157" t="s">
        <v>1457</v>
      </c>
      <c r="N131" s="227">
        <f t="shared" si="31"/>
        <v>67034.90486200928</v>
      </c>
      <c r="O131" s="152">
        <f t="shared" si="30"/>
        <v>668995.56786200986</v>
      </c>
    </row>
    <row r="132" spans="1:15" x14ac:dyDescent="0.15">
      <c r="A132" s="154"/>
      <c r="B132" s="151"/>
      <c r="C132" s="151"/>
      <c r="D132" s="155"/>
      <c r="E132" s="155"/>
      <c r="F132" s="157"/>
      <c r="G132" s="152"/>
      <c r="H132" s="155" t="s">
        <v>1441</v>
      </c>
      <c r="I132" s="152"/>
      <c r="J132" s="157"/>
      <c r="K132" s="154" t="s">
        <v>1463</v>
      </c>
      <c r="L132" s="227">
        <v>67034.90486200928</v>
      </c>
      <c r="M132" s="157" t="s">
        <v>1457</v>
      </c>
      <c r="N132" s="227">
        <f t="shared" si="20"/>
        <v>0</v>
      </c>
      <c r="O132" s="152">
        <f t="shared" si="21"/>
        <v>601960.66300000064</v>
      </c>
    </row>
    <row r="133" spans="1:15" x14ac:dyDescent="0.15">
      <c r="A133" s="154"/>
      <c r="B133" s="151"/>
      <c r="C133" s="151"/>
      <c r="D133" s="155"/>
      <c r="E133" s="155"/>
      <c r="F133" s="157"/>
      <c r="G133" s="152"/>
      <c r="H133" s="155" t="s">
        <v>1441</v>
      </c>
      <c r="I133" s="152"/>
      <c r="J133" s="157"/>
      <c r="K133" s="154" t="s">
        <v>1464</v>
      </c>
      <c r="L133" s="227">
        <v>8909.1851379907202</v>
      </c>
      <c r="M133" s="291" t="s">
        <v>1458</v>
      </c>
      <c r="N133" s="227">
        <f>G121+N132-I133-L133</f>
        <v>90099.228862009288</v>
      </c>
      <c r="O133" s="152">
        <f t="shared" ref="O133:O135" si="32">O132+G133-I133-L133</f>
        <v>593051.4778620099</v>
      </c>
    </row>
    <row r="134" spans="1:15" x14ac:dyDescent="0.15">
      <c r="A134" s="154"/>
      <c r="B134" s="151"/>
      <c r="C134" s="151"/>
      <c r="D134" s="155" t="s">
        <v>1442</v>
      </c>
      <c r="E134" s="154" t="s">
        <v>72</v>
      </c>
      <c r="F134" s="291" t="s">
        <v>1460</v>
      </c>
      <c r="G134" s="152">
        <v>198661.49399999995</v>
      </c>
      <c r="H134" s="155" t="s">
        <v>1442</v>
      </c>
      <c r="I134" s="152"/>
      <c r="J134" s="157"/>
      <c r="K134" s="154" t="s">
        <v>1464</v>
      </c>
      <c r="L134" s="227">
        <v>73792.44</v>
      </c>
      <c r="M134" s="291" t="s">
        <v>1458</v>
      </c>
      <c r="N134" s="227">
        <f t="shared" ref="N134:N135" si="33">+N133-I134-L134</f>
        <v>16306.788862009285</v>
      </c>
      <c r="O134" s="152">
        <f t="shared" si="32"/>
        <v>717920.53186200978</v>
      </c>
    </row>
    <row r="135" spans="1:15" x14ac:dyDescent="0.15">
      <c r="A135" s="154"/>
      <c r="B135" s="151"/>
      <c r="C135" s="151"/>
      <c r="D135" s="155" t="s">
        <v>1442</v>
      </c>
      <c r="E135" s="154" t="s">
        <v>72</v>
      </c>
      <c r="F135" s="291" t="s">
        <v>1461</v>
      </c>
      <c r="G135" s="152">
        <v>59892.640000000101</v>
      </c>
      <c r="H135" s="155" t="s">
        <v>1442</v>
      </c>
      <c r="I135" s="152"/>
      <c r="J135" s="157"/>
      <c r="K135" s="154" t="s">
        <v>1464</v>
      </c>
      <c r="L135" s="227">
        <v>16306.788862009285</v>
      </c>
      <c r="M135" s="291" t="s">
        <v>1458</v>
      </c>
      <c r="N135" s="227">
        <f t="shared" si="33"/>
        <v>0</v>
      </c>
      <c r="O135" s="152">
        <f t="shared" si="32"/>
        <v>761506.38300000061</v>
      </c>
    </row>
    <row r="136" spans="1:15" x14ac:dyDescent="0.15">
      <c r="A136" s="154"/>
      <c r="B136" s="151"/>
      <c r="C136" s="151"/>
      <c r="D136" s="155"/>
      <c r="E136" s="154"/>
      <c r="F136" s="291"/>
      <c r="G136" s="152"/>
      <c r="H136" s="155" t="s">
        <v>1442</v>
      </c>
      <c r="I136" s="152"/>
      <c r="J136" s="157"/>
      <c r="K136" s="154" t="s">
        <v>1464</v>
      </c>
      <c r="L136" s="227">
        <v>59050.121137990704</v>
      </c>
      <c r="M136" s="291" t="s">
        <v>1459</v>
      </c>
      <c r="N136" s="227">
        <f>G122+G129+N135-I136-L136</f>
        <v>116852.44086200927</v>
      </c>
      <c r="O136" s="152">
        <f t="shared" ref="O136:O139" si="34">O135+G136-I136-L136</f>
        <v>702456.26186200988</v>
      </c>
    </row>
    <row r="137" spans="1:15" x14ac:dyDescent="0.15">
      <c r="A137" s="154"/>
      <c r="B137" s="151"/>
      <c r="C137" s="151"/>
      <c r="D137" s="155"/>
      <c r="E137" s="154"/>
      <c r="F137" s="291"/>
      <c r="G137" s="152"/>
      <c r="H137" s="155" t="s">
        <v>1442</v>
      </c>
      <c r="I137" s="152"/>
      <c r="J137" s="157"/>
      <c r="K137" s="154" t="s">
        <v>1464</v>
      </c>
      <c r="L137" s="152">
        <v>79179.08</v>
      </c>
      <c r="M137" s="291" t="s">
        <v>1459</v>
      </c>
      <c r="N137" s="227">
        <f t="shared" ref="N137:N139" si="35">+N136-I137-L137</f>
        <v>37673.360862009271</v>
      </c>
      <c r="O137" s="152">
        <f t="shared" si="34"/>
        <v>623277.18186200992</v>
      </c>
    </row>
    <row r="138" spans="1:15" x14ac:dyDescent="0.15">
      <c r="A138" s="154"/>
      <c r="B138" s="151"/>
      <c r="C138" s="151"/>
      <c r="D138" s="155" t="s">
        <v>1443</v>
      </c>
      <c r="E138" s="154" t="s">
        <v>72</v>
      </c>
      <c r="F138" s="291" t="s">
        <v>1461</v>
      </c>
      <c r="G138" s="152">
        <v>86889.283999999927</v>
      </c>
      <c r="H138" s="155" t="s">
        <v>1443</v>
      </c>
      <c r="I138" s="152">
        <v>488.6</v>
      </c>
      <c r="J138" s="291" t="s">
        <v>1459</v>
      </c>
      <c r="K138" s="154" t="s">
        <v>1464</v>
      </c>
      <c r="L138" s="227">
        <v>35266.370000000003</v>
      </c>
      <c r="M138" s="291" t="s">
        <v>1459</v>
      </c>
      <c r="N138" s="227">
        <f t="shared" si="35"/>
        <v>1918.3908620092698</v>
      </c>
      <c r="O138" s="152">
        <f t="shared" si="34"/>
        <v>674411.49586200994</v>
      </c>
    </row>
    <row r="139" spans="1:15" x14ac:dyDescent="0.15">
      <c r="A139" s="154"/>
      <c r="B139" s="151"/>
      <c r="C139" s="151"/>
      <c r="D139" s="155" t="s">
        <v>1443</v>
      </c>
      <c r="E139" s="154" t="s">
        <v>72</v>
      </c>
      <c r="F139" s="157" t="s">
        <v>1481</v>
      </c>
      <c r="G139" s="152">
        <v>33932.182000000103</v>
      </c>
      <c r="H139" s="155" t="s">
        <v>1443</v>
      </c>
      <c r="I139" s="152"/>
      <c r="J139" s="157"/>
      <c r="K139" s="154" t="s">
        <v>1464</v>
      </c>
      <c r="L139" s="227">
        <v>366.7</v>
      </c>
      <c r="M139" s="291" t="s">
        <v>1459</v>
      </c>
      <c r="N139" s="227">
        <f t="shared" si="35"/>
        <v>1551.6908620092697</v>
      </c>
      <c r="O139" s="152">
        <f t="shared" si="34"/>
        <v>707976.97786201013</v>
      </c>
    </row>
    <row r="140" spans="1:15" x14ac:dyDescent="0.15">
      <c r="A140" s="154"/>
      <c r="B140" s="151"/>
      <c r="C140" s="151"/>
      <c r="D140" s="155"/>
      <c r="E140" s="154"/>
      <c r="F140" s="291"/>
      <c r="G140" s="152"/>
      <c r="H140" s="155" t="s">
        <v>1443</v>
      </c>
      <c r="I140" s="152"/>
      <c r="J140" s="291"/>
      <c r="K140" s="154" t="s">
        <v>1464</v>
      </c>
      <c r="L140" s="227">
        <v>1551.6908620092697</v>
      </c>
      <c r="M140" s="291" t="s">
        <v>1459</v>
      </c>
      <c r="N140" s="227">
        <f t="shared" ref="N140:N142" si="36">+N139-I140-L140</f>
        <v>0</v>
      </c>
      <c r="O140" s="152">
        <f t="shared" ref="O140:O142" si="37">O139+G140-I140-L140</f>
        <v>706425.28700000083</v>
      </c>
    </row>
    <row r="141" spans="1:15" x14ac:dyDescent="0.15">
      <c r="A141" s="154"/>
      <c r="B141" s="151"/>
      <c r="C141" s="151"/>
      <c r="D141" s="155"/>
      <c r="E141" s="154"/>
      <c r="F141" s="291"/>
      <c r="G141" s="152"/>
      <c r="H141" s="155" t="s">
        <v>1443</v>
      </c>
      <c r="I141" s="152"/>
      <c r="J141" s="291"/>
      <c r="K141" s="154" t="s">
        <v>1463</v>
      </c>
      <c r="L141" s="227">
        <v>80641.589137990697</v>
      </c>
      <c r="M141" s="157" t="s">
        <v>1460</v>
      </c>
      <c r="N141" s="227">
        <f>G130+G131+G134+N140-I141-L141</f>
        <v>445069.59186200926</v>
      </c>
      <c r="O141" s="152">
        <f t="shared" si="37"/>
        <v>625783.6978620101</v>
      </c>
    </row>
    <row r="142" spans="1:15" x14ac:dyDescent="0.15">
      <c r="A142" s="154"/>
      <c r="B142" s="151"/>
      <c r="C142" s="151"/>
      <c r="D142" s="155" t="s">
        <v>1444</v>
      </c>
      <c r="E142" s="154" t="s">
        <v>72</v>
      </c>
      <c r="F142" s="291" t="s">
        <v>1481</v>
      </c>
      <c r="G142" s="152">
        <v>38983.877999999997</v>
      </c>
      <c r="H142" s="155" t="s">
        <v>1444</v>
      </c>
      <c r="I142" s="152"/>
      <c r="J142" s="291"/>
      <c r="K142" s="154" t="s">
        <v>1463</v>
      </c>
      <c r="L142" s="227">
        <v>47177.35</v>
      </c>
      <c r="M142" s="157" t="s">
        <v>1460</v>
      </c>
      <c r="N142" s="227">
        <f t="shared" si="36"/>
        <v>397892.24186200928</v>
      </c>
      <c r="O142" s="152">
        <f t="shared" si="37"/>
        <v>617590.22586201015</v>
      </c>
    </row>
    <row r="143" spans="1:15" x14ac:dyDescent="0.15">
      <c r="A143" s="154"/>
      <c r="B143" s="151"/>
      <c r="C143" s="151"/>
      <c r="D143" s="155" t="s">
        <v>1445</v>
      </c>
      <c r="E143" s="154" t="s">
        <v>72</v>
      </c>
      <c r="F143" s="157" t="s">
        <v>1481</v>
      </c>
      <c r="G143" s="152">
        <v>130949.1879999997</v>
      </c>
      <c r="H143" s="155" t="s">
        <v>1445</v>
      </c>
      <c r="I143" s="152">
        <v>955.22</v>
      </c>
      <c r="J143" s="157" t="s">
        <v>1460</v>
      </c>
      <c r="K143" s="154" t="s">
        <v>1463</v>
      </c>
      <c r="L143" s="227">
        <v>75615.990000000005</v>
      </c>
      <c r="M143" s="157" t="s">
        <v>1460</v>
      </c>
      <c r="N143" s="227">
        <f t="shared" si="20"/>
        <v>321321.03186200932</v>
      </c>
      <c r="O143" s="152">
        <f t="shared" si="21"/>
        <v>671968.20386200992</v>
      </c>
    </row>
    <row r="144" spans="1:15" x14ac:dyDescent="0.15">
      <c r="A144" s="154"/>
      <c r="B144" s="151"/>
      <c r="C144" s="151"/>
      <c r="D144" s="155" t="s">
        <v>1445</v>
      </c>
      <c r="E144" s="154" t="s">
        <v>72</v>
      </c>
      <c r="F144" s="291" t="s">
        <v>1462</v>
      </c>
      <c r="G144" s="152">
        <v>29021.612000000299</v>
      </c>
      <c r="H144" s="155" t="s">
        <v>1445</v>
      </c>
      <c r="I144" s="152"/>
      <c r="J144" s="291"/>
      <c r="K144" s="154" t="s">
        <v>1463</v>
      </c>
      <c r="L144" s="227">
        <v>72667.100000000006</v>
      </c>
      <c r="M144" s="157" t="s">
        <v>1460</v>
      </c>
      <c r="N144" s="227">
        <f t="shared" si="20"/>
        <v>248653.93186200931</v>
      </c>
      <c r="O144" s="152">
        <f t="shared" si="21"/>
        <v>628322.71586201026</v>
      </c>
    </row>
    <row r="145" spans="1:15" x14ac:dyDescent="0.15">
      <c r="A145" s="154"/>
      <c r="B145" s="151"/>
      <c r="C145" s="151"/>
      <c r="D145" s="155" t="s">
        <v>1446</v>
      </c>
      <c r="E145" s="154" t="s">
        <v>72</v>
      </c>
      <c r="F145" s="291" t="s">
        <v>1462</v>
      </c>
      <c r="G145" s="152">
        <v>58994.626000000004</v>
      </c>
      <c r="H145" s="155" t="s">
        <v>1446</v>
      </c>
      <c r="I145" s="152">
        <v>864.3</v>
      </c>
      <c r="J145" s="157" t="s">
        <v>1460</v>
      </c>
      <c r="K145" s="154" t="s">
        <v>1463</v>
      </c>
      <c r="L145" s="227">
        <v>12121.69</v>
      </c>
      <c r="M145" s="157" t="s">
        <v>1460</v>
      </c>
      <c r="N145" s="227">
        <f t="shared" si="20"/>
        <v>235667.94186200932</v>
      </c>
      <c r="O145" s="152">
        <f t="shared" si="21"/>
        <v>674331.35186201031</v>
      </c>
    </row>
    <row r="146" spans="1:15" x14ac:dyDescent="0.15">
      <c r="A146" s="154"/>
      <c r="B146" s="151"/>
      <c r="C146" s="151"/>
      <c r="D146" s="152"/>
      <c r="E146" s="154"/>
      <c r="F146" s="157"/>
      <c r="G146" s="152"/>
      <c r="H146" s="155" t="s">
        <v>1446</v>
      </c>
      <c r="I146" s="152"/>
      <c r="J146" s="154"/>
      <c r="K146" s="154" t="s">
        <v>1463</v>
      </c>
      <c r="L146" s="227">
        <v>1408.43</v>
      </c>
      <c r="M146" s="157" t="s">
        <v>1460</v>
      </c>
      <c r="N146" s="227">
        <f t="shared" si="20"/>
        <v>234259.51186200933</v>
      </c>
      <c r="O146" s="152">
        <f t="shared" si="21"/>
        <v>672922.92186201026</v>
      </c>
    </row>
    <row r="147" spans="1:15" x14ac:dyDescent="0.15">
      <c r="A147" s="154"/>
      <c r="B147" s="151"/>
      <c r="C147" s="151"/>
      <c r="D147" s="152"/>
      <c r="E147" s="155"/>
      <c r="F147" s="157"/>
      <c r="G147" s="152"/>
      <c r="H147" s="155" t="s">
        <v>1446</v>
      </c>
      <c r="I147" s="152"/>
      <c r="J147" s="157"/>
      <c r="K147" s="154" t="s">
        <v>1463</v>
      </c>
      <c r="L147" s="227">
        <v>83575.41</v>
      </c>
      <c r="M147" s="157" t="s">
        <v>1460</v>
      </c>
      <c r="N147" s="227">
        <f t="shared" si="20"/>
        <v>150684.10186200932</v>
      </c>
      <c r="O147" s="152">
        <f t="shared" si="21"/>
        <v>589347.51186201023</v>
      </c>
    </row>
    <row r="148" spans="1:15" x14ac:dyDescent="0.15">
      <c r="A148" s="154"/>
      <c r="B148" s="151"/>
      <c r="C148" s="151"/>
      <c r="D148" s="152"/>
      <c r="E148" s="154"/>
      <c r="F148" s="160"/>
      <c r="G148" s="152"/>
      <c r="H148" s="155" t="s">
        <v>1446</v>
      </c>
      <c r="I148" s="152"/>
      <c r="J148" s="150"/>
      <c r="K148" s="154" t="s">
        <v>1463</v>
      </c>
      <c r="L148" s="227">
        <v>88817.9</v>
      </c>
      <c r="M148" s="157" t="s">
        <v>1460</v>
      </c>
      <c r="N148" s="227">
        <f t="shared" si="20"/>
        <v>61866.201862009329</v>
      </c>
      <c r="O148" s="152">
        <f t="shared" si="21"/>
        <v>500529.61186201021</v>
      </c>
    </row>
    <row r="149" spans="1:15" x14ac:dyDescent="0.15">
      <c r="A149" s="173"/>
      <c r="B149" s="173"/>
      <c r="C149" s="174"/>
      <c r="D149" s="175"/>
      <c r="E149" s="173"/>
      <c r="F149" s="173"/>
      <c r="G149" s="174"/>
      <c r="H149" s="175"/>
      <c r="I149" s="174"/>
      <c r="J149" s="173"/>
      <c r="K149" s="154"/>
      <c r="L149" s="228"/>
      <c r="M149" s="173"/>
      <c r="N149" s="227">
        <f t="shared" si="20"/>
        <v>61866.201862009329</v>
      </c>
      <c r="O149" s="152">
        <f t="shared" si="21"/>
        <v>500529.61186201021</v>
      </c>
    </row>
    <row r="150" spans="1:15" x14ac:dyDescent="0.15">
      <c r="A150" s="177"/>
      <c r="B150" s="177"/>
      <c r="C150" s="178">
        <f>SUM(C7:C148)</f>
        <v>414987.0520620094</v>
      </c>
      <c r="D150" s="177"/>
      <c r="E150" s="177"/>
      <c r="F150" s="177"/>
      <c r="G150" s="178">
        <f>SUM(G7:G148)</f>
        <v>4393270.3050000006</v>
      </c>
      <c r="H150" s="179"/>
      <c r="I150" s="178">
        <f>SUM(I7:I148)</f>
        <v>41446.995200000005</v>
      </c>
      <c r="J150" s="177"/>
      <c r="K150" s="177"/>
      <c r="L150" s="229">
        <f>SUM(L9:L148)</f>
        <v>4266280.7500000019</v>
      </c>
      <c r="M150" s="177"/>
      <c r="N150" s="180"/>
      <c r="O150" s="181">
        <f>C150+G150-I150-L150</f>
        <v>500529.61186200846</v>
      </c>
    </row>
    <row r="151" spans="1:15" x14ac:dyDescent="0.15">
      <c r="A151" s="182"/>
      <c r="B151" s="465"/>
      <c r="C151" s="465"/>
      <c r="D151" s="465"/>
      <c r="E151" s="183"/>
      <c r="F151" s="284"/>
      <c r="G151" s="185"/>
      <c r="H151" s="186"/>
      <c r="I151" s="187"/>
      <c r="J151" s="188"/>
      <c r="K151" s="189" t="s">
        <v>139</v>
      </c>
      <c r="L151" s="190">
        <f>+L150+I150</f>
        <v>4307727.7452000016</v>
      </c>
      <c r="M151" s="197"/>
      <c r="N151" s="230">
        <f>+N149</f>
        <v>61866.201862009329</v>
      </c>
      <c r="O151" s="157" t="s">
        <v>1460</v>
      </c>
    </row>
    <row r="152" spans="1:15" x14ac:dyDescent="0.15">
      <c r="A152" s="193"/>
      <c r="B152" s="470"/>
      <c r="C152" s="470"/>
      <c r="D152" s="470"/>
      <c r="E152" s="183"/>
      <c r="F152" s="296"/>
      <c r="G152" s="219"/>
      <c r="H152" s="186"/>
      <c r="I152" s="187"/>
      <c r="J152" s="210"/>
      <c r="K152" s="210"/>
      <c r="N152" s="230">
        <f>+G135+G138</f>
        <v>146781.92400000003</v>
      </c>
      <c r="O152" s="195" t="s">
        <v>1461</v>
      </c>
    </row>
    <row r="153" spans="1:15" x14ac:dyDescent="0.15">
      <c r="A153" s="193" t="s">
        <v>1397</v>
      </c>
      <c r="B153" s="298" t="s">
        <v>1412</v>
      </c>
      <c r="E153" s="183" t="s">
        <v>55</v>
      </c>
      <c r="F153" s="296">
        <v>622285.73</v>
      </c>
      <c r="G153" s="219" t="s">
        <v>56</v>
      </c>
      <c r="H153" s="186">
        <v>41309</v>
      </c>
      <c r="I153" s="187" t="s">
        <v>71</v>
      </c>
      <c r="J153" s="210">
        <v>80765.153262009539</v>
      </c>
      <c r="K153" s="210"/>
      <c r="N153" s="230">
        <f>+G139+G142+G143</f>
        <v>203865.24799999979</v>
      </c>
      <c r="O153" s="195" t="s">
        <v>1481</v>
      </c>
    </row>
    <row r="154" spans="1:15" x14ac:dyDescent="0.15">
      <c r="A154" s="193" t="s">
        <v>1398</v>
      </c>
      <c r="B154" s="298" t="s">
        <v>1465</v>
      </c>
      <c r="E154" s="183" t="s">
        <v>55</v>
      </c>
      <c r="F154" s="296">
        <v>5362050.6500000004</v>
      </c>
      <c r="G154" s="219" t="s">
        <v>56</v>
      </c>
      <c r="H154" s="186">
        <v>41309</v>
      </c>
      <c r="I154" s="187" t="s">
        <v>71</v>
      </c>
      <c r="J154" s="210">
        <v>257378.31249999988</v>
      </c>
      <c r="K154" s="210"/>
      <c r="N154" s="230">
        <f>+G144+G145</f>
        <v>88016.238000000303</v>
      </c>
      <c r="O154" s="195" t="s">
        <v>1462</v>
      </c>
    </row>
    <row r="155" spans="1:15" x14ac:dyDescent="0.15">
      <c r="A155" s="133" t="s">
        <v>1447</v>
      </c>
      <c r="B155" s="298" t="s">
        <v>1472</v>
      </c>
      <c r="E155" s="183" t="s">
        <v>55</v>
      </c>
      <c r="F155" s="296">
        <v>2040061.79</v>
      </c>
      <c r="G155" s="219" t="s">
        <v>56</v>
      </c>
      <c r="H155" s="186">
        <v>41311</v>
      </c>
      <c r="I155" s="187" t="s">
        <v>71</v>
      </c>
      <c r="J155" s="210">
        <v>392713.07679999992</v>
      </c>
      <c r="K155" s="210"/>
      <c r="N155" s="230"/>
      <c r="O155" s="195"/>
    </row>
    <row r="156" spans="1:15" x14ac:dyDescent="0.15">
      <c r="A156" s="193" t="s">
        <v>1448</v>
      </c>
      <c r="B156" s="298" t="s">
        <v>1466</v>
      </c>
      <c r="E156" s="183" t="s">
        <v>55</v>
      </c>
      <c r="F156" s="296">
        <v>4211226.24</v>
      </c>
      <c r="G156" s="219" t="s">
        <v>56</v>
      </c>
      <c r="H156" s="186">
        <v>41316</v>
      </c>
      <c r="I156" s="187" t="s">
        <v>71</v>
      </c>
      <c r="J156" s="210">
        <v>245910.06999999989</v>
      </c>
      <c r="K156" s="210"/>
      <c r="N156" s="230"/>
      <c r="O156" s="195"/>
    </row>
    <row r="157" spans="1:15" x14ac:dyDescent="0.15">
      <c r="A157" s="193" t="s">
        <v>1452</v>
      </c>
      <c r="B157" s="298" t="s">
        <v>1467</v>
      </c>
      <c r="E157" s="183" t="s">
        <v>55</v>
      </c>
      <c r="F157" s="296">
        <v>5438855.3799999999</v>
      </c>
      <c r="G157" s="219" t="s">
        <v>56</v>
      </c>
      <c r="H157" s="186">
        <v>41323</v>
      </c>
      <c r="I157" s="187" t="s">
        <v>71</v>
      </c>
      <c r="J157" s="210">
        <v>487184.505</v>
      </c>
      <c r="K157" s="210"/>
      <c r="N157" s="230"/>
      <c r="O157" s="195"/>
    </row>
    <row r="158" spans="1:15" x14ac:dyDescent="0.15">
      <c r="A158" s="133" t="s">
        <v>1454</v>
      </c>
      <c r="B158" s="298" t="s">
        <v>1468</v>
      </c>
      <c r="E158" s="183" t="s">
        <v>55</v>
      </c>
      <c r="F158" s="296">
        <v>5348265.59</v>
      </c>
      <c r="G158" s="219" t="s">
        <v>56</v>
      </c>
      <c r="H158" s="186">
        <v>41327</v>
      </c>
      <c r="I158" s="187" t="s">
        <v>71</v>
      </c>
      <c r="J158" s="210">
        <v>358005.46340000007</v>
      </c>
      <c r="K158" s="210"/>
      <c r="N158" s="206" t="s">
        <v>33</v>
      </c>
      <c r="O158" s="207">
        <f>SUM(N151:N157)</f>
        <v>500529.61186200945</v>
      </c>
    </row>
    <row r="159" spans="1:15" x14ac:dyDescent="0.15">
      <c r="A159" s="133" t="s">
        <v>1455</v>
      </c>
      <c r="B159" s="298" t="s">
        <v>1473</v>
      </c>
      <c r="E159" s="183" t="s">
        <v>55</v>
      </c>
      <c r="F159" s="296">
        <v>2916932.7</v>
      </c>
      <c r="G159" s="219" t="s">
        <v>56</v>
      </c>
      <c r="H159" s="186">
        <v>41331</v>
      </c>
      <c r="I159" s="187" t="s">
        <v>71</v>
      </c>
      <c r="J159" s="210">
        <v>198682.96299999999</v>
      </c>
      <c r="K159" s="210"/>
      <c r="O159" s="132">
        <f>+O150-O158</f>
        <v>-9.8953023552894592E-10</v>
      </c>
    </row>
    <row r="160" spans="1:15" s="132" customFormat="1" x14ac:dyDescent="0.15">
      <c r="A160" s="133" t="s">
        <v>1456</v>
      </c>
      <c r="B160" s="298" t="s">
        <v>1469</v>
      </c>
      <c r="D160" s="133"/>
      <c r="E160" s="183" t="s">
        <v>55</v>
      </c>
      <c r="F160" s="296">
        <v>3770409.47</v>
      </c>
      <c r="G160" s="219" t="s">
        <v>56</v>
      </c>
      <c r="H160" s="186">
        <v>41331</v>
      </c>
      <c r="I160" s="187" t="s">
        <v>71</v>
      </c>
      <c r="J160" s="210">
        <v>98849.845000000001</v>
      </c>
      <c r="K160" s="133"/>
      <c r="M160" s="134"/>
    </row>
    <row r="161" spans="1:13" s="132" customFormat="1" x14ac:dyDescent="0.15">
      <c r="A161" s="133" t="s">
        <v>1457</v>
      </c>
      <c r="B161" s="298" t="s">
        <v>1470</v>
      </c>
      <c r="D161" s="133"/>
      <c r="E161" s="183" t="s">
        <v>55</v>
      </c>
      <c r="F161" s="295">
        <v>3932886.84</v>
      </c>
      <c r="G161" s="219" t="s">
        <v>56</v>
      </c>
      <c r="H161" s="186">
        <v>41331</v>
      </c>
      <c r="I161" s="187" t="s">
        <v>71</v>
      </c>
      <c r="J161" s="210">
        <v>210141.321</v>
      </c>
      <c r="K161" s="210"/>
      <c r="M161" s="134"/>
    </row>
    <row r="162" spans="1:13" s="132" customFormat="1" x14ac:dyDescent="0.15">
      <c r="A162" s="133" t="s">
        <v>1460</v>
      </c>
      <c r="B162" s="298" t="s">
        <v>1471</v>
      </c>
      <c r="D162" s="133"/>
      <c r="E162" s="183" t="s">
        <v>55</v>
      </c>
      <c r="F162" s="296">
        <v>788567.22</v>
      </c>
      <c r="G162" s="219" t="s">
        <v>56</v>
      </c>
      <c r="H162" s="186">
        <v>41334</v>
      </c>
      <c r="I162" s="187" t="s">
        <v>71</v>
      </c>
      <c r="J162" s="210">
        <v>462025.45913799072</v>
      </c>
      <c r="K162" s="210"/>
      <c r="M162" s="134"/>
    </row>
    <row r="163" spans="1:13" s="132" customFormat="1" ht="12" thickBot="1" x14ac:dyDescent="0.2">
      <c r="A163" s="133"/>
      <c r="B163" s="294"/>
      <c r="C163" s="294"/>
      <c r="D163" s="294"/>
      <c r="E163" s="183"/>
      <c r="F163" s="295"/>
      <c r="G163" s="219"/>
      <c r="H163" s="186"/>
      <c r="I163" s="217" t="s">
        <v>856</v>
      </c>
      <c r="J163" s="211">
        <f>SUM(J153:J162)</f>
        <v>2791656.1690999996</v>
      </c>
      <c r="K163" s="210"/>
      <c r="M163" s="134"/>
    </row>
    <row r="164" spans="1:13" s="132" customFormat="1" ht="12" thickTop="1" x14ac:dyDescent="0.15">
      <c r="A164" s="133" t="s">
        <v>1458</v>
      </c>
      <c r="B164" s="131" t="s">
        <v>1474</v>
      </c>
      <c r="D164" s="133"/>
      <c r="E164" s="183" t="s">
        <v>55</v>
      </c>
      <c r="F164" s="296">
        <v>35204473.299999997</v>
      </c>
      <c r="G164" s="219" t="s">
        <v>56</v>
      </c>
      <c r="H164" s="186">
        <v>41597</v>
      </c>
      <c r="I164" s="187" t="s">
        <v>71</v>
      </c>
      <c r="J164" s="210">
        <v>99008.414000000004</v>
      </c>
      <c r="K164" s="210"/>
      <c r="M164" s="134"/>
    </row>
    <row r="165" spans="1:13" s="132" customFormat="1" x14ac:dyDescent="0.15">
      <c r="A165" s="133" t="s">
        <v>1399</v>
      </c>
      <c r="B165" s="131" t="s">
        <v>1475</v>
      </c>
      <c r="C165" s="294"/>
      <c r="D165" s="294"/>
      <c r="E165" s="183" t="s">
        <v>55</v>
      </c>
      <c r="F165" s="296">
        <v>22099431.399999999</v>
      </c>
      <c r="G165" s="219" t="s">
        <v>56</v>
      </c>
      <c r="H165" s="186">
        <v>41310</v>
      </c>
      <c r="I165" s="187" t="s">
        <v>71</v>
      </c>
      <c r="J165" s="210">
        <v>165996.87890000013</v>
      </c>
      <c r="K165" s="133"/>
      <c r="M165" s="134"/>
    </row>
    <row r="166" spans="1:13" s="132" customFormat="1" x14ac:dyDescent="0.15">
      <c r="A166" s="133" t="s">
        <v>1449</v>
      </c>
      <c r="B166" s="131" t="s">
        <v>1476</v>
      </c>
      <c r="D166" s="133"/>
      <c r="E166" s="183" t="s">
        <v>55</v>
      </c>
      <c r="F166" s="296">
        <v>19349511.780000001</v>
      </c>
      <c r="G166" s="219" t="s">
        <v>56</v>
      </c>
      <c r="H166" s="186">
        <v>41317</v>
      </c>
      <c r="I166" s="187" t="s">
        <v>71</v>
      </c>
      <c r="J166" s="210">
        <v>102110.92</v>
      </c>
      <c r="K166" s="133"/>
      <c r="M166" s="134"/>
    </row>
    <row r="167" spans="1:13" s="132" customFormat="1" x14ac:dyDescent="0.15">
      <c r="A167" s="133" t="s">
        <v>1450</v>
      </c>
      <c r="B167" s="131" t="s">
        <v>1477</v>
      </c>
      <c r="C167" s="294"/>
      <c r="D167" s="294"/>
      <c r="E167" s="183" t="s">
        <v>55</v>
      </c>
      <c r="F167" s="296">
        <v>152470471.91</v>
      </c>
      <c r="G167" s="219" t="s">
        <v>56</v>
      </c>
      <c r="H167" s="186">
        <v>41319</v>
      </c>
      <c r="I167" s="187" t="s">
        <v>71</v>
      </c>
      <c r="J167" s="210">
        <v>304750.04399999999</v>
      </c>
      <c r="K167" s="133"/>
      <c r="M167" s="134"/>
    </row>
    <row r="168" spans="1:13" s="132" customFormat="1" x14ac:dyDescent="0.15">
      <c r="A168" s="133" t="s">
        <v>1451</v>
      </c>
      <c r="B168" s="131" t="s">
        <v>1478</v>
      </c>
      <c r="D168" s="133"/>
      <c r="E168" s="183" t="s">
        <v>55</v>
      </c>
      <c r="F168" s="296">
        <v>46743802.049999997</v>
      </c>
      <c r="G168" s="219" t="s">
        <v>56</v>
      </c>
      <c r="H168" s="186">
        <v>41320</v>
      </c>
      <c r="I168" s="187" t="s">
        <v>71</v>
      </c>
      <c r="J168" s="210">
        <v>144339.06899999987</v>
      </c>
      <c r="K168" s="133"/>
      <c r="M168" s="134"/>
    </row>
    <row r="169" spans="1:13" s="132" customFormat="1" x14ac:dyDescent="0.15">
      <c r="A169" s="133" t="s">
        <v>1453</v>
      </c>
      <c r="B169" s="131" t="s">
        <v>1479</v>
      </c>
      <c r="C169" s="294"/>
      <c r="D169" s="294"/>
      <c r="E169" s="183" t="s">
        <v>55</v>
      </c>
      <c r="F169" s="296">
        <v>45975746.969999999</v>
      </c>
      <c r="G169" s="219" t="s">
        <v>56</v>
      </c>
      <c r="H169" s="186">
        <v>41325</v>
      </c>
      <c r="I169" s="187" t="s">
        <v>71</v>
      </c>
      <c r="J169" s="210">
        <v>483005.29300000006</v>
      </c>
      <c r="K169" s="133"/>
      <c r="M169" s="134"/>
    </row>
    <row r="170" spans="1:13" s="132" customFormat="1" x14ac:dyDescent="0.15">
      <c r="A170" s="297" t="s">
        <v>1459</v>
      </c>
      <c r="B170" s="131" t="s">
        <v>1480</v>
      </c>
      <c r="D170" s="133"/>
      <c r="E170" s="183" t="s">
        <v>55</v>
      </c>
      <c r="F170" s="296">
        <v>21582569.75</v>
      </c>
      <c r="G170" s="219" t="s">
        <v>56</v>
      </c>
      <c r="H170" s="186">
        <v>41333</v>
      </c>
      <c r="I170" s="187" t="s">
        <v>71</v>
      </c>
      <c r="J170" s="210">
        <v>175413.96199999997</v>
      </c>
      <c r="K170" s="133"/>
      <c r="M170" s="134"/>
    </row>
    <row r="171" spans="1:13" s="132" customFormat="1" ht="12" thickBot="1" x14ac:dyDescent="0.2">
      <c r="A171" s="193"/>
      <c r="B171" s="210"/>
      <c r="C171" s="221"/>
      <c r="D171" s="237"/>
      <c r="E171" s="235"/>
      <c r="F171" s="235"/>
      <c r="H171" s="133"/>
      <c r="I171" s="218" t="s">
        <v>106</v>
      </c>
      <c r="J171" s="212">
        <f>SUM(J164:J170)</f>
        <v>1474624.5809000002</v>
      </c>
      <c r="K171" s="133"/>
      <c r="M171" s="134"/>
    </row>
    <row r="172" spans="1:13" s="132" customFormat="1" ht="12" thickTop="1" x14ac:dyDescent="0.15">
      <c r="A172" s="193"/>
      <c r="B172" s="210"/>
      <c r="C172" s="221"/>
      <c r="D172" s="237"/>
      <c r="E172" s="235"/>
      <c r="F172" s="235"/>
      <c r="H172" s="133"/>
      <c r="J172" s="205"/>
      <c r="K172" s="133"/>
      <c r="M172" s="134"/>
    </row>
    <row r="173" spans="1:13" s="132" customFormat="1" x14ac:dyDescent="0.15">
      <c r="A173" s="193"/>
      <c r="B173" s="210"/>
      <c r="C173" s="221"/>
      <c r="D173" s="237"/>
      <c r="E173" s="235"/>
      <c r="F173" s="235"/>
      <c r="H173" s="133"/>
      <c r="J173" s="205"/>
      <c r="K173" s="133"/>
      <c r="M173" s="134"/>
    </row>
    <row r="174" spans="1:13" s="132" customFormat="1" x14ac:dyDescent="0.15">
      <c r="A174" s="193"/>
      <c r="B174" s="210"/>
      <c r="C174" s="221"/>
      <c r="D174" s="237"/>
      <c r="E174" s="235"/>
      <c r="F174" s="235"/>
      <c r="H174" s="133"/>
      <c r="J174" s="205"/>
      <c r="K174" s="133"/>
      <c r="M174" s="134"/>
    </row>
    <row r="175" spans="1:13" s="132" customFormat="1" x14ac:dyDescent="0.15">
      <c r="A175" s="133"/>
      <c r="B175" s="133" t="s">
        <v>9</v>
      </c>
      <c r="C175" s="220" t="s">
        <v>729</v>
      </c>
      <c r="D175" s="220" t="s">
        <v>850</v>
      </c>
      <c r="E175" s="133" t="s">
        <v>570</v>
      </c>
      <c r="F175" s="133" t="s">
        <v>571</v>
      </c>
      <c r="G175" s="133" t="s">
        <v>16</v>
      </c>
      <c r="H175" s="134"/>
      <c r="I175" s="134"/>
      <c r="J175" s="205"/>
      <c r="K175" s="133"/>
      <c r="M175" s="134"/>
    </row>
    <row r="176" spans="1:13" s="132" customFormat="1" x14ac:dyDescent="0.15">
      <c r="A176" s="193" t="s">
        <v>1397</v>
      </c>
      <c r="B176" s="210">
        <f>+ROUNDDOWN(J153,0)</f>
        <v>80765</v>
      </c>
      <c r="C176" s="221">
        <v>24.3627</v>
      </c>
      <c r="D176" s="237">
        <f t="shared" ref="D176:D188" si="38">+B176*C176</f>
        <v>1967653.4654999999</v>
      </c>
      <c r="E176" s="235">
        <f t="shared" ref="E176:E188" si="39">+D176*0.01</f>
        <v>19676.534654999999</v>
      </c>
      <c r="F176" s="235">
        <f t="shared" ref="F176:F188" si="40">+E176*0.1</f>
        <v>1967.6534655</v>
      </c>
      <c r="G176" s="236">
        <f>SUM(E176:F176)</f>
        <v>21644.188120499999</v>
      </c>
      <c r="H176" s="134"/>
      <c r="I176" s="134"/>
      <c r="J176" s="134"/>
      <c r="K176" s="133"/>
      <c r="M176" s="134"/>
    </row>
    <row r="177" spans="1:15" s="132" customFormat="1" x14ac:dyDescent="0.15">
      <c r="A177" s="193" t="s">
        <v>1398</v>
      </c>
      <c r="B177" s="210">
        <f t="shared" ref="B177:B193" si="41">+ROUNDDOWN(J154,0)</f>
        <v>257378</v>
      </c>
      <c r="C177" s="221">
        <v>24.452200000000001</v>
      </c>
      <c r="D177" s="237">
        <f t="shared" si="38"/>
        <v>6293458.3316000002</v>
      </c>
      <c r="E177" s="235">
        <f t="shared" si="39"/>
        <v>62934.583316000004</v>
      </c>
      <c r="F177" s="235">
        <f t="shared" si="40"/>
        <v>6293.4583316000007</v>
      </c>
      <c r="G177" s="236">
        <f t="shared" ref="G177:G181" si="42">SUM(E177:F177)</f>
        <v>69228.04164760001</v>
      </c>
      <c r="H177" s="133"/>
      <c r="J177" s="134"/>
      <c r="K177" s="133"/>
      <c r="M177" s="134"/>
    </row>
    <row r="178" spans="1:15" s="132" customFormat="1" x14ac:dyDescent="0.15">
      <c r="A178" s="133" t="s">
        <v>1447</v>
      </c>
      <c r="B178" s="210">
        <f t="shared" si="41"/>
        <v>392713</v>
      </c>
      <c r="C178" s="221">
        <v>24.496099999999998</v>
      </c>
      <c r="D178" s="237">
        <f t="shared" si="38"/>
        <v>9619936.9192999993</v>
      </c>
      <c r="E178" s="235">
        <f t="shared" si="39"/>
        <v>96199.369192999991</v>
      </c>
      <c r="F178" s="235">
        <f t="shared" si="40"/>
        <v>9619.9369193000002</v>
      </c>
      <c r="G178" s="236">
        <f t="shared" si="42"/>
        <v>105819.30611229999</v>
      </c>
      <c r="H178" s="134"/>
      <c r="I178" s="134"/>
      <c r="J178" s="134"/>
      <c r="K178" s="133"/>
      <c r="M178" s="134"/>
    </row>
    <row r="179" spans="1:15" s="132" customFormat="1" x14ac:dyDescent="0.15">
      <c r="A179" s="193" t="s">
        <v>1448</v>
      </c>
      <c r="B179" s="210">
        <f t="shared" si="41"/>
        <v>245910</v>
      </c>
      <c r="C179" s="221">
        <v>24.796199999999999</v>
      </c>
      <c r="D179" s="237">
        <f t="shared" si="38"/>
        <v>6097633.5419999994</v>
      </c>
      <c r="E179" s="235">
        <f t="shared" si="39"/>
        <v>60976.335419999996</v>
      </c>
      <c r="F179" s="235">
        <f t="shared" si="40"/>
        <v>6097.6335419999996</v>
      </c>
      <c r="G179" s="236">
        <f t="shared" si="42"/>
        <v>67073.968961999999</v>
      </c>
      <c r="H179" s="133"/>
      <c r="J179" s="134"/>
      <c r="K179" s="133"/>
      <c r="M179" s="134"/>
    </row>
    <row r="180" spans="1:15" s="132" customFormat="1" x14ac:dyDescent="0.15">
      <c r="A180" s="193" t="s">
        <v>1452</v>
      </c>
      <c r="B180" s="210">
        <f t="shared" si="41"/>
        <v>487184</v>
      </c>
      <c r="C180" s="221">
        <v>25.347799999999999</v>
      </c>
      <c r="D180" s="237">
        <f t="shared" si="38"/>
        <v>12349042.5952</v>
      </c>
      <c r="E180" s="235">
        <f t="shared" si="39"/>
        <v>123490.42595200001</v>
      </c>
      <c r="F180" s="235">
        <f t="shared" si="40"/>
        <v>12349.042595200001</v>
      </c>
      <c r="G180" s="236">
        <f t="shared" si="42"/>
        <v>135839.4685472</v>
      </c>
      <c r="H180" s="133"/>
      <c r="J180" s="134"/>
      <c r="K180" s="133"/>
      <c r="M180" s="134"/>
    </row>
    <row r="181" spans="1:15" s="132" customFormat="1" x14ac:dyDescent="0.15">
      <c r="A181" s="133" t="s">
        <v>1454</v>
      </c>
      <c r="B181" s="210">
        <f t="shared" si="41"/>
        <v>358005</v>
      </c>
      <c r="C181" s="221">
        <v>25.9727</v>
      </c>
      <c r="D181" s="237">
        <f t="shared" si="38"/>
        <v>9298356.4635000005</v>
      </c>
      <c r="E181" s="235">
        <f t="shared" si="39"/>
        <v>92983.564635000002</v>
      </c>
      <c r="F181" s="235">
        <f t="shared" si="40"/>
        <v>9298.3564635000002</v>
      </c>
      <c r="G181" s="236">
        <f t="shared" si="42"/>
        <v>102281.9210985</v>
      </c>
      <c r="H181" s="133"/>
      <c r="J181" s="134"/>
      <c r="K181" s="133"/>
      <c r="M181" s="134"/>
    </row>
    <row r="182" spans="1:15" s="132" customFormat="1" x14ac:dyDescent="0.15">
      <c r="A182" s="133" t="s">
        <v>1455</v>
      </c>
      <c r="B182" s="210">
        <f t="shared" si="41"/>
        <v>198682</v>
      </c>
      <c r="C182" s="221">
        <v>25.898800000000001</v>
      </c>
      <c r="D182" s="237">
        <f t="shared" si="38"/>
        <v>5145625.3816</v>
      </c>
      <c r="E182" s="235">
        <f t="shared" si="39"/>
        <v>51456.253816000004</v>
      </c>
      <c r="F182" s="235">
        <f t="shared" si="40"/>
        <v>5145.6253816000008</v>
      </c>
      <c r="G182" s="236">
        <f t="shared" ref="G182:G188" si="43">SUM(E182:F182)</f>
        <v>56601.879197600007</v>
      </c>
      <c r="H182" s="133"/>
      <c r="J182" s="134"/>
      <c r="K182" s="133"/>
      <c r="M182" s="134"/>
    </row>
    <row r="183" spans="1:15" s="132" customFormat="1" x14ac:dyDescent="0.15">
      <c r="A183" s="133" t="s">
        <v>1456</v>
      </c>
      <c r="B183" s="210">
        <f t="shared" si="41"/>
        <v>98849</v>
      </c>
      <c r="C183" s="221">
        <v>25.826799999999999</v>
      </c>
      <c r="D183" s="237">
        <f t="shared" si="38"/>
        <v>2552953.3531999998</v>
      </c>
      <c r="E183" s="235">
        <f t="shared" si="39"/>
        <v>25529.533531999998</v>
      </c>
      <c r="F183" s="235">
        <f t="shared" si="40"/>
        <v>2552.9533532</v>
      </c>
      <c r="G183" s="236">
        <f t="shared" si="43"/>
        <v>28082.486885199996</v>
      </c>
      <c r="H183" s="244"/>
      <c r="J183" s="134"/>
      <c r="K183" s="133"/>
      <c r="M183" s="134"/>
    </row>
    <row r="184" spans="1:15" s="132" customFormat="1" x14ac:dyDescent="0.15">
      <c r="A184" s="133" t="s">
        <v>1457</v>
      </c>
      <c r="B184" s="210">
        <f t="shared" si="41"/>
        <v>210141</v>
      </c>
      <c r="C184" s="221">
        <v>25.826799999999999</v>
      </c>
      <c r="D184" s="237">
        <f t="shared" si="38"/>
        <v>5427269.5787999993</v>
      </c>
      <c r="E184" s="235">
        <f t="shared" si="39"/>
        <v>54272.695787999997</v>
      </c>
      <c r="F184" s="235">
        <f t="shared" si="40"/>
        <v>5427.2695788000001</v>
      </c>
      <c r="G184" s="236">
        <f t="shared" si="43"/>
        <v>59699.965366799996</v>
      </c>
      <c r="H184" s="244"/>
      <c r="J184" s="134"/>
      <c r="K184" s="133"/>
      <c r="M184" s="134"/>
    </row>
    <row r="185" spans="1:15" s="132" customFormat="1" x14ac:dyDescent="0.15">
      <c r="A185" s="133" t="s">
        <v>1460</v>
      </c>
      <c r="B185" s="210">
        <f t="shared" si="41"/>
        <v>462025</v>
      </c>
      <c r="C185" s="221">
        <v>25.7226</v>
      </c>
      <c r="D185" s="237">
        <f t="shared" si="38"/>
        <v>11884484.265000001</v>
      </c>
      <c r="E185" s="235">
        <f t="shared" si="39"/>
        <v>118844.84265000001</v>
      </c>
      <c r="F185" s="235">
        <f t="shared" si="40"/>
        <v>11884.484265000001</v>
      </c>
      <c r="G185" s="236">
        <f t="shared" si="43"/>
        <v>130729.32691500001</v>
      </c>
      <c r="H185" s="244"/>
      <c r="J185" s="134"/>
      <c r="K185" s="133"/>
      <c r="M185" s="134"/>
    </row>
    <row r="186" spans="1:15" s="132" customFormat="1" ht="12" thickBot="1" x14ac:dyDescent="0.2">
      <c r="A186" s="133"/>
      <c r="B186" s="211">
        <f>SUM(B176:B185)</f>
        <v>2791652</v>
      </c>
      <c r="C186" s="221"/>
      <c r="D186" s="237"/>
      <c r="E186" s="242">
        <f>SUM(E176:E185)</f>
        <v>706364.13895699999</v>
      </c>
      <c r="F186" s="242">
        <f t="shared" ref="F186:G186" si="44">SUM(F176:F185)</f>
        <v>70636.413895699996</v>
      </c>
      <c r="G186" s="242">
        <f t="shared" si="44"/>
        <v>777000.5528527</v>
      </c>
      <c r="H186" s="244"/>
      <c r="J186" s="134"/>
      <c r="K186" s="133"/>
      <c r="M186" s="134"/>
    </row>
    <row r="187" spans="1:15" s="132" customFormat="1" ht="12" thickTop="1" x14ac:dyDescent="0.15">
      <c r="A187" s="133" t="s">
        <v>1458</v>
      </c>
      <c r="B187" s="210">
        <f t="shared" si="41"/>
        <v>99008</v>
      </c>
      <c r="C187" s="221">
        <v>24.433700000000002</v>
      </c>
      <c r="D187" s="237">
        <f t="shared" si="38"/>
        <v>2419131.7696000002</v>
      </c>
      <c r="E187" s="235">
        <f t="shared" si="39"/>
        <v>24191.317696000002</v>
      </c>
      <c r="F187" s="235">
        <f t="shared" si="40"/>
        <v>2419.1317696000001</v>
      </c>
      <c r="G187" s="236">
        <f t="shared" si="43"/>
        <v>26610.449465600002</v>
      </c>
      <c r="H187" s="244"/>
      <c r="J187" s="134"/>
      <c r="K187" s="133"/>
      <c r="M187" s="134"/>
    </row>
    <row r="188" spans="1:15" s="133" customFormat="1" x14ac:dyDescent="0.15">
      <c r="A188" s="133" t="s">
        <v>1399</v>
      </c>
      <c r="B188" s="210">
        <f t="shared" si="41"/>
        <v>165996</v>
      </c>
      <c r="C188" s="221">
        <v>24.614899999999999</v>
      </c>
      <c r="D188" s="237">
        <f t="shared" si="38"/>
        <v>4085974.9403999997</v>
      </c>
      <c r="E188" s="235">
        <f t="shared" si="39"/>
        <v>40859.749403999995</v>
      </c>
      <c r="F188" s="235">
        <f t="shared" si="40"/>
        <v>4085.9749403999995</v>
      </c>
      <c r="G188" s="236">
        <f t="shared" si="43"/>
        <v>44945.724344399991</v>
      </c>
      <c r="H188" s="244"/>
      <c r="I188" s="132"/>
      <c r="J188" s="134"/>
      <c r="L188" s="132"/>
      <c r="M188" s="134"/>
      <c r="N188" s="132"/>
      <c r="O188" s="132"/>
    </row>
    <row r="189" spans="1:15" s="133" customFormat="1" x14ac:dyDescent="0.15">
      <c r="A189" s="133" t="s">
        <v>1449</v>
      </c>
      <c r="B189" s="210">
        <f t="shared" si="41"/>
        <v>102110</v>
      </c>
      <c r="C189" s="221">
        <v>25.198499999999999</v>
      </c>
      <c r="D189" s="237">
        <f t="shared" ref="D189:D193" si="45">+B189*C189</f>
        <v>2573018.835</v>
      </c>
      <c r="E189" s="235">
        <f t="shared" ref="E189:E193" si="46">+D189*0.01</f>
        <v>25730.18835</v>
      </c>
      <c r="F189" s="235">
        <f t="shared" ref="F189:F193" si="47">+E189*0.1</f>
        <v>2573.0188350000003</v>
      </c>
      <c r="G189" s="236">
        <f t="shared" ref="G189:G193" si="48">SUM(E189:F189)</f>
        <v>28303.207184999999</v>
      </c>
      <c r="I189" s="132"/>
      <c r="J189" s="134"/>
      <c r="L189" s="132"/>
      <c r="M189" s="134"/>
      <c r="N189" s="132"/>
      <c r="O189" s="132"/>
    </row>
    <row r="190" spans="1:15" s="133" customFormat="1" x14ac:dyDescent="0.15">
      <c r="A190" s="133" t="s">
        <v>1450</v>
      </c>
      <c r="B190" s="210">
        <f t="shared" si="41"/>
        <v>304750</v>
      </c>
      <c r="C190" s="221">
        <v>25.228100000000001</v>
      </c>
      <c r="D190" s="237">
        <f t="shared" si="45"/>
        <v>7688263.4750000006</v>
      </c>
      <c r="E190" s="235">
        <f t="shared" si="46"/>
        <v>76882.634750000012</v>
      </c>
      <c r="F190" s="235">
        <f t="shared" si="47"/>
        <v>7688.2634750000016</v>
      </c>
      <c r="G190" s="236">
        <f t="shared" si="48"/>
        <v>84570.898225000012</v>
      </c>
      <c r="I190" s="132"/>
      <c r="J190" s="134"/>
      <c r="L190" s="132"/>
      <c r="M190" s="134"/>
      <c r="N190" s="132"/>
      <c r="O190" s="132"/>
    </row>
    <row r="191" spans="1:15" s="133" customFormat="1" x14ac:dyDescent="0.15">
      <c r="A191" s="133" t="s">
        <v>1451</v>
      </c>
      <c r="B191" s="210">
        <f t="shared" si="41"/>
        <v>144339</v>
      </c>
      <c r="C191" s="221">
        <v>25.375699999999998</v>
      </c>
      <c r="D191" s="237">
        <f t="shared" si="45"/>
        <v>3662703.1623</v>
      </c>
      <c r="E191" s="235">
        <f t="shared" si="46"/>
        <v>36627.031623000003</v>
      </c>
      <c r="F191" s="235">
        <f t="shared" si="47"/>
        <v>3662.7031623000003</v>
      </c>
      <c r="G191" s="236">
        <f t="shared" si="48"/>
        <v>40289.734785300003</v>
      </c>
      <c r="I191" s="132"/>
      <c r="J191" s="134"/>
      <c r="L191" s="132"/>
      <c r="M191" s="134"/>
      <c r="N191" s="132"/>
      <c r="O191" s="132"/>
    </row>
    <row r="192" spans="1:15" s="133" customFormat="1" x14ac:dyDescent="0.15">
      <c r="A192" s="133" t="s">
        <v>1453</v>
      </c>
      <c r="B192" s="210">
        <f t="shared" si="41"/>
        <v>483005</v>
      </c>
      <c r="C192" s="221">
        <v>26.065799999999999</v>
      </c>
      <c r="D192" s="237">
        <f t="shared" si="45"/>
        <v>12589911.729</v>
      </c>
      <c r="E192" s="235">
        <f t="shared" si="46"/>
        <v>125899.11729000001</v>
      </c>
      <c r="F192" s="235">
        <f t="shared" si="47"/>
        <v>12589.911729000001</v>
      </c>
      <c r="G192" s="236">
        <f t="shared" si="48"/>
        <v>138489.02901900001</v>
      </c>
      <c r="I192" s="132"/>
      <c r="J192" s="134"/>
      <c r="L192" s="132"/>
      <c r="M192" s="134"/>
      <c r="N192" s="132"/>
      <c r="O192" s="132"/>
    </row>
    <row r="193" spans="1:15" s="133" customFormat="1" x14ac:dyDescent="0.15">
      <c r="A193" s="297" t="s">
        <v>1459</v>
      </c>
      <c r="B193" s="210">
        <f t="shared" si="41"/>
        <v>175413</v>
      </c>
      <c r="C193" s="221">
        <v>25.9757</v>
      </c>
      <c r="D193" s="237">
        <f t="shared" si="45"/>
        <v>4556475.4640999995</v>
      </c>
      <c r="E193" s="235">
        <f t="shared" si="46"/>
        <v>45564.754641</v>
      </c>
      <c r="F193" s="235">
        <f t="shared" si="47"/>
        <v>4556.4754641</v>
      </c>
      <c r="G193" s="236">
        <f t="shared" si="48"/>
        <v>50121.230105099996</v>
      </c>
      <c r="I193" s="132"/>
      <c r="J193" s="134"/>
      <c r="L193" s="132"/>
      <c r="M193" s="134"/>
      <c r="N193" s="132"/>
      <c r="O193" s="132"/>
    </row>
    <row r="194" spans="1:15" ht="12" thickBot="1" x14ac:dyDescent="0.2">
      <c r="B194" s="211">
        <f>SUM(B187:B193)</f>
        <v>1474621</v>
      </c>
      <c r="E194" s="234">
        <f>SUM(E187:E193)</f>
        <v>375754.79375400004</v>
      </c>
      <c r="F194" s="234">
        <f t="shared" ref="F194:G194" si="49">SUM(F187:F193)</f>
        <v>37575.479375399998</v>
      </c>
      <c r="G194" s="234">
        <f t="shared" si="49"/>
        <v>413330.27312939998</v>
      </c>
    </row>
    <row r="195" spans="1:15" ht="12" thickTop="1" x14ac:dyDescent="0.15">
      <c r="B195" s="231"/>
    </row>
  </sheetData>
  <mergeCells count="8">
    <mergeCell ref="B151:D151"/>
    <mergeCell ref="B152:D152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55"/>
  <sheetViews>
    <sheetView zoomScale="115" zoomScaleNormal="115" workbookViewId="0">
      <pane ySplit="6" topLeftCell="A7" activePane="bottomLeft" state="frozen"/>
      <selection pane="bottomLeft" activeCell="A9" sqref="A9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1353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1330</v>
      </c>
      <c r="B7" s="146"/>
      <c r="C7" s="147">
        <v>84741.775562009512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84741.775562009512</v>
      </c>
      <c r="O7" s="147">
        <f>+C108</f>
        <v>468939.65356200951</v>
      </c>
    </row>
    <row r="8" spans="1:15" x14ac:dyDescent="0.15">
      <c r="A8" s="154" t="s">
        <v>1331</v>
      </c>
      <c r="B8" s="151"/>
      <c r="C8" s="152">
        <v>80037.014999999999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84741.775562009512</v>
      </c>
      <c r="O8" s="152">
        <f t="shared" ref="O8:O9" si="0">O7+G8-I8-L8</f>
        <v>468939.65356200951</v>
      </c>
    </row>
    <row r="9" spans="1:15" x14ac:dyDescent="0.15">
      <c r="A9" s="157" t="s">
        <v>1325</v>
      </c>
      <c r="B9" s="151"/>
      <c r="C9" s="152">
        <v>40028.39</v>
      </c>
      <c r="D9" s="154"/>
      <c r="E9" s="154"/>
      <c r="F9" s="154"/>
      <c r="G9" s="152"/>
      <c r="H9" s="154"/>
      <c r="I9" s="152"/>
      <c r="J9" s="154"/>
      <c r="K9" s="154"/>
      <c r="L9" s="227"/>
      <c r="M9" s="154"/>
      <c r="N9" s="227">
        <f t="shared" ref="N9" si="1">+N8-I9-L9</f>
        <v>84741.775562009512</v>
      </c>
      <c r="O9" s="152">
        <f t="shared" si="0"/>
        <v>468939.65356200951</v>
      </c>
    </row>
    <row r="10" spans="1:15" x14ac:dyDescent="0.15">
      <c r="A10" s="154" t="s">
        <v>1332</v>
      </c>
      <c r="B10" s="151"/>
      <c r="C10" s="152">
        <v>264132.473</v>
      </c>
      <c r="D10" s="155"/>
      <c r="E10" s="154"/>
      <c r="F10" s="157"/>
      <c r="G10" s="152"/>
      <c r="H10" s="155"/>
      <c r="I10" s="152"/>
      <c r="J10" s="154"/>
      <c r="K10" s="154"/>
      <c r="L10" s="227"/>
      <c r="M10" s="154"/>
      <c r="N10" s="227">
        <f t="shared" ref="N10:N78" si="2">+N9-I10-L10</f>
        <v>84741.775562009512</v>
      </c>
      <c r="O10" s="152">
        <f t="shared" ref="O10:O78" si="3">O9+G10-I10-L10</f>
        <v>468939.65356200951</v>
      </c>
    </row>
    <row r="11" spans="1:15" x14ac:dyDescent="0.15">
      <c r="A11" s="154"/>
      <c r="B11" s="151"/>
      <c r="C11" s="152"/>
      <c r="D11" s="155"/>
      <c r="E11" s="154"/>
      <c r="F11" s="157"/>
      <c r="G11" s="152"/>
      <c r="H11" s="155"/>
      <c r="I11" s="152"/>
      <c r="J11" s="154"/>
      <c r="K11" s="154"/>
      <c r="L11" s="227"/>
      <c r="M11" s="154"/>
      <c r="N11" s="227">
        <f t="shared" si="2"/>
        <v>84741.775562009512</v>
      </c>
      <c r="O11" s="152">
        <f t="shared" si="3"/>
        <v>468939.65356200951</v>
      </c>
    </row>
    <row r="12" spans="1:15" x14ac:dyDescent="0.15">
      <c r="A12" s="154"/>
      <c r="B12" s="151"/>
      <c r="C12" s="152"/>
      <c r="D12" s="155" t="s">
        <v>1354</v>
      </c>
      <c r="E12" s="154" t="s">
        <v>72</v>
      </c>
      <c r="F12" s="157" t="s">
        <v>1332</v>
      </c>
      <c r="G12" s="152">
        <v>194775.891</v>
      </c>
      <c r="H12" s="155" t="s">
        <v>1354</v>
      </c>
      <c r="I12" s="152">
        <v>270.92</v>
      </c>
      <c r="J12" s="154" t="s">
        <v>1330</v>
      </c>
      <c r="K12" s="154" t="s">
        <v>1417</v>
      </c>
      <c r="L12" s="227">
        <v>46558.31</v>
      </c>
      <c r="M12" s="154" t="s">
        <v>1330</v>
      </c>
      <c r="N12" s="227">
        <f t="shared" si="2"/>
        <v>37912.545562009516</v>
      </c>
      <c r="O12" s="152">
        <f t="shared" si="3"/>
        <v>616886.31456200941</v>
      </c>
    </row>
    <row r="13" spans="1:15" x14ac:dyDescent="0.15">
      <c r="A13" s="154"/>
      <c r="B13" s="151"/>
      <c r="C13" s="152"/>
      <c r="D13" s="155" t="s">
        <v>1354</v>
      </c>
      <c r="E13" s="154" t="s">
        <v>72</v>
      </c>
      <c r="F13" s="157" t="s">
        <v>1385</v>
      </c>
      <c r="G13" s="152">
        <v>29287.205999999998</v>
      </c>
      <c r="H13" s="155" t="s">
        <v>1354</v>
      </c>
      <c r="I13" s="152"/>
      <c r="J13" s="154"/>
      <c r="K13" s="154" t="s">
        <v>1417</v>
      </c>
      <c r="L13" s="227">
        <v>31.99</v>
      </c>
      <c r="M13" s="154" t="s">
        <v>1330</v>
      </c>
      <c r="N13" s="227">
        <f t="shared" ref="N13:N16" si="4">+N12-I13-L13</f>
        <v>37880.555562009518</v>
      </c>
      <c r="O13" s="152">
        <f t="shared" ref="O13:O16" si="5">O12+G13-I13-L13</f>
        <v>646141.53056200943</v>
      </c>
    </row>
    <row r="14" spans="1:15" x14ac:dyDescent="0.15">
      <c r="A14" s="154"/>
      <c r="B14" s="151"/>
      <c r="C14" s="152"/>
      <c r="D14" s="155"/>
      <c r="E14" s="155"/>
      <c r="F14" s="157"/>
      <c r="G14" s="152"/>
      <c r="H14" s="155" t="s">
        <v>1355</v>
      </c>
      <c r="I14" s="152">
        <v>1275.3499999999999</v>
      </c>
      <c r="J14" s="154" t="s">
        <v>1330</v>
      </c>
      <c r="K14" s="154" t="s">
        <v>1417</v>
      </c>
      <c r="L14" s="227">
        <v>36605.20556200952</v>
      </c>
      <c r="M14" s="154" t="s">
        <v>1330</v>
      </c>
      <c r="N14" s="227">
        <f t="shared" si="4"/>
        <v>0</v>
      </c>
      <c r="O14" s="152">
        <f t="shared" si="5"/>
        <v>608260.97499999998</v>
      </c>
    </row>
    <row r="15" spans="1:15" x14ac:dyDescent="0.15">
      <c r="A15" s="154"/>
      <c r="B15" s="151"/>
      <c r="C15" s="152"/>
      <c r="D15" s="155"/>
      <c r="E15" s="155"/>
      <c r="F15" s="157"/>
      <c r="G15" s="152"/>
      <c r="H15" s="155" t="s">
        <v>1355</v>
      </c>
      <c r="I15" s="152"/>
      <c r="J15" s="154"/>
      <c r="K15" s="154" t="s">
        <v>1417</v>
      </c>
      <c r="L15" s="227">
        <v>39521.094437990498</v>
      </c>
      <c r="M15" s="154" t="s">
        <v>1331</v>
      </c>
      <c r="N15" s="227">
        <f>C8+N14-I15-L15</f>
        <v>40515.920562009502</v>
      </c>
      <c r="O15" s="152">
        <f t="shared" si="5"/>
        <v>568739.88056200952</v>
      </c>
    </row>
    <row r="16" spans="1:15" x14ac:dyDescent="0.15">
      <c r="A16" s="154"/>
      <c r="B16" s="151"/>
      <c r="C16" s="152"/>
      <c r="D16" s="155"/>
      <c r="E16" s="155"/>
      <c r="F16" s="157"/>
      <c r="G16" s="152"/>
      <c r="H16" s="155" t="s">
        <v>1355</v>
      </c>
      <c r="I16" s="152"/>
      <c r="J16" s="154"/>
      <c r="K16" s="154" t="s">
        <v>1417</v>
      </c>
      <c r="L16" s="227">
        <v>40515.920562009502</v>
      </c>
      <c r="M16" s="154" t="s">
        <v>1331</v>
      </c>
      <c r="N16" s="227">
        <f t="shared" si="4"/>
        <v>0</v>
      </c>
      <c r="O16" s="152">
        <f t="shared" si="5"/>
        <v>528223.96</v>
      </c>
    </row>
    <row r="17" spans="1:15" x14ac:dyDescent="0.15">
      <c r="A17" s="154"/>
      <c r="B17" s="151"/>
      <c r="C17" s="152"/>
      <c r="D17" s="155"/>
      <c r="E17" s="155"/>
      <c r="F17" s="157"/>
      <c r="G17" s="152"/>
      <c r="H17" s="155" t="s">
        <v>1355</v>
      </c>
      <c r="I17" s="152"/>
      <c r="J17" s="154"/>
      <c r="K17" s="154" t="s">
        <v>1416</v>
      </c>
      <c r="L17" s="227">
        <v>39812.939437990499</v>
      </c>
      <c r="M17" s="157" t="s">
        <v>1325</v>
      </c>
      <c r="N17" s="227">
        <f>C9+N16-I17-L17</f>
        <v>215.45056200950057</v>
      </c>
      <c r="O17" s="152">
        <f t="shared" ref="O17:O18" si="6">O16+G17-I17-L17</f>
        <v>488411.02056200948</v>
      </c>
    </row>
    <row r="18" spans="1:15" x14ac:dyDescent="0.15">
      <c r="A18" s="154"/>
      <c r="B18" s="151"/>
      <c r="C18" s="152"/>
      <c r="D18" s="155"/>
      <c r="E18" s="154"/>
      <c r="F18" s="157"/>
      <c r="G18" s="152"/>
      <c r="H18" s="155" t="s">
        <v>1355</v>
      </c>
      <c r="I18" s="152"/>
      <c r="J18" s="154"/>
      <c r="K18" s="154" t="s">
        <v>1416</v>
      </c>
      <c r="L18" s="227">
        <v>215.45056200950057</v>
      </c>
      <c r="M18" s="157" t="s">
        <v>1325</v>
      </c>
      <c r="N18" s="227">
        <f t="shared" ref="N18" si="7">+N17-I18-L18</f>
        <v>0</v>
      </c>
      <c r="O18" s="152">
        <f t="shared" si="6"/>
        <v>488195.56999999995</v>
      </c>
    </row>
    <row r="19" spans="1:15" x14ac:dyDescent="0.15">
      <c r="A19" s="154"/>
      <c r="B19" s="151"/>
      <c r="C19" s="152"/>
      <c r="D19" s="155"/>
      <c r="E19" s="154"/>
      <c r="F19" s="157"/>
      <c r="G19" s="152"/>
      <c r="H19" s="155" t="s">
        <v>1355</v>
      </c>
      <c r="I19" s="152"/>
      <c r="J19" s="154"/>
      <c r="K19" s="154" t="s">
        <v>1417</v>
      </c>
      <c r="L19" s="227">
        <v>2941.9494379905</v>
      </c>
      <c r="M19" s="157" t="s">
        <v>1332</v>
      </c>
      <c r="N19" s="227">
        <f>C10+G12+N18-I19-L19</f>
        <v>455966.41456200951</v>
      </c>
      <c r="O19" s="152">
        <f t="shared" ref="O19:O21" si="8">O18+G19-I19-L19</f>
        <v>485253.62056200946</v>
      </c>
    </row>
    <row r="20" spans="1:15" x14ac:dyDescent="0.15">
      <c r="A20" s="154"/>
      <c r="B20" s="151"/>
      <c r="C20" s="152"/>
      <c r="D20" s="155"/>
      <c r="E20" s="154"/>
      <c r="F20" s="157"/>
      <c r="G20" s="152"/>
      <c r="H20" s="155" t="s">
        <v>1356</v>
      </c>
      <c r="I20" s="152"/>
      <c r="J20" s="154"/>
      <c r="K20" s="154" t="s">
        <v>1417</v>
      </c>
      <c r="L20" s="227">
        <v>21723.01</v>
      </c>
      <c r="M20" s="157" t="s">
        <v>1332</v>
      </c>
      <c r="N20" s="227">
        <f t="shared" ref="N20:N21" si="9">+N19-I20-L20</f>
        <v>434243.4045620095</v>
      </c>
      <c r="O20" s="152">
        <f t="shared" si="8"/>
        <v>463530.61056200945</v>
      </c>
    </row>
    <row r="21" spans="1:15" x14ac:dyDescent="0.15">
      <c r="A21" s="154"/>
      <c r="B21" s="151"/>
      <c r="C21" s="152"/>
      <c r="D21" s="155"/>
      <c r="E21" s="154"/>
      <c r="F21" s="157"/>
      <c r="G21" s="152"/>
      <c r="H21" s="155" t="s">
        <v>1356</v>
      </c>
      <c r="I21" s="152"/>
      <c r="J21" s="154"/>
      <c r="K21" s="154" t="s">
        <v>1417</v>
      </c>
      <c r="L21" s="227">
        <v>85793.48</v>
      </c>
      <c r="M21" s="157" t="s">
        <v>1332</v>
      </c>
      <c r="N21" s="227">
        <f t="shared" si="9"/>
        <v>348449.92456200952</v>
      </c>
      <c r="O21" s="152">
        <f t="shared" si="8"/>
        <v>377737.13056200946</v>
      </c>
    </row>
    <row r="22" spans="1:15" x14ac:dyDescent="0.15">
      <c r="A22" s="154"/>
      <c r="B22" s="151"/>
      <c r="C22" s="152"/>
      <c r="D22" s="155"/>
      <c r="E22" s="154"/>
      <c r="F22" s="157"/>
      <c r="G22" s="152"/>
      <c r="H22" s="155" t="s">
        <v>1356</v>
      </c>
      <c r="I22" s="152"/>
      <c r="J22" s="154"/>
      <c r="K22" s="154" t="s">
        <v>1417</v>
      </c>
      <c r="L22" s="227">
        <v>34762.620000000003</v>
      </c>
      <c r="M22" s="157" t="s">
        <v>1332</v>
      </c>
      <c r="N22" s="227">
        <f t="shared" si="2"/>
        <v>313687.30456200952</v>
      </c>
      <c r="O22" s="152">
        <f t="shared" si="3"/>
        <v>342974.51056200947</v>
      </c>
    </row>
    <row r="23" spans="1:15" x14ac:dyDescent="0.15">
      <c r="A23" s="154"/>
      <c r="B23" s="151"/>
      <c r="C23" s="152"/>
      <c r="D23" s="155"/>
      <c r="E23" s="154"/>
      <c r="F23" s="157"/>
      <c r="G23" s="152"/>
      <c r="H23" s="155" t="s">
        <v>1356</v>
      </c>
      <c r="I23" s="152"/>
      <c r="J23" s="154"/>
      <c r="K23" s="154" t="s">
        <v>1417</v>
      </c>
      <c r="L23" s="227">
        <v>89912.639999999999</v>
      </c>
      <c r="M23" s="157" t="s">
        <v>1332</v>
      </c>
      <c r="N23" s="227">
        <f t="shared" si="2"/>
        <v>223774.66456200951</v>
      </c>
      <c r="O23" s="152">
        <f t="shared" si="3"/>
        <v>253061.87056200946</v>
      </c>
    </row>
    <row r="24" spans="1:15" x14ac:dyDescent="0.15">
      <c r="A24" s="154"/>
      <c r="B24" s="151"/>
      <c r="C24" s="152"/>
      <c r="D24" s="155"/>
      <c r="E24" s="154"/>
      <c r="F24" s="157"/>
      <c r="G24" s="152"/>
      <c r="H24" s="155" t="s">
        <v>1356</v>
      </c>
      <c r="I24" s="152"/>
      <c r="J24" s="154"/>
      <c r="K24" s="154" t="s">
        <v>1417</v>
      </c>
      <c r="L24" s="227">
        <v>6012.17</v>
      </c>
      <c r="M24" s="157" t="s">
        <v>1332</v>
      </c>
      <c r="N24" s="227">
        <f t="shared" si="2"/>
        <v>217762.49456200949</v>
      </c>
      <c r="O24" s="152">
        <f t="shared" si="3"/>
        <v>247049.70056200944</v>
      </c>
    </row>
    <row r="25" spans="1:15" x14ac:dyDescent="0.15">
      <c r="A25" s="154"/>
      <c r="B25" s="151"/>
      <c r="C25" s="152"/>
      <c r="D25" s="155"/>
      <c r="E25" s="154"/>
      <c r="F25" s="157"/>
      <c r="G25" s="152"/>
      <c r="H25" s="155" t="s">
        <v>1356</v>
      </c>
      <c r="I25" s="152"/>
      <c r="J25" s="154"/>
      <c r="K25" s="154" t="s">
        <v>1417</v>
      </c>
      <c r="L25" s="227">
        <v>36009.040000000001</v>
      </c>
      <c r="M25" s="157" t="s">
        <v>1332</v>
      </c>
      <c r="N25" s="227">
        <f t="shared" si="2"/>
        <v>181753.45456200949</v>
      </c>
      <c r="O25" s="152">
        <f t="shared" si="3"/>
        <v>211040.66056200943</v>
      </c>
    </row>
    <row r="26" spans="1:15" x14ac:dyDescent="0.15">
      <c r="A26" s="154"/>
      <c r="B26" s="151"/>
      <c r="C26" s="152"/>
      <c r="D26" s="155" t="s">
        <v>1357</v>
      </c>
      <c r="E26" s="154" t="s">
        <v>72</v>
      </c>
      <c r="F26" s="157" t="s">
        <v>1386</v>
      </c>
      <c r="G26" s="152">
        <v>95576.650999999954</v>
      </c>
      <c r="H26" s="155" t="s">
        <v>1357</v>
      </c>
      <c r="I26" s="152"/>
      <c r="J26" s="154"/>
      <c r="K26" s="154" t="s">
        <v>1417</v>
      </c>
      <c r="L26" s="227">
        <v>3392.78</v>
      </c>
      <c r="M26" s="157" t="s">
        <v>1332</v>
      </c>
      <c r="N26" s="227">
        <f t="shared" si="2"/>
        <v>178360.67456200949</v>
      </c>
      <c r="O26" s="152">
        <f t="shared" si="3"/>
        <v>303224.53156200936</v>
      </c>
    </row>
    <row r="27" spans="1:15" x14ac:dyDescent="0.15">
      <c r="A27" s="154"/>
      <c r="B27" s="151"/>
      <c r="C27" s="152"/>
      <c r="D27" s="155" t="s">
        <v>1357</v>
      </c>
      <c r="E27" s="154" t="s">
        <v>72</v>
      </c>
      <c r="F27" s="157" t="s">
        <v>1387</v>
      </c>
      <c r="G27" s="152">
        <v>156768.11799999999</v>
      </c>
      <c r="H27" s="155" t="s">
        <v>1357</v>
      </c>
      <c r="I27" s="152"/>
      <c r="J27" s="154"/>
      <c r="K27" s="154"/>
      <c r="L27" s="227"/>
      <c r="M27" s="157"/>
      <c r="N27" s="227">
        <f t="shared" si="2"/>
        <v>178360.67456200949</v>
      </c>
      <c r="O27" s="152">
        <f t="shared" si="3"/>
        <v>459992.64956200938</v>
      </c>
    </row>
    <row r="28" spans="1:15" x14ac:dyDescent="0.15">
      <c r="A28" s="154"/>
      <c r="B28" s="151"/>
      <c r="C28" s="152"/>
      <c r="D28" s="155" t="s">
        <v>1358</v>
      </c>
      <c r="E28" s="154" t="s">
        <v>72</v>
      </c>
      <c r="F28" s="157" t="s">
        <v>1387</v>
      </c>
      <c r="G28" s="152">
        <v>244222.38999999998</v>
      </c>
      <c r="H28" s="155" t="s">
        <v>1358</v>
      </c>
      <c r="I28" s="152">
        <v>411.75</v>
      </c>
      <c r="J28" s="157" t="s">
        <v>1332</v>
      </c>
      <c r="K28" s="154" t="s">
        <v>1417</v>
      </c>
      <c r="L28" s="227">
        <v>77762.62</v>
      </c>
      <c r="M28" s="157" t="s">
        <v>1332</v>
      </c>
      <c r="N28" s="227">
        <f t="shared" si="2"/>
        <v>100186.30456200949</v>
      </c>
      <c r="O28" s="152">
        <f t="shared" si="3"/>
        <v>626040.6695620094</v>
      </c>
    </row>
    <row r="29" spans="1:15" x14ac:dyDescent="0.15">
      <c r="A29" s="154"/>
      <c r="B29" s="151"/>
      <c r="C29" s="152"/>
      <c r="D29" s="155"/>
      <c r="E29" s="154"/>
      <c r="F29" s="157"/>
      <c r="G29" s="152"/>
      <c r="H29" s="155" t="s">
        <v>1358</v>
      </c>
      <c r="I29" s="152"/>
      <c r="J29" s="154"/>
      <c r="K29" s="154" t="s">
        <v>1417</v>
      </c>
      <c r="L29" s="227">
        <v>5839.44</v>
      </c>
      <c r="M29" s="157" t="s">
        <v>1332</v>
      </c>
      <c r="N29" s="227">
        <f t="shared" si="2"/>
        <v>94346.86456200949</v>
      </c>
      <c r="O29" s="152">
        <f t="shared" si="3"/>
        <v>620201.22956200945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155" t="s">
        <v>1358</v>
      </c>
      <c r="I30" s="152"/>
      <c r="J30" s="154"/>
      <c r="K30" s="154" t="s">
        <v>1417</v>
      </c>
      <c r="L30" s="227">
        <v>1373.16</v>
      </c>
      <c r="M30" s="157" t="s">
        <v>1332</v>
      </c>
      <c r="N30" s="227">
        <f t="shared" si="2"/>
        <v>92973.704562009487</v>
      </c>
      <c r="O30" s="152">
        <f t="shared" si="3"/>
        <v>618828.06956200942</v>
      </c>
    </row>
    <row r="31" spans="1:15" x14ac:dyDescent="0.15">
      <c r="A31" s="154"/>
      <c r="B31" s="151"/>
      <c r="C31" s="152"/>
      <c r="D31" s="155"/>
      <c r="E31" s="154"/>
      <c r="F31" s="157"/>
      <c r="G31" s="152"/>
      <c r="H31" s="155" t="s">
        <v>1358</v>
      </c>
      <c r="I31" s="152"/>
      <c r="J31" s="154"/>
      <c r="K31" s="154" t="s">
        <v>1417</v>
      </c>
      <c r="L31" s="227">
        <v>18840.52</v>
      </c>
      <c r="M31" s="157" t="s">
        <v>1332</v>
      </c>
      <c r="N31" s="227">
        <f t="shared" si="2"/>
        <v>74133.184562009483</v>
      </c>
      <c r="O31" s="152">
        <f t="shared" si="3"/>
        <v>599987.5495620094</v>
      </c>
    </row>
    <row r="32" spans="1:15" x14ac:dyDescent="0.15">
      <c r="A32" s="154"/>
      <c r="B32" s="151"/>
      <c r="C32" s="152"/>
      <c r="D32" s="155" t="s">
        <v>1359</v>
      </c>
      <c r="E32" s="154" t="s">
        <v>72</v>
      </c>
      <c r="F32" s="157" t="s">
        <v>1387</v>
      </c>
      <c r="G32" s="152">
        <v>204056.17799999999</v>
      </c>
      <c r="H32" s="155" t="s">
        <v>1359</v>
      </c>
      <c r="I32" s="152"/>
      <c r="J32" s="154"/>
      <c r="K32" s="154" t="s">
        <v>1417</v>
      </c>
      <c r="L32" s="227">
        <v>74133.184562009483</v>
      </c>
      <c r="M32" s="157" t="s">
        <v>1332</v>
      </c>
      <c r="N32" s="227">
        <f t="shared" si="2"/>
        <v>0</v>
      </c>
      <c r="O32" s="152">
        <f t="shared" si="3"/>
        <v>729910.54299999983</v>
      </c>
    </row>
    <row r="33" spans="1:15" x14ac:dyDescent="0.15">
      <c r="A33" s="154"/>
      <c r="B33" s="151"/>
      <c r="C33" s="152"/>
      <c r="D33" s="155"/>
      <c r="E33" s="154"/>
      <c r="F33" s="157"/>
      <c r="G33" s="152"/>
      <c r="H33" s="155" t="s">
        <v>1359</v>
      </c>
      <c r="I33" s="152"/>
      <c r="J33" s="154"/>
      <c r="K33" s="154" t="s">
        <v>1417</v>
      </c>
      <c r="L33" s="227">
        <v>3564.0954379905202</v>
      </c>
      <c r="M33" s="157" t="s">
        <v>1385</v>
      </c>
      <c r="N33" s="227">
        <f>G13+N32-I33-L33</f>
        <v>25723.110562009479</v>
      </c>
      <c r="O33" s="152">
        <f t="shared" ref="O33:O34" si="10">O32+G33-I33-L33</f>
        <v>726346.44756200933</v>
      </c>
    </row>
    <row r="34" spans="1:15" x14ac:dyDescent="0.15">
      <c r="A34" s="154"/>
      <c r="B34" s="151"/>
      <c r="C34" s="152"/>
      <c r="D34" s="155"/>
      <c r="E34" s="155"/>
      <c r="F34" s="157"/>
      <c r="G34" s="152"/>
      <c r="H34" s="155" t="s">
        <v>1359</v>
      </c>
      <c r="I34" s="152"/>
      <c r="J34" s="154"/>
      <c r="K34" s="154" t="s">
        <v>1417</v>
      </c>
      <c r="L34" s="227">
        <v>25723.110562009479</v>
      </c>
      <c r="M34" s="157" t="s">
        <v>1385</v>
      </c>
      <c r="N34" s="227">
        <f t="shared" ref="N34" si="11">+N33-I34-L34</f>
        <v>0</v>
      </c>
      <c r="O34" s="152">
        <f t="shared" si="10"/>
        <v>700623.33699999982</v>
      </c>
    </row>
    <row r="35" spans="1:15" x14ac:dyDescent="0.15">
      <c r="A35" s="154"/>
      <c r="B35" s="151"/>
      <c r="C35" s="152"/>
      <c r="D35" s="155"/>
      <c r="E35" s="155"/>
      <c r="F35" s="157"/>
      <c r="G35" s="152"/>
      <c r="H35" s="155" t="s">
        <v>1359</v>
      </c>
      <c r="I35" s="152"/>
      <c r="J35" s="154"/>
      <c r="K35" s="154" t="s">
        <v>1417</v>
      </c>
      <c r="L35" s="227">
        <v>50613.3394379905</v>
      </c>
      <c r="M35" s="157" t="s">
        <v>1386</v>
      </c>
      <c r="N35" s="227">
        <f>G26+N34-I35-L35</f>
        <v>44963.311562009454</v>
      </c>
      <c r="O35" s="152">
        <f t="shared" ref="O35:O36" si="12">O34+G35-I35-L35</f>
        <v>650009.99756200938</v>
      </c>
    </row>
    <row r="36" spans="1:15" x14ac:dyDescent="0.15">
      <c r="A36" s="154"/>
      <c r="B36" s="151"/>
      <c r="C36" s="152"/>
      <c r="D36" s="155"/>
      <c r="E36" s="154"/>
      <c r="F36" s="157"/>
      <c r="G36" s="152"/>
      <c r="H36" s="155" t="s">
        <v>1359</v>
      </c>
      <c r="I36" s="152"/>
      <c r="J36" s="154"/>
      <c r="K36" s="154" t="s">
        <v>1417</v>
      </c>
      <c r="L36" s="227">
        <v>44963.311562009454</v>
      </c>
      <c r="M36" s="157" t="s">
        <v>1386</v>
      </c>
      <c r="N36" s="227">
        <f t="shared" ref="N36" si="13">+N35-I36-L36</f>
        <v>0</v>
      </c>
      <c r="O36" s="152">
        <f t="shared" si="12"/>
        <v>605046.68599999987</v>
      </c>
    </row>
    <row r="37" spans="1:15" x14ac:dyDescent="0.15">
      <c r="A37" s="154"/>
      <c r="B37" s="151"/>
      <c r="C37" s="152"/>
      <c r="D37" s="155"/>
      <c r="E37" s="154"/>
      <c r="F37" s="157"/>
      <c r="G37" s="152"/>
      <c r="H37" s="155" t="s">
        <v>1359</v>
      </c>
      <c r="I37" s="152"/>
      <c r="J37" s="154"/>
      <c r="K37" s="154" t="s">
        <v>1417</v>
      </c>
      <c r="L37" s="227">
        <v>36750.408437990503</v>
      </c>
      <c r="M37" s="157" t="s">
        <v>1387</v>
      </c>
      <c r="N37" s="227">
        <f>G27+G28+G32+N36-I37-L37</f>
        <v>568296.27756200952</v>
      </c>
      <c r="O37" s="152">
        <f t="shared" ref="O37:O41" si="14">O36+G37-I37-L37</f>
        <v>568296.2775620094</v>
      </c>
    </row>
    <row r="38" spans="1:15" x14ac:dyDescent="0.15">
      <c r="A38" s="154"/>
      <c r="B38" s="151"/>
      <c r="C38" s="152"/>
      <c r="D38" s="155"/>
      <c r="E38" s="154"/>
      <c r="F38" s="157"/>
      <c r="G38" s="152"/>
      <c r="H38" s="155" t="s">
        <v>1359</v>
      </c>
      <c r="I38" s="152"/>
      <c r="J38" s="154"/>
      <c r="K38" s="154" t="s">
        <v>1417</v>
      </c>
      <c r="L38" s="227">
        <v>382.77</v>
      </c>
      <c r="M38" s="157" t="s">
        <v>1387</v>
      </c>
      <c r="N38" s="227">
        <f t="shared" ref="N38:N41" si="15">+N37-I38-L38</f>
        <v>567913.5075620095</v>
      </c>
      <c r="O38" s="152">
        <f t="shared" si="14"/>
        <v>567913.50756200938</v>
      </c>
    </row>
    <row r="39" spans="1:15" x14ac:dyDescent="0.15">
      <c r="A39" s="154"/>
      <c r="B39" s="151"/>
      <c r="C39" s="152"/>
      <c r="D39" s="155"/>
      <c r="E39" s="154"/>
      <c r="F39" s="157"/>
      <c r="G39" s="152"/>
      <c r="H39" s="155" t="s">
        <v>1359</v>
      </c>
      <c r="I39" s="152"/>
      <c r="J39" s="154"/>
      <c r="K39" s="154" t="s">
        <v>1417</v>
      </c>
      <c r="L39" s="227">
        <v>387.76</v>
      </c>
      <c r="M39" s="157" t="s">
        <v>1387</v>
      </c>
      <c r="N39" s="227">
        <f t="shared" si="15"/>
        <v>567525.74756200949</v>
      </c>
      <c r="O39" s="152">
        <f t="shared" si="14"/>
        <v>567525.74756200938</v>
      </c>
    </row>
    <row r="40" spans="1:15" x14ac:dyDescent="0.15">
      <c r="A40" s="154"/>
      <c r="B40" s="151"/>
      <c r="C40" s="152"/>
      <c r="D40" s="155" t="s">
        <v>1360</v>
      </c>
      <c r="E40" s="154" t="s">
        <v>72</v>
      </c>
      <c r="F40" s="291" t="s">
        <v>1388</v>
      </c>
      <c r="G40" s="152">
        <v>81972.013999999996</v>
      </c>
      <c r="H40" s="155" t="s">
        <v>1360</v>
      </c>
      <c r="I40" s="152">
        <v>3851.0374999999999</v>
      </c>
      <c r="J40" s="157" t="s">
        <v>1387</v>
      </c>
      <c r="K40" s="154" t="s">
        <v>1417</v>
      </c>
      <c r="L40" s="227">
        <v>5291.32</v>
      </c>
      <c r="M40" s="157" t="s">
        <v>1387</v>
      </c>
      <c r="N40" s="227">
        <f t="shared" si="15"/>
        <v>558383.39006200957</v>
      </c>
      <c r="O40" s="152">
        <f t="shared" si="14"/>
        <v>640355.40406200942</v>
      </c>
    </row>
    <row r="41" spans="1:15" x14ac:dyDescent="0.15">
      <c r="A41" s="154"/>
      <c r="B41" s="151"/>
      <c r="C41" s="152"/>
      <c r="D41" s="155"/>
      <c r="E41" s="154"/>
      <c r="F41" s="157"/>
      <c r="G41" s="152"/>
      <c r="H41" s="155" t="s">
        <v>1360</v>
      </c>
      <c r="I41" s="152"/>
      <c r="J41" s="154"/>
      <c r="K41" s="154" t="s">
        <v>1417</v>
      </c>
      <c r="L41" s="227">
        <v>90763.96</v>
      </c>
      <c r="M41" s="157" t="s">
        <v>1387</v>
      </c>
      <c r="N41" s="227">
        <f t="shared" si="15"/>
        <v>467619.43006200955</v>
      </c>
      <c r="O41" s="152">
        <f t="shared" si="14"/>
        <v>549591.44406200945</v>
      </c>
    </row>
    <row r="42" spans="1:15" x14ac:dyDescent="0.15">
      <c r="A42" s="154"/>
      <c r="B42" s="151"/>
      <c r="C42" s="152"/>
      <c r="D42" s="155" t="s">
        <v>1361</v>
      </c>
      <c r="E42" s="154" t="s">
        <v>72</v>
      </c>
      <c r="F42" s="291" t="s">
        <v>1389</v>
      </c>
      <c r="G42" s="152">
        <v>142071.19</v>
      </c>
      <c r="H42" s="155" t="s">
        <v>1361</v>
      </c>
      <c r="I42" s="152"/>
      <c r="J42" s="154"/>
      <c r="K42" s="154" t="s">
        <v>1417</v>
      </c>
      <c r="L42" s="227">
        <v>45879.25</v>
      </c>
      <c r="M42" s="157" t="s">
        <v>1387</v>
      </c>
      <c r="N42" s="227">
        <f t="shared" si="2"/>
        <v>421740.18006200955</v>
      </c>
      <c r="O42" s="152">
        <f t="shared" si="3"/>
        <v>645783.3840620094</v>
      </c>
    </row>
    <row r="43" spans="1:15" x14ac:dyDescent="0.15">
      <c r="A43" s="154"/>
      <c r="B43" s="151"/>
      <c r="C43" s="152"/>
      <c r="D43" s="155"/>
      <c r="E43" s="155"/>
      <c r="F43" s="157"/>
      <c r="G43" s="152"/>
      <c r="H43" s="155" t="s">
        <v>1361</v>
      </c>
      <c r="I43" s="152"/>
      <c r="J43" s="154"/>
      <c r="K43" s="154" t="s">
        <v>1417</v>
      </c>
      <c r="L43" s="227">
        <v>36069.279999999999</v>
      </c>
      <c r="M43" s="157" t="s">
        <v>1387</v>
      </c>
      <c r="N43" s="227">
        <f t="shared" si="2"/>
        <v>385670.90006200958</v>
      </c>
      <c r="O43" s="152">
        <f t="shared" si="3"/>
        <v>609714.10406200937</v>
      </c>
    </row>
    <row r="44" spans="1:15" x14ac:dyDescent="0.15">
      <c r="A44" s="154"/>
      <c r="B44" s="151"/>
      <c r="C44" s="152"/>
      <c r="D44" s="155" t="s">
        <v>1362</v>
      </c>
      <c r="E44" s="154" t="s">
        <v>72</v>
      </c>
      <c r="F44" s="291" t="s">
        <v>1389</v>
      </c>
      <c r="G44" s="152">
        <v>82074.02</v>
      </c>
      <c r="H44" s="155" t="s">
        <v>1362</v>
      </c>
      <c r="I44" s="152"/>
      <c r="J44" s="154"/>
      <c r="K44" s="154" t="s">
        <v>1417</v>
      </c>
      <c r="L44" s="227">
        <v>79672.45</v>
      </c>
      <c r="M44" s="157" t="s">
        <v>1387</v>
      </c>
      <c r="N44" s="227">
        <f t="shared" si="2"/>
        <v>305998.45006200956</v>
      </c>
      <c r="O44" s="152">
        <f t="shared" si="3"/>
        <v>612115.67406200944</v>
      </c>
    </row>
    <row r="45" spans="1:15" x14ac:dyDescent="0.15">
      <c r="A45" s="154"/>
      <c r="B45" s="151"/>
      <c r="C45" s="152"/>
      <c r="D45" s="155"/>
      <c r="E45" s="155"/>
      <c r="F45" s="157"/>
      <c r="G45" s="152"/>
      <c r="H45" s="155" t="s">
        <v>1362</v>
      </c>
      <c r="I45" s="152"/>
      <c r="J45" s="154"/>
      <c r="K45" s="154" t="s">
        <v>1417</v>
      </c>
      <c r="L45" s="227">
        <v>1409.29</v>
      </c>
      <c r="M45" s="157" t="s">
        <v>1387</v>
      </c>
      <c r="N45" s="227">
        <f t="shared" si="2"/>
        <v>304589.16006200959</v>
      </c>
      <c r="O45" s="152">
        <f t="shared" si="3"/>
        <v>610706.3840620094</v>
      </c>
    </row>
    <row r="46" spans="1:15" x14ac:dyDescent="0.15">
      <c r="A46" s="154"/>
      <c r="B46" s="151"/>
      <c r="C46" s="152"/>
      <c r="D46" s="155" t="s">
        <v>1363</v>
      </c>
      <c r="E46" s="154" t="s">
        <v>72</v>
      </c>
      <c r="F46" s="291" t="s">
        <v>1389</v>
      </c>
      <c r="G46" s="152">
        <v>40032.452000000005</v>
      </c>
      <c r="H46" s="155" t="s">
        <v>1363</v>
      </c>
      <c r="I46" s="152">
        <v>1648.16</v>
      </c>
      <c r="J46" s="157" t="s">
        <v>1387</v>
      </c>
      <c r="K46" s="154" t="s">
        <v>1417</v>
      </c>
      <c r="L46" s="227">
        <v>71332.38</v>
      </c>
      <c r="M46" s="157" t="s">
        <v>1387</v>
      </c>
      <c r="N46" s="227">
        <f t="shared" si="2"/>
        <v>231608.62006200961</v>
      </c>
      <c r="O46" s="152">
        <f t="shared" si="3"/>
        <v>577758.29606200941</v>
      </c>
    </row>
    <row r="47" spans="1:15" x14ac:dyDescent="0.15">
      <c r="A47" s="154"/>
      <c r="B47" s="151"/>
      <c r="C47" s="152"/>
      <c r="D47" s="155"/>
      <c r="E47" s="154"/>
      <c r="F47" s="157"/>
      <c r="G47" s="152"/>
      <c r="H47" s="155" t="s">
        <v>1363</v>
      </c>
      <c r="I47" s="152"/>
      <c r="J47" s="154"/>
      <c r="K47" s="154" t="s">
        <v>1417</v>
      </c>
      <c r="L47" s="227">
        <v>88185.26</v>
      </c>
      <c r="M47" s="157" t="s">
        <v>1387</v>
      </c>
      <c r="N47" s="227">
        <f t="shared" si="2"/>
        <v>143423.3600620096</v>
      </c>
      <c r="O47" s="152">
        <f t="shared" si="3"/>
        <v>489573.0360620094</v>
      </c>
    </row>
    <row r="48" spans="1:15" x14ac:dyDescent="0.15">
      <c r="A48" s="154"/>
      <c r="B48" s="151"/>
      <c r="C48" s="152"/>
      <c r="D48" s="155"/>
      <c r="E48" s="154"/>
      <c r="F48" s="157"/>
      <c r="G48" s="152"/>
      <c r="H48" s="155" t="s">
        <v>1363</v>
      </c>
      <c r="I48" s="152"/>
      <c r="J48" s="154"/>
      <c r="K48" s="154" t="s">
        <v>1417</v>
      </c>
      <c r="L48" s="227">
        <v>88754.97</v>
      </c>
      <c r="M48" s="157" t="s">
        <v>1387</v>
      </c>
      <c r="N48" s="227">
        <f t="shared" si="2"/>
        <v>54668.390062009596</v>
      </c>
      <c r="O48" s="152">
        <f t="shared" si="3"/>
        <v>400818.06606200943</v>
      </c>
    </row>
    <row r="49" spans="1:15" x14ac:dyDescent="0.15">
      <c r="A49" s="154"/>
      <c r="B49" s="151"/>
      <c r="C49" s="152"/>
      <c r="D49" s="155" t="s">
        <v>1365</v>
      </c>
      <c r="E49" s="154" t="s">
        <v>72</v>
      </c>
      <c r="F49" s="291" t="s">
        <v>1389</v>
      </c>
      <c r="G49" s="152">
        <v>162093.90600000002</v>
      </c>
      <c r="H49" s="155" t="s">
        <v>1365</v>
      </c>
      <c r="I49" s="152"/>
      <c r="J49" s="154"/>
      <c r="K49" s="154" t="s">
        <v>1417</v>
      </c>
      <c r="L49" s="227">
        <v>13032.93</v>
      </c>
      <c r="M49" s="157" t="s">
        <v>1387</v>
      </c>
      <c r="N49" s="227">
        <f t="shared" si="2"/>
        <v>41635.460062009595</v>
      </c>
      <c r="O49" s="152">
        <f t="shared" si="3"/>
        <v>549879.04206200934</v>
      </c>
    </row>
    <row r="50" spans="1:15" x14ac:dyDescent="0.15">
      <c r="A50" s="154"/>
      <c r="B50" s="151"/>
      <c r="C50" s="152"/>
      <c r="D50" s="155" t="s">
        <v>1366</v>
      </c>
      <c r="E50" s="154" t="s">
        <v>72</v>
      </c>
      <c r="F50" s="291" t="s">
        <v>1389</v>
      </c>
      <c r="G50" s="152">
        <v>141956.08600000001</v>
      </c>
      <c r="H50" s="155" t="s">
        <v>1366</v>
      </c>
      <c r="I50" s="152"/>
      <c r="J50" s="154"/>
      <c r="K50" s="154" t="s">
        <v>1417</v>
      </c>
      <c r="L50" s="227">
        <v>41635.460062009595</v>
      </c>
      <c r="M50" s="157" t="s">
        <v>1387</v>
      </c>
      <c r="N50" s="227">
        <f t="shared" ref="N50:N52" si="16">+N49-I50-L50</f>
        <v>0</v>
      </c>
      <c r="O50" s="152">
        <f t="shared" ref="O50:O52" si="17">O49+G50-I50-L50</f>
        <v>650199.66799999971</v>
      </c>
    </row>
    <row r="51" spans="1:15" x14ac:dyDescent="0.15">
      <c r="A51" s="154"/>
      <c r="B51" s="151"/>
      <c r="C51" s="152"/>
      <c r="D51" s="155"/>
      <c r="E51" s="154"/>
      <c r="F51" s="291"/>
      <c r="G51" s="152"/>
      <c r="H51" s="155" t="s">
        <v>1366</v>
      </c>
      <c r="I51" s="152"/>
      <c r="J51" s="154"/>
      <c r="K51" s="154" t="s">
        <v>1415</v>
      </c>
      <c r="L51" s="227">
        <v>37562.699937990401</v>
      </c>
      <c r="M51" s="291" t="s">
        <v>1388</v>
      </c>
      <c r="N51" s="227">
        <f>G40+N50-I51-L51</f>
        <v>44409.314062009595</v>
      </c>
      <c r="O51" s="152">
        <f t="shared" si="17"/>
        <v>612636.96806200931</v>
      </c>
    </row>
    <row r="52" spans="1:15" x14ac:dyDescent="0.15">
      <c r="A52" s="154"/>
      <c r="B52" s="151"/>
      <c r="C52" s="152"/>
      <c r="D52" s="155" t="s">
        <v>1367</v>
      </c>
      <c r="E52" s="154" t="s">
        <v>72</v>
      </c>
      <c r="F52" s="291" t="s">
        <v>1389</v>
      </c>
      <c r="G52" s="152">
        <v>67988.497000000032</v>
      </c>
      <c r="H52" s="155" t="s">
        <v>1367</v>
      </c>
      <c r="I52" s="152"/>
      <c r="J52" s="157"/>
      <c r="K52" s="154" t="s">
        <v>1415</v>
      </c>
      <c r="L52" s="227">
        <v>44409.314062009595</v>
      </c>
      <c r="M52" s="291" t="s">
        <v>1388</v>
      </c>
      <c r="N52" s="227">
        <f t="shared" si="16"/>
        <v>0</v>
      </c>
      <c r="O52" s="152">
        <f t="shared" si="17"/>
        <v>636216.15099999984</v>
      </c>
    </row>
    <row r="53" spans="1:15" x14ac:dyDescent="0.15">
      <c r="A53" s="154"/>
      <c r="B53" s="151"/>
      <c r="C53" s="152"/>
      <c r="D53" s="155"/>
      <c r="E53" s="154"/>
      <c r="F53" s="291"/>
      <c r="G53" s="152"/>
      <c r="H53" s="155" t="s">
        <v>1367</v>
      </c>
      <c r="I53" s="152"/>
      <c r="J53" s="157"/>
      <c r="K53" s="154" t="s">
        <v>1417</v>
      </c>
      <c r="L53" s="227">
        <v>29575.1759379904</v>
      </c>
      <c r="M53" s="291" t="s">
        <v>1389</v>
      </c>
      <c r="N53" s="227">
        <f>G42+G44+G46+G49+G50+G52+N52-I53-L53</f>
        <v>606640.97506200965</v>
      </c>
      <c r="O53" s="152">
        <f t="shared" ref="O53:O56" si="18">O52+G53-I53-L53</f>
        <v>606640.97506200941</v>
      </c>
    </row>
    <row r="54" spans="1:15" x14ac:dyDescent="0.15">
      <c r="A54" s="154"/>
      <c r="B54" s="151"/>
      <c r="C54" s="152"/>
      <c r="D54" s="155" t="s">
        <v>1367</v>
      </c>
      <c r="E54" s="154" t="s">
        <v>72</v>
      </c>
      <c r="F54" s="291" t="s">
        <v>1390</v>
      </c>
      <c r="G54" s="152">
        <v>113847.42</v>
      </c>
      <c r="H54" s="155" t="s">
        <v>1367</v>
      </c>
      <c r="I54" s="152"/>
      <c r="J54" s="154"/>
      <c r="K54" s="154" t="s">
        <v>1417</v>
      </c>
      <c r="L54" s="227">
        <v>74062.53</v>
      </c>
      <c r="M54" s="291" t="s">
        <v>1389</v>
      </c>
      <c r="N54" s="227">
        <f t="shared" ref="N54:N56" si="19">+N53-I54-L54</f>
        <v>532578.44506200962</v>
      </c>
      <c r="O54" s="152">
        <f t="shared" si="18"/>
        <v>646425.86506200943</v>
      </c>
    </row>
    <row r="55" spans="1:15" x14ac:dyDescent="0.15">
      <c r="A55" s="154"/>
      <c r="B55" s="151"/>
      <c r="C55" s="152"/>
      <c r="D55" s="155"/>
      <c r="E55" s="154"/>
      <c r="F55" s="157"/>
      <c r="G55" s="152"/>
      <c r="H55" s="155" t="s">
        <v>1367</v>
      </c>
      <c r="I55" s="152"/>
      <c r="J55" s="157"/>
      <c r="K55" s="154" t="s">
        <v>1417</v>
      </c>
      <c r="L55" s="227">
        <v>79299.77</v>
      </c>
      <c r="M55" s="291" t="s">
        <v>1389</v>
      </c>
      <c r="N55" s="227">
        <f t="shared" si="19"/>
        <v>453278.6750620096</v>
      </c>
      <c r="O55" s="152">
        <f t="shared" si="18"/>
        <v>567126.09506200941</v>
      </c>
    </row>
    <row r="56" spans="1:15" x14ac:dyDescent="0.15">
      <c r="A56" s="154"/>
      <c r="B56" s="151"/>
      <c r="C56" s="152"/>
      <c r="D56" s="155"/>
      <c r="E56" s="154"/>
      <c r="F56" s="157"/>
      <c r="G56" s="152"/>
      <c r="H56" s="155" t="s">
        <v>1367</v>
      </c>
      <c r="I56" s="152"/>
      <c r="J56" s="154"/>
      <c r="K56" s="154" t="s">
        <v>1417</v>
      </c>
      <c r="L56" s="227">
        <v>33132.19</v>
      </c>
      <c r="M56" s="291" t="s">
        <v>1389</v>
      </c>
      <c r="N56" s="227">
        <f t="shared" si="19"/>
        <v>420146.4850620096</v>
      </c>
      <c r="O56" s="152">
        <f t="shared" si="18"/>
        <v>533993.90506200935</v>
      </c>
    </row>
    <row r="57" spans="1:15" x14ac:dyDescent="0.15">
      <c r="A57" s="154"/>
      <c r="B57" s="151"/>
      <c r="C57" s="152"/>
      <c r="D57" s="155" t="s">
        <v>1368</v>
      </c>
      <c r="E57" s="154" t="s">
        <v>72</v>
      </c>
      <c r="F57" s="291" t="s">
        <v>1390</v>
      </c>
      <c r="G57" s="152">
        <v>123873.439</v>
      </c>
      <c r="H57" s="155" t="s">
        <v>1368</v>
      </c>
      <c r="I57" s="152"/>
      <c r="J57" s="154"/>
      <c r="K57" s="154" t="s">
        <v>1417</v>
      </c>
      <c r="L57" s="227">
        <v>84886.94</v>
      </c>
      <c r="M57" s="291" t="s">
        <v>1389</v>
      </c>
      <c r="N57" s="227">
        <f t="shared" si="2"/>
        <v>335259.54506200959</v>
      </c>
      <c r="O57" s="152">
        <f t="shared" si="3"/>
        <v>572980.40406200942</v>
      </c>
    </row>
    <row r="58" spans="1:15" x14ac:dyDescent="0.15">
      <c r="A58" s="154"/>
      <c r="B58" s="151"/>
      <c r="C58" s="152"/>
      <c r="D58" s="155"/>
      <c r="E58" s="155"/>
      <c r="F58" s="157"/>
      <c r="G58" s="152"/>
      <c r="H58" s="155" t="s">
        <v>1369</v>
      </c>
      <c r="I58" s="152">
        <v>726.63</v>
      </c>
      <c r="J58" s="291" t="s">
        <v>1389</v>
      </c>
      <c r="K58" s="154" t="s">
        <v>1417</v>
      </c>
      <c r="L58" s="227">
        <v>49489.09</v>
      </c>
      <c r="M58" s="291" t="s">
        <v>1389</v>
      </c>
      <c r="N58" s="227">
        <f t="shared" si="2"/>
        <v>285043.82506200962</v>
      </c>
      <c r="O58" s="152">
        <f t="shared" si="3"/>
        <v>522764.68406200944</v>
      </c>
    </row>
    <row r="59" spans="1:15" x14ac:dyDescent="0.15">
      <c r="A59" s="154"/>
      <c r="B59" s="151"/>
      <c r="C59" s="152"/>
      <c r="D59" s="155"/>
      <c r="E59" s="154"/>
      <c r="F59" s="157"/>
      <c r="G59" s="152"/>
      <c r="H59" s="155" t="s">
        <v>1369</v>
      </c>
      <c r="I59" s="152"/>
      <c r="J59" s="154"/>
      <c r="K59" s="154" t="s">
        <v>1417</v>
      </c>
      <c r="L59" s="227">
        <v>275.17</v>
      </c>
      <c r="M59" s="291" t="s">
        <v>1389</v>
      </c>
      <c r="N59" s="227">
        <f t="shared" si="2"/>
        <v>284768.65506200964</v>
      </c>
      <c r="O59" s="152">
        <f t="shared" si="3"/>
        <v>522489.51406200946</v>
      </c>
    </row>
    <row r="60" spans="1:15" x14ac:dyDescent="0.15">
      <c r="A60" s="154"/>
      <c r="B60" s="151"/>
      <c r="C60" s="152"/>
      <c r="D60" s="155" t="s">
        <v>1370</v>
      </c>
      <c r="E60" s="154" t="s">
        <v>72</v>
      </c>
      <c r="F60" s="291" t="s">
        <v>1391</v>
      </c>
      <c r="G60" s="152">
        <v>120030.42200000001</v>
      </c>
      <c r="H60" s="155" t="s">
        <v>1370</v>
      </c>
      <c r="I60" s="152"/>
      <c r="J60" s="157"/>
      <c r="K60" s="154" t="s">
        <v>1417</v>
      </c>
      <c r="L60" s="227">
        <v>76468.75</v>
      </c>
      <c r="M60" s="291" t="s">
        <v>1389</v>
      </c>
      <c r="N60" s="227">
        <f t="shared" si="2"/>
        <v>208299.90506200964</v>
      </c>
      <c r="O60" s="152">
        <f t="shared" si="3"/>
        <v>566051.18606200942</v>
      </c>
    </row>
    <row r="61" spans="1:15" x14ac:dyDescent="0.15">
      <c r="A61" s="154"/>
      <c r="B61" s="151"/>
      <c r="C61" s="152"/>
      <c r="D61" s="155"/>
      <c r="E61" s="155"/>
      <c r="F61" s="157"/>
      <c r="G61" s="152"/>
      <c r="H61" s="155" t="s">
        <v>1370</v>
      </c>
      <c r="I61" s="152"/>
      <c r="J61" s="157"/>
      <c r="K61" s="154" t="s">
        <v>1417</v>
      </c>
      <c r="L61" s="227">
        <v>77439.25</v>
      </c>
      <c r="M61" s="291" t="s">
        <v>1389</v>
      </c>
      <c r="N61" s="227">
        <f t="shared" si="2"/>
        <v>130860.65506200964</v>
      </c>
      <c r="O61" s="152">
        <f t="shared" si="3"/>
        <v>488611.93606200942</v>
      </c>
    </row>
    <row r="62" spans="1:15" x14ac:dyDescent="0.15">
      <c r="A62" s="154"/>
      <c r="B62" s="151"/>
      <c r="C62" s="152"/>
      <c r="D62" s="155"/>
      <c r="E62" s="154"/>
      <c r="F62" s="157"/>
      <c r="G62" s="152"/>
      <c r="H62" s="155" t="s">
        <v>1370</v>
      </c>
      <c r="I62" s="152"/>
      <c r="J62" s="154"/>
      <c r="K62" s="154" t="s">
        <v>1417</v>
      </c>
      <c r="L62" s="227">
        <v>475.76</v>
      </c>
      <c r="M62" s="291" t="s">
        <v>1389</v>
      </c>
      <c r="N62" s="227">
        <f t="shared" si="2"/>
        <v>130384.89506200964</v>
      </c>
      <c r="O62" s="152">
        <f t="shared" si="3"/>
        <v>488136.17606200941</v>
      </c>
    </row>
    <row r="63" spans="1:15" x14ac:dyDescent="0.15">
      <c r="A63" s="154"/>
      <c r="B63" s="151"/>
      <c r="C63" s="152"/>
      <c r="D63" s="155" t="s">
        <v>1371</v>
      </c>
      <c r="E63" s="154" t="s">
        <v>72</v>
      </c>
      <c r="F63" s="291" t="s">
        <v>1392</v>
      </c>
      <c r="G63" s="152">
        <v>133120.88</v>
      </c>
      <c r="H63" s="155" t="s">
        <v>1371</v>
      </c>
      <c r="I63" s="152"/>
      <c r="J63" s="154"/>
      <c r="K63" s="154" t="s">
        <v>1417</v>
      </c>
      <c r="L63" s="227">
        <v>35959.870000000003</v>
      </c>
      <c r="M63" s="291" t="s">
        <v>1389</v>
      </c>
      <c r="N63" s="227">
        <f t="shared" si="2"/>
        <v>94425.025062009634</v>
      </c>
      <c r="O63" s="152">
        <f t="shared" si="3"/>
        <v>585297.18606200942</v>
      </c>
    </row>
    <row r="64" spans="1:15" x14ac:dyDescent="0.15">
      <c r="A64" s="154"/>
      <c r="B64" s="151"/>
      <c r="C64" s="152"/>
      <c r="D64" s="155"/>
      <c r="E64" s="154"/>
      <c r="F64" s="157"/>
      <c r="G64" s="152"/>
      <c r="H64" s="155" t="s">
        <v>1371</v>
      </c>
      <c r="I64" s="152"/>
      <c r="J64" s="157"/>
      <c r="K64" s="154" t="s">
        <v>1417</v>
      </c>
      <c r="L64" s="227">
        <v>82990.47</v>
      </c>
      <c r="M64" s="291" t="s">
        <v>1389</v>
      </c>
      <c r="N64" s="227">
        <f t="shared" si="2"/>
        <v>11434.555062009633</v>
      </c>
      <c r="O64" s="152">
        <f t="shared" si="3"/>
        <v>502306.71606200945</v>
      </c>
    </row>
    <row r="65" spans="1:15" x14ac:dyDescent="0.15">
      <c r="A65" s="154"/>
      <c r="B65" s="151"/>
      <c r="C65" s="152"/>
      <c r="D65" s="155"/>
      <c r="E65" s="155"/>
      <c r="F65" s="157"/>
      <c r="G65" s="152"/>
      <c r="H65" s="155" t="s">
        <v>1371</v>
      </c>
      <c r="I65" s="152"/>
      <c r="J65" s="154"/>
      <c r="K65" s="154" t="s">
        <v>1417</v>
      </c>
      <c r="L65" s="227">
        <v>11434.555062009633</v>
      </c>
      <c r="M65" s="291" t="s">
        <v>1389</v>
      </c>
      <c r="N65" s="227">
        <f t="shared" si="2"/>
        <v>0</v>
      </c>
      <c r="O65" s="152">
        <f t="shared" si="3"/>
        <v>490872.16099999985</v>
      </c>
    </row>
    <row r="66" spans="1:15" x14ac:dyDescent="0.15">
      <c r="A66" s="154"/>
      <c r="B66" s="151"/>
      <c r="C66" s="152"/>
      <c r="D66" s="155"/>
      <c r="E66" s="155"/>
      <c r="F66" s="157"/>
      <c r="G66" s="152"/>
      <c r="H66" s="155" t="s">
        <v>1371</v>
      </c>
      <c r="I66" s="152"/>
      <c r="J66" s="154"/>
      <c r="K66" s="154" t="s">
        <v>1417</v>
      </c>
      <c r="L66" s="227">
        <v>73272.4649379904</v>
      </c>
      <c r="M66" s="291" t="s">
        <v>1390</v>
      </c>
      <c r="N66" s="227">
        <f>G54+G57+N65-I66-L66</f>
        <v>164448.39406200958</v>
      </c>
      <c r="O66" s="152">
        <f t="shared" ref="O66:O70" si="20">O65+G66-I66-L66</f>
        <v>417599.69606200943</v>
      </c>
    </row>
    <row r="67" spans="1:15" x14ac:dyDescent="0.15">
      <c r="A67" s="154"/>
      <c r="B67" s="151"/>
      <c r="C67" s="152"/>
      <c r="D67" s="155" t="s">
        <v>1372</v>
      </c>
      <c r="E67" s="154" t="s">
        <v>72</v>
      </c>
      <c r="F67" s="291" t="s">
        <v>1392</v>
      </c>
      <c r="G67" s="152">
        <v>222040.27499999997</v>
      </c>
      <c r="H67" s="155" t="s">
        <v>1372</v>
      </c>
      <c r="I67" s="152">
        <v>716.36</v>
      </c>
      <c r="J67" s="291" t="s">
        <v>1390</v>
      </c>
      <c r="K67" s="154" t="s">
        <v>1417</v>
      </c>
      <c r="L67" s="227">
        <v>485.75</v>
      </c>
      <c r="M67" s="291" t="s">
        <v>1390</v>
      </c>
      <c r="N67" s="227">
        <f t="shared" ref="N67:N70" si="21">+N66-I67-L67</f>
        <v>163246.2840620096</v>
      </c>
      <c r="O67" s="152">
        <f t="shared" si="20"/>
        <v>638437.86106200947</v>
      </c>
    </row>
    <row r="68" spans="1:15" x14ac:dyDescent="0.15">
      <c r="A68" s="154"/>
      <c r="B68" s="151"/>
      <c r="C68" s="152"/>
      <c r="D68" s="155"/>
      <c r="E68" s="155"/>
      <c r="F68" s="157"/>
      <c r="G68" s="152"/>
      <c r="H68" s="155" t="s">
        <v>1372</v>
      </c>
      <c r="I68" s="152"/>
      <c r="J68" s="154"/>
      <c r="K68" s="154" t="s">
        <v>1417</v>
      </c>
      <c r="L68" s="227">
        <v>6411.75</v>
      </c>
      <c r="M68" s="291" t="s">
        <v>1390</v>
      </c>
      <c r="N68" s="227">
        <f t="shared" si="21"/>
        <v>156834.5340620096</v>
      </c>
      <c r="O68" s="152">
        <f t="shared" si="20"/>
        <v>632026.11106200947</v>
      </c>
    </row>
    <row r="69" spans="1:15" x14ac:dyDescent="0.15">
      <c r="A69" s="154"/>
      <c r="B69" s="151"/>
      <c r="C69" s="152"/>
      <c r="D69" s="155" t="s">
        <v>1373</v>
      </c>
      <c r="E69" s="154" t="s">
        <v>72</v>
      </c>
      <c r="F69" s="291" t="s">
        <v>1392</v>
      </c>
      <c r="G69" s="152">
        <v>62015.516000000061</v>
      </c>
      <c r="H69" s="155" t="s">
        <v>1373</v>
      </c>
      <c r="I69" s="152"/>
      <c r="J69" s="154"/>
      <c r="K69" s="154" t="s">
        <v>1417</v>
      </c>
      <c r="L69" s="227">
        <v>83260</v>
      </c>
      <c r="M69" s="291" t="s">
        <v>1390</v>
      </c>
      <c r="N69" s="227">
        <f t="shared" si="21"/>
        <v>73574.534062009596</v>
      </c>
      <c r="O69" s="152">
        <f t="shared" si="20"/>
        <v>610781.62706200953</v>
      </c>
    </row>
    <row r="70" spans="1:15" x14ac:dyDescent="0.15">
      <c r="A70" s="154"/>
      <c r="B70" s="151"/>
      <c r="C70" s="152"/>
      <c r="D70" s="155" t="s">
        <v>1373</v>
      </c>
      <c r="E70" s="154" t="s">
        <v>72</v>
      </c>
      <c r="F70" s="291" t="s">
        <v>1393</v>
      </c>
      <c r="G70" s="152">
        <v>19999.999999999902</v>
      </c>
      <c r="H70" s="155" t="s">
        <v>1373</v>
      </c>
      <c r="I70" s="152"/>
      <c r="J70" s="154"/>
      <c r="K70" s="154"/>
      <c r="L70" s="227"/>
      <c r="M70" s="157"/>
      <c r="N70" s="227">
        <f t="shared" si="21"/>
        <v>73574.534062009596</v>
      </c>
      <c r="O70" s="152">
        <f t="shared" si="20"/>
        <v>630781.62706200941</v>
      </c>
    </row>
    <row r="71" spans="1:15" x14ac:dyDescent="0.15">
      <c r="A71" s="154"/>
      <c r="B71" s="151"/>
      <c r="C71" s="152"/>
      <c r="D71" s="155" t="s">
        <v>1364</v>
      </c>
      <c r="E71" s="154" t="s">
        <v>72</v>
      </c>
      <c r="F71" s="291" t="s">
        <v>1393</v>
      </c>
      <c r="G71" s="152">
        <v>244082.55</v>
      </c>
      <c r="H71" s="155" t="s">
        <v>1364</v>
      </c>
      <c r="I71" s="152"/>
      <c r="J71" s="157"/>
      <c r="K71" s="154" t="s">
        <v>1417</v>
      </c>
      <c r="L71" s="227">
        <v>73574.534062009596</v>
      </c>
      <c r="M71" s="291" t="s">
        <v>1390</v>
      </c>
      <c r="N71" s="227">
        <f t="shared" ref="N71:N74" si="22">+N70-I71-L71</f>
        <v>0</v>
      </c>
      <c r="O71" s="152">
        <f t="shared" ref="O71:O74" si="23">O70+G71-I71-L71</f>
        <v>801289.64299999992</v>
      </c>
    </row>
    <row r="72" spans="1:15" x14ac:dyDescent="0.15">
      <c r="A72" s="154"/>
      <c r="B72" s="151"/>
      <c r="C72" s="152"/>
      <c r="D72" s="155"/>
      <c r="E72" s="154"/>
      <c r="F72" s="291"/>
      <c r="G72" s="152"/>
      <c r="H72" s="155" t="s">
        <v>1364</v>
      </c>
      <c r="I72" s="152"/>
      <c r="J72" s="157"/>
      <c r="K72" s="154" t="s">
        <v>1417</v>
      </c>
      <c r="L72" s="227">
        <v>2495.4659379904001</v>
      </c>
      <c r="M72" s="291" t="s">
        <v>1391</v>
      </c>
      <c r="N72" s="227">
        <f>G60+N71-I72-L72</f>
        <v>117534.9560620096</v>
      </c>
      <c r="O72" s="152">
        <f t="shared" si="23"/>
        <v>798794.17706200958</v>
      </c>
    </row>
    <row r="73" spans="1:15" x14ac:dyDescent="0.15">
      <c r="A73" s="154"/>
      <c r="B73" s="151"/>
      <c r="C73" s="152"/>
      <c r="D73" s="155"/>
      <c r="E73" s="154"/>
      <c r="F73" s="157"/>
      <c r="G73" s="152"/>
      <c r="H73" s="155" t="s">
        <v>1364</v>
      </c>
      <c r="I73" s="152"/>
      <c r="J73" s="154"/>
      <c r="K73" s="154" t="s">
        <v>1417</v>
      </c>
      <c r="L73" s="227">
        <v>74013</v>
      </c>
      <c r="M73" s="291" t="s">
        <v>1391</v>
      </c>
      <c r="N73" s="227">
        <f t="shared" si="22"/>
        <v>43521.956062009602</v>
      </c>
      <c r="O73" s="152">
        <f t="shared" si="23"/>
        <v>724781.17706200958</v>
      </c>
    </row>
    <row r="74" spans="1:15" x14ac:dyDescent="0.15">
      <c r="A74" s="154"/>
      <c r="B74" s="151"/>
      <c r="C74" s="152"/>
      <c r="D74" s="155"/>
      <c r="E74" s="154"/>
      <c r="F74" s="157"/>
      <c r="G74" s="152"/>
      <c r="H74" s="155" t="s">
        <v>1364</v>
      </c>
      <c r="I74" s="152"/>
      <c r="J74" s="154"/>
      <c r="K74" s="154" t="s">
        <v>1417</v>
      </c>
      <c r="L74" s="227">
        <v>43521.956062009602</v>
      </c>
      <c r="M74" s="291" t="s">
        <v>1391</v>
      </c>
      <c r="N74" s="227">
        <f t="shared" si="22"/>
        <v>0</v>
      </c>
      <c r="O74" s="152">
        <f t="shared" si="23"/>
        <v>681259.22100000002</v>
      </c>
    </row>
    <row r="75" spans="1:15" x14ac:dyDescent="0.15">
      <c r="A75" s="154"/>
      <c r="B75" s="151"/>
      <c r="C75" s="152"/>
      <c r="D75" s="155"/>
      <c r="E75" s="154"/>
      <c r="F75" s="157"/>
      <c r="G75" s="152"/>
      <c r="H75" s="155" t="s">
        <v>1364</v>
      </c>
      <c r="I75" s="152"/>
      <c r="J75" s="154"/>
      <c r="K75" s="154" t="s">
        <v>1417</v>
      </c>
      <c r="L75" s="227">
        <v>38348.043937990398</v>
      </c>
      <c r="M75" s="291" t="s">
        <v>1392</v>
      </c>
      <c r="N75" s="227">
        <f>G63+G67+G69+N74-I75-L75</f>
        <v>378828.62706200965</v>
      </c>
      <c r="O75" s="152">
        <f t="shared" ref="O75:O77" si="24">O74+G75-I75-L75</f>
        <v>642911.17706200958</v>
      </c>
    </row>
    <row r="76" spans="1:15" x14ac:dyDescent="0.15">
      <c r="A76" s="154"/>
      <c r="B76" s="151"/>
      <c r="C76" s="152"/>
      <c r="D76" s="155"/>
      <c r="E76" s="154"/>
      <c r="F76" s="157"/>
      <c r="G76" s="152"/>
      <c r="H76" s="155" t="s">
        <v>1364</v>
      </c>
      <c r="I76" s="152"/>
      <c r="J76" s="154"/>
      <c r="K76" s="154" t="s">
        <v>1417</v>
      </c>
      <c r="L76" s="227">
        <v>71158.570000000007</v>
      </c>
      <c r="M76" s="291" t="s">
        <v>1392</v>
      </c>
      <c r="N76" s="227">
        <f t="shared" ref="N76:N77" si="25">+N75-I76-L76</f>
        <v>307670.05706200964</v>
      </c>
      <c r="O76" s="152">
        <f t="shared" si="24"/>
        <v>571752.60706200963</v>
      </c>
    </row>
    <row r="77" spans="1:15" x14ac:dyDescent="0.15">
      <c r="A77" s="154"/>
      <c r="B77" s="151"/>
      <c r="C77" s="152"/>
      <c r="D77" s="155"/>
      <c r="E77" s="155"/>
      <c r="F77" s="157"/>
      <c r="G77" s="152"/>
      <c r="H77" s="155" t="s">
        <v>1364</v>
      </c>
      <c r="I77" s="152"/>
      <c r="J77" s="154"/>
      <c r="K77" s="154" t="s">
        <v>1417</v>
      </c>
      <c r="L77" s="227">
        <v>34118.080000000002</v>
      </c>
      <c r="M77" s="291" t="s">
        <v>1392</v>
      </c>
      <c r="N77" s="227">
        <f t="shared" si="25"/>
        <v>273551.97706200962</v>
      </c>
      <c r="O77" s="152">
        <f t="shared" si="24"/>
        <v>537634.52706200967</v>
      </c>
    </row>
    <row r="78" spans="1:15" x14ac:dyDescent="0.15">
      <c r="A78" s="154"/>
      <c r="B78" s="151"/>
      <c r="C78" s="152"/>
      <c r="D78" s="155" t="s">
        <v>1375</v>
      </c>
      <c r="E78" s="154" t="s">
        <v>72</v>
      </c>
      <c r="F78" s="291" t="s">
        <v>1394</v>
      </c>
      <c r="G78" s="152">
        <v>124136.07799999999</v>
      </c>
      <c r="H78" s="155" t="s">
        <v>1375</v>
      </c>
      <c r="I78" s="152"/>
      <c r="J78" s="154"/>
      <c r="K78" s="154" t="s">
        <v>1417</v>
      </c>
      <c r="L78" s="227">
        <v>87483.38</v>
      </c>
      <c r="M78" s="291" t="s">
        <v>1392</v>
      </c>
      <c r="N78" s="227">
        <f t="shared" si="2"/>
        <v>186068.59706200962</v>
      </c>
      <c r="O78" s="152">
        <f t="shared" si="3"/>
        <v>574287.22506200965</v>
      </c>
    </row>
    <row r="79" spans="1:15" x14ac:dyDescent="0.15">
      <c r="A79" s="154"/>
      <c r="B79" s="151"/>
      <c r="C79" s="152"/>
      <c r="D79" s="155" t="s">
        <v>1376</v>
      </c>
      <c r="E79" s="154" t="s">
        <v>72</v>
      </c>
      <c r="F79" s="291" t="s">
        <v>1394</v>
      </c>
      <c r="G79" s="152">
        <v>104073.20800000001</v>
      </c>
      <c r="H79" s="155" t="s">
        <v>1376</v>
      </c>
      <c r="I79" s="152"/>
      <c r="J79" s="157"/>
      <c r="K79" s="154" t="s">
        <v>1417</v>
      </c>
      <c r="L79" s="227">
        <v>53043.13</v>
      </c>
      <c r="M79" s="291" t="s">
        <v>1392</v>
      </c>
      <c r="N79" s="227">
        <f t="shared" ref="N79:N89" si="26">+N78-I79-L79</f>
        <v>133025.46706200961</v>
      </c>
      <c r="O79" s="152">
        <f t="shared" ref="O79:O89" si="27">O78+G79-I79-L79</f>
        <v>625317.30306200963</v>
      </c>
    </row>
    <row r="80" spans="1:15" x14ac:dyDescent="0.15">
      <c r="A80" s="154"/>
      <c r="B80" s="151"/>
      <c r="C80" s="152"/>
      <c r="D80" s="155" t="s">
        <v>1377</v>
      </c>
      <c r="E80" s="154" t="s">
        <v>72</v>
      </c>
      <c r="F80" s="291" t="s">
        <v>1394</v>
      </c>
      <c r="G80" s="152">
        <v>83993.307000000001</v>
      </c>
      <c r="H80" s="155" t="s">
        <v>1377</v>
      </c>
      <c r="I80" s="152"/>
      <c r="J80" s="154"/>
      <c r="K80" s="154" t="s">
        <v>1417</v>
      </c>
      <c r="L80" s="227">
        <v>77576.39</v>
      </c>
      <c r="M80" s="291" t="s">
        <v>1392</v>
      </c>
      <c r="N80" s="227">
        <f t="shared" si="26"/>
        <v>55449.077062009615</v>
      </c>
      <c r="O80" s="152">
        <f t="shared" si="27"/>
        <v>631734.22006200964</v>
      </c>
    </row>
    <row r="81" spans="1:15" x14ac:dyDescent="0.15">
      <c r="A81" s="154"/>
      <c r="B81" s="151"/>
      <c r="C81" s="152"/>
      <c r="D81" s="155" t="s">
        <v>1377</v>
      </c>
      <c r="E81" s="154" t="s">
        <v>72</v>
      </c>
      <c r="F81" s="291" t="s">
        <v>1395</v>
      </c>
      <c r="G81" s="152">
        <v>20042.587999999902</v>
      </c>
      <c r="H81" s="155" t="s">
        <v>1377</v>
      </c>
      <c r="I81" s="152"/>
      <c r="J81" s="154"/>
      <c r="K81" s="154"/>
      <c r="L81" s="227"/>
      <c r="M81" s="157"/>
      <c r="N81" s="227">
        <f t="shared" si="26"/>
        <v>55449.077062009615</v>
      </c>
      <c r="O81" s="152">
        <f t="shared" si="27"/>
        <v>651776.80806200951</v>
      </c>
    </row>
    <row r="82" spans="1:15" x14ac:dyDescent="0.15">
      <c r="A82" s="154"/>
      <c r="B82" s="151"/>
      <c r="C82" s="152"/>
      <c r="D82" s="155"/>
      <c r="E82" s="154"/>
      <c r="F82" s="157"/>
      <c r="G82" s="152"/>
      <c r="H82" s="155" t="s">
        <v>1378</v>
      </c>
      <c r="I82" s="152"/>
      <c r="J82" s="154"/>
      <c r="K82" s="154" t="s">
        <v>1417</v>
      </c>
      <c r="L82" s="227">
        <v>1205.3699999999999</v>
      </c>
      <c r="M82" s="291" t="s">
        <v>1392</v>
      </c>
      <c r="N82" s="227">
        <f t="shared" si="26"/>
        <v>54243.707062009613</v>
      </c>
      <c r="O82" s="152">
        <f t="shared" si="27"/>
        <v>650571.43806200952</v>
      </c>
    </row>
    <row r="83" spans="1:15" x14ac:dyDescent="0.15">
      <c r="A83" s="154"/>
      <c r="B83" s="151"/>
      <c r="C83" s="152"/>
      <c r="D83" s="155"/>
      <c r="E83" s="154"/>
      <c r="F83" s="157"/>
      <c r="G83" s="152"/>
      <c r="H83" s="155" t="s">
        <v>1378</v>
      </c>
      <c r="I83" s="152"/>
      <c r="J83" s="154"/>
      <c r="K83" s="154" t="s">
        <v>1417</v>
      </c>
      <c r="L83" s="227">
        <v>54243.707062009613</v>
      </c>
      <c r="M83" s="291" t="s">
        <v>1392</v>
      </c>
      <c r="N83" s="227">
        <f t="shared" ref="N83:N86" si="28">+N82-I83-L83</f>
        <v>0</v>
      </c>
      <c r="O83" s="152">
        <f t="shared" ref="O83:O86" si="29">O82+G83-I83-L83</f>
        <v>596327.73099999991</v>
      </c>
    </row>
    <row r="84" spans="1:15" x14ac:dyDescent="0.15">
      <c r="A84" s="154"/>
      <c r="B84" s="151"/>
      <c r="C84" s="152"/>
      <c r="D84" s="155"/>
      <c r="E84" s="154"/>
      <c r="F84" s="157"/>
      <c r="G84" s="152"/>
      <c r="H84" s="155" t="s">
        <v>1378</v>
      </c>
      <c r="I84" s="152"/>
      <c r="J84" s="154"/>
      <c r="K84" s="154" t="s">
        <v>1417</v>
      </c>
      <c r="L84" s="227">
        <v>27091.0329379904</v>
      </c>
      <c r="M84" s="291" t="s">
        <v>1393</v>
      </c>
      <c r="N84" s="227">
        <f>G70+G71+N83-I84-L84</f>
        <v>236991.51706200949</v>
      </c>
      <c r="O84" s="152">
        <f t="shared" si="29"/>
        <v>569236.69806200953</v>
      </c>
    </row>
    <row r="85" spans="1:15" x14ac:dyDescent="0.15">
      <c r="A85" s="154"/>
      <c r="B85" s="151"/>
      <c r="C85" s="152"/>
      <c r="D85" s="155"/>
      <c r="E85" s="155"/>
      <c r="F85" s="157"/>
      <c r="G85" s="152"/>
      <c r="H85" s="155" t="s">
        <v>1378</v>
      </c>
      <c r="I85" s="152"/>
      <c r="J85" s="154"/>
      <c r="K85" s="154" t="s">
        <v>1417</v>
      </c>
      <c r="L85" s="227">
        <v>87543.360000000001</v>
      </c>
      <c r="M85" s="291" t="s">
        <v>1393</v>
      </c>
      <c r="N85" s="227">
        <f t="shared" si="28"/>
        <v>149448.1570620095</v>
      </c>
      <c r="O85" s="152">
        <f t="shared" si="29"/>
        <v>481693.33806200954</v>
      </c>
    </row>
    <row r="86" spans="1:15" x14ac:dyDescent="0.15">
      <c r="A86" s="154"/>
      <c r="B86" s="151"/>
      <c r="C86" s="152"/>
      <c r="D86" s="155" t="s">
        <v>1379</v>
      </c>
      <c r="E86" s="154" t="s">
        <v>72</v>
      </c>
      <c r="F86" s="291" t="s">
        <v>1396</v>
      </c>
      <c r="G86" s="152">
        <v>144000.40400000001</v>
      </c>
      <c r="H86" s="155" t="s">
        <v>1379</v>
      </c>
      <c r="I86" s="152"/>
      <c r="J86" s="157"/>
      <c r="K86" s="154" t="s">
        <v>1417</v>
      </c>
      <c r="L86" s="227">
        <v>30983.71</v>
      </c>
      <c r="M86" s="291" t="s">
        <v>1393</v>
      </c>
      <c r="N86" s="227">
        <f t="shared" si="28"/>
        <v>118464.44706200951</v>
      </c>
      <c r="O86" s="152">
        <f t="shared" si="29"/>
        <v>594710.03206200956</v>
      </c>
    </row>
    <row r="87" spans="1:15" x14ac:dyDescent="0.15">
      <c r="A87" s="154"/>
      <c r="B87" s="151"/>
      <c r="C87" s="152"/>
      <c r="D87" s="155" t="s">
        <v>1380</v>
      </c>
      <c r="E87" s="154" t="s">
        <v>72</v>
      </c>
      <c r="F87" s="291" t="s">
        <v>1396</v>
      </c>
      <c r="G87" s="152">
        <v>99134.66000000012</v>
      </c>
      <c r="H87" s="155" t="s">
        <v>1380</v>
      </c>
      <c r="I87" s="152"/>
      <c r="J87" s="157"/>
      <c r="K87" s="154" t="s">
        <v>1417</v>
      </c>
      <c r="L87" s="227">
        <v>733.45</v>
      </c>
      <c r="M87" s="291" t="s">
        <v>1393</v>
      </c>
      <c r="N87" s="227">
        <f t="shared" si="26"/>
        <v>117730.99706200951</v>
      </c>
      <c r="O87" s="152">
        <f t="shared" si="27"/>
        <v>693111.24206200975</v>
      </c>
    </row>
    <row r="88" spans="1:15" x14ac:dyDescent="0.15">
      <c r="A88" s="154"/>
      <c r="B88" s="151"/>
      <c r="C88" s="152"/>
      <c r="D88" s="155" t="s">
        <v>1380</v>
      </c>
      <c r="E88" s="154" t="s">
        <v>72</v>
      </c>
      <c r="F88" s="291" t="s">
        <v>1397</v>
      </c>
      <c r="G88" s="152">
        <v>44991.889999999898</v>
      </c>
      <c r="H88" s="155" t="s">
        <v>1380</v>
      </c>
      <c r="I88" s="152"/>
      <c r="J88" s="154"/>
      <c r="K88" s="154" t="s">
        <v>1417</v>
      </c>
      <c r="L88" s="227">
        <v>79623.42</v>
      </c>
      <c r="M88" s="291" t="s">
        <v>1393</v>
      </c>
      <c r="N88" s="227">
        <f t="shared" si="26"/>
        <v>38107.577062009514</v>
      </c>
      <c r="O88" s="152">
        <f t="shared" si="27"/>
        <v>658479.71206200961</v>
      </c>
    </row>
    <row r="89" spans="1:15" x14ac:dyDescent="0.15">
      <c r="A89" s="154"/>
      <c r="B89" s="151"/>
      <c r="C89" s="152"/>
      <c r="D89" s="155"/>
      <c r="E89" s="154"/>
      <c r="F89" s="157"/>
      <c r="G89" s="152"/>
      <c r="H89" s="155" t="s">
        <v>1380</v>
      </c>
      <c r="I89" s="152"/>
      <c r="J89" s="154"/>
      <c r="K89" s="154" t="s">
        <v>1417</v>
      </c>
      <c r="L89" s="227">
        <v>36356.620000000003</v>
      </c>
      <c r="M89" s="291" t="s">
        <v>1393</v>
      </c>
      <c r="N89" s="227">
        <f t="shared" si="26"/>
        <v>1750.957062009511</v>
      </c>
      <c r="O89" s="152">
        <f t="shared" si="27"/>
        <v>622123.09206200961</v>
      </c>
    </row>
    <row r="90" spans="1:15" x14ac:dyDescent="0.15">
      <c r="A90" s="154"/>
      <c r="B90" s="151"/>
      <c r="C90" s="152"/>
      <c r="D90" s="155" t="s">
        <v>1381</v>
      </c>
      <c r="E90" s="154" t="s">
        <v>72</v>
      </c>
      <c r="F90" s="291" t="s">
        <v>1397</v>
      </c>
      <c r="G90" s="152">
        <v>221967.65099999998</v>
      </c>
      <c r="H90" s="155" t="s">
        <v>1381</v>
      </c>
      <c r="I90" s="152"/>
      <c r="J90" s="157"/>
      <c r="K90" s="154" t="s">
        <v>1417</v>
      </c>
      <c r="L90" s="227">
        <v>1750.957062009511</v>
      </c>
      <c r="M90" s="291" t="s">
        <v>1393</v>
      </c>
      <c r="N90" s="227">
        <f t="shared" ref="N90:N94" si="30">+N89-I90-L90</f>
        <v>0</v>
      </c>
      <c r="O90" s="152">
        <f t="shared" ref="O90:O94" si="31">O89+G90-I90-L90</f>
        <v>842339.78600000008</v>
      </c>
    </row>
    <row r="91" spans="1:15" x14ac:dyDescent="0.15">
      <c r="A91" s="154"/>
      <c r="B91" s="151"/>
      <c r="C91" s="152"/>
      <c r="D91" s="155"/>
      <c r="E91" s="154"/>
      <c r="F91" s="291"/>
      <c r="G91" s="152"/>
      <c r="H91" s="155" t="s">
        <v>1381</v>
      </c>
      <c r="I91" s="152"/>
      <c r="J91" s="157"/>
      <c r="K91" s="154" t="s">
        <v>1415</v>
      </c>
      <c r="L91" s="227">
        <v>71878.8129379905</v>
      </c>
      <c r="M91" s="291" t="s">
        <v>1394</v>
      </c>
      <c r="N91" s="227">
        <f>G78+G79+G80+N90-I91-L91</f>
        <v>240323.78006200949</v>
      </c>
      <c r="O91" s="152">
        <f t="shared" si="31"/>
        <v>770460.97306200955</v>
      </c>
    </row>
    <row r="92" spans="1:15" x14ac:dyDescent="0.15">
      <c r="A92" s="154"/>
      <c r="B92" s="151"/>
      <c r="C92" s="152"/>
      <c r="D92" s="155"/>
      <c r="E92" s="154"/>
      <c r="F92" s="157"/>
      <c r="G92" s="152"/>
      <c r="H92" s="155" t="s">
        <v>1381</v>
      </c>
      <c r="I92" s="152"/>
      <c r="J92" s="154"/>
      <c r="K92" s="154" t="s">
        <v>1415</v>
      </c>
      <c r="L92" s="227">
        <v>74736.45</v>
      </c>
      <c r="M92" s="291" t="s">
        <v>1394</v>
      </c>
      <c r="N92" s="227">
        <f t="shared" si="30"/>
        <v>165587.33006200951</v>
      </c>
      <c r="O92" s="152">
        <f t="shared" si="31"/>
        <v>695724.5230620096</v>
      </c>
    </row>
    <row r="93" spans="1:15" x14ac:dyDescent="0.15">
      <c r="A93" s="154"/>
      <c r="B93" s="151"/>
      <c r="C93" s="152"/>
      <c r="D93" s="155"/>
      <c r="E93" s="155"/>
      <c r="F93" s="157"/>
      <c r="G93" s="152"/>
      <c r="H93" s="155" t="s">
        <v>1381</v>
      </c>
      <c r="I93" s="152"/>
      <c r="J93" s="157"/>
      <c r="K93" s="154" t="s">
        <v>1415</v>
      </c>
      <c r="L93" s="227">
        <v>79198.16</v>
      </c>
      <c r="M93" s="291" t="s">
        <v>1394</v>
      </c>
      <c r="N93" s="227">
        <f t="shared" si="30"/>
        <v>86389.170062009507</v>
      </c>
      <c r="O93" s="152">
        <f t="shared" si="31"/>
        <v>616526.36306200956</v>
      </c>
    </row>
    <row r="94" spans="1:15" x14ac:dyDescent="0.15">
      <c r="A94" s="154"/>
      <c r="B94" s="151"/>
      <c r="C94" s="152"/>
      <c r="D94" s="155" t="s">
        <v>1382</v>
      </c>
      <c r="E94" s="154" t="s">
        <v>72</v>
      </c>
      <c r="F94" s="291" t="s">
        <v>1397</v>
      </c>
      <c r="G94" s="152">
        <v>61927.702000000136</v>
      </c>
      <c r="H94" s="155" t="s">
        <v>1382</v>
      </c>
      <c r="I94" s="152"/>
      <c r="J94" s="157"/>
      <c r="K94" s="154" t="s">
        <v>1415</v>
      </c>
      <c r="L94" s="227">
        <v>34338.03</v>
      </c>
      <c r="M94" s="291" t="s">
        <v>1394</v>
      </c>
      <c r="N94" s="227">
        <f t="shared" si="30"/>
        <v>52051.140062009508</v>
      </c>
      <c r="O94" s="152">
        <f t="shared" si="31"/>
        <v>644116.0350620097</v>
      </c>
    </row>
    <row r="95" spans="1:15" x14ac:dyDescent="0.15">
      <c r="A95" s="154"/>
      <c r="B95" s="151"/>
      <c r="C95" s="152"/>
      <c r="D95" s="155" t="s">
        <v>1382</v>
      </c>
      <c r="E95" s="154" t="s">
        <v>72</v>
      </c>
      <c r="F95" s="291" t="s">
        <v>1398</v>
      </c>
      <c r="G95" s="152">
        <v>20075.035999999898</v>
      </c>
      <c r="H95" s="155" t="s">
        <v>1382</v>
      </c>
      <c r="I95" s="152"/>
      <c r="J95" s="157"/>
      <c r="K95" s="154" t="s">
        <v>1415</v>
      </c>
      <c r="L95" s="227">
        <v>52051.140062009508</v>
      </c>
      <c r="M95" s="291" t="s">
        <v>1394</v>
      </c>
      <c r="N95" s="227">
        <f t="shared" ref="N95:N107" si="32">+N94-I95-L95</f>
        <v>0</v>
      </c>
      <c r="O95" s="152">
        <f t="shared" ref="O95:O107" si="33">O94+G95-I95-L95</f>
        <v>612139.9310000001</v>
      </c>
    </row>
    <row r="96" spans="1:15" x14ac:dyDescent="0.15">
      <c r="A96" s="154"/>
      <c r="B96" s="151"/>
      <c r="C96" s="152"/>
      <c r="D96" s="155"/>
      <c r="E96" s="154"/>
      <c r="F96" s="291"/>
      <c r="G96" s="152"/>
      <c r="H96" s="155" t="s">
        <v>1382</v>
      </c>
      <c r="I96" s="152"/>
      <c r="J96" s="157"/>
      <c r="K96" s="154" t="s">
        <v>1417</v>
      </c>
      <c r="L96" s="152">
        <v>20042.587999999902</v>
      </c>
      <c r="M96" s="291" t="s">
        <v>1395</v>
      </c>
      <c r="N96" s="227">
        <f>G81+N95-I96-L96</f>
        <v>0</v>
      </c>
      <c r="O96" s="152">
        <f t="shared" ref="O96" si="34">O95+G96-I96-L96</f>
        <v>592097.34300000023</v>
      </c>
    </row>
    <row r="97" spans="1:15" x14ac:dyDescent="0.15">
      <c r="A97" s="154"/>
      <c r="B97" s="151"/>
      <c r="C97" s="152"/>
      <c r="D97" s="155"/>
      <c r="E97" s="154"/>
      <c r="F97" s="291"/>
      <c r="G97" s="152"/>
      <c r="H97" s="155" t="s">
        <v>1382</v>
      </c>
      <c r="I97" s="152"/>
      <c r="J97" s="157"/>
      <c r="K97" s="154" t="s">
        <v>1417</v>
      </c>
      <c r="L97" s="227">
        <v>13044.001937990601</v>
      </c>
      <c r="M97" s="291" t="s">
        <v>1396</v>
      </c>
      <c r="N97" s="227">
        <f>G86+G87+N96-I97-L97</f>
        <v>230091.06206200953</v>
      </c>
      <c r="O97" s="152">
        <f t="shared" ref="O97:O100" si="35">O96+G97-I97-L97</f>
        <v>579053.34106200957</v>
      </c>
    </row>
    <row r="98" spans="1:15" x14ac:dyDescent="0.15">
      <c r="A98" s="154"/>
      <c r="B98" s="151"/>
      <c r="C98" s="152"/>
      <c r="D98" s="155"/>
      <c r="E98" s="155"/>
      <c r="F98" s="157"/>
      <c r="G98" s="152"/>
      <c r="H98" s="155" t="s">
        <v>1382</v>
      </c>
      <c r="I98" s="152"/>
      <c r="J98" s="157"/>
      <c r="K98" s="154" t="s">
        <v>1417</v>
      </c>
      <c r="L98" s="227">
        <v>20497.84</v>
      </c>
      <c r="M98" s="291" t="s">
        <v>1396</v>
      </c>
      <c r="N98" s="227">
        <f t="shared" ref="N98:N100" si="36">+N97-I98-L98</f>
        <v>209593.22206200953</v>
      </c>
      <c r="O98" s="152">
        <f t="shared" si="35"/>
        <v>558555.5010620096</v>
      </c>
    </row>
    <row r="99" spans="1:15" x14ac:dyDescent="0.15">
      <c r="A99" s="154"/>
      <c r="B99" s="151"/>
      <c r="C99" s="152"/>
      <c r="D99" s="155" t="s">
        <v>1383</v>
      </c>
      <c r="E99" s="154" t="s">
        <v>72</v>
      </c>
      <c r="F99" s="291" t="s">
        <v>1398</v>
      </c>
      <c r="G99" s="152">
        <v>59946.967000000004</v>
      </c>
      <c r="H99" s="155" t="s">
        <v>1383</v>
      </c>
      <c r="I99" s="152">
        <v>2893.41</v>
      </c>
      <c r="J99" s="291" t="s">
        <v>1396</v>
      </c>
      <c r="K99" s="154" t="s">
        <v>1417</v>
      </c>
      <c r="L99" s="227">
        <v>56278.22</v>
      </c>
      <c r="M99" s="291" t="s">
        <v>1396</v>
      </c>
      <c r="N99" s="227">
        <f t="shared" si="36"/>
        <v>150421.59206200953</v>
      </c>
      <c r="O99" s="152">
        <f t="shared" si="35"/>
        <v>559330.83806200966</v>
      </c>
    </row>
    <row r="100" spans="1:15" x14ac:dyDescent="0.15">
      <c r="A100" s="154"/>
      <c r="B100" s="151"/>
      <c r="C100" s="152"/>
      <c r="D100" s="155" t="s">
        <v>1374</v>
      </c>
      <c r="E100" s="154" t="s">
        <v>72</v>
      </c>
      <c r="F100" s="291" t="s">
        <v>1398</v>
      </c>
      <c r="G100" s="152">
        <v>183890.08100000001</v>
      </c>
      <c r="H100" s="155" t="s">
        <v>1374</v>
      </c>
      <c r="I100" s="152">
        <v>660.4</v>
      </c>
      <c r="J100" s="291" t="s">
        <v>1396</v>
      </c>
      <c r="K100" s="154" t="s">
        <v>1417</v>
      </c>
      <c r="L100" s="227">
        <v>72774.25</v>
      </c>
      <c r="M100" s="291" t="s">
        <v>1396</v>
      </c>
      <c r="N100" s="227">
        <f t="shared" si="36"/>
        <v>76986.942062009533</v>
      </c>
      <c r="O100" s="152">
        <f t="shared" si="35"/>
        <v>669786.26906200964</v>
      </c>
    </row>
    <row r="101" spans="1:15" x14ac:dyDescent="0.15">
      <c r="A101" s="154"/>
      <c r="B101" s="151"/>
      <c r="C101" s="152"/>
      <c r="D101" s="155"/>
      <c r="E101" s="155"/>
      <c r="F101" s="157"/>
      <c r="G101" s="152"/>
      <c r="H101" s="155" t="s">
        <v>1374</v>
      </c>
      <c r="I101" s="152"/>
      <c r="J101" s="157"/>
      <c r="K101" s="154" t="s">
        <v>1417</v>
      </c>
      <c r="L101" s="227">
        <v>75684.649999999994</v>
      </c>
      <c r="M101" s="291" t="s">
        <v>1396</v>
      </c>
      <c r="N101" s="227">
        <f t="shared" si="32"/>
        <v>1302.2920620095392</v>
      </c>
      <c r="O101" s="152">
        <f t="shared" si="33"/>
        <v>594101.61906200962</v>
      </c>
    </row>
    <row r="102" spans="1:15" x14ac:dyDescent="0.15">
      <c r="A102" s="154"/>
      <c r="B102" s="151"/>
      <c r="C102" s="152"/>
      <c r="D102" s="155" t="s">
        <v>1384</v>
      </c>
      <c r="E102" s="154" t="s">
        <v>72</v>
      </c>
      <c r="F102" s="291" t="s">
        <v>1399</v>
      </c>
      <c r="G102" s="152">
        <v>60082.632999999994</v>
      </c>
      <c r="H102" s="155" t="s">
        <v>1384</v>
      </c>
      <c r="I102" s="152">
        <v>922.01</v>
      </c>
      <c r="J102" s="291" t="s">
        <v>1396</v>
      </c>
      <c r="K102" s="154" t="s">
        <v>1417</v>
      </c>
      <c r="L102" s="227">
        <v>380.28206200953923</v>
      </c>
      <c r="M102" s="291" t="s">
        <v>1396</v>
      </c>
      <c r="N102" s="227">
        <f t="shared" si="32"/>
        <v>0</v>
      </c>
      <c r="O102" s="152">
        <f t="shared" si="33"/>
        <v>652881.96000000008</v>
      </c>
    </row>
    <row r="103" spans="1:15" x14ac:dyDescent="0.15">
      <c r="A103" s="154"/>
      <c r="B103" s="151"/>
      <c r="C103" s="152"/>
      <c r="D103" s="155"/>
      <c r="E103" s="154"/>
      <c r="F103" s="291"/>
      <c r="G103" s="152"/>
      <c r="H103" s="155" t="s">
        <v>1384</v>
      </c>
      <c r="I103" s="152"/>
      <c r="J103" s="157"/>
      <c r="K103" s="154" t="s">
        <v>1417</v>
      </c>
      <c r="L103" s="227">
        <v>65825.267937990502</v>
      </c>
      <c r="M103" s="157" t="s">
        <v>1397</v>
      </c>
      <c r="N103" s="227">
        <f>G88+G90+G94+N102-I103-L103</f>
        <v>263061.97506200953</v>
      </c>
      <c r="O103" s="152">
        <f t="shared" ref="O103:O105" si="37">O102+G103-I103-L103</f>
        <v>587056.69206200959</v>
      </c>
    </row>
    <row r="104" spans="1:15" x14ac:dyDescent="0.15">
      <c r="A104" s="154"/>
      <c r="B104" s="151"/>
      <c r="C104" s="152"/>
      <c r="D104" s="155"/>
      <c r="E104" s="154"/>
      <c r="F104" s="157"/>
      <c r="G104" s="152"/>
      <c r="H104" s="155" t="s">
        <v>1384</v>
      </c>
      <c r="I104" s="152"/>
      <c r="J104" s="154"/>
      <c r="K104" s="154" t="s">
        <v>1417</v>
      </c>
      <c r="L104" s="227">
        <v>85119.1</v>
      </c>
      <c r="M104" s="157" t="s">
        <v>1397</v>
      </c>
      <c r="N104" s="227">
        <f t="shared" ref="N104:N105" si="38">+N103-I104-L104</f>
        <v>177942.87506200952</v>
      </c>
      <c r="O104" s="152">
        <f t="shared" si="37"/>
        <v>501937.59206200961</v>
      </c>
    </row>
    <row r="105" spans="1:15" x14ac:dyDescent="0.15">
      <c r="A105" s="154"/>
      <c r="B105" s="151"/>
      <c r="C105" s="152"/>
      <c r="D105" s="155"/>
      <c r="E105" s="155"/>
      <c r="F105" s="157"/>
      <c r="G105" s="152"/>
      <c r="H105" s="155" t="s">
        <v>1384</v>
      </c>
      <c r="I105" s="152"/>
      <c r="J105" s="157"/>
      <c r="K105" s="154" t="s">
        <v>1417</v>
      </c>
      <c r="L105" s="227">
        <v>526.84</v>
      </c>
      <c r="M105" s="157" t="s">
        <v>1397</v>
      </c>
      <c r="N105" s="227">
        <f t="shared" si="38"/>
        <v>177416.03506200953</v>
      </c>
      <c r="O105" s="152">
        <f t="shared" si="37"/>
        <v>501410.75206200959</v>
      </c>
    </row>
    <row r="106" spans="1:15" x14ac:dyDescent="0.15">
      <c r="A106" s="154"/>
      <c r="B106" s="151"/>
      <c r="C106" s="152"/>
      <c r="D106" s="155"/>
      <c r="E106" s="154"/>
      <c r="F106" s="160"/>
      <c r="G106" s="152"/>
      <c r="H106" s="155" t="s">
        <v>1384</v>
      </c>
      <c r="I106" s="152"/>
      <c r="J106" s="150"/>
      <c r="K106" s="154" t="s">
        <v>1417</v>
      </c>
      <c r="L106" s="227">
        <v>86423.7</v>
      </c>
      <c r="M106" s="157" t="s">
        <v>1397</v>
      </c>
      <c r="N106" s="227">
        <f t="shared" si="32"/>
        <v>90992.33506200953</v>
      </c>
      <c r="O106" s="152">
        <f t="shared" si="33"/>
        <v>414987.05206200958</v>
      </c>
    </row>
    <row r="107" spans="1:15" x14ac:dyDescent="0.15">
      <c r="A107" s="173"/>
      <c r="B107" s="173"/>
      <c r="C107" s="174"/>
      <c r="D107" s="175"/>
      <c r="E107" s="173"/>
      <c r="F107" s="173"/>
      <c r="G107" s="174"/>
      <c r="H107" s="175"/>
      <c r="I107" s="174"/>
      <c r="J107" s="173"/>
      <c r="K107" s="154"/>
      <c r="L107" s="228"/>
      <c r="M107" s="173"/>
      <c r="N107" s="227">
        <f t="shared" si="32"/>
        <v>90992.33506200953</v>
      </c>
      <c r="O107" s="152">
        <f t="shared" si="33"/>
        <v>414987.05206200958</v>
      </c>
    </row>
    <row r="108" spans="1:15" x14ac:dyDescent="0.15">
      <c r="A108" s="177"/>
      <c r="B108" s="177"/>
      <c r="C108" s="178">
        <f>SUM(C7:C106)</f>
        <v>468939.65356200951</v>
      </c>
      <c r="D108" s="177"/>
      <c r="E108" s="177"/>
      <c r="F108" s="177"/>
      <c r="G108" s="178">
        <f>SUM(G7:G106)</f>
        <v>3910147.3060000003</v>
      </c>
      <c r="H108" s="179"/>
      <c r="I108" s="178">
        <f>SUM(I7:I106)</f>
        <v>13376.0275</v>
      </c>
      <c r="J108" s="177"/>
      <c r="K108" s="177"/>
      <c r="L108" s="229">
        <f>SUM(L9:L106)</f>
        <v>3950723.8800000004</v>
      </c>
      <c r="M108" s="177"/>
      <c r="N108" s="180"/>
      <c r="O108" s="181">
        <f>C108+G108-I108-L108</f>
        <v>414987.05206200993</v>
      </c>
    </row>
    <row r="109" spans="1:15" x14ac:dyDescent="0.15">
      <c r="A109" s="182"/>
      <c r="B109" s="465"/>
      <c r="C109" s="465"/>
      <c r="D109" s="465"/>
      <c r="E109" s="183"/>
      <c r="F109" s="284"/>
      <c r="G109" s="185"/>
      <c r="H109" s="186"/>
      <c r="I109" s="187"/>
      <c r="J109" s="188"/>
      <c r="K109" s="189" t="s">
        <v>139</v>
      </c>
      <c r="L109" s="190">
        <f>+L108+I108</f>
        <v>3964099.9075000002</v>
      </c>
      <c r="M109" s="197"/>
      <c r="N109" s="230">
        <f>+N107</f>
        <v>90992.33506200953</v>
      </c>
      <c r="O109" s="195" t="s">
        <v>1397</v>
      </c>
    </row>
    <row r="110" spans="1:15" x14ac:dyDescent="0.15">
      <c r="A110" s="193"/>
      <c r="B110" s="470"/>
      <c r="C110" s="470"/>
      <c r="D110" s="470"/>
      <c r="E110" s="183"/>
      <c r="F110" s="287"/>
      <c r="G110" s="219"/>
      <c r="H110" s="186"/>
      <c r="I110" s="187"/>
      <c r="J110" s="210"/>
      <c r="K110" s="210"/>
      <c r="N110" s="230">
        <f>+G95+G99+G100</f>
        <v>263912.08399999992</v>
      </c>
      <c r="O110" s="195" t="s">
        <v>1398</v>
      </c>
    </row>
    <row r="111" spans="1:15" x14ac:dyDescent="0.15">
      <c r="A111" s="193" t="s">
        <v>1330</v>
      </c>
      <c r="B111" s="292" t="s">
        <v>1345</v>
      </c>
      <c r="E111" s="183" t="s">
        <v>55</v>
      </c>
      <c r="F111" s="287">
        <v>2032468.25</v>
      </c>
      <c r="G111" s="219" t="s">
        <v>56</v>
      </c>
      <c r="H111" s="186">
        <v>41276</v>
      </c>
      <c r="I111" s="187" t="s">
        <v>71</v>
      </c>
      <c r="J111" s="210">
        <v>83195.505562009523</v>
      </c>
      <c r="K111" s="210"/>
      <c r="N111" s="230">
        <f>+G102</f>
        <v>60082.632999999994</v>
      </c>
      <c r="O111" s="195" t="s">
        <v>1399</v>
      </c>
    </row>
    <row r="112" spans="1:15" x14ac:dyDescent="0.15">
      <c r="A112" s="193" t="s">
        <v>1331</v>
      </c>
      <c r="B112" s="288" t="s">
        <v>1400</v>
      </c>
      <c r="E112" s="183" t="s">
        <v>55</v>
      </c>
      <c r="F112" s="287">
        <v>4538276.95</v>
      </c>
      <c r="G112" s="219" t="s">
        <v>56</v>
      </c>
      <c r="H112" s="186">
        <v>41278</v>
      </c>
      <c r="I112" s="187" t="s">
        <v>71</v>
      </c>
      <c r="J112" s="210">
        <v>80037.014999999999</v>
      </c>
      <c r="K112" s="210"/>
      <c r="N112" s="230"/>
      <c r="O112" s="195"/>
    </row>
    <row r="113" spans="1:15" x14ac:dyDescent="0.15">
      <c r="A113" s="133" t="s">
        <v>1332</v>
      </c>
      <c r="B113" s="288" t="s">
        <v>1401</v>
      </c>
      <c r="E113" s="183" t="s">
        <v>55</v>
      </c>
      <c r="F113" s="287">
        <v>2059546.23</v>
      </c>
      <c r="G113" s="219" t="s">
        <v>56</v>
      </c>
      <c r="H113" s="186">
        <v>41281</v>
      </c>
      <c r="I113" s="187" t="s">
        <v>71</v>
      </c>
      <c r="J113" s="210">
        <v>458496.614</v>
      </c>
      <c r="K113" s="210"/>
      <c r="N113" s="230"/>
      <c r="O113" s="195"/>
    </row>
    <row r="114" spans="1:15" x14ac:dyDescent="0.15">
      <c r="A114" s="193" t="s">
        <v>1385</v>
      </c>
      <c r="B114" s="288" t="s">
        <v>1402</v>
      </c>
      <c r="E114" s="183" t="s">
        <v>55</v>
      </c>
      <c r="F114" s="287">
        <v>607520.16</v>
      </c>
      <c r="G114" s="219" t="s">
        <v>56</v>
      </c>
      <c r="H114" s="186">
        <v>41281</v>
      </c>
      <c r="I114" s="187" t="s">
        <v>71</v>
      </c>
      <c r="J114" s="210">
        <v>29287.205999999998</v>
      </c>
      <c r="K114" s="210"/>
      <c r="N114" s="230"/>
      <c r="O114" s="195"/>
    </row>
    <row r="115" spans="1:15" x14ac:dyDescent="0.15">
      <c r="A115" s="193" t="s">
        <v>1386</v>
      </c>
      <c r="B115" s="288" t="s">
        <v>1403</v>
      </c>
      <c r="E115" s="183" t="s">
        <v>55</v>
      </c>
      <c r="F115" s="287">
        <v>556205.93999999994</v>
      </c>
      <c r="G115" s="219" t="s">
        <v>56</v>
      </c>
      <c r="H115" s="186">
        <v>41283</v>
      </c>
      <c r="I115" s="187" t="s">
        <v>71</v>
      </c>
      <c r="J115" s="210">
        <v>95576.650999999954</v>
      </c>
      <c r="K115" s="210"/>
      <c r="N115" s="230"/>
      <c r="O115" s="195"/>
    </row>
    <row r="116" spans="1:15" x14ac:dyDescent="0.15">
      <c r="A116" s="133" t="s">
        <v>1387</v>
      </c>
      <c r="B116" s="288" t="s">
        <v>1404</v>
      </c>
      <c r="E116" s="183" t="s">
        <v>55</v>
      </c>
      <c r="F116" s="287">
        <v>4913366.6500000004</v>
      </c>
      <c r="G116" s="219" t="s">
        <v>56</v>
      </c>
      <c r="H116" s="186">
        <v>41285</v>
      </c>
      <c r="I116" s="187" t="s">
        <v>71</v>
      </c>
      <c r="J116" s="210">
        <v>599547.48850000021</v>
      </c>
      <c r="K116" s="210"/>
      <c r="N116" s="206" t="s">
        <v>33</v>
      </c>
      <c r="O116" s="207">
        <f>SUM(N109:N115)</f>
        <v>414987.0520620094</v>
      </c>
    </row>
    <row r="117" spans="1:15" x14ac:dyDescent="0.15">
      <c r="A117" s="133" t="s">
        <v>1389</v>
      </c>
      <c r="B117" s="288" t="s">
        <v>1405</v>
      </c>
      <c r="E117" s="183" t="s">
        <v>55</v>
      </c>
      <c r="F117" s="287">
        <v>1798530.29</v>
      </c>
      <c r="G117" s="219" t="s">
        <v>56</v>
      </c>
      <c r="H117" s="186">
        <v>41289</v>
      </c>
      <c r="I117" s="187" t="s">
        <v>71</v>
      </c>
      <c r="J117" s="210">
        <v>635489.52100000007</v>
      </c>
      <c r="K117" s="210"/>
      <c r="O117" s="132">
        <f>+O108-O116</f>
        <v>5.2386894822120667E-10</v>
      </c>
    </row>
    <row r="118" spans="1:15" s="132" customFormat="1" x14ac:dyDescent="0.15">
      <c r="A118" s="133" t="s">
        <v>1390</v>
      </c>
      <c r="B118" s="288" t="s">
        <v>1406</v>
      </c>
      <c r="D118" s="133"/>
      <c r="E118" s="183" t="s">
        <v>55</v>
      </c>
      <c r="F118" s="287">
        <v>2156273.96</v>
      </c>
      <c r="G118" s="219" t="s">
        <v>56</v>
      </c>
      <c r="H118" s="186">
        <v>41291</v>
      </c>
      <c r="I118" s="187" t="s">
        <v>71</v>
      </c>
      <c r="J118" s="210">
        <v>237004.49900000001</v>
      </c>
      <c r="K118" s="133"/>
      <c r="M118" s="134"/>
    </row>
    <row r="119" spans="1:15" s="132" customFormat="1" x14ac:dyDescent="0.15">
      <c r="A119" s="133" t="s">
        <v>1391</v>
      </c>
      <c r="B119" s="288" t="s">
        <v>1407</v>
      </c>
      <c r="C119" s="285"/>
      <c r="D119" s="285"/>
      <c r="E119" s="183" t="s">
        <v>55</v>
      </c>
      <c r="F119" s="286">
        <v>602674.53</v>
      </c>
      <c r="G119" s="219" t="s">
        <v>56</v>
      </c>
      <c r="H119" s="186">
        <v>41295</v>
      </c>
      <c r="I119" s="187" t="s">
        <v>71</v>
      </c>
      <c r="J119" s="210">
        <v>120030.42200000001</v>
      </c>
      <c r="K119" s="210"/>
      <c r="M119" s="134"/>
    </row>
    <row r="120" spans="1:15" s="132" customFormat="1" x14ac:dyDescent="0.15">
      <c r="A120" s="133" t="s">
        <v>1392</v>
      </c>
      <c r="B120" s="288" t="s">
        <v>1408</v>
      </c>
      <c r="D120" s="133"/>
      <c r="E120" s="183" t="s">
        <v>55</v>
      </c>
      <c r="F120" s="290">
        <v>2711122.85</v>
      </c>
      <c r="G120" s="219" t="s">
        <v>56</v>
      </c>
      <c r="H120" s="186">
        <v>41298</v>
      </c>
      <c r="I120" s="187" t="s">
        <v>71</v>
      </c>
      <c r="J120" s="210">
        <v>417176.67100000003</v>
      </c>
      <c r="K120" s="210"/>
      <c r="M120" s="134"/>
    </row>
    <row r="121" spans="1:15" s="132" customFormat="1" x14ac:dyDescent="0.15">
      <c r="A121" s="133" t="s">
        <v>1393</v>
      </c>
      <c r="B121" s="288" t="s">
        <v>1409</v>
      </c>
      <c r="D121" s="133"/>
      <c r="E121" s="183" t="s">
        <v>55</v>
      </c>
      <c r="F121" s="290">
        <v>557588.72</v>
      </c>
      <c r="G121" s="219" t="s">
        <v>56</v>
      </c>
      <c r="H121" s="186">
        <v>41299</v>
      </c>
      <c r="I121" s="187" t="s">
        <v>71</v>
      </c>
      <c r="J121" s="210">
        <v>264082.54999999987</v>
      </c>
      <c r="K121" s="210"/>
      <c r="M121" s="134"/>
    </row>
    <row r="122" spans="1:15" s="132" customFormat="1" x14ac:dyDescent="0.15">
      <c r="A122" s="133" t="s">
        <v>1395</v>
      </c>
      <c r="B122" s="288" t="s">
        <v>1410</v>
      </c>
      <c r="D122" s="133"/>
      <c r="E122" s="183" t="s">
        <v>55</v>
      </c>
      <c r="F122" s="290">
        <v>2638491.08</v>
      </c>
      <c r="G122" s="219" t="s">
        <v>56</v>
      </c>
      <c r="H122" s="186">
        <v>41302</v>
      </c>
      <c r="I122" s="187" t="s">
        <v>71</v>
      </c>
      <c r="J122" s="210">
        <v>20042.587999999902</v>
      </c>
      <c r="K122" s="210"/>
      <c r="M122" s="134"/>
    </row>
    <row r="123" spans="1:15" s="132" customFormat="1" x14ac:dyDescent="0.15">
      <c r="A123" s="133" t="s">
        <v>1396</v>
      </c>
      <c r="B123" s="288" t="s">
        <v>1411</v>
      </c>
      <c r="D123" s="133"/>
      <c r="E123" s="183" t="s">
        <v>55</v>
      </c>
      <c r="F123" s="290">
        <v>2251777.91</v>
      </c>
      <c r="G123" s="219" t="s">
        <v>56</v>
      </c>
      <c r="H123" s="186">
        <v>41305</v>
      </c>
      <c r="I123" s="187" t="s">
        <v>71</v>
      </c>
      <c r="J123" s="210">
        <v>238659.24400000012</v>
      </c>
      <c r="K123" s="133"/>
      <c r="M123" s="134"/>
    </row>
    <row r="124" spans="1:15" s="132" customFormat="1" x14ac:dyDescent="0.15">
      <c r="A124" s="133" t="s">
        <v>1397</v>
      </c>
      <c r="B124" s="288" t="s">
        <v>1412</v>
      </c>
      <c r="C124" s="288"/>
      <c r="D124" s="288"/>
      <c r="E124" s="183" t="s">
        <v>55</v>
      </c>
      <c r="F124" s="289">
        <v>622285.73</v>
      </c>
      <c r="G124" s="219" t="s">
        <v>56</v>
      </c>
      <c r="H124" s="186">
        <v>41309</v>
      </c>
      <c r="I124" s="187" t="s">
        <v>71</v>
      </c>
      <c r="J124" s="210">
        <v>237894.9079379905</v>
      </c>
      <c r="K124" s="133"/>
      <c r="M124" s="134"/>
    </row>
    <row r="125" spans="1:15" s="132" customFormat="1" ht="12" thickBot="1" x14ac:dyDescent="0.2">
      <c r="A125" s="133"/>
      <c r="B125" s="288"/>
      <c r="C125" s="288"/>
      <c r="D125" s="288"/>
      <c r="E125" s="183"/>
      <c r="F125" s="289"/>
      <c r="G125" s="219"/>
      <c r="H125" s="186"/>
      <c r="I125" s="217" t="s">
        <v>856</v>
      </c>
      <c r="J125" s="211">
        <f>SUM(J111:J124)</f>
        <v>3516520.8829999999</v>
      </c>
      <c r="K125" s="133"/>
      <c r="M125" s="134"/>
    </row>
    <row r="126" spans="1:15" s="132" customFormat="1" ht="12" thickTop="1" x14ac:dyDescent="0.15">
      <c r="A126" s="133" t="s">
        <v>1325</v>
      </c>
      <c r="B126" s="292" t="s">
        <v>1347</v>
      </c>
      <c r="C126" s="288"/>
      <c r="D126" s="288"/>
      <c r="E126" s="183" t="s">
        <v>55</v>
      </c>
      <c r="F126" s="289">
        <v>29482649.690000001</v>
      </c>
      <c r="G126" s="219" t="s">
        <v>56</v>
      </c>
      <c r="H126" s="186">
        <v>41255</v>
      </c>
      <c r="I126" s="187" t="s">
        <v>71</v>
      </c>
      <c r="J126" s="210">
        <v>40028.39</v>
      </c>
      <c r="K126" s="133"/>
      <c r="M126" s="134"/>
    </row>
    <row r="127" spans="1:15" s="132" customFormat="1" ht="12" thickBot="1" x14ac:dyDescent="0.2">
      <c r="A127" s="133"/>
      <c r="B127" s="288"/>
      <c r="C127" s="288"/>
      <c r="D127" s="288"/>
      <c r="E127" s="183"/>
      <c r="F127" s="289"/>
      <c r="G127" s="219"/>
      <c r="H127" s="186"/>
      <c r="I127" s="217" t="s">
        <v>689</v>
      </c>
      <c r="J127" s="211">
        <f>SUM(J126)</f>
        <v>40028.39</v>
      </c>
      <c r="K127" s="133"/>
      <c r="M127" s="134"/>
    </row>
    <row r="128" spans="1:15" s="132" customFormat="1" ht="12" thickTop="1" x14ac:dyDescent="0.15">
      <c r="A128" s="297" t="s">
        <v>1388</v>
      </c>
      <c r="B128" s="131" t="s">
        <v>1413</v>
      </c>
      <c r="D128" s="133"/>
      <c r="E128" s="183" t="s">
        <v>55</v>
      </c>
      <c r="F128" s="293">
        <v>113842644.97</v>
      </c>
      <c r="G128" s="219" t="s">
        <v>56</v>
      </c>
      <c r="H128" s="186">
        <v>41288</v>
      </c>
      <c r="I128" s="187" t="s">
        <v>71</v>
      </c>
      <c r="J128" s="210">
        <v>81972.013999999996</v>
      </c>
      <c r="K128" s="133"/>
      <c r="M128" s="134"/>
    </row>
    <row r="129" spans="1:13" s="132" customFormat="1" x14ac:dyDescent="0.15">
      <c r="A129" s="133" t="s">
        <v>1394</v>
      </c>
      <c r="B129" s="131" t="s">
        <v>1414</v>
      </c>
      <c r="C129" s="292"/>
      <c r="D129" s="292"/>
      <c r="E129" s="183" t="s">
        <v>55</v>
      </c>
      <c r="F129" s="293">
        <v>24865610.420000002</v>
      </c>
      <c r="G129" s="219" t="s">
        <v>56</v>
      </c>
      <c r="H129" s="186">
        <v>41302</v>
      </c>
      <c r="I129" s="187" t="s">
        <v>71</v>
      </c>
      <c r="J129" s="210">
        <v>312202.59299999999</v>
      </c>
      <c r="K129" s="133"/>
      <c r="M129" s="134"/>
    </row>
    <row r="130" spans="1:13" s="132" customFormat="1" ht="12" thickBot="1" x14ac:dyDescent="0.2">
      <c r="A130" s="193"/>
      <c r="B130" s="210"/>
      <c r="C130" s="221"/>
      <c r="D130" s="237"/>
      <c r="E130" s="235"/>
      <c r="F130" s="235"/>
      <c r="H130" s="133"/>
      <c r="I130" s="218" t="s">
        <v>106</v>
      </c>
      <c r="J130" s="212">
        <f>SUM(J128:J129)</f>
        <v>394174.60699999996</v>
      </c>
      <c r="K130" s="133"/>
      <c r="M130" s="134"/>
    </row>
    <row r="131" spans="1:13" s="132" customFormat="1" ht="12" thickTop="1" x14ac:dyDescent="0.15">
      <c r="A131" s="193"/>
      <c r="B131" s="210"/>
      <c r="C131" s="221"/>
      <c r="D131" s="237"/>
      <c r="E131" s="235"/>
      <c r="F131" s="235"/>
      <c r="H131" s="133"/>
      <c r="J131" s="205"/>
      <c r="K131" s="133"/>
      <c r="M131" s="134"/>
    </row>
    <row r="132" spans="1:13" s="132" customFormat="1" x14ac:dyDescent="0.15">
      <c r="A132" s="193"/>
      <c r="B132" s="210"/>
      <c r="C132" s="221"/>
      <c r="D132" s="237"/>
      <c r="E132" s="235"/>
      <c r="F132" s="235"/>
      <c r="H132" s="133"/>
      <c r="J132" s="205"/>
      <c r="K132" s="133"/>
      <c r="M132" s="134"/>
    </row>
    <row r="133" spans="1:13" s="132" customFormat="1" x14ac:dyDescent="0.15">
      <c r="A133" s="193"/>
      <c r="B133" s="210"/>
      <c r="C133" s="221"/>
      <c r="D133" s="237"/>
      <c r="E133" s="235"/>
      <c r="F133" s="235"/>
      <c r="H133" s="133"/>
      <c r="J133" s="205"/>
      <c r="K133" s="133"/>
      <c r="M133" s="134"/>
    </row>
    <row r="134" spans="1:13" s="132" customFormat="1" x14ac:dyDescent="0.15">
      <c r="A134" s="133"/>
      <c r="B134" s="133" t="s">
        <v>9</v>
      </c>
      <c r="C134" s="220" t="s">
        <v>729</v>
      </c>
      <c r="D134" s="220" t="s">
        <v>850</v>
      </c>
      <c r="E134" s="133" t="s">
        <v>570</v>
      </c>
      <c r="F134" s="133" t="s">
        <v>571</v>
      </c>
      <c r="G134" s="133" t="s">
        <v>16</v>
      </c>
      <c r="H134" s="134"/>
      <c r="I134" s="134"/>
      <c r="J134" s="205"/>
      <c r="K134" s="133"/>
      <c r="M134" s="134"/>
    </row>
    <row r="135" spans="1:13" s="132" customFormat="1" x14ac:dyDescent="0.15">
      <c r="A135" s="193" t="s">
        <v>1330</v>
      </c>
      <c r="B135" s="210">
        <v>83196</v>
      </c>
      <c r="C135" s="221">
        <v>24.360600000000002</v>
      </c>
      <c r="D135" s="237">
        <f t="shared" ref="D135:D140" si="39">+B135*C135</f>
        <v>2026704.4776000001</v>
      </c>
      <c r="E135" s="235">
        <f t="shared" ref="E135:E140" si="40">+D135*0.01</f>
        <v>20267.044776000002</v>
      </c>
      <c r="F135" s="235">
        <f t="shared" ref="F135:F140" si="41">+E135*0.1</f>
        <v>2026.7044776000002</v>
      </c>
      <c r="G135" s="236">
        <f>SUM(E135:F135)</f>
        <v>22293.749253600003</v>
      </c>
      <c r="H135" s="134"/>
      <c r="I135" s="134"/>
      <c r="J135" s="134"/>
      <c r="K135" s="133"/>
      <c r="M135" s="134"/>
    </row>
    <row r="136" spans="1:13" s="132" customFormat="1" x14ac:dyDescent="0.15">
      <c r="A136" s="193" t="s">
        <v>1331</v>
      </c>
      <c r="B136" s="210">
        <v>80037</v>
      </c>
      <c r="C136" s="221">
        <v>24.3672</v>
      </c>
      <c r="D136" s="237">
        <f t="shared" si="39"/>
        <v>1950277.5864000001</v>
      </c>
      <c r="E136" s="235">
        <f t="shared" si="40"/>
        <v>19502.775864000003</v>
      </c>
      <c r="F136" s="235">
        <f t="shared" si="41"/>
        <v>1950.2775864000005</v>
      </c>
      <c r="G136" s="236">
        <f t="shared" ref="G136:G140" si="42">SUM(E136:F136)</f>
        <v>21453.053450400002</v>
      </c>
      <c r="H136" s="133"/>
      <c r="J136" s="134"/>
      <c r="K136" s="133"/>
      <c r="M136" s="134"/>
    </row>
    <row r="137" spans="1:13" s="132" customFormat="1" x14ac:dyDescent="0.15">
      <c r="A137" s="133" t="s">
        <v>1332</v>
      </c>
      <c r="B137" s="210">
        <v>458497</v>
      </c>
      <c r="C137" s="221">
        <v>24.413699999999999</v>
      </c>
      <c r="D137" s="237">
        <f t="shared" si="39"/>
        <v>11193608.208899999</v>
      </c>
      <c r="E137" s="235">
        <f t="shared" si="40"/>
        <v>111936.08208899999</v>
      </c>
      <c r="F137" s="235">
        <f t="shared" si="41"/>
        <v>11193.608208899999</v>
      </c>
      <c r="G137" s="236">
        <f t="shared" si="42"/>
        <v>123129.69029789999</v>
      </c>
      <c r="H137" s="134"/>
      <c r="I137" s="134"/>
      <c r="J137" s="134"/>
      <c r="K137" s="133"/>
      <c r="M137" s="134"/>
    </row>
    <row r="138" spans="1:13" s="132" customFormat="1" x14ac:dyDescent="0.15">
      <c r="A138" s="193" t="s">
        <v>1385</v>
      </c>
      <c r="B138" s="210">
        <v>29287</v>
      </c>
      <c r="C138" s="221">
        <v>24.529900000000001</v>
      </c>
      <c r="D138" s="237">
        <f t="shared" si="39"/>
        <v>718407.18130000005</v>
      </c>
      <c r="E138" s="235">
        <f t="shared" si="40"/>
        <v>7184.0718130000005</v>
      </c>
      <c r="F138" s="235">
        <f t="shared" si="41"/>
        <v>718.40718130000005</v>
      </c>
      <c r="G138" s="236">
        <f t="shared" si="42"/>
        <v>7902.4789943000005</v>
      </c>
      <c r="H138" s="133"/>
      <c r="J138" s="134"/>
      <c r="K138" s="133"/>
      <c r="M138" s="134"/>
    </row>
    <row r="139" spans="1:13" s="132" customFormat="1" x14ac:dyDescent="0.15">
      <c r="A139" s="193" t="s">
        <v>1386</v>
      </c>
      <c r="B139" s="210">
        <v>95577</v>
      </c>
      <c r="C139" s="221">
        <v>24.385100000000001</v>
      </c>
      <c r="D139" s="237">
        <f t="shared" si="39"/>
        <v>2330654.7027000003</v>
      </c>
      <c r="E139" s="235">
        <f t="shared" si="40"/>
        <v>23306.547027000004</v>
      </c>
      <c r="F139" s="235">
        <f t="shared" si="41"/>
        <v>2330.6547027000006</v>
      </c>
      <c r="G139" s="236">
        <f t="shared" si="42"/>
        <v>25637.201729700006</v>
      </c>
      <c r="H139" s="133"/>
      <c r="J139" s="134"/>
      <c r="K139" s="133"/>
      <c r="M139" s="134"/>
    </row>
    <row r="140" spans="1:13" s="132" customFormat="1" x14ac:dyDescent="0.15">
      <c r="A140" s="133" t="s">
        <v>1387</v>
      </c>
      <c r="B140" s="210">
        <v>599547</v>
      </c>
      <c r="C140" s="221">
        <v>24.381399999999999</v>
      </c>
      <c r="D140" s="237">
        <f t="shared" si="39"/>
        <v>14617795.2258</v>
      </c>
      <c r="E140" s="235">
        <f t="shared" si="40"/>
        <v>146177.952258</v>
      </c>
      <c r="F140" s="235">
        <f t="shared" si="41"/>
        <v>14617.7952258</v>
      </c>
      <c r="G140" s="236">
        <f t="shared" si="42"/>
        <v>160795.74748379999</v>
      </c>
      <c r="H140" s="133"/>
      <c r="J140" s="134"/>
      <c r="K140" s="133"/>
      <c r="M140" s="134"/>
    </row>
    <row r="141" spans="1:13" s="132" customFormat="1" x14ac:dyDescent="0.15">
      <c r="A141" s="133" t="s">
        <v>1389</v>
      </c>
      <c r="B141" s="210">
        <v>635490</v>
      </c>
      <c r="C141" s="221">
        <v>24.4207</v>
      </c>
      <c r="D141" s="237">
        <f t="shared" ref="D141:D148" si="43">+B141*C141</f>
        <v>15519110.642999999</v>
      </c>
      <c r="E141" s="235">
        <f t="shared" ref="E141:E148" si="44">+D141*0.01</f>
        <v>155191.10642999999</v>
      </c>
      <c r="F141" s="235">
        <f t="shared" ref="F141:F148" si="45">+E141*0.1</f>
        <v>15519.110643</v>
      </c>
      <c r="G141" s="236">
        <f t="shared" ref="G141:G148" si="46">SUM(E141:F141)</f>
        <v>170710.21707299998</v>
      </c>
      <c r="H141" s="133"/>
      <c r="J141" s="134"/>
      <c r="K141" s="133"/>
      <c r="M141" s="134"/>
    </row>
    <row r="142" spans="1:13" s="132" customFormat="1" x14ac:dyDescent="0.15">
      <c r="A142" s="133" t="s">
        <v>1390</v>
      </c>
      <c r="B142" s="210">
        <v>237004</v>
      </c>
      <c r="C142" s="221">
        <v>24.473700000000001</v>
      </c>
      <c r="D142" s="237">
        <f t="shared" si="43"/>
        <v>5800364.7948000003</v>
      </c>
      <c r="E142" s="235">
        <f t="shared" si="44"/>
        <v>58003.647948000005</v>
      </c>
      <c r="F142" s="235">
        <f t="shared" si="45"/>
        <v>5800.3647948000007</v>
      </c>
      <c r="G142" s="236">
        <f t="shared" si="46"/>
        <v>63804.012742800005</v>
      </c>
      <c r="H142" s="244"/>
      <c r="J142" s="134"/>
      <c r="K142" s="133"/>
      <c r="M142" s="134"/>
    </row>
    <row r="143" spans="1:13" s="132" customFormat="1" x14ac:dyDescent="0.15">
      <c r="A143" s="133" t="s">
        <v>1391</v>
      </c>
      <c r="B143" s="210">
        <v>120030</v>
      </c>
      <c r="C143" s="221">
        <v>24.5822</v>
      </c>
      <c r="D143" s="237">
        <f t="shared" si="43"/>
        <v>2950601.466</v>
      </c>
      <c r="E143" s="235">
        <f t="shared" si="44"/>
        <v>29506.014660000001</v>
      </c>
      <c r="F143" s="235">
        <f t="shared" si="45"/>
        <v>2950.6014660000001</v>
      </c>
      <c r="G143" s="236">
        <f t="shared" si="46"/>
        <v>32456.616126000001</v>
      </c>
      <c r="H143" s="244"/>
      <c r="J143" s="134"/>
      <c r="K143" s="133"/>
      <c r="M143" s="134"/>
    </row>
    <row r="144" spans="1:13" s="132" customFormat="1" x14ac:dyDescent="0.15">
      <c r="A144" s="133" t="s">
        <v>1392</v>
      </c>
      <c r="B144" s="210">
        <v>417177</v>
      </c>
      <c r="C144" s="221">
        <v>24.5732</v>
      </c>
      <c r="D144" s="237">
        <f t="shared" si="43"/>
        <v>10251373.8564</v>
      </c>
      <c r="E144" s="235">
        <f t="shared" si="44"/>
        <v>102513.738564</v>
      </c>
      <c r="F144" s="235">
        <f t="shared" si="45"/>
        <v>10251.373856400001</v>
      </c>
      <c r="G144" s="236">
        <f t="shared" si="46"/>
        <v>112765.11242039999</v>
      </c>
      <c r="H144" s="244"/>
      <c r="J144" s="134"/>
      <c r="K144" s="133"/>
      <c r="M144" s="134"/>
    </row>
    <row r="145" spans="1:15" s="132" customFormat="1" x14ac:dyDescent="0.15">
      <c r="A145" s="133" t="s">
        <v>1393</v>
      </c>
      <c r="B145" s="210">
        <v>264083</v>
      </c>
      <c r="C145" s="221">
        <v>24.357099999999999</v>
      </c>
      <c r="D145" s="237">
        <f t="shared" si="43"/>
        <v>6432296.0392999994</v>
      </c>
      <c r="E145" s="235">
        <f t="shared" si="44"/>
        <v>64322.960392999994</v>
      </c>
      <c r="F145" s="235">
        <f t="shared" si="45"/>
        <v>6432.2960392999994</v>
      </c>
      <c r="G145" s="236">
        <f t="shared" si="46"/>
        <v>70755.256432299997</v>
      </c>
      <c r="H145" s="244"/>
      <c r="J145" s="134"/>
      <c r="K145" s="133"/>
      <c r="M145" s="134"/>
    </row>
    <row r="146" spans="1:15" s="132" customFormat="1" x14ac:dyDescent="0.15">
      <c r="A146" s="133" t="s">
        <v>1395</v>
      </c>
      <c r="B146" s="210">
        <v>20043</v>
      </c>
      <c r="C146" s="221">
        <v>24.220800000000001</v>
      </c>
      <c r="D146" s="237">
        <f t="shared" si="43"/>
        <v>485457.49440000003</v>
      </c>
      <c r="E146" s="235">
        <f t="shared" si="44"/>
        <v>4854.574944</v>
      </c>
      <c r="F146" s="235">
        <f t="shared" si="45"/>
        <v>485.45749440000003</v>
      </c>
      <c r="G146" s="236">
        <f t="shared" si="46"/>
        <v>5340.0324383999996</v>
      </c>
      <c r="H146" s="244"/>
      <c r="J146" s="134"/>
      <c r="K146" s="133"/>
      <c r="M146" s="134"/>
    </row>
    <row r="147" spans="1:15" s="133" customFormat="1" x14ac:dyDescent="0.15">
      <c r="A147" s="133" t="s">
        <v>1396</v>
      </c>
      <c r="B147" s="210">
        <v>238659</v>
      </c>
      <c r="C147" s="221">
        <v>24.206</v>
      </c>
      <c r="D147" s="237">
        <f t="shared" si="43"/>
        <v>5776979.7539999997</v>
      </c>
      <c r="E147" s="235">
        <f t="shared" si="44"/>
        <v>57769.79754</v>
      </c>
      <c r="F147" s="235">
        <f t="shared" si="45"/>
        <v>5776.979754</v>
      </c>
      <c r="G147" s="236">
        <f t="shared" si="46"/>
        <v>63546.777294</v>
      </c>
      <c r="H147" s="244"/>
      <c r="I147" s="132"/>
      <c r="J147" s="134"/>
      <c r="L147" s="132"/>
      <c r="M147" s="134"/>
      <c r="N147" s="132"/>
      <c r="O147" s="132"/>
    </row>
    <row r="148" spans="1:15" s="133" customFormat="1" x14ac:dyDescent="0.15">
      <c r="A148" s="133" t="s">
        <v>1397</v>
      </c>
      <c r="B148" s="210">
        <v>237895</v>
      </c>
      <c r="C148" s="221">
        <v>24.3627</v>
      </c>
      <c r="D148" s="237">
        <f t="shared" si="43"/>
        <v>5795764.5164999999</v>
      </c>
      <c r="E148" s="235">
        <f t="shared" si="44"/>
        <v>57957.645165000002</v>
      </c>
      <c r="F148" s="235">
        <f t="shared" si="45"/>
        <v>5795.7645165000004</v>
      </c>
      <c r="G148" s="236">
        <f t="shared" si="46"/>
        <v>63753.409681500001</v>
      </c>
      <c r="I148" s="132"/>
      <c r="J148" s="134"/>
      <c r="L148" s="132"/>
      <c r="M148" s="134"/>
      <c r="N148" s="132"/>
      <c r="O148" s="132"/>
    </row>
    <row r="149" spans="1:15" s="133" customFormat="1" ht="12" thickBot="1" x14ac:dyDescent="0.2">
      <c r="B149" s="211">
        <f>SUM(B135:B148)</f>
        <v>3516522</v>
      </c>
      <c r="C149" s="221"/>
      <c r="D149" s="237"/>
      <c r="E149" s="242">
        <f>SUM(E135:E148)</f>
        <v>858493.95947100001</v>
      </c>
      <c r="F149" s="242">
        <f t="shared" ref="F149:G149" si="47">SUM(F135:F148)</f>
        <v>85849.395947099998</v>
      </c>
      <c r="G149" s="242">
        <f t="shared" si="47"/>
        <v>944343.35541810002</v>
      </c>
      <c r="I149" s="132"/>
      <c r="J149" s="134"/>
      <c r="L149" s="132"/>
      <c r="M149" s="134"/>
      <c r="N149" s="132"/>
      <c r="O149" s="132"/>
    </row>
    <row r="150" spans="1:15" s="133" customFormat="1" ht="12" thickTop="1" x14ac:dyDescent="0.15">
      <c r="A150" s="133" t="s">
        <v>1325</v>
      </c>
      <c r="B150" s="210">
        <v>40028</v>
      </c>
      <c r="C150" s="221">
        <v>24.680800000000001</v>
      </c>
      <c r="D150" s="237">
        <f t="shared" ref="D150" si="48">+B150*C150</f>
        <v>987923.06240000005</v>
      </c>
      <c r="E150" s="235">
        <f t="shared" ref="E150" si="49">+D150*0.01</f>
        <v>9879.2306240000016</v>
      </c>
      <c r="F150" s="235">
        <f t="shared" ref="F150" si="50">+E150*0.1</f>
        <v>987.92306240000016</v>
      </c>
      <c r="G150" s="236">
        <f t="shared" ref="G150" si="51">SUM(E150:F150)</f>
        <v>10867.153686400001</v>
      </c>
      <c r="I150" s="132"/>
      <c r="J150" s="134"/>
      <c r="L150" s="132"/>
      <c r="M150" s="134"/>
      <c r="N150" s="132"/>
      <c r="O150" s="132"/>
    </row>
    <row r="151" spans="1:15" s="133" customFormat="1" ht="12" thickBot="1" x14ac:dyDescent="0.2">
      <c r="B151" s="211">
        <f>SUM(B150)</f>
        <v>40028</v>
      </c>
      <c r="C151" s="221"/>
      <c r="D151" s="237"/>
      <c r="E151" s="242">
        <f>SUM(E150)</f>
        <v>9879.2306240000016</v>
      </c>
      <c r="F151" s="242">
        <f t="shared" ref="F151:G151" si="52">SUM(F150)</f>
        <v>987.92306240000016</v>
      </c>
      <c r="G151" s="242">
        <f t="shared" si="52"/>
        <v>10867.153686400001</v>
      </c>
      <c r="I151" s="132"/>
      <c r="J151" s="134"/>
      <c r="L151" s="132"/>
      <c r="M151" s="134"/>
      <c r="N151" s="132"/>
      <c r="O151" s="132"/>
    </row>
    <row r="152" spans="1:15" s="133" customFormat="1" ht="12" thickTop="1" x14ac:dyDescent="0.15">
      <c r="A152" s="193" t="s">
        <v>1388</v>
      </c>
      <c r="B152" s="210">
        <v>81972</v>
      </c>
      <c r="C152" s="221">
        <v>24.516400000000001</v>
      </c>
      <c r="D152" s="237">
        <f t="shared" ref="D152:D153" si="53">+B152*C152</f>
        <v>2009658.3408000001</v>
      </c>
      <c r="E152" s="235">
        <f t="shared" ref="E152:E153" si="54">+D152*0.01</f>
        <v>20096.583408000002</v>
      </c>
      <c r="F152" s="235">
        <f t="shared" ref="F152:F153" si="55">+E152*0.1</f>
        <v>2009.6583408000004</v>
      </c>
      <c r="G152" s="236">
        <f t="shared" ref="G152:G153" si="56">SUM(E152:F152)</f>
        <v>22106.241748800003</v>
      </c>
      <c r="I152" s="132"/>
      <c r="J152" s="134"/>
      <c r="L152" s="132"/>
      <c r="M152" s="134"/>
      <c r="N152" s="132"/>
      <c r="O152" s="132"/>
    </row>
    <row r="153" spans="1:15" x14ac:dyDescent="0.15">
      <c r="A153" s="193" t="s">
        <v>1394</v>
      </c>
      <c r="B153" s="210">
        <v>312203</v>
      </c>
      <c r="C153" s="221">
        <v>24.320799999999998</v>
      </c>
      <c r="D153" s="237">
        <f t="shared" si="53"/>
        <v>7593026.7223999994</v>
      </c>
      <c r="E153" s="235">
        <f t="shared" si="54"/>
        <v>75930.267223999996</v>
      </c>
      <c r="F153" s="235">
        <f t="shared" si="55"/>
        <v>7593.0267223999999</v>
      </c>
      <c r="G153" s="236">
        <f t="shared" si="56"/>
        <v>83523.293946399994</v>
      </c>
    </row>
    <row r="154" spans="1:15" ht="12" thickBot="1" x14ac:dyDescent="0.2">
      <c r="B154" s="211">
        <f>SUM(B152:B153)</f>
        <v>394175</v>
      </c>
      <c r="E154" s="234">
        <f>SUM(E152:E153)</f>
        <v>96026.850632000001</v>
      </c>
      <c r="F154" s="234">
        <f t="shared" ref="F154:G154" si="57">SUM(F152:F153)</f>
        <v>9602.6850632000005</v>
      </c>
      <c r="G154" s="234">
        <f t="shared" si="57"/>
        <v>105629.5356952</v>
      </c>
    </row>
    <row r="155" spans="1:15" ht="12" thickTop="1" x14ac:dyDescent="0.15">
      <c r="B155" s="231"/>
    </row>
  </sheetData>
  <mergeCells count="8">
    <mergeCell ref="B109:D109"/>
    <mergeCell ref="B110:D110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zoomScale="115" zoomScaleNormal="115" workbookViewId="0">
      <pane ySplit="6" topLeftCell="A73" activePane="bottomLeft" state="frozen"/>
      <selection pane="bottomLeft" activeCell="E80" sqref="E80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4.28515625" style="134" bestFit="1" customWidth="1"/>
    <col min="7" max="7" width="13.7109375" style="132" bestFit="1" customWidth="1"/>
    <col min="8" max="8" width="9.5703125" style="133" bestFit="1" customWidth="1"/>
    <col min="9" max="9" width="11.7109375" style="132" bestFit="1" customWidth="1"/>
    <col min="10" max="10" width="11.28515625" style="134" bestFit="1" customWidth="1"/>
    <col min="11" max="11" width="13.85546875" style="133" bestFit="1" customWidth="1"/>
    <col min="12" max="12" width="11.28515625" style="132" customWidth="1"/>
    <col min="13" max="13" width="10.5703125" style="134" bestFit="1" customWidth="1"/>
    <col min="14" max="14" width="13.28515625" style="132" bestFit="1" customWidth="1"/>
    <col min="15" max="15" width="11.28515625" style="132" bestFit="1" customWidth="1"/>
    <col min="16" max="16384" width="18.5703125" style="134"/>
  </cols>
  <sheetData>
    <row r="1" spans="1:15" x14ac:dyDescent="0.15">
      <c r="A1" s="130" t="s">
        <v>1291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1271</v>
      </c>
      <c r="B7" s="146"/>
      <c r="C7" s="147">
        <v>34708.634562009611</v>
      </c>
      <c r="D7" s="148"/>
      <c r="E7" s="149"/>
      <c r="F7" s="149"/>
      <c r="G7" s="147"/>
      <c r="H7" s="148"/>
      <c r="I7" s="147"/>
      <c r="J7" s="149"/>
      <c r="K7" s="149"/>
      <c r="L7" s="226"/>
      <c r="M7" s="149"/>
      <c r="N7" s="226">
        <f>+C7</f>
        <v>34708.634562009611</v>
      </c>
      <c r="O7" s="147">
        <f>+C90</f>
        <v>623414.07256200968</v>
      </c>
    </row>
    <row r="8" spans="1:15" x14ac:dyDescent="0.15">
      <c r="A8" s="154" t="s">
        <v>1272</v>
      </c>
      <c r="B8" s="151"/>
      <c r="C8" s="152">
        <v>122152.927</v>
      </c>
      <c r="D8" s="155"/>
      <c r="E8" s="154"/>
      <c r="F8" s="154"/>
      <c r="G8" s="152"/>
      <c r="H8" s="155"/>
      <c r="I8" s="152"/>
      <c r="J8" s="154"/>
      <c r="K8" s="156"/>
      <c r="L8" s="227"/>
      <c r="M8" s="154"/>
      <c r="N8" s="227">
        <f>+N7-I8-L8</f>
        <v>34708.634562009611</v>
      </c>
      <c r="O8" s="152">
        <f t="shared" ref="O8:O9" si="0">O7+G8-I8-L8</f>
        <v>623414.07256200968</v>
      </c>
    </row>
    <row r="9" spans="1:15" x14ac:dyDescent="0.15">
      <c r="A9" s="157" t="s">
        <v>1273</v>
      </c>
      <c r="B9" s="151"/>
      <c r="C9" s="152">
        <v>120155.12299999999</v>
      </c>
      <c r="D9" s="154"/>
      <c r="E9" s="154"/>
      <c r="F9" s="154"/>
      <c r="G9" s="152"/>
      <c r="H9" s="154"/>
      <c r="I9" s="152"/>
      <c r="J9" s="154"/>
      <c r="K9" s="154"/>
      <c r="L9" s="227"/>
      <c r="M9" s="154"/>
      <c r="N9" s="227">
        <f t="shared" ref="N9" si="1">+N8-I9-L9</f>
        <v>34708.634562009611</v>
      </c>
      <c r="O9" s="152">
        <f t="shared" si="0"/>
        <v>623414.07256200968</v>
      </c>
    </row>
    <row r="10" spans="1:15" x14ac:dyDescent="0.15">
      <c r="A10" s="154" t="s">
        <v>1274</v>
      </c>
      <c r="B10" s="151"/>
      <c r="C10" s="152">
        <v>264274.43200000003</v>
      </c>
      <c r="D10" s="155"/>
      <c r="E10" s="154"/>
      <c r="F10" s="157"/>
      <c r="G10" s="152"/>
      <c r="H10" s="155"/>
      <c r="I10" s="152"/>
      <c r="J10" s="154"/>
      <c r="K10" s="154"/>
      <c r="L10" s="227"/>
      <c r="M10" s="154"/>
      <c r="N10" s="227">
        <f t="shared" ref="N10" si="2">+N9-I10-L10</f>
        <v>34708.634562009611</v>
      </c>
      <c r="O10" s="152">
        <f t="shared" ref="O10" si="3">O9+G10-I10-L10</f>
        <v>623414.07256200968</v>
      </c>
    </row>
    <row r="11" spans="1:15" x14ac:dyDescent="0.15">
      <c r="A11" s="154" t="s">
        <v>1275</v>
      </c>
      <c r="B11" s="151"/>
      <c r="C11" s="152">
        <v>82122.956000000006</v>
      </c>
      <c r="D11" s="155"/>
      <c r="E11" s="154"/>
      <c r="F11" s="157"/>
      <c r="G11" s="152"/>
      <c r="H11" s="155"/>
      <c r="I11" s="152"/>
      <c r="J11" s="154"/>
      <c r="K11" s="154"/>
      <c r="L11" s="227"/>
      <c r="M11" s="154"/>
      <c r="N11" s="227">
        <f t="shared" ref="N11:N87" si="4">+N10-I11-L11</f>
        <v>34708.634562009611</v>
      </c>
      <c r="O11" s="152">
        <f t="shared" ref="O11:O87" si="5">O10+G11-I11-L11</f>
        <v>623414.07256200968</v>
      </c>
    </row>
    <row r="12" spans="1:15" x14ac:dyDescent="0.15">
      <c r="A12" s="154"/>
      <c r="B12" s="151"/>
      <c r="C12" s="152"/>
      <c r="D12" s="155"/>
      <c r="E12" s="154"/>
      <c r="F12" s="157"/>
      <c r="G12" s="152"/>
      <c r="H12" s="155"/>
      <c r="I12" s="152"/>
      <c r="J12" s="154"/>
      <c r="K12" s="154"/>
      <c r="L12" s="227"/>
      <c r="M12" s="154"/>
      <c r="N12" s="227">
        <f t="shared" si="4"/>
        <v>34708.634562009611</v>
      </c>
      <c r="O12" s="152">
        <f t="shared" si="5"/>
        <v>623414.07256200968</v>
      </c>
    </row>
    <row r="13" spans="1:15" x14ac:dyDescent="0.15">
      <c r="A13" s="154"/>
      <c r="B13" s="151"/>
      <c r="C13" s="152"/>
      <c r="D13" s="155"/>
      <c r="E13" s="154"/>
      <c r="F13" s="157"/>
      <c r="G13" s="152"/>
      <c r="H13" s="155" t="s">
        <v>1294</v>
      </c>
      <c r="I13" s="152">
        <v>722.22</v>
      </c>
      <c r="J13" s="154" t="s">
        <v>1271</v>
      </c>
      <c r="K13" s="154"/>
      <c r="L13" s="227"/>
      <c r="M13" s="154"/>
      <c r="N13" s="227">
        <f t="shared" si="4"/>
        <v>33986.41456200961</v>
      </c>
      <c r="O13" s="152">
        <f t="shared" si="5"/>
        <v>622691.85256200971</v>
      </c>
    </row>
    <row r="14" spans="1:15" x14ac:dyDescent="0.15">
      <c r="A14" s="154"/>
      <c r="B14" s="151"/>
      <c r="C14" s="152"/>
      <c r="D14" s="155"/>
      <c r="E14" s="155"/>
      <c r="F14" s="157"/>
      <c r="G14" s="152"/>
      <c r="H14" s="155" t="s">
        <v>1295</v>
      </c>
      <c r="I14" s="152"/>
      <c r="J14" s="154"/>
      <c r="K14" s="154" t="s">
        <v>1336</v>
      </c>
      <c r="L14" s="227">
        <v>33986.41456200961</v>
      </c>
      <c r="M14" s="154" t="s">
        <v>1271</v>
      </c>
      <c r="N14" s="227">
        <f t="shared" si="4"/>
        <v>0</v>
      </c>
      <c r="O14" s="152">
        <f t="shared" si="5"/>
        <v>588705.43800000008</v>
      </c>
    </row>
    <row r="15" spans="1:15" x14ac:dyDescent="0.15">
      <c r="A15" s="154"/>
      <c r="B15" s="151"/>
      <c r="C15" s="152"/>
      <c r="D15" s="155"/>
      <c r="E15" s="155"/>
      <c r="F15" s="157"/>
      <c r="G15" s="152"/>
      <c r="H15" s="155" t="s">
        <v>1295</v>
      </c>
      <c r="I15" s="152"/>
      <c r="J15" s="154"/>
      <c r="K15" s="154" t="s">
        <v>1334</v>
      </c>
      <c r="L15" s="227">
        <v>36479.285437990402</v>
      </c>
      <c r="M15" s="154" t="s">
        <v>1272</v>
      </c>
      <c r="N15" s="227">
        <f>C8+N14-I15-L15</f>
        <v>85673.641562009594</v>
      </c>
      <c r="O15" s="152">
        <f t="shared" si="5"/>
        <v>552226.15256200964</v>
      </c>
    </row>
    <row r="16" spans="1:15" x14ac:dyDescent="0.15">
      <c r="A16" s="154"/>
      <c r="B16" s="151"/>
      <c r="C16" s="152"/>
      <c r="D16" s="155"/>
      <c r="E16" s="154"/>
      <c r="F16" s="157"/>
      <c r="G16" s="152"/>
      <c r="H16" s="155" t="s">
        <v>1295</v>
      </c>
      <c r="I16" s="152"/>
      <c r="J16" s="154"/>
      <c r="K16" s="154" t="s">
        <v>1334</v>
      </c>
      <c r="L16" s="227">
        <v>78739.89</v>
      </c>
      <c r="M16" s="154" t="s">
        <v>1272</v>
      </c>
      <c r="N16" s="227">
        <f t="shared" si="4"/>
        <v>6933.7515620095946</v>
      </c>
      <c r="O16" s="152">
        <f t="shared" si="5"/>
        <v>473486.26256200962</v>
      </c>
    </row>
    <row r="17" spans="1:15" x14ac:dyDescent="0.15">
      <c r="A17" s="154"/>
      <c r="B17" s="151"/>
      <c r="C17" s="152"/>
      <c r="D17" s="155" t="s">
        <v>1296</v>
      </c>
      <c r="E17" s="154" t="s">
        <v>72</v>
      </c>
      <c r="F17" s="157" t="s">
        <v>1320</v>
      </c>
      <c r="G17" s="152">
        <v>124049.91200000001</v>
      </c>
      <c r="H17" s="155" t="s">
        <v>1296</v>
      </c>
      <c r="I17" s="152">
        <v>2238.27</v>
      </c>
      <c r="J17" s="154" t="s">
        <v>1272</v>
      </c>
      <c r="K17" s="154" t="s">
        <v>1334</v>
      </c>
      <c r="L17" s="227">
        <v>4695.4815620095942</v>
      </c>
      <c r="M17" s="154" t="s">
        <v>1272</v>
      </c>
      <c r="N17" s="227">
        <f t="shared" si="4"/>
        <v>0</v>
      </c>
      <c r="O17" s="152">
        <f t="shared" si="5"/>
        <v>590602.42300000007</v>
      </c>
    </row>
    <row r="18" spans="1:15" x14ac:dyDescent="0.15">
      <c r="A18" s="154"/>
      <c r="B18" s="151"/>
      <c r="C18" s="152"/>
      <c r="D18" s="155"/>
      <c r="E18" s="154"/>
      <c r="F18" s="157"/>
      <c r="G18" s="152"/>
      <c r="H18" s="155" t="s">
        <v>1296</v>
      </c>
      <c r="I18" s="152"/>
      <c r="J18" s="154"/>
      <c r="K18" s="154" t="s">
        <v>1335</v>
      </c>
      <c r="L18" s="227">
        <v>64822.198437990402</v>
      </c>
      <c r="M18" s="157" t="s">
        <v>1273</v>
      </c>
      <c r="N18" s="227">
        <f>C9+N17-I18-L18</f>
        <v>55332.92456200959</v>
      </c>
      <c r="O18" s="152">
        <f t="shared" ref="O18:O19" si="6">O17+G18-I18-L18</f>
        <v>525780.22456200968</v>
      </c>
    </row>
    <row r="19" spans="1:15" x14ac:dyDescent="0.15">
      <c r="A19" s="154"/>
      <c r="B19" s="151"/>
      <c r="C19" s="152"/>
      <c r="D19" s="155" t="s">
        <v>1297</v>
      </c>
      <c r="E19" s="154" t="s">
        <v>72</v>
      </c>
      <c r="F19" s="157" t="s">
        <v>1320</v>
      </c>
      <c r="G19" s="152">
        <v>124192.34599999999</v>
      </c>
      <c r="H19" s="155" t="s">
        <v>1297</v>
      </c>
      <c r="I19" s="152"/>
      <c r="J19" s="154"/>
      <c r="K19" s="154" t="s">
        <v>1335</v>
      </c>
      <c r="L19" s="227">
        <v>55332.92456200959</v>
      </c>
      <c r="M19" s="157" t="s">
        <v>1273</v>
      </c>
      <c r="N19" s="227">
        <f t="shared" ref="N19" si="7">+N18-I19-L19</f>
        <v>0</v>
      </c>
      <c r="O19" s="152">
        <f t="shared" si="6"/>
        <v>594639.64600000007</v>
      </c>
    </row>
    <row r="20" spans="1:15" x14ac:dyDescent="0.15">
      <c r="A20" s="154"/>
      <c r="B20" s="151"/>
      <c r="C20" s="152"/>
      <c r="D20" s="155"/>
      <c r="E20" s="154"/>
      <c r="F20" s="157"/>
      <c r="G20" s="152"/>
      <c r="H20" s="155" t="s">
        <v>1297</v>
      </c>
      <c r="I20" s="152"/>
      <c r="J20" s="154"/>
      <c r="K20" s="154" t="s">
        <v>1336</v>
      </c>
      <c r="L20" s="227">
        <v>21310.905437990401</v>
      </c>
      <c r="M20" s="154" t="s">
        <v>1274</v>
      </c>
      <c r="N20" s="227">
        <f>C10+N19-I20-L20</f>
        <v>242963.52656200962</v>
      </c>
      <c r="O20" s="152">
        <f t="shared" ref="O20:O23" si="8">O19+G20-I20-L20</f>
        <v>573328.74056200963</v>
      </c>
    </row>
    <row r="21" spans="1:15" x14ac:dyDescent="0.15">
      <c r="A21" s="154"/>
      <c r="B21" s="151"/>
      <c r="C21" s="152"/>
      <c r="D21" s="155" t="s">
        <v>1298</v>
      </c>
      <c r="E21" s="154" t="s">
        <v>72</v>
      </c>
      <c r="F21" s="157" t="s">
        <v>1320</v>
      </c>
      <c r="G21" s="152">
        <v>203881.239</v>
      </c>
      <c r="H21" s="155" t="s">
        <v>1298</v>
      </c>
      <c r="I21" s="152"/>
      <c r="J21" s="154"/>
      <c r="K21" s="154" t="s">
        <v>1336</v>
      </c>
      <c r="L21" s="227">
        <v>72033.789999999994</v>
      </c>
      <c r="M21" s="154" t="s">
        <v>1274</v>
      </c>
      <c r="N21" s="227">
        <f t="shared" ref="N21:N23" si="9">+N20-I21-L21</f>
        <v>170929.73656200961</v>
      </c>
      <c r="O21" s="152">
        <f t="shared" si="8"/>
        <v>705176.18956200965</v>
      </c>
    </row>
    <row r="22" spans="1:15" x14ac:dyDescent="0.15">
      <c r="A22" s="154"/>
      <c r="B22" s="151"/>
      <c r="C22" s="152"/>
      <c r="D22" s="155"/>
      <c r="E22" s="154"/>
      <c r="F22" s="157"/>
      <c r="G22" s="152"/>
      <c r="H22" s="155" t="s">
        <v>1298</v>
      </c>
      <c r="I22" s="152"/>
      <c r="J22" s="154"/>
      <c r="K22" s="154" t="s">
        <v>1336</v>
      </c>
      <c r="L22" s="227">
        <v>73944.960000000006</v>
      </c>
      <c r="M22" s="154" t="s">
        <v>1274</v>
      </c>
      <c r="N22" s="227">
        <f t="shared" si="9"/>
        <v>96984.776562009603</v>
      </c>
      <c r="O22" s="152">
        <f t="shared" si="8"/>
        <v>631231.22956200968</v>
      </c>
    </row>
    <row r="23" spans="1:15" x14ac:dyDescent="0.15">
      <c r="A23" s="154"/>
      <c r="B23" s="151"/>
      <c r="C23" s="152"/>
      <c r="D23" s="155"/>
      <c r="E23" s="154"/>
      <c r="F23" s="157"/>
      <c r="G23" s="152"/>
      <c r="H23" s="155" t="s">
        <v>1298</v>
      </c>
      <c r="I23" s="152"/>
      <c r="J23" s="154"/>
      <c r="K23" s="154" t="s">
        <v>1336</v>
      </c>
      <c r="L23" s="227">
        <v>81028.899999999994</v>
      </c>
      <c r="M23" s="154" t="s">
        <v>1274</v>
      </c>
      <c r="N23" s="227">
        <f t="shared" si="9"/>
        <v>15955.876562009609</v>
      </c>
      <c r="O23" s="152">
        <f t="shared" si="8"/>
        <v>550202.32956200966</v>
      </c>
    </row>
    <row r="24" spans="1:15" x14ac:dyDescent="0.15">
      <c r="A24" s="154"/>
      <c r="B24" s="151"/>
      <c r="C24" s="152"/>
      <c r="D24" s="155"/>
      <c r="E24" s="155"/>
      <c r="F24" s="157"/>
      <c r="G24" s="152"/>
      <c r="H24" s="155" t="s">
        <v>1232</v>
      </c>
      <c r="I24" s="152">
        <v>880.54</v>
      </c>
      <c r="J24" s="154" t="s">
        <v>1274</v>
      </c>
      <c r="K24" s="154" t="s">
        <v>1336</v>
      </c>
      <c r="L24" s="227">
        <v>15075.336562009608</v>
      </c>
      <c r="M24" s="154" t="s">
        <v>1274</v>
      </c>
      <c r="N24" s="227">
        <f t="shared" ref="N24:N27" si="10">+N23-I24-L24</f>
        <v>0</v>
      </c>
      <c r="O24" s="152">
        <f t="shared" ref="O24:O27" si="11">O23+G24-I24-L24</f>
        <v>534246.45299999998</v>
      </c>
    </row>
    <row r="25" spans="1:15" x14ac:dyDescent="0.15">
      <c r="A25" s="154"/>
      <c r="B25" s="151"/>
      <c r="C25" s="152"/>
      <c r="D25" s="155"/>
      <c r="E25" s="155"/>
      <c r="F25" s="157"/>
      <c r="G25" s="152"/>
      <c r="H25" s="155" t="s">
        <v>1232</v>
      </c>
      <c r="I25" s="152"/>
      <c r="J25" s="154"/>
      <c r="K25" s="154" t="s">
        <v>1334</v>
      </c>
      <c r="L25" s="227">
        <v>56963.123437990398</v>
      </c>
      <c r="M25" s="154" t="s">
        <v>1275</v>
      </c>
      <c r="N25" s="227">
        <f>C11+N24-I25-L25</f>
        <v>25159.832562009607</v>
      </c>
      <c r="O25" s="152">
        <f t="shared" si="11"/>
        <v>477283.3295620096</v>
      </c>
    </row>
    <row r="26" spans="1:15" x14ac:dyDescent="0.15">
      <c r="A26" s="154"/>
      <c r="B26" s="151"/>
      <c r="C26" s="152"/>
      <c r="D26" s="155" t="s">
        <v>1317</v>
      </c>
      <c r="E26" s="154" t="s">
        <v>72</v>
      </c>
      <c r="F26" s="157" t="s">
        <v>1325</v>
      </c>
      <c r="G26" s="152">
        <v>121809.35100000001</v>
      </c>
      <c r="H26" s="155" t="s">
        <v>1317</v>
      </c>
      <c r="I26" s="152"/>
      <c r="J26" s="154"/>
      <c r="K26" s="154"/>
      <c r="L26" s="227"/>
      <c r="M26" s="157"/>
      <c r="N26" s="227">
        <f t="shared" si="10"/>
        <v>25159.832562009607</v>
      </c>
      <c r="O26" s="152">
        <f t="shared" si="11"/>
        <v>599092.68056200957</v>
      </c>
    </row>
    <row r="27" spans="1:15" x14ac:dyDescent="0.15">
      <c r="A27" s="154"/>
      <c r="B27" s="151"/>
      <c r="C27" s="152"/>
      <c r="D27" s="155"/>
      <c r="E27" s="155"/>
      <c r="F27" s="157"/>
      <c r="G27" s="152"/>
      <c r="H27" s="155" t="s">
        <v>1299</v>
      </c>
      <c r="I27" s="152">
        <v>1522.77</v>
      </c>
      <c r="J27" s="154" t="s">
        <v>1275</v>
      </c>
      <c r="K27" s="154"/>
      <c r="L27" s="227"/>
      <c r="M27" s="157"/>
      <c r="N27" s="227">
        <f t="shared" si="10"/>
        <v>23637.062562009607</v>
      </c>
      <c r="O27" s="152">
        <f t="shared" si="11"/>
        <v>597569.91056200955</v>
      </c>
    </row>
    <row r="28" spans="1:15" x14ac:dyDescent="0.15">
      <c r="A28" s="154"/>
      <c r="B28" s="151"/>
      <c r="C28" s="152"/>
      <c r="D28" s="155" t="s">
        <v>1300</v>
      </c>
      <c r="E28" s="154" t="s">
        <v>72</v>
      </c>
      <c r="F28" s="157" t="s">
        <v>1321</v>
      </c>
      <c r="G28" s="152">
        <v>123808.05600000001</v>
      </c>
      <c r="H28" s="155" t="s">
        <v>1300</v>
      </c>
      <c r="I28" s="152"/>
      <c r="J28" s="154"/>
      <c r="K28" s="154" t="s">
        <v>1334</v>
      </c>
      <c r="L28" s="227">
        <v>23637.062562009607</v>
      </c>
      <c r="M28" s="154" t="s">
        <v>1275</v>
      </c>
      <c r="N28" s="227">
        <f t="shared" ref="N28:N32" si="12">+N27-I28-L28</f>
        <v>0</v>
      </c>
      <c r="O28" s="152">
        <f t="shared" ref="O28:O32" si="13">O27+G28-I28-L28</f>
        <v>697740.90399999998</v>
      </c>
    </row>
    <row r="29" spans="1:15" x14ac:dyDescent="0.15">
      <c r="A29" s="154"/>
      <c r="B29" s="151"/>
      <c r="C29" s="152"/>
      <c r="D29" s="155"/>
      <c r="E29" s="154"/>
      <c r="F29" s="157"/>
      <c r="G29" s="152"/>
      <c r="H29" s="155" t="s">
        <v>1300</v>
      </c>
      <c r="I29" s="152"/>
      <c r="J29" s="154"/>
      <c r="K29" s="154" t="s">
        <v>1334</v>
      </c>
      <c r="L29" s="227">
        <v>46611.197437990399</v>
      </c>
      <c r="M29" s="157" t="s">
        <v>1320</v>
      </c>
      <c r="N29" s="227">
        <f>G17+G19+G21+N28-I29-L29</f>
        <v>405512.29956200958</v>
      </c>
      <c r="O29" s="152">
        <f t="shared" si="13"/>
        <v>651129.70656200964</v>
      </c>
    </row>
    <row r="30" spans="1:15" x14ac:dyDescent="0.15">
      <c r="A30" s="154"/>
      <c r="B30" s="151"/>
      <c r="C30" s="152"/>
      <c r="D30" s="155"/>
      <c r="E30" s="155"/>
      <c r="F30" s="157"/>
      <c r="G30" s="152"/>
      <c r="H30" s="155" t="s">
        <v>1300</v>
      </c>
      <c r="I30" s="152"/>
      <c r="J30" s="154"/>
      <c r="K30" s="154" t="s">
        <v>1334</v>
      </c>
      <c r="L30" s="227">
        <v>80059.39</v>
      </c>
      <c r="M30" s="157" t="s">
        <v>1320</v>
      </c>
      <c r="N30" s="227">
        <f t="shared" si="12"/>
        <v>325452.90956200956</v>
      </c>
      <c r="O30" s="152">
        <f t="shared" si="13"/>
        <v>571070.31656200963</v>
      </c>
    </row>
    <row r="31" spans="1:15" x14ac:dyDescent="0.15">
      <c r="A31" s="154"/>
      <c r="B31" s="151"/>
      <c r="C31" s="152"/>
      <c r="D31" s="155" t="s">
        <v>1301</v>
      </c>
      <c r="E31" s="154" t="s">
        <v>72</v>
      </c>
      <c r="F31" s="157" t="s">
        <v>1321</v>
      </c>
      <c r="G31" s="152">
        <v>39998.783000000003</v>
      </c>
      <c r="H31" s="155" t="s">
        <v>1301</v>
      </c>
      <c r="I31" s="152"/>
      <c r="J31" s="154"/>
      <c r="K31" s="154" t="s">
        <v>1334</v>
      </c>
      <c r="L31" s="227">
        <v>71063.960000000006</v>
      </c>
      <c r="M31" s="157" t="s">
        <v>1320</v>
      </c>
      <c r="N31" s="227">
        <f t="shared" si="12"/>
        <v>254388.94956200954</v>
      </c>
      <c r="O31" s="152">
        <f t="shared" si="13"/>
        <v>540005.13956200972</v>
      </c>
    </row>
    <row r="32" spans="1:15" x14ac:dyDescent="0.15">
      <c r="A32" s="154"/>
      <c r="B32" s="151"/>
      <c r="C32" s="152"/>
      <c r="D32" s="155" t="s">
        <v>1302</v>
      </c>
      <c r="E32" s="154" t="s">
        <v>72</v>
      </c>
      <c r="F32" s="157" t="s">
        <v>1321</v>
      </c>
      <c r="G32" s="152">
        <v>164025.56199999998</v>
      </c>
      <c r="H32" s="155" t="s">
        <v>1302</v>
      </c>
      <c r="I32" s="152"/>
      <c r="J32" s="154"/>
      <c r="K32" s="154" t="s">
        <v>1334</v>
      </c>
      <c r="L32" s="227">
        <v>55194.73</v>
      </c>
      <c r="M32" s="157" t="s">
        <v>1320</v>
      </c>
      <c r="N32" s="227">
        <f t="shared" si="12"/>
        <v>199194.21956200953</v>
      </c>
      <c r="O32" s="152">
        <f t="shared" si="13"/>
        <v>648835.97156200977</v>
      </c>
    </row>
    <row r="33" spans="1:16" x14ac:dyDescent="0.15">
      <c r="A33" s="154"/>
      <c r="B33" s="151"/>
      <c r="C33" s="152"/>
      <c r="D33" s="155" t="s">
        <v>1303</v>
      </c>
      <c r="E33" s="154" t="s">
        <v>72</v>
      </c>
      <c r="F33" s="157" t="s">
        <v>1326</v>
      </c>
      <c r="G33" s="152">
        <v>82080.752999999997</v>
      </c>
      <c r="H33" s="155" t="s">
        <v>1303</v>
      </c>
      <c r="I33" s="152"/>
      <c r="J33" s="154"/>
      <c r="K33" s="154" t="s">
        <v>1334</v>
      </c>
      <c r="L33" s="227">
        <v>76281.820000000007</v>
      </c>
      <c r="M33" s="157" t="s">
        <v>1320</v>
      </c>
      <c r="N33" s="227">
        <f t="shared" si="4"/>
        <v>122912.39956200952</v>
      </c>
      <c r="O33" s="152">
        <f t="shared" si="5"/>
        <v>654634.90456200973</v>
      </c>
    </row>
    <row r="34" spans="1:16" x14ac:dyDescent="0.15">
      <c r="A34" s="154"/>
      <c r="B34" s="151"/>
      <c r="C34" s="152"/>
      <c r="D34" s="155"/>
      <c r="E34" s="154"/>
      <c r="F34" s="157"/>
      <c r="G34" s="152"/>
      <c r="H34" s="155" t="s">
        <v>1303</v>
      </c>
      <c r="I34" s="152"/>
      <c r="J34" s="154"/>
      <c r="K34" s="154" t="s">
        <v>1334</v>
      </c>
      <c r="L34" s="227">
        <v>77833.08</v>
      </c>
      <c r="M34" s="157" t="s">
        <v>1320</v>
      </c>
      <c r="N34" s="227">
        <f t="shared" si="4"/>
        <v>45079.319562009521</v>
      </c>
      <c r="O34" s="152">
        <f t="shared" si="5"/>
        <v>576801.82456200977</v>
      </c>
    </row>
    <row r="35" spans="1:16" x14ac:dyDescent="0.15">
      <c r="A35" s="154"/>
      <c r="B35" s="151"/>
      <c r="C35" s="152"/>
      <c r="D35" s="155"/>
      <c r="E35" s="154"/>
      <c r="F35" s="157"/>
      <c r="G35" s="152"/>
      <c r="H35" s="155" t="s">
        <v>1304</v>
      </c>
      <c r="I35" s="152"/>
      <c r="J35" s="154"/>
      <c r="K35" s="154" t="s">
        <v>1334</v>
      </c>
      <c r="L35" s="227">
        <v>45079.319562009521</v>
      </c>
      <c r="M35" s="157" t="s">
        <v>1320</v>
      </c>
      <c r="N35" s="227">
        <f t="shared" ref="N35:N39" si="14">+N34-I35-L35</f>
        <v>0</v>
      </c>
      <c r="O35" s="152">
        <f t="shared" ref="O35:O39" si="15">O34+G35-I35-L35</f>
        <v>531722.50500000024</v>
      </c>
    </row>
    <row r="36" spans="1:16" x14ac:dyDescent="0.15">
      <c r="A36" s="154"/>
      <c r="B36" s="151"/>
      <c r="C36" s="152"/>
      <c r="D36" s="155"/>
      <c r="E36" s="154"/>
      <c r="F36" s="157"/>
      <c r="G36" s="152"/>
      <c r="H36" s="155" t="s">
        <v>1304</v>
      </c>
      <c r="I36" s="152"/>
      <c r="J36" s="154"/>
      <c r="K36" s="154" t="s">
        <v>1335</v>
      </c>
      <c r="L36" s="227">
        <v>28665.370437990499</v>
      </c>
      <c r="M36" s="157" t="s">
        <v>1325</v>
      </c>
      <c r="N36" s="316">
        <f>G26+N35-I36-L36</f>
        <v>93143.980562009514</v>
      </c>
      <c r="O36" s="152">
        <f t="shared" si="15"/>
        <v>503057.13456200971</v>
      </c>
    </row>
    <row r="37" spans="1:16" x14ac:dyDescent="0.15">
      <c r="A37" s="154"/>
      <c r="B37" s="151"/>
      <c r="C37" s="152"/>
      <c r="D37" s="155"/>
      <c r="E37" s="155"/>
      <c r="F37" s="157"/>
      <c r="G37" s="152"/>
      <c r="H37" s="155" t="s">
        <v>1304</v>
      </c>
      <c r="I37" s="152"/>
      <c r="J37" s="154"/>
      <c r="K37" s="154" t="s">
        <v>1335</v>
      </c>
      <c r="L37" s="227">
        <v>69427.740000000005</v>
      </c>
      <c r="M37" s="157" t="s">
        <v>1325</v>
      </c>
      <c r="N37" s="227">
        <f t="shared" si="14"/>
        <v>23716.240562009509</v>
      </c>
      <c r="O37" s="152">
        <f t="shared" si="15"/>
        <v>433629.39456200972</v>
      </c>
    </row>
    <row r="38" spans="1:16" x14ac:dyDescent="0.15">
      <c r="A38" s="154"/>
      <c r="B38" s="151"/>
      <c r="C38" s="152"/>
      <c r="D38" s="155" t="s">
        <v>1318</v>
      </c>
      <c r="E38" s="154" t="s">
        <v>72</v>
      </c>
      <c r="F38" s="157" t="s">
        <v>1322</v>
      </c>
      <c r="G38" s="152">
        <v>204156.66</v>
      </c>
      <c r="H38" s="155" t="s">
        <v>1318</v>
      </c>
      <c r="I38" s="152"/>
      <c r="J38" s="154"/>
      <c r="K38" s="154"/>
      <c r="L38" s="227"/>
      <c r="M38" s="154"/>
      <c r="N38" s="227">
        <f t="shared" si="14"/>
        <v>23716.240562009509</v>
      </c>
      <c r="O38" s="152">
        <f t="shared" si="15"/>
        <v>637786.05456200975</v>
      </c>
    </row>
    <row r="39" spans="1:16" x14ac:dyDescent="0.15">
      <c r="A39" s="154"/>
      <c r="B39" s="151"/>
      <c r="C39" s="152"/>
      <c r="D39" s="155"/>
      <c r="E39" s="155"/>
      <c r="F39" s="157"/>
      <c r="G39" s="152"/>
      <c r="H39" s="155" t="s">
        <v>1305</v>
      </c>
      <c r="I39" s="152"/>
      <c r="J39" s="154"/>
      <c r="K39" s="154" t="s">
        <v>1335</v>
      </c>
      <c r="L39" s="227">
        <v>135.13999999999999</v>
      </c>
      <c r="M39" s="157" t="s">
        <v>1325</v>
      </c>
      <c r="N39" s="227">
        <f t="shared" si="14"/>
        <v>23581.100562009509</v>
      </c>
      <c r="O39" s="152">
        <f t="shared" si="15"/>
        <v>637650.91456200974</v>
      </c>
    </row>
    <row r="40" spans="1:16" x14ac:dyDescent="0.15">
      <c r="A40" s="154"/>
      <c r="B40" s="151"/>
      <c r="C40" s="152"/>
      <c r="D40" s="155"/>
      <c r="E40" s="154"/>
      <c r="F40" s="157"/>
      <c r="G40" s="152"/>
      <c r="H40" s="155" t="s">
        <v>1305</v>
      </c>
      <c r="I40" s="152"/>
      <c r="J40" s="154"/>
      <c r="K40" s="154" t="s">
        <v>1335</v>
      </c>
      <c r="L40" s="227">
        <v>23581.100562009509</v>
      </c>
      <c r="M40" s="157" t="s">
        <v>1325</v>
      </c>
      <c r="N40" s="227">
        <f t="shared" si="4"/>
        <v>0</v>
      </c>
      <c r="O40" s="152">
        <f t="shared" si="5"/>
        <v>614069.81400000025</v>
      </c>
      <c r="P40" s="238"/>
    </row>
    <row r="41" spans="1:16" x14ac:dyDescent="0.15">
      <c r="A41" s="154"/>
      <c r="B41" s="151"/>
      <c r="C41" s="152"/>
      <c r="D41" s="155"/>
      <c r="E41" s="154"/>
      <c r="F41" s="157"/>
      <c r="G41" s="152"/>
      <c r="H41" s="155" t="s">
        <v>1305</v>
      </c>
      <c r="I41" s="152"/>
      <c r="J41" s="154"/>
      <c r="K41" s="154" t="s">
        <v>1334</v>
      </c>
      <c r="L41" s="227">
        <v>12012.939437990501</v>
      </c>
      <c r="M41" s="157" t="s">
        <v>1321</v>
      </c>
      <c r="N41" s="227">
        <f>G28+G31+G32+N40-I41-L41</f>
        <v>315819.46156200947</v>
      </c>
      <c r="O41" s="152">
        <f t="shared" ref="O41:O45" si="16">O40+G41-I41-L41</f>
        <v>602056.8745620097</v>
      </c>
    </row>
    <row r="42" spans="1:16" x14ac:dyDescent="0.15">
      <c r="A42" s="154"/>
      <c r="B42" s="151"/>
      <c r="C42" s="152"/>
      <c r="D42" s="155" t="s">
        <v>1306</v>
      </c>
      <c r="E42" s="154" t="s">
        <v>72</v>
      </c>
      <c r="F42" s="157" t="s">
        <v>1322</v>
      </c>
      <c r="G42" s="152">
        <v>121949.906</v>
      </c>
      <c r="H42" s="155" t="s">
        <v>1306</v>
      </c>
      <c r="I42" s="152"/>
      <c r="J42" s="154"/>
      <c r="K42" s="154" t="s">
        <v>1334</v>
      </c>
      <c r="L42" s="227">
        <v>74250.38</v>
      </c>
      <c r="M42" s="157" t="s">
        <v>1321</v>
      </c>
      <c r="N42" s="227">
        <f t="shared" ref="N42:N45" si="17">+N41-I42-L42</f>
        <v>241569.08156200947</v>
      </c>
      <c r="O42" s="152">
        <f t="shared" si="16"/>
        <v>649756.40056200966</v>
      </c>
    </row>
    <row r="43" spans="1:16" x14ac:dyDescent="0.15">
      <c r="A43" s="154"/>
      <c r="B43" s="151"/>
      <c r="C43" s="152"/>
      <c r="D43" s="155"/>
      <c r="E43" s="155"/>
      <c r="F43" s="157"/>
      <c r="G43" s="152"/>
      <c r="H43" s="155" t="s">
        <v>1306</v>
      </c>
      <c r="I43" s="152"/>
      <c r="J43" s="154"/>
      <c r="K43" s="154" t="s">
        <v>1334</v>
      </c>
      <c r="L43" s="227">
        <v>57566.59</v>
      </c>
      <c r="M43" s="157" t="s">
        <v>1321</v>
      </c>
      <c r="N43" s="227">
        <f t="shared" si="17"/>
        <v>184002.49156200947</v>
      </c>
      <c r="O43" s="152">
        <f t="shared" si="16"/>
        <v>592189.81056200969</v>
      </c>
    </row>
    <row r="44" spans="1:16" x14ac:dyDescent="0.15">
      <c r="A44" s="154"/>
      <c r="B44" s="151"/>
      <c r="C44" s="152"/>
      <c r="D44" s="155"/>
      <c r="E44" s="155"/>
      <c r="F44" s="157"/>
      <c r="G44" s="152"/>
      <c r="H44" s="155" t="s">
        <v>1306</v>
      </c>
      <c r="I44" s="152"/>
      <c r="J44" s="157"/>
      <c r="K44" s="154" t="s">
        <v>1334</v>
      </c>
      <c r="L44" s="227">
        <v>79634.28</v>
      </c>
      <c r="M44" s="157" t="s">
        <v>1321</v>
      </c>
      <c r="N44" s="227">
        <f t="shared" si="17"/>
        <v>104368.21156200947</v>
      </c>
      <c r="O44" s="152">
        <f t="shared" si="16"/>
        <v>512555.53056200966</v>
      </c>
    </row>
    <row r="45" spans="1:16" x14ac:dyDescent="0.15">
      <c r="A45" s="154"/>
      <c r="B45" s="151"/>
      <c r="C45" s="152"/>
      <c r="D45" s="155" t="s">
        <v>1307</v>
      </c>
      <c r="E45" s="154" t="s">
        <v>72</v>
      </c>
      <c r="F45" s="157" t="s">
        <v>1327</v>
      </c>
      <c r="G45" s="152">
        <v>121958.932</v>
      </c>
      <c r="H45" s="155" t="s">
        <v>1307</v>
      </c>
      <c r="I45" s="152"/>
      <c r="J45" s="154"/>
      <c r="K45" s="154" t="s">
        <v>1334</v>
      </c>
      <c r="L45" s="227">
        <v>81578.7</v>
      </c>
      <c r="M45" s="157" t="s">
        <v>1321</v>
      </c>
      <c r="N45" s="227">
        <f t="shared" si="17"/>
        <v>22789.511562009473</v>
      </c>
      <c r="O45" s="152">
        <f t="shared" si="16"/>
        <v>552935.76256200974</v>
      </c>
    </row>
    <row r="46" spans="1:16" x14ac:dyDescent="0.15">
      <c r="A46" s="154"/>
      <c r="B46" s="151"/>
      <c r="C46" s="152"/>
      <c r="D46" s="155" t="s">
        <v>1308</v>
      </c>
      <c r="E46" s="154" t="s">
        <v>72</v>
      </c>
      <c r="F46" s="157" t="s">
        <v>1328</v>
      </c>
      <c r="G46" s="152">
        <v>100030.41800000001</v>
      </c>
      <c r="H46" s="155" t="s">
        <v>1308</v>
      </c>
      <c r="I46" s="152">
        <v>685.58</v>
      </c>
      <c r="J46" s="157" t="s">
        <v>1321</v>
      </c>
      <c r="K46" s="154" t="s">
        <v>1334</v>
      </c>
      <c r="L46" s="227">
        <v>22103.931562009471</v>
      </c>
      <c r="M46" s="157" t="s">
        <v>1321</v>
      </c>
      <c r="N46" s="227">
        <f t="shared" si="4"/>
        <v>0</v>
      </c>
      <c r="O46" s="152">
        <f t="shared" si="5"/>
        <v>630176.66900000034</v>
      </c>
    </row>
    <row r="47" spans="1:16" x14ac:dyDescent="0.15">
      <c r="A47" s="154"/>
      <c r="B47" s="151"/>
      <c r="C47" s="152"/>
      <c r="D47" s="155"/>
      <c r="E47" s="154"/>
      <c r="F47" s="157"/>
      <c r="G47" s="152"/>
      <c r="H47" s="155" t="s">
        <v>1308</v>
      </c>
      <c r="I47" s="152"/>
      <c r="J47" s="154"/>
      <c r="K47" s="154" t="s">
        <v>1334</v>
      </c>
      <c r="L47" s="227">
        <v>23228.458437990499</v>
      </c>
      <c r="M47" s="157" t="s">
        <v>1326</v>
      </c>
      <c r="N47" s="227">
        <f>G33+N46-I47-L47</f>
        <v>58852.294562009498</v>
      </c>
      <c r="O47" s="152">
        <f t="shared" ref="O47:O48" si="18">O46+G47-I47-L47</f>
        <v>606948.21056200983</v>
      </c>
    </row>
    <row r="48" spans="1:16" x14ac:dyDescent="0.15">
      <c r="A48" s="154"/>
      <c r="B48" s="151"/>
      <c r="C48" s="152"/>
      <c r="D48" s="155" t="s">
        <v>1309</v>
      </c>
      <c r="E48" s="154" t="s">
        <v>72</v>
      </c>
      <c r="F48" s="157" t="s">
        <v>1323</v>
      </c>
      <c r="G48" s="152">
        <v>121940.348</v>
      </c>
      <c r="H48" s="155" t="s">
        <v>1309</v>
      </c>
      <c r="I48" s="152"/>
      <c r="J48" s="154"/>
      <c r="K48" s="154" t="s">
        <v>1334</v>
      </c>
      <c r="L48" s="227">
        <v>58852.294562009498</v>
      </c>
      <c r="M48" s="157" t="s">
        <v>1326</v>
      </c>
      <c r="N48" s="227">
        <f t="shared" ref="N48" si="19">+N47-I48-L48</f>
        <v>0</v>
      </c>
      <c r="O48" s="152">
        <f t="shared" si="18"/>
        <v>670036.26400000032</v>
      </c>
    </row>
    <row r="49" spans="1:15" x14ac:dyDescent="0.15">
      <c r="A49" s="154"/>
      <c r="B49" s="151"/>
      <c r="C49" s="152"/>
      <c r="D49" s="155"/>
      <c r="E49" s="154"/>
      <c r="F49" s="157"/>
      <c r="G49" s="152"/>
      <c r="H49" s="155" t="s">
        <v>1309</v>
      </c>
      <c r="I49" s="152"/>
      <c r="J49" s="154"/>
      <c r="K49" s="154" t="s">
        <v>1336</v>
      </c>
      <c r="L49" s="227">
        <v>17568.435437990502</v>
      </c>
      <c r="M49" s="157" t="s">
        <v>1322</v>
      </c>
      <c r="N49" s="227">
        <f>G38+G42+N48-I49-L49</f>
        <v>308538.13056200946</v>
      </c>
      <c r="O49" s="152">
        <f t="shared" ref="O49:O53" si="20">O48+G49-I49-L49</f>
        <v>652467.82856200985</v>
      </c>
    </row>
    <row r="50" spans="1:15" x14ac:dyDescent="0.15">
      <c r="A50" s="154"/>
      <c r="B50" s="151"/>
      <c r="C50" s="152"/>
      <c r="D50" s="155"/>
      <c r="E50" s="155"/>
      <c r="F50" s="157"/>
      <c r="G50" s="152"/>
      <c r="H50" s="155" t="s">
        <v>1309</v>
      </c>
      <c r="I50" s="152"/>
      <c r="J50" s="154"/>
      <c r="K50" s="154" t="s">
        <v>1336</v>
      </c>
      <c r="L50" s="227">
        <v>64380.4</v>
      </c>
      <c r="M50" s="157" t="s">
        <v>1322</v>
      </c>
      <c r="N50" s="227">
        <f t="shared" ref="N50:N53" si="21">+N49-I50-L50</f>
        <v>244157.73056200947</v>
      </c>
      <c r="O50" s="152">
        <f t="shared" si="20"/>
        <v>588087.42856200982</v>
      </c>
    </row>
    <row r="51" spans="1:15" x14ac:dyDescent="0.15">
      <c r="A51" s="154"/>
      <c r="B51" s="151"/>
      <c r="C51" s="152"/>
      <c r="D51" s="155"/>
      <c r="E51" s="154"/>
      <c r="F51" s="157"/>
      <c r="G51" s="152"/>
      <c r="H51" s="155" t="s">
        <v>1301</v>
      </c>
      <c r="I51" s="152">
        <v>1933</v>
      </c>
      <c r="J51" s="157" t="s">
        <v>1322</v>
      </c>
      <c r="K51" s="154" t="s">
        <v>1336</v>
      </c>
      <c r="L51" s="227">
        <v>72560</v>
      </c>
      <c r="M51" s="157" t="s">
        <v>1322</v>
      </c>
      <c r="N51" s="227">
        <f t="shared" si="21"/>
        <v>169664.73056200947</v>
      </c>
      <c r="O51" s="152">
        <f t="shared" si="20"/>
        <v>513594.42856200982</v>
      </c>
    </row>
    <row r="52" spans="1:15" x14ac:dyDescent="0.15">
      <c r="A52" s="154"/>
      <c r="B52" s="151"/>
      <c r="C52" s="152"/>
      <c r="D52" s="155" t="s">
        <v>1310</v>
      </c>
      <c r="E52" s="154" t="s">
        <v>72</v>
      </c>
      <c r="F52" s="157" t="s">
        <v>1323</v>
      </c>
      <c r="G52" s="152">
        <v>121979.30499999999</v>
      </c>
      <c r="H52" s="155" t="s">
        <v>1310</v>
      </c>
      <c r="I52" s="152"/>
      <c r="J52" s="157"/>
      <c r="K52" s="154" t="s">
        <v>1336</v>
      </c>
      <c r="L52" s="227">
        <v>577</v>
      </c>
      <c r="M52" s="157" t="s">
        <v>1322</v>
      </c>
      <c r="N52" s="227">
        <f t="shared" si="21"/>
        <v>169087.73056200947</v>
      </c>
      <c r="O52" s="152">
        <f t="shared" si="20"/>
        <v>634996.73356200987</v>
      </c>
    </row>
    <row r="53" spans="1:15" x14ac:dyDescent="0.15">
      <c r="A53" s="154"/>
      <c r="B53" s="151"/>
      <c r="C53" s="152"/>
      <c r="D53" s="155"/>
      <c r="E53" s="155"/>
      <c r="F53" s="157"/>
      <c r="G53" s="152"/>
      <c r="H53" s="155" t="s">
        <v>1310</v>
      </c>
      <c r="I53" s="152"/>
      <c r="J53" s="154"/>
      <c r="K53" s="154" t="s">
        <v>1336</v>
      </c>
      <c r="L53" s="227">
        <v>86990</v>
      </c>
      <c r="M53" s="157" t="s">
        <v>1322</v>
      </c>
      <c r="N53" s="227">
        <f t="shared" si="21"/>
        <v>82097.73056200947</v>
      </c>
      <c r="O53" s="152">
        <f t="shared" si="20"/>
        <v>548006.73356200987</v>
      </c>
    </row>
    <row r="54" spans="1:15" x14ac:dyDescent="0.15">
      <c r="A54" s="154"/>
      <c r="B54" s="151"/>
      <c r="C54" s="152"/>
      <c r="D54" s="155" t="s">
        <v>1319</v>
      </c>
      <c r="E54" s="154" t="s">
        <v>72</v>
      </c>
      <c r="F54" s="157" t="s">
        <v>1329</v>
      </c>
      <c r="G54" s="152">
        <v>79905.850999999995</v>
      </c>
      <c r="H54" s="155" t="s">
        <v>1319</v>
      </c>
      <c r="I54" s="152"/>
      <c r="J54" s="154"/>
      <c r="K54" s="154"/>
      <c r="L54" s="227"/>
      <c r="M54" s="157"/>
      <c r="N54" s="227">
        <f t="shared" si="4"/>
        <v>82097.73056200947</v>
      </c>
      <c r="O54" s="152">
        <f t="shared" si="5"/>
        <v>627912.5845620099</v>
      </c>
    </row>
    <row r="55" spans="1:15" x14ac:dyDescent="0.15">
      <c r="A55" s="154"/>
      <c r="B55" s="151"/>
      <c r="C55" s="152"/>
      <c r="D55" s="155" t="s">
        <v>1311</v>
      </c>
      <c r="E55" s="154" t="s">
        <v>72</v>
      </c>
      <c r="F55" s="157" t="s">
        <v>1324</v>
      </c>
      <c r="G55" s="152">
        <v>39969.97</v>
      </c>
      <c r="H55" s="155" t="s">
        <v>1311</v>
      </c>
      <c r="I55" s="152">
        <v>1431.27</v>
      </c>
      <c r="J55" s="157" t="s">
        <v>1322</v>
      </c>
      <c r="K55" s="154" t="s">
        <v>1336</v>
      </c>
      <c r="L55" s="227">
        <v>77830.5</v>
      </c>
      <c r="M55" s="157" t="s">
        <v>1322</v>
      </c>
      <c r="N55" s="227">
        <f t="shared" si="4"/>
        <v>2835.9605620094662</v>
      </c>
      <c r="O55" s="152">
        <f t="shared" si="5"/>
        <v>588620.78456200985</v>
      </c>
    </row>
    <row r="56" spans="1:15" x14ac:dyDescent="0.15">
      <c r="A56" s="154"/>
      <c r="B56" s="151"/>
      <c r="C56" s="152"/>
      <c r="D56" s="155"/>
      <c r="E56" s="154"/>
      <c r="F56" s="157"/>
      <c r="G56" s="152"/>
      <c r="H56" s="155" t="s">
        <v>1311</v>
      </c>
      <c r="I56" s="152"/>
      <c r="J56" s="154"/>
      <c r="K56" s="154" t="s">
        <v>1336</v>
      </c>
      <c r="L56" s="227">
        <v>289.82</v>
      </c>
      <c r="M56" s="157" t="s">
        <v>1322</v>
      </c>
      <c r="N56" s="227">
        <f t="shared" si="4"/>
        <v>2546.1405620094661</v>
      </c>
      <c r="O56" s="152">
        <f t="shared" si="5"/>
        <v>588330.9645620099</v>
      </c>
    </row>
    <row r="57" spans="1:15" x14ac:dyDescent="0.15">
      <c r="A57" s="154"/>
      <c r="B57" s="151"/>
      <c r="C57" s="152"/>
      <c r="D57" s="155"/>
      <c r="E57" s="155"/>
      <c r="F57" s="157"/>
      <c r="G57" s="152"/>
      <c r="H57" s="155" t="s">
        <v>1311</v>
      </c>
      <c r="I57" s="152"/>
      <c r="J57" s="154"/>
      <c r="K57" s="154" t="s">
        <v>1336</v>
      </c>
      <c r="L57" s="227">
        <v>2546.1405620094661</v>
      </c>
      <c r="M57" s="157" t="s">
        <v>1322</v>
      </c>
      <c r="N57" s="227">
        <f t="shared" si="4"/>
        <v>0</v>
      </c>
      <c r="O57" s="152">
        <f t="shared" si="5"/>
        <v>585784.82400000049</v>
      </c>
    </row>
    <row r="58" spans="1:15" x14ac:dyDescent="0.15">
      <c r="A58" s="154"/>
      <c r="B58" s="151"/>
      <c r="C58" s="152"/>
      <c r="D58" s="155"/>
      <c r="E58" s="155"/>
      <c r="F58" s="157"/>
      <c r="G58" s="152"/>
      <c r="H58" s="155" t="s">
        <v>1311</v>
      </c>
      <c r="I58" s="152"/>
      <c r="J58" s="154"/>
      <c r="K58" s="154" t="s">
        <v>1336</v>
      </c>
      <c r="L58" s="227">
        <v>33431.949437990501</v>
      </c>
      <c r="M58" s="157" t="s">
        <v>1327</v>
      </c>
      <c r="N58" s="227">
        <f>G45+N57-I58-L58</f>
        <v>88526.982562009507</v>
      </c>
      <c r="O58" s="152">
        <f t="shared" ref="O58:O61" si="22">O57+G58-I58-L58</f>
        <v>552352.87456200994</v>
      </c>
    </row>
    <row r="59" spans="1:15" x14ac:dyDescent="0.15">
      <c r="A59" s="154"/>
      <c r="B59" s="151"/>
      <c r="C59" s="152"/>
      <c r="D59" s="155"/>
      <c r="E59" s="155"/>
      <c r="F59" s="157"/>
      <c r="G59" s="152"/>
      <c r="H59" s="155" t="s">
        <v>1311</v>
      </c>
      <c r="I59" s="152"/>
      <c r="J59" s="154"/>
      <c r="K59" s="154" t="s">
        <v>1336</v>
      </c>
      <c r="L59" s="227">
        <v>12071.65</v>
      </c>
      <c r="M59" s="157" t="s">
        <v>1327</v>
      </c>
      <c r="N59" s="227">
        <f t="shared" ref="N59:N61" si="23">+N58-I59-L59</f>
        <v>76455.332562009513</v>
      </c>
      <c r="O59" s="152">
        <f t="shared" si="22"/>
        <v>540281.22456200991</v>
      </c>
    </row>
    <row r="60" spans="1:15" x14ac:dyDescent="0.15">
      <c r="A60" s="154"/>
      <c r="B60" s="151"/>
      <c r="C60" s="152"/>
      <c r="D60" s="155" t="s">
        <v>1312</v>
      </c>
      <c r="E60" s="154" t="s">
        <v>72</v>
      </c>
      <c r="F60" s="157" t="s">
        <v>1324</v>
      </c>
      <c r="G60" s="152">
        <v>123957.59299999999</v>
      </c>
      <c r="H60" s="155" t="s">
        <v>1312</v>
      </c>
      <c r="I60" s="152"/>
      <c r="J60" s="157"/>
      <c r="K60" s="154" t="s">
        <v>1336</v>
      </c>
      <c r="L60" s="227">
        <v>73387.179999999993</v>
      </c>
      <c r="M60" s="157" t="s">
        <v>1327</v>
      </c>
      <c r="N60" s="227">
        <f t="shared" si="23"/>
        <v>3068.1525620095199</v>
      </c>
      <c r="O60" s="152">
        <f t="shared" si="22"/>
        <v>590851.63756200997</v>
      </c>
    </row>
    <row r="61" spans="1:15" x14ac:dyDescent="0.15">
      <c r="A61" s="154"/>
      <c r="B61" s="151"/>
      <c r="C61" s="152"/>
      <c r="D61" s="155"/>
      <c r="E61" s="154"/>
      <c r="F61" s="157"/>
      <c r="G61" s="152"/>
      <c r="H61" s="155" t="s">
        <v>1312</v>
      </c>
      <c r="I61" s="152"/>
      <c r="J61" s="154"/>
      <c r="K61" s="154" t="s">
        <v>1336</v>
      </c>
      <c r="L61" s="227">
        <v>3068.1525620095199</v>
      </c>
      <c r="M61" s="157" t="s">
        <v>1327</v>
      </c>
      <c r="N61" s="227">
        <f t="shared" si="23"/>
        <v>0</v>
      </c>
      <c r="O61" s="152">
        <f t="shared" si="22"/>
        <v>587783.48500000045</v>
      </c>
    </row>
    <row r="62" spans="1:15" x14ac:dyDescent="0.15">
      <c r="A62" s="154"/>
      <c r="B62" s="151"/>
      <c r="C62" s="152"/>
      <c r="D62" s="155"/>
      <c r="E62" s="154"/>
      <c r="F62" s="157"/>
      <c r="G62" s="152"/>
      <c r="H62" s="155" t="s">
        <v>1312</v>
      </c>
      <c r="I62" s="152"/>
      <c r="J62" s="154"/>
      <c r="K62" s="154" t="s">
        <v>1336</v>
      </c>
      <c r="L62" s="227">
        <v>54323.927437990496</v>
      </c>
      <c r="M62" s="157" t="s">
        <v>1328</v>
      </c>
      <c r="N62" s="227">
        <f>G46+N61-I62-L62</f>
        <v>45706.490562009509</v>
      </c>
      <c r="O62" s="152">
        <f t="shared" ref="O62:O63" si="24">O61+G62-I62-L62</f>
        <v>533459.5575620099</v>
      </c>
    </row>
    <row r="63" spans="1:15" x14ac:dyDescent="0.15">
      <c r="A63" s="154"/>
      <c r="B63" s="151"/>
      <c r="C63" s="152"/>
      <c r="D63" s="155"/>
      <c r="E63" s="154"/>
      <c r="F63" s="157"/>
      <c r="G63" s="152"/>
      <c r="H63" s="155" t="s">
        <v>1312</v>
      </c>
      <c r="I63" s="152"/>
      <c r="J63" s="154"/>
      <c r="K63" s="154" t="s">
        <v>1336</v>
      </c>
      <c r="L63" s="227">
        <v>45706.490562009509</v>
      </c>
      <c r="M63" s="157" t="s">
        <v>1328</v>
      </c>
      <c r="N63" s="227">
        <f t="shared" ref="N63" si="25">+N62-I63-L63</f>
        <v>0</v>
      </c>
      <c r="O63" s="152">
        <f t="shared" si="24"/>
        <v>487753.06700000039</v>
      </c>
    </row>
    <row r="64" spans="1:15" x14ac:dyDescent="0.15">
      <c r="A64" s="154"/>
      <c r="B64" s="151"/>
      <c r="C64" s="152"/>
      <c r="D64" s="155"/>
      <c r="E64" s="154"/>
      <c r="F64" s="157"/>
      <c r="G64" s="152"/>
      <c r="H64" s="155" t="s">
        <v>1312</v>
      </c>
      <c r="I64" s="152"/>
      <c r="J64" s="154"/>
      <c r="K64" s="154" t="s">
        <v>1334</v>
      </c>
      <c r="L64" s="227">
        <v>35884.849437990502</v>
      </c>
      <c r="M64" s="157" t="s">
        <v>1323</v>
      </c>
      <c r="N64" s="227">
        <f>G48+G52+N63-I64-L64</f>
        <v>208034.80356200947</v>
      </c>
      <c r="O64" s="152">
        <f t="shared" ref="O64:O67" si="26">O63+G64-I64-L64</f>
        <v>451868.21756200987</v>
      </c>
    </row>
    <row r="65" spans="1:15" x14ac:dyDescent="0.15">
      <c r="A65" s="154"/>
      <c r="B65" s="151"/>
      <c r="C65" s="152"/>
      <c r="D65" s="155"/>
      <c r="E65" s="155"/>
      <c r="F65" s="157"/>
      <c r="G65" s="152"/>
      <c r="H65" s="155" t="s">
        <v>1312</v>
      </c>
      <c r="I65" s="152"/>
      <c r="J65" s="154"/>
      <c r="K65" s="154" t="s">
        <v>1334</v>
      </c>
      <c r="L65" s="227">
        <v>901.73</v>
      </c>
      <c r="M65" s="157" t="s">
        <v>1323</v>
      </c>
      <c r="N65" s="227">
        <f t="shared" ref="N65:N67" si="27">+N64-I65-L65</f>
        <v>207133.07356200946</v>
      </c>
      <c r="O65" s="152">
        <f t="shared" si="26"/>
        <v>450966.48756200989</v>
      </c>
    </row>
    <row r="66" spans="1:15" x14ac:dyDescent="0.15">
      <c r="A66" s="154"/>
      <c r="B66" s="151"/>
      <c r="C66" s="152"/>
      <c r="D66" s="155" t="s">
        <v>1313</v>
      </c>
      <c r="E66" s="154" t="s">
        <v>72</v>
      </c>
      <c r="F66" s="157" t="s">
        <v>1324</v>
      </c>
      <c r="G66" s="152">
        <v>164087.61499999999</v>
      </c>
      <c r="H66" s="155" t="s">
        <v>1313</v>
      </c>
      <c r="I66" s="152"/>
      <c r="J66" s="157"/>
      <c r="K66" s="154" t="s">
        <v>1334</v>
      </c>
      <c r="L66" s="227">
        <v>91801.38</v>
      </c>
      <c r="M66" s="157" t="s">
        <v>1323</v>
      </c>
      <c r="N66" s="227">
        <f t="shared" si="27"/>
        <v>115331.69356200946</v>
      </c>
      <c r="O66" s="152">
        <f t="shared" si="26"/>
        <v>523252.72256200982</v>
      </c>
    </row>
    <row r="67" spans="1:15" x14ac:dyDescent="0.15">
      <c r="A67" s="154"/>
      <c r="B67" s="151"/>
      <c r="C67" s="152"/>
      <c r="D67" s="155" t="s">
        <v>1314</v>
      </c>
      <c r="E67" s="154" t="s">
        <v>72</v>
      </c>
      <c r="F67" s="157" t="s">
        <v>1324</v>
      </c>
      <c r="G67" s="152">
        <v>124174.692</v>
      </c>
      <c r="H67" s="155" t="s">
        <v>1314</v>
      </c>
      <c r="I67" s="152"/>
      <c r="J67" s="154"/>
      <c r="K67" s="154" t="s">
        <v>1334</v>
      </c>
      <c r="L67" s="227">
        <v>47809.07</v>
      </c>
      <c r="M67" s="157" t="s">
        <v>1323</v>
      </c>
      <c r="N67" s="227">
        <f t="shared" si="27"/>
        <v>67522.623562009452</v>
      </c>
      <c r="O67" s="152">
        <f t="shared" si="26"/>
        <v>599618.34456200991</v>
      </c>
    </row>
    <row r="68" spans="1:15" x14ac:dyDescent="0.15">
      <c r="A68" s="154"/>
      <c r="B68" s="151"/>
      <c r="C68" s="152"/>
      <c r="D68" s="155"/>
      <c r="E68" s="154"/>
      <c r="F68" s="157"/>
      <c r="G68" s="152"/>
      <c r="H68" s="155" t="s">
        <v>1314</v>
      </c>
      <c r="I68" s="152"/>
      <c r="J68" s="154"/>
      <c r="K68" s="154" t="s">
        <v>1334</v>
      </c>
      <c r="L68" s="227">
        <v>4627.0600000000004</v>
      </c>
      <c r="M68" s="157" t="s">
        <v>1323</v>
      </c>
      <c r="N68" s="227">
        <f t="shared" si="4"/>
        <v>62895.563562009454</v>
      </c>
      <c r="O68" s="152">
        <f t="shared" si="5"/>
        <v>594991.28456200985</v>
      </c>
    </row>
    <row r="69" spans="1:15" x14ac:dyDescent="0.15">
      <c r="A69" s="154"/>
      <c r="B69" s="151"/>
      <c r="C69" s="152"/>
      <c r="D69" s="155" t="s">
        <v>940</v>
      </c>
      <c r="E69" s="154" t="s">
        <v>72</v>
      </c>
      <c r="F69" s="157" t="s">
        <v>1324</v>
      </c>
      <c r="G69" s="152">
        <v>122128.43800000001</v>
      </c>
      <c r="H69" s="155" t="s">
        <v>940</v>
      </c>
      <c r="I69" s="152"/>
      <c r="J69" s="154"/>
      <c r="K69" s="154" t="s">
        <v>1334</v>
      </c>
      <c r="L69" s="227">
        <v>62895.563562009454</v>
      </c>
      <c r="M69" s="157" t="s">
        <v>1323</v>
      </c>
      <c r="N69" s="227">
        <f t="shared" si="4"/>
        <v>0</v>
      </c>
      <c r="O69" s="152">
        <f t="shared" si="5"/>
        <v>654224.15900000033</v>
      </c>
    </row>
    <row r="70" spans="1:15" x14ac:dyDescent="0.15">
      <c r="A70" s="154"/>
      <c r="B70" s="151"/>
      <c r="C70" s="152"/>
      <c r="D70" s="155"/>
      <c r="E70" s="154"/>
      <c r="F70" s="157"/>
      <c r="G70" s="152"/>
      <c r="H70" s="155" t="s">
        <v>940</v>
      </c>
      <c r="I70" s="152"/>
      <c r="J70" s="154"/>
      <c r="K70" s="154" t="s">
        <v>1334</v>
      </c>
      <c r="L70" s="227">
        <v>18325.596437990502</v>
      </c>
      <c r="M70" s="157" t="s">
        <v>1329</v>
      </c>
      <c r="N70" s="227">
        <f>G54+N69-I70-L70</f>
        <v>61580.25456200949</v>
      </c>
      <c r="O70" s="152">
        <f t="shared" ref="O70:O71" si="28">O69+G70-I70-L70</f>
        <v>635898.56256200979</v>
      </c>
    </row>
    <row r="71" spans="1:15" x14ac:dyDescent="0.15">
      <c r="A71" s="154"/>
      <c r="B71" s="151"/>
      <c r="C71" s="152"/>
      <c r="D71" s="155"/>
      <c r="E71" s="155"/>
      <c r="F71" s="157"/>
      <c r="G71" s="152"/>
      <c r="H71" s="155" t="s">
        <v>947</v>
      </c>
      <c r="I71" s="152">
        <v>4149.01</v>
      </c>
      <c r="J71" s="157" t="s">
        <v>1329</v>
      </c>
      <c r="K71" s="154" t="s">
        <v>1334</v>
      </c>
      <c r="L71" s="227">
        <v>57431.244562009488</v>
      </c>
      <c r="M71" s="157" t="s">
        <v>1329</v>
      </c>
      <c r="N71" s="227">
        <f t="shared" ref="N71" si="29">+N70-I71-L71</f>
        <v>0</v>
      </c>
      <c r="O71" s="152">
        <f t="shared" si="28"/>
        <v>574318.30800000031</v>
      </c>
    </row>
    <row r="72" spans="1:15" x14ac:dyDescent="0.15">
      <c r="A72" s="154"/>
      <c r="B72" s="151"/>
      <c r="C72" s="152"/>
      <c r="D72" s="155"/>
      <c r="E72" s="155"/>
      <c r="F72" s="157"/>
      <c r="G72" s="152"/>
      <c r="H72" s="155" t="s">
        <v>947</v>
      </c>
      <c r="I72" s="152"/>
      <c r="J72" s="157"/>
      <c r="K72" s="154" t="s">
        <v>1334</v>
      </c>
      <c r="L72" s="227">
        <v>31445.7854379905</v>
      </c>
      <c r="M72" s="157" t="s">
        <v>1324</v>
      </c>
      <c r="N72" s="227">
        <f>G55+G60+G66+G67+G69+N71-I72-L72</f>
        <v>542872.52256200952</v>
      </c>
      <c r="O72" s="152">
        <f t="shared" ref="O72:O74" si="30">O71+G72-I72-L72</f>
        <v>542872.52256200986</v>
      </c>
    </row>
    <row r="73" spans="1:15" x14ac:dyDescent="0.15">
      <c r="A73" s="154"/>
      <c r="B73" s="151"/>
      <c r="C73" s="152"/>
      <c r="D73" s="155"/>
      <c r="E73" s="154"/>
      <c r="F73" s="157"/>
      <c r="G73" s="152"/>
      <c r="H73" s="155" t="s">
        <v>947</v>
      </c>
      <c r="I73" s="152"/>
      <c r="J73" s="154"/>
      <c r="K73" s="154" t="s">
        <v>1334</v>
      </c>
      <c r="L73" s="227">
        <v>35819.1</v>
      </c>
      <c r="M73" s="157" t="s">
        <v>1324</v>
      </c>
      <c r="N73" s="227">
        <f t="shared" ref="N73:N74" si="31">+N72-I73-L73</f>
        <v>507053.42256200954</v>
      </c>
      <c r="O73" s="152">
        <f t="shared" si="30"/>
        <v>507053.42256200989</v>
      </c>
    </row>
    <row r="74" spans="1:15" x14ac:dyDescent="0.15">
      <c r="A74" s="154"/>
      <c r="B74" s="151"/>
      <c r="C74" s="152"/>
      <c r="D74" s="155"/>
      <c r="E74" s="154"/>
      <c r="F74" s="157"/>
      <c r="G74" s="152"/>
      <c r="H74" s="155" t="s">
        <v>947</v>
      </c>
      <c r="I74" s="152"/>
      <c r="J74" s="154"/>
      <c r="K74" s="154" t="s">
        <v>1334</v>
      </c>
      <c r="L74" s="227">
        <v>94531.23</v>
      </c>
      <c r="M74" s="157" t="s">
        <v>1324</v>
      </c>
      <c r="N74" s="227">
        <f t="shared" si="31"/>
        <v>412522.19256200956</v>
      </c>
      <c r="O74" s="152">
        <f t="shared" si="30"/>
        <v>412522.19256200991</v>
      </c>
    </row>
    <row r="75" spans="1:15" x14ac:dyDescent="0.15">
      <c r="A75" s="154"/>
      <c r="B75" s="151"/>
      <c r="C75" s="152"/>
      <c r="D75" s="155" t="s">
        <v>1315</v>
      </c>
      <c r="E75" s="154" t="s">
        <v>72</v>
      </c>
      <c r="F75" s="157" t="s">
        <v>1330</v>
      </c>
      <c r="G75" s="152">
        <v>161999.49300000002</v>
      </c>
      <c r="H75" s="155" t="s">
        <v>1315</v>
      </c>
      <c r="I75" s="152">
        <v>13758.02</v>
      </c>
      <c r="J75" s="157" t="s">
        <v>1324</v>
      </c>
      <c r="K75" s="154" t="s">
        <v>1334</v>
      </c>
      <c r="L75" s="227">
        <v>8805.36</v>
      </c>
      <c r="M75" s="157" t="s">
        <v>1324</v>
      </c>
      <c r="N75" s="227">
        <f t="shared" si="4"/>
        <v>389958.81256200955</v>
      </c>
      <c r="O75" s="152">
        <f t="shared" si="5"/>
        <v>551958.30556200992</v>
      </c>
    </row>
    <row r="76" spans="1:15" x14ac:dyDescent="0.15">
      <c r="A76" s="154"/>
      <c r="B76" s="151"/>
      <c r="C76" s="152"/>
      <c r="D76" s="155"/>
      <c r="E76" s="154"/>
      <c r="F76" s="157"/>
      <c r="G76" s="152"/>
      <c r="H76" s="155" t="s">
        <v>1315</v>
      </c>
      <c r="I76" s="152"/>
      <c r="J76" s="154"/>
      <c r="K76" s="154" t="s">
        <v>1334</v>
      </c>
      <c r="L76" s="227">
        <v>6116.9</v>
      </c>
      <c r="M76" s="157" t="s">
        <v>1324</v>
      </c>
      <c r="N76" s="227">
        <f t="shared" si="4"/>
        <v>383841.91256200953</v>
      </c>
      <c r="O76" s="152">
        <f t="shared" si="5"/>
        <v>545841.4055620099</v>
      </c>
    </row>
    <row r="77" spans="1:15" x14ac:dyDescent="0.15">
      <c r="A77" s="154"/>
      <c r="B77" s="151"/>
      <c r="C77" s="152"/>
      <c r="D77" s="155" t="s">
        <v>1316</v>
      </c>
      <c r="E77" s="154" t="s">
        <v>72</v>
      </c>
      <c r="F77" s="157" t="s">
        <v>1331</v>
      </c>
      <c r="G77" s="152">
        <v>80037.014999999999</v>
      </c>
      <c r="H77" s="155" t="s">
        <v>1316</v>
      </c>
      <c r="I77" s="152">
        <v>437.64</v>
      </c>
      <c r="J77" s="157" t="s">
        <v>1324</v>
      </c>
      <c r="K77" s="154" t="s">
        <v>1334</v>
      </c>
      <c r="L77" s="227">
        <v>80284.42</v>
      </c>
      <c r="M77" s="157" t="s">
        <v>1324</v>
      </c>
      <c r="N77" s="227">
        <f t="shared" si="4"/>
        <v>303119.85256200953</v>
      </c>
      <c r="O77" s="152">
        <f t="shared" si="5"/>
        <v>545156.36056200985</v>
      </c>
    </row>
    <row r="78" spans="1:15" x14ac:dyDescent="0.15">
      <c r="A78" s="154"/>
      <c r="B78" s="151"/>
      <c r="C78" s="152"/>
      <c r="D78" s="155"/>
      <c r="E78" s="155"/>
      <c r="F78" s="157"/>
      <c r="G78" s="152"/>
      <c r="H78" s="155" t="s">
        <v>1316</v>
      </c>
      <c r="I78" s="152"/>
      <c r="J78" s="157"/>
      <c r="K78" s="154" t="s">
        <v>1334</v>
      </c>
      <c r="L78" s="227">
        <v>4299.51</v>
      </c>
      <c r="M78" s="157" t="s">
        <v>1324</v>
      </c>
      <c r="N78" s="227">
        <f t="shared" si="4"/>
        <v>298820.34256200952</v>
      </c>
      <c r="O78" s="152">
        <f t="shared" si="5"/>
        <v>540856.85056200984</v>
      </c>
    </row>
    <row r="79" spans="1:15" x14ac:dyDescent="0.15">
      <c r="A79" s="154"/>
      <c r="B79" s="151"/>
      <c r="C79" s="152"/>
      <c r="D79" s="155"/>
      <c r="E79" s="155"/>
      <c r="F79" s="157"/>
      <c r="G79" s="152"/>
      <c r="H79" s="155" t="s">
        <v>1316</v>
      </c>
      <c r="I79" s="152"/>
      <c r="J79" s="157"/>
      <c r="K79" s="154" t="s">
        <v>1334</v>
      </c>
      <c r="L79" s="227">
        <v>5502.53</v>
      </c>
      <c r="M79" s="157" t="s">
        <v>1324</v>
      </c>
      <c r="N79" s="227">
        <f t="shared" si="4"/>
        <v>293317.81256200949</v>
      </c>
      <c r="O79" s="152">
        <f t="shared" si="5"/>
        <v>535354.32056200982</v>
      </c>
    </row>
    <row r="80" spans="1:15" x14ac:dyDescent="0.15">
      <c r="A80" s="154"/>
      <c r="B80" s="151"/>
      <c r="C80" s="152"/>
      <c r="D80" s="155" t="s">
        <v>1292</v>
      </c>
      <c r="E80" s="155" t="s">
        <v>1333</v>
      </c>
      <c r="F80" s="157" t="s">
        <v>1325</v>
      </c>
      <c r="G80" s="152">
        <v>40028.39</v>
      </c>
      <c r="H80" s="155" t="s">
        <v>1292</v>
      </c>
      <c r="I80" s="152">
        <v>5028.9799999999996</v>
      </c>
      <c r="J80" s="157" t="s">
        <v>1324</v>
      </c>
      <c r="K80" s="154" t="s">
        <v>1334</v>
      </c>
      <c r="L80" s="227">
        <v>75261.77</v>
      </c>
      <c r="M80" s="157" t="s">
        <v>1324</v>
      </c>
      <c r="N80" s="227">
        <f t="shared" si="4"/>
        <v>213027.06256200949</v>
      </c>
      <c r="O80" s="152">
        <f t="shared" si="5"/>
        <v>495091.96056200983</v>
      </c>
    </row>
    <row r="81" spans="1:15" x14ac:dyDescent="0.15">
      <c r="A81" s="154"/>
      <c r="B81" s="151"/>
      <c r="C81" s="152"/>
      <c r="D81" s="155"/>
      <c r="E81" s="155"/>
      <c r="F81" s="157"/>
      <c r="G81" s="152"/>
      <c r="H81" s="155" t="s">
        <v>1292</v>
      </c>
      <c r="I81" s="152"/>
      <c r="J81" s="157"/>
      <c r="K81" s="154" t="s">
        <v>1334</v>
      </c>
      <c r="L81" s="227">
        <v>1580.96</v>
      </c>
      <c r="M81" s="157" t="s">
        <v>1324</v>
      </c>
      <c r="N81" s="227">
        <f t="shared" si="4"/>
        <v>211446.1025620095</v>
      </c>
      <c r="O81" s="152">
        <f t="shared" si="5"/>
        <v>493511.00056200981</v>
      </c>
    </row>
    <row r="82" spans="1:15" x14ac:dyDescent="0.15">
      <c r="A82" s="154"/>
      <c r="B82" s="151"/>
      <c r="C82" s="152"/>
      <c r="D82" s="155"/>
      <c r="E82" s="155"/>
      <c r="F82" s="157"/>
      <c r="G82" s="152"/>
      <c r="H82" s="155" t="s">
        <v>1292</v>
      </c>
      <c r="I82" s="152"/>
      <c r="J82" s="157"/>
      <c r="K82" s="154" t="s">
        <v>1334</v>
      </c>
      <c r="L82" s="227">
        <v>72714.22</v>
      </c>
      <c r="M82" s="157" t="s">
        <v>1324</v>
      </c>
      <c r="N82" s="227">
        <f t="shared" si="4"/>
        <v>138731.8825620095</v>
      </c>
      <c r="O82" s="152">
        <f t="shared" si="5"/>
        <v>420796.78056200978</v>
      </c>
    </row>
    <row r="83" spans="1:15" x14ac:dyDescent="0.15">
      <c r="A83" s="154"/>
      <c r="B83" s="151"/>
      <c r="C83" s="152"/>
      <c r="D83" s="155"/>
      <c r="E83" s="155"/>
      <c r="F83" s="157"/>
      <c r="G83" s="152"/>
      <c r="H83" s="155" t="s">
        <v>1292</v>
      </c>
      <c r="I83" s="152"/>
      <c r="J83" s="157"/>
      <c r="K83" s="154" t="s">
        <v>1334</v>
      </c>
      <c r="L83" s="227">
        <v>50766.7</v>
      </c>
      <c r="M83" s="157" t="s">
        <v>1324</v>
      </c>
      <c r="N83" s="227">
        <f t="shared" si="4"/>
        <v>87965.182562009504</v>
      </c>
      <c r="O83" s="152">
        <f t="shared" si="5"/>
        <v>370030.08056200977</v>
      </c>
    </row>
    <row r="84" spans="1:15" x14ac:dyDescent="0.15">
      <c r="A84" s="154"/>
      <c r="B84" s="151"/>
      <c r="C84" s="152"/>
      <c r="D84" s="155"/>
      <c r="E84" s="155"/>
      <c r="F84" s="157"/>
      <c r="G84" s="152"/>
      <c r="H84" s="155" t="s">
        <v>1292</v>
      </c>
      <c r="I84" s="152"/>
      <c r="J84" s="157"/>
      <c r="K84" s="154" t="s">
        <v>1334</v>
      </c>
      <c r="L84" s="227">
        <v>79993.77</v>
      </c>
      <c r="M84" s="157" t="s">
        <v>1324</v>
      </c>
      <c r="N84" s="227">
        <f t="shared" si="4"/>
        <v>7971.4125620095001</v>
      </c>
      <c r="O84" s="152">
        <f t="shared" si="5"/>
        <v>290036.31056200975</v>
      </c>
    </row>
    <row r="85" spans="1:15" x14ac:dyDescent="0.15">
      <c r="A85" s="154"/>
      <c r="B85" s="151"/>
      <c r="C85" s="152"/>
      <c r="D85" s="155"/>
      <c r="E85" s="155"/>
      <c r="F85" s="157"/>
      <c r="G85" s="152"/>
      <c r="H85" s="155" t="s">
        <v>1292</v>
      </c>
      <c r="I85" s="152"/>
      <c r="J85" s="154"/>
      <c r="K85" s="154" t="s">
        <v>1334</v>
      </c>
      <c r="L85" s="227">
        <v>629.87</v>
      </c>
      <c r="M85" s="157" t="s">
        <v>1324</v>
      </c>
      <c r="N85" s="227">
        <f t="shared" si="4"/>
        <v>7341.5425620095002</v>
      </c>
      <c r="O85" s="152">
        <f t="shared" si="5"/>
        <v>289406.44056200975</v>
      </c>
    </row>
    <row r="86" spans="1:15" x14ac:dyDescent="0.15">
      <c r="A86" s="154"/>
      <c r="B86" s="151"/>
      <c r="C86" s="152"/>
      <c r="D86" s="155" t="s">
        <v>1293</v>
      </c>
      <c r="E86" s="154" t="s">
        <v>72</v>
      </c>
      <c r="F86" s="157" t="s">
        <v>1332</v>
      </c>
      <c r="G86" s="152">
        <v>264132.473</v>
      </c>
      <c r="H86" s="155" t="s">
        <v>1293</v>
      </c>
      <c r="I86" s="152"/>
      <c r="J86" s="157"/>
      <c r="K86" s="154" t="s">
        <v>1334</v>
      </c>
      <c r="L86" s="227">
        <v>804.76</v>
      </c>
      <c r="M86" s="157" t="s">
        <v>1324</v>
      </c>
      <c r="N86" s="227">
        <f t="shared" si="4"/>
        <v>6536.7825620095</v>
      </c>
      <c r="O86" s="152">
        <f t="shared" si="5"/>
        <v>552734.1535620098</v>
      </c>
    </row>
    <row r="87" spans="1:15" x14ac:dyDescent="0.15">
      <c r="A87" s="154"/>
      <c r="B87" s="151"/>
      <c r="C87" s="152"/>
      <c r="D87" s="155"/>
      <c r="E87" s="155"/>
      <c r="F87" s="157"/>
      <c r="G87" s="152"/>
      <c r="H87" s="155" t="s">
        <v>1293</v>
      </c>
      <c r="I87" s="152"/>
      <c r="J87" s="150"/>
      <c r="K87" s="154" t="s">
        <v>1334</v>
      </c>
      <c r="L87" s="227">
        <v>6536.7825620095</v>
      </c>
      <c r="M87" s="157" t="s">
        <v>1324</v>
      </c>
      <c r="N87" s="227">
        <f t="shared" si="4"/>
        <v>0</v>
      </c>
      <c r="O87" s="152">
        <f t="shared" si="5"/>
        <v>546197.37100000028</v>
      </c>
    </row>
    <row r="88" spans="1:15" x14ac:dyDescent="0.15">
      <c r="A88" s="154"/>
      <c r="B88" s="151"/>
      <c r="C88" s="152"/>
      <c r="D88" s="155"/>
      <c r="E88" s="154"/>
      <c r="F88" s="160"/>
      <c r="G88" s="152"/>
      <c r="H88" s="155" t="s">
        <v>1293</v>
      </c>
      <c r="I88" s="152"/>
      <c r="J88" s="150"/>
      <c r="K88" s="154" t="s">
        <v>1334</v>
      </c>
      <c r="L88" s="227">
        <v>77257.717437990505</v>
      </c>
      <c r="M88" s="157" t="s">
        <v>1330</v>
      </c>
      <c r="N88" s="227">
        <f>G75+N87-I88-L88</f>
        <v>84741.775562009512</v>
      </c>
      <c r="O88" s="152">
        <f t="shared" ref="O88:O89" si="32">O87+G88-I88-L88</f>
        <v>468939.6535620098</v>
      </c>
    </row>
    <row r="89" spans="1:15" x14ac:dyDescent="0.15">
      <c r="A89" s="173"/>
      <c r="B89" s="173"/>
      <c r="C89" s="174"/>
      <c r="D89" s="175"/>
      <c r="E89" s="173"/>
      <c r="F89" s="173"/>
      <c r="G89" s="174"/>
      <c r="H89" s="175"/>
      <c r="I89" s="174"/>
      <c r="J89" s="173"/>
      <c r="K89" s="154"/>
      <c r="L89" s="228"/>
      <c r="M89" s="173"/>
      <c r="N89" s="227">
        <f t="shared" ref="N89" si="33">+N88-I89-L89</f>
        <v>84741.775562009512</v>
      </c>
      <c r="O89" s="152">
        <f t="shared" si="32"/>
        <v>468939.6535620098</v>
      </c>
    </row>
    <row r="90" spans="1:15" x14ac:dyDescent="0.15">
      <c r="A90" s="177"/>
      <c r="B90" s="177"/>
      <c r="C90" s="178">
        <f>SUM(C7:C88)</f>
        <v>623414.07256200968</v>
      </c>
      <c r="D90" s="177"/>
      <c r="E90" s="177"/>
      <c r="F90" s="177"/>
      <c r="G90" s="178">
        <f>SUM(G7:G88)</f>
        <v>2976283.1009999998</v>
      </c>
      <c r="H90" s="179"/>
      <c r="I90" s="178">
        <f>SUM(I7:I88)</f>
        <v>32787.300000000003</v>
      </c>
      <c r="J90" s="177"/>
      <c r="K90" s="177"/>
      <c r="L90" s="229">
        <f>SUM(L9:L88)</f>
        <v>3097970.2199999988</v>
      </c>
      <c r="M90" s="177"/>
      <c r="N90" s="180"/>
      <c r="O90" s="181">
        <f>C90+G90-I90-L90</f>
        <v>468939.65356201073</v>
      </c>
    </row>
    <row r="91" spans="1:15" x14ac:dyDescent="0.15">
      <c r="A91" s="182"/>
      <c r="B91" s="465"/>
      <c r="C91" s="465"/>
      <c r="D91" s="465"/>
      <c r="E91" s="183"/>
      <c r="F91" s="284"/>
      <c r="G91" s="185"/>
      <c r="H91" s="186"/>
      <c r="I91" s="187"/>
      <c r="J91" s="188"/>
      <c r="K91" s="189" t="s">
        <v>139</v>
      </c>
      <c r="L91" s="190">
        <f>+L90+I90</f>
        <v>3130757.5199999986</v>
      </c>
      <c r="M91" s="197"/>
      <c r="N91" s="230">
        <f>+N89</f>
        <v>84741.775562009512</v>
      </c>
      <c r="O91" s="195" t="s">
        <v>1330</v>
      </c>
    </row>
    <row r="92" spans="1:15" x14ac:dyDescent="0.15">
      <c r="A92" s="193"/>
      <c r="B92" s="470"/>
      <c r="C92" s="470"/>
      <c r="D92" s="470"/>
      <c r="E92" s="183"/>
      <c r="F92" s="280"/>
      <c r="G92" s="219"/>
      <c r="H92" s="186"/>
      <c r="I92" s="187"/>
      <c r="J92" s="210"/>
      <c r="K92" s="210"/>
      <c r="N92" s="230">
        <v>80037.014999999999</v>
      </c>
      <c r="O92" s="195" t="s">
        <v>1331</v>
      </c>
    </row>
    <row r="93" spans="1:15" x14ac:dyDescent="0.15">
      <c r="A93" s="193" t="s">
        <v>1272</v>
      </c>
      <c r="B93" s="283" t="s">
        <v>1337</v>
      </c>
      <c r="E93" s="183" t="s">
        <v>55</v>
      </c>
      <c r="F93" s="282">
        <v>571683.13</v>
      </c>
      <c r="G93" s="219" t="s">
        <v>56</v>
      </c>
      <c r="H93" s="186">
        <v>41239</v>
      </c>
      <c r="I93" s="187" t="s">
        <v>71</v>
      </c>
      <c r="J93" s="210">
        <v>119914.65699999999</v>
      </c>
      <c r="K93" s="210"/>
      <c r="N93" s="230">
        <v>40028.39</v>
      </c>
      <c r="O93" s="195" t="s">
        <v>1325</v>
      </c>
    </row>
    <row r="94" spans="1:15" x14ac:dyDescent="0.15">
      <c r="A94" s="193" t="s">
        <v>1275</v>
      </c>
      <c r="B94" s="283" t="s">
        <v>1338</v>
      </c>
      <c r="E94" s="183" t="s">
        <v>55</v>
      </c>
      <c r="F94" s="282">
        <v>7023073.1600000001</v>
      </c>
      <c r="G94" s="219" t="s">
        <v>56</v>
      </c>
      <c r="H94" s="186">
        <v>41249</v>
      </c>
      <c r="I94" s="187" t="s">
        <v>71</v>
      </c>
      <c r="J94" s="210">
        <v>80600.186000000002</v>
      </c>
      <c r="K94" s="210"/>
      <c r="N94" s="230">
        <v>264132.473</v>
      </c>
      <c r="O94" s="195" t="s">
        <v>1332</v>
      </c>
    </row>
    <row r="95" spans="1:15" x14ac:dyDescent="0.15">
      <c r="A95" s="133" t="s">
        <v>1320</v>
      </c>
      <c r="B95" s="283" t="s">
        <v>1339</v>
      </c>
      <c r="E95" s="183" t="s">
        <v>55</v>
      </c>
      <c r="F95" s="282">
        <v>2107980.2999999998</v>
      </c>
      <c r="G95" s="219" t="s">
        <v>56</v>
      </c>
      <c r="H95" s="186">
        <v>41254</v>
      </c>
      <c r="I95" s="187" t="s">
        <v>71</v>
      </c>
      <c r="J95" s="210">
        <v>452123.49699999997</v>
      </c>
      <c r="K95" s="210"/>
      <c r="N95" s="230"/>
      <c r="O95" s="195"/>
    </row>
    <row r="96" spans="1:15" x14ac:dyDescent="0.15">
      <c r="A96" s="193" t="s">
        <v>1321</v>
      </c>
      <c r="B96" s="283" t="s">
        <v>1340</v>
      </c>
      <c r="E96" s="183" t="s">
        <v>55</v>
      </c>
      <c r="F96" s="282">
        <v>1939230.41</v>
      </c>
      <c r="G96" s="219" t="s">
        <v>56</v>
      </c>
      <c r="H96" s="186">
        <v>41260</v>
      </c>
      <c r="I96" s="187" t="s">
        <v>71</v>
      </c>
      <c r="J96" s="210">
        <v>327146.821</v>
      </c>
      <c r="K96" s="210"/>
      <c r="N96" s="230"/>
      <c r="O96" s="195"/>
    </row>
    <row r="97" spans="1:15" x14ac:dyDescent="0.15">
      <c r="A97" s="193" t="s">
        <v>1326</v>
      </c>
      <c r="B97" s="283" t="s">
        <v>1341</v>
      </c>
      <c r="E97" s="183" t="s">
        <v>55</v>
      </c>
      <c r="F97" s="282">
        <v>2127086.02</v>
      </c>
      <c r="G97" s="219" t="s">
        <v>56</v>
      </c>
      <c r="H97" s="186">
        <v>41262</v>
      </c>
      <c r="I97" s="187" t="s">
        <v>71</v>
      </c>
      <c r="J97" s="210">
        <v>82080.752999999997</v>
      </c>
      <c r="K97" s="210"/>
      <c r="N97" s="230"/>
      <c r="O97" s="195"/>
    </row>
    <row r="98" spans="1:15" x14ac:dyDescent="0.15">
      <c r="A98" s="133" t="s">
        <v>1323</v>
      </c>
      <c r="B98" s="283" t="s">
        <v>1342</v>
      </c>
      <c r="E98" s="183" t="s">
        <v>55</v>
      </c>
      <c r="F98" s="282">
        <v>2656853.5699999998</v>
      </c>
      <c r="G98" s="219" t="s">
        <v>56</v>
      </c>
      <c r="H98" s="186">
        <v>41267</v>
      </c>
      <c r="I98" s="187" t="s">
        <v>71</v>
      </c>
      <c r="J98" s="210">
        <v>243919.65299999996</v>
      </c>
      <c r="K98" s="210"/>
      <c r="N98" s="206" t="s">
        <v>33</v>
      </c>
      <c r="O98" s="207">
        <f>SUM(N91:N97)</f>
        <v>468939.65356200951</v>
      </c>
    </row>
    <row r="99" spans="1:15" x14ac:dyDescent="0.15">
      <c r="A99" s="133" t="s">
        <v>1329</v>
      </c>
      <c r="B99" s="283" t="s">
        <v>1343</v>
      </c>
      <c r="E99" s="183" t="s">
        <v>55</v>
      </c>
      <c r="F99" s="282">
        <v>601908.29</v>
      </c>
      <c r="G99" s="219" t="s">
        <v>56</v>
      </c>
      <c r="H99" s="186">
        <v>41271</v>
      </c>
      <c r="I99" s="187" t="s">
        <v>71</v>
      </c>
      <c r="J99" s="210">
        <v>75756.840999999986</v>
      </c>
      <c r="K99" s="210"/>
      <c r="O99" s="132">
        <f>+O90-O98</f>
        <v>1.2223608791828156E-9</v>
      </c>
    </row>
    <row r="100" spans="1:15" s="132" customFormat="1" x14ac:dyDescent="0.15">
      <c r="A100" s="133" t="s">
        <v>1324</v>
      </c>
      <c r="B100" s="283" t="s">
        <v>1344</v>
      </c>
      <c r="D100" s="133"/>
      <c r="E100" s="183" t="s">
        <v>55</v>
      </c>
      <c r="F100" s="282">
        <v>2668857.81</v>
      </c>
      <c r="G100" s="219" t="s">
        <v>56</v>
      </c>
      <c r="H100" s="186">
        <v>41276</v>
      </c>
      <c r="I100" s="187" t="s">
        <v>71</v>
      </c>
      <c r="J100" s="210">
        <v>555093.66800000006</v>
      </c>
      <c r="K100" s="133"/>
      <c r="M100" s="134"/>
    </row>
    <row r="101" spans="1:15" s="132" customFormat="1" x14ac:dyDescent="0.15">
      <c r="A101" s="133" t="s">
        <v>1330</v>
      </c>
      <c r="B101" s="283" t="s">
        <v>1345</v>
      </c>
      <c r="C101" s="281"/>
      <c r="D101" s="281"/>
      <c r="E101" s="183" t="s">
        <v>55</v>
      </c>
      <c r="F101" s="279">
        <v>2032468.25</v>
      </c>
      <c r="G101" s="219" t="s">
        <v>56</v>
      </c>
      <c r="H101" s="186">
        <v>41276</v>
      </c>
      <c r="I101" s="187" t="s">
        <v>71</v>
      </c>
      <c r="J101" s="210">
        <v>77257.717437990505</v>
      </c>
      <c r="K101" s="210"/>
      <c r="M101" s="134"/>
    </row>
    <row r="102" spans="1:15" s="132" customFormat="1" ht="12" thickBot="1" x14ac:dyDescent="0.2">
      <c r="A102" s="133"/>
      <c r="B102" s="281"/>
      <c r="C102" s="281"/>
      <c r="D102" s="281"/>
      <c r="E102" s="183"/>
      <c r="F102" s="279"/>
      <c r="G102" s="219"/>
      <c r="H102" s="186"/>
      <c r="I102" s="217" t="s">
        <v>856</v>
      </c>
      <c r="J102" s="211">
        <f>SUM(J93:J101)</f>
        <v>2013893.7934379904</v>
      </c>
      <c r="K102" s="210"/>
      <c r="M102" s="134"/>
    </row>
    <row r="103" spans="1:15" s="132" customFormat="1" ht="12" thickTop="1" x14ac:dyDescent="0.15">
      <c r="A103" s="133" t="s">
        <v>1273</v>
      </c>
      <c r="B103" s="281" t="s">
        <v>1346</v>
      </c>
      <c r="C103" s="281"/>
      <c r="D103" s="281"/>
      <c r="E103" s="183" t="s">
        <v>55</v>
      </c>
      <c r="F103" s="279">
        <v>71833417.540000007</v>
      </c>
      <c r="G103" s="219" t="s">
        <v>56</v>
      </c>
      <c r="H103" s="186">
        <v>41243</v>
      </c>
      <c r="I103" s="187" t="s">
        <v>71</v>
      </c>
      <c r="J103" s="210">
        <v>120155.12299999999</v>
      </c>
      <c r="K103" s="210"/>
      <c r="M103" s="134"/>
    </row>
    <row r="104" spans="1:15" s="132" customFormat="1" x14ac:dyDescent="0.15">
      <c r="A104" s="133" t="s">
        <v>1325</v>
      </c>
      <c r="B104" s="281" t="s">
        <v>1347</v>
      </c>
      <c r="C104" s="281"/>
      <c r="D104" s="281"/>
      <c r="E104" s="183" t="s">
        <v>55</v>
      </c>
      <c r="F104" s="279">
        <v>29482649.690000001</v>
      </c>
      <c r="G104" s="219" t="s">
        <v>56</v>
      </c>
      <c r="H104" s="186">
        <v>41255</v>
      </c>
      <c r="I104" s="187" t="s">
        <v>71</v>
      </c>
      <c r="J104" s="210">
        <v>121809.35100000001</v>
      </c>
      <c r="K104" s="210"/>
      <c r="M104" s="134"/>
    </row>
    <row r="105" spans="1:15" s="132" customFormat="1" ht="12" thickBot="1" x14ac:dyDescent="0.2">
      <c r="A105" s="133"/>
      <c r="B105" s="281"/>
      <c r="C105" s="281"/>
      <c r="D105" s="281"/>
      <c r="E105" s="183"/>
      <c r="F105" s="279"/>
      <c r="G105" s="219"/>
      <c r="H105" s="186"/>
      <c r="I105" s="217" t="s">
        <v>689</v>
      </c>
      <c r="J105" s="211">
        <f>SUM(J103:J104)</f>
        <v>241964.47399999999</v>
      </c>
      <c r="K105" s="133"/>
      <c r="M105" s="134"/>
    </row>
    <row r="106" spans="1:15" s="132" customFormat="1" ht="12" thickTop="1" x14ac:dyDescent="0.15">
      <c r="A106" s="133" t="s">
        <v>1271</v>
      </c>
      <c r="B106" s="131" t="s">
        <v>1348</v>
      </c>
      <c r="D106" s="133"/>
      <c r="E106" s="183" t="s">
        <v>55</v>
      </c>
      <c r="F106" s="282">
        <v>37420414.969999999</v>
      </c>
      <c r="G106" s="219" t="s">
        <v>56</v>
      </c>
      <c r="H106" s="186">
        <v>41239</v>
      </c>
      <c r="I106" s="187" t="s">
        <v>71</v>
      </c>
      <c r="J106" s="210">
        <v>33986.41456200961</v>
      </c>
      <c r="K106" s="133"/>
      <c r="M106" s="134"/>
    </row>
    <row r="107" spans="1:15" s="132" customFormat="1" x14ac:dyDescent="0.15">
      <c r="A107" s="133" t="s">
        <v>1274</v>
      </c>
      <c r="B107" s="131" t="s">
        <v>1349</v>
      </c>
      <c r="D107" s="133"/>
      <c r="E107" s="183" t="s">
        <v>55</v>
      </c>
      <c r="F107" s="282">
        <v>21768458.879999999</v>
      </c>
      <c r="G107" s="219" t="s">
        <v>56</v>
      </c>
      <c r="H107" s="186">
        <v>41247</v>
      </c>
      <c r="I107" s="187" t="s">
        <v>71</v>
      </c>
      <c r="J107" s="210">
        <v>263393.89199999999</v>
      </c>
      <c r="K107" s="133"/>
      <c r="M107" s="134"/>
    </row>
    <row r="108" spans="1:15" s="132" customFormat="1" x14ac:dyDescent="0.15">
      <c r="A108" s="133" t="s">
        <v>1322</v>
      </c>
      <c r="B108" s="131" t="s">
        <v>1350</v>
      </c>
      <c r="D108" s="133"/>
      <c r="E108" s="183" t="s">
        <v>55</v>
      </c>
      <c r="F108" s="282">
        <v>57266344.5</v>
      </c>
      <c r="G108" s="219" t="s">
        <v>56</v>
      </c>
      <c r="H108" s="186">
        <v>41263</v>
      </c>
      <c r="I108" s="187" t="s">
        <v>71</v>
      </c>
      <c r="J108" s="210">
        <v>322742.29599999997</v>
      </c>
      <c r="K108" s="133"/>
      <c r="M108" s="134"/>
    </row>
    <row r="109" spans="1:15" s="132" customFormat="1" x14ac:dyDescent="0.15">
      <c r="A109" s="133" t="s">
        <v>1327</v>
      </c>
      <c r="B109" s="131" t="s">
        <v>1351</v>
      </c>
      <c r="D109" s="133"/>
      <c r="E109" s="183" t="s">
        <v>55</v>
      </c>
      <c r="F109" s="282">
        <v>45647204.43</v>
      </c>
      <c r="G109" s="219" t="s">
        <v>56</v>
      </c>
      <c r="H109" s="186">
        <v>41264</v>
      </c>
      <c r="I109" s="187" t="s">
        <v>71</v>
      </c>
      <c r="J109" s="210">
        <v>121958.93200000002</v>
      </c>
      <c r="K109" s="133"/>
      <c r="M109" s="134"/>
    </row>
    <row r="110" spans="1:15" s="132" customFormat="1" x14ac:dyDescent="0.15">
      <c r="A110" s="193" t="s">
        <v>1328</v>
      </c>
      <c r="B110" s="131" t="s">
        <v>1352</v>
      </c>
      <c r="D110" s="133"/>
      <c r="E110" s="183" t="s">
        <v>55</v>
      </c>
      <c r="F110" s="282">
        <v>36436534.009999998</v>
      </c>
      <c r="G110" s="219" t="s">
        <v>56</v>
      </c>
      <c r="H110" s="186">
        <v>41267</v>
      </c>
      <c r="I110" s="187" t="s">
        <v>71</v>
      </c>
      <c r="J110" s="210">
        <v>100030.41800000001</v>
      </c>
      <c r="K110" s="133"/>
      <c r="M110" s="134"/>
    </row>
    <row r="111" spans="1:15" s="132" customFormat="1" ht="12" thickBot="1" x14ac:dyDescent="0.2">
      <c r="A111" s="193"/>
      <c r="B111" s="210"/>
      <c r="C111" s="221"/>
      <c r="D111" s="237"/>
      <c r="E111" s="235"/>
      <c r="F111" s="235"/>
      <c r="H111" s="133"/>
      <c r="I111" s="218" t="s">
        <v>106</v>
      </c>
      <c r="J111" s="212">
        <f>SUM(J106:J110)</f>
        <v>842111.95256200968</v>
      </c>
      <c r="K111" s="133"/>
      <c r="M111" s="134"/>
    </row>
    <row r="112" spans="1:15" s="132" customFormat="1" ht="12" thickTop="1" x14ac:dyDescent="0.15">
      <c r="A112" s="193"/>
      <c r="B112" s="210"/>
      <c r="C112" s="221"/>
      <c r="D112" s="237"/>
      <c r="E112" s="235"/>
      <c r="F112" s="235"/>
      <c r="H112" s="133"/>
      <c r="J112" s="205"/>
      <c r="K112" s="133"/>
      <c r="M112" s="134"/>
    </row>
    <row r="113" spans="1:13" s="132" customFormat="1" x14ac:dyDescent="0.15">
      <c r="A113" s="133"/>
      <c r="B113" s="133" t="s">
        <v>9</v>
      </c>
      <c r="C113" s="220" t="s">
        <v>729</v>
      </c>
      <c r="D113" s="220" t="s">
        <v>850</v>
      </c>
      <c r="E113" s="133" t="s">
        <v>570</v>
      </c>
      <c r="F113" s="133" t="s">
        <v>571</v>
      </c>
      <c r="G113" s="133" t="s">
        <v>16</v>
      </c>
      <c r="H113" s="134"/>
      <c r="I113" s="134"/>
      <c r="J113" s="205"/>
      <c r="K113" s="133"/>
      <c r="M113" s="134"/>
    </row>
    <row r="114" spans="1:13" s="132" customFormat="1" x14ac:dyDescent="0.15">
      <c r="A114" s="193" t="s">
        <v>1272</v>
      </c>
      <c r="B114" s="210">
        <v>119915</v>
      </c>
      <c r="C114" s="221">
        <v>24.447299999999998</v>
      </c>
      <c r="D114" s="237">
        <f t="shared" ref="D114:D120" si="34">+B114*C114</f>
        <v>2931597.9794999999</v>
      </c>
      <c r="E114" s="235">
        <f t="shared" ref="E114:E120" si="35">+D114*0.01</f>
        <v>29315.979794999999</v>
      </c>
      <c r="F114" s="235">
        <f t="shared" ref="F114:F120" si="36">+E114*0.1</f>
        <v>2931.5979795000003</v>
      </c>
      <c r="G114" s="236">
        <f>SUM(E114:F114)</f>
        <v>32247.577774500001</v>
      </c>
      <c r="H114" s="134"/>
      <c r="I114" s="134"/>
      <c r="J114" s="134"/>
      <c r="K114" s="133"/>
      <c r="M114" s="134"/>
    </row>
    <row r="115" spans="1:13" s="132" customFormat="1" x14ac:dyDescent="0.15">
      <c r="A115" s="193" t="s">
        <v>1275</v>
      </c>
      <c r="B115" s="210">
        <v>80600</v>
      </c>
      <c r="C115" s="221">
        <v>24.628299999999999</v>
      </c>
      <c r="D115" s="237">
        <f t="shared" si="34"/>
        <v>1985040.98</v>
      </c>
      <c r="E115" s="235">
        <f t="shared" si="35"/>
        <v>19850.409800000001</v>
      </c>
      <c r="F115" s="235">
        <f t="shared" si="36"/>
        <v>1985.0409800000002</v>
      </c>
      <c r="G115" s="236">
        <f t="shared" ref="G115:G120" si="37">SUM(E115:F115)</f>
        <v>21835.450780000003</v>
      </c>
      <c r="H115" s="133"/>
      <c r="J115" s="134"/>
      <c r="K115" s="133"/>
      <c r="M115" s="134"/>
    </row>
    <row r="116" spans="1:13" s="132" customFormat="1" x14ac:dyDescent="0.15">
      <c r="A116" s="133" t="s">
        <v>1320</v>
      </c>
      <c r="B116" s="210">
        <v>452123</v>
      </c>
      <c r="C116" s="221">
        <v>24.374199999999998</v>
      </c>
      <c r="D116" s="237">
        <f t="shared" si="34"/>
        <v>11020136.4266</v>
      </c>
      <c r="E116" s="235">
        <f t="shared" si="35"/>
        <v>110201.364266</v>
      </c>
      <c r="F116" s="235">
        <f t="shared" si="36"/>
        <v>11020.136426600002</v>
      </c>
      <c r="G116" s="236">
        <f t="shared" si="37"/>
        <v>121221.50069260001</v>
      </c>
      <c r="H116" s="134"/>
      <c r="I116" s="134"/>
      <c r="J116" s="134"/>
      <c r="K116" s="133"/>
      <c r="M116" s="134"/>
    </row>
    <row r="117" spans="1:13" s="132" customFormat="1" x14ac:dyDescent="0.15">
      <c r="A117" s="193" t="s">
        <v>1321</v>
      </c>
      <c r="B117" s="210">
        <v>327147</v>
      </c>
      <c r="C117" s="221">
        <v>24.448799999999999</v>
      </c>
      <c r="D117" s="237">
        <f t="shared" si="34"/>
        <v>7998351.5735999998</v>
      </c>
      <c r="E117" s="235">
        <f t="shared" si="35"/>
        <v>79983.515736000001</v>
      </c>
      <c r="F117" s="235">
        <f t="shared" si="36"/>
        <v>7998.3515736000008</v>
      </c>
      <c r="G117" s="236">
        <f t="shared" si="37"/>
        <v>87981.867309599998</v>
      </c>
      <c r="H117" s="133"/>
      <c r="J117" s="134"/>
      <c r="K117" s="133"/>
      <c r="M117" s="134"/>
    </row>
    <row r="118" spans="1:13" s="132" customFormat="1" x14ac:dyDescent="0.15">
      <c r="A118" s="193" t="s">
        <v>1326</v>
      </c>
      <c r="B118" s="210">
        <v>82081</v>
      </c>
      <c r="C118" s="221">
        <v>23.867699999999999</v>
      </c>
      <c r="D118" s="237">
        <f t="shared" si="34"/>
        <v>1959084.6836999999</v>
      </c>
      <c r="E118" s="235">
        <f t="shared" si="35"/>
        <v>19590.846837000001</v>
      </c>
      <c r="F118" s="235">
        <f t="shared" si="36"/>
        <v>1959.0846837000001</v>
      </c>
      <c r="G118" s="236">
        <f t="shared" si="37"/>
        <v>21549.9315207</v>
      </c>
      <c r="H118" s="133"/>
      <c r="J118" s="134"/>
      <c r="K118" s="133"/>
      <c r="M118" s="134"/>
    </row>
    <row r="119" spans="1:13" s="132" customFormat="1" x14ac:dyDescent="0.15">
      <c r="A119" s="133" t="s">
        <v>1323</v>
      </c>
      <c r="B119" s="210">
        <v>243920</v>
      </c>
      <c r="C119" s="221">
        <v>24.097999999999999</v>
      </c>
      <c r="D119" s="237">
        <f t="shared" si="34"/>
        <v>5877984.1600000001</v>
      </c>
      <c r="E119" s="235">
        <f t="shared" si="35"/>
        <v>58779.8416</v>
      </c>
      <c r="F119" s="235">
        <f t="shared" si="36"/>
        <v>5877.98416</v>
      </c>
      <c r="G119" s="236">
        <f t="shared" si="37"/>
        <v>64657.82576</v>
      </c>
      <c r="H119" s="133"/>
      <c r="J119" s="134"/>
      <c r="K119" s="133"/>
      <c r="M119" s="134"/>
    </row>
    <row r="120" spans="1:13" s="132" customFormat="1" x14ac:dyDescent="0.15">
      <c r="A120" s="133" t="s">
        <v>1329</v>
      </c>
      <c r="B120" s="210">
        <v>75757</v>
      </c>
      <c r="C120" s="221">
        <v>24.134499999999999</v>
      </c>
      <c r="D120" s="237">
        <f t="shared" si="34"/>
        <v>1828357.3165</v>
      </c>
      <c r="E120" s="235">
        <f t="shared" si="35"/>
        <v>18283.573165000002</v>
      </c>
      <c r="F120" s="235">
        <f t="shared" si="36"/>
        <v>1828.3573165000003</v>
      </c>
      <c r="G120" s="236">
        <f t="shared" si="37"/>
        <v>20111.930481500003</v>
      </c>
      <c r="H120" s="133"/>
      <c r="J120" s="134"/>
      <c r="K120" s="133"/>
      <c r="M120" s="134"/>
    </row>
    <row r="121" spans="1:13" s="132" customFormat="1" x14ac:dyDescent="0.15">
      <c r="A121" s="133" t="s">
        <v>1324</v>
      </c>
      <c r="B121" s="210">
        <v>555094</v>
      </c>
      <c r="C121" s="221">
        <v>24.439800000000002</v>
      </c>
      <c r="D121" s="237">
        <f t="shared" ref="D121:D122" si="38">+B121*C121</f>
        <v>13566386.341200002</v>
      </c>
      <c r="E121" s="235">
        <f t="shared" ref="E121:E122" si="39">+D121*0.01</f>
        <v>135663.86341200001</v>
      </c>
      <c r="F121" s="235">
        <f t="shared" ref="F121:F122" si="40">+E121*0.1</f>
        <v>13566.386341200001</v>
      </c>
      <c r="G121" s="236">
        <f t="shared" ref="G121:G122" si="41">SUM(E121:F121)</f>
        <v>149230.24975320001</v>
      </c>
      <c r="H121" s="244"/>
      <c r="J121" s="134"/>
      <c r="K121" s="133"/>
      <c r="M121" s="134"/>
    </row>
    <row r="122" spans="1:13" s="132" customFormat="1" x14ac:dyDescent="0.15">
      <c r="A122" s="133" t="s">
        <v>1330</v>
      </c>
      <c r="B122" s="210">
        <v>77258</v>
      </c>
      <c r="C122" s="221">
        <v>24.360600000000002</v>
      </c>
      <c r="D122" s="237">
        <f t="shared" si="38"/>
        <v>1882051.2348000002</v>
      </c>
      <c r="E122" s="235">
        <f t="shared" si="39"/>
        <v>18820.512348000004</v>
      </c>
      <c r="F122" s="235">
        <f t="shared" si="40"/>
        <v>1882.0512348000004</v>
      </c>
      <c r="G122" s="236">
        <f t="shared" si="41"/>
        <v>20702.563582800005</v>
      </c>
      <c r="H122" s="244"/>
      <c r="J122" s="134"/>
      <c r="K122" s="133"/>
      <c r="M122" s="134"/>
    </row>
    <row r="123" spans="1:13" s="132" customFormat="1" ht="12" thickBot="1" x14ac:dyDescent="0.2">
      <c r="A123" s="133"/>
      <c r="B123" s="211">
        <f>SUM(B114:B122)</f>
        <v>2013895</v>
      </c>
      <c r="C123" s="221"/>
      <c r="D123" s="237"/>
      <c r="E123" s="242">
        <f>SUM(E114:E122)</f>
        <v>490489.90695900004</v>
      </c>
      <c r="F123" s="242">
        <f t="shared" ref="F123:G123" si="42">SUM(F114:F122)</f>
        <v>49048.9906959</v>
      </c>
      <c r="G123" s="242">
        <f t="shared" si="42"/>
        <v>539538.89765489998</v>
      </c>
      <c r="H123" s="244"/>
      <c r="J123" s="134"/>
      <c r="K123" s="133"/>
      <c r="M123" s="134"/>
    </row>
    <row r="124" spans="1:13" s="132" customFormat="1" ht="12" thickTop="1" x14ac:dyDescent="0.15">
      <c r="A124" s="133" t="s">
        <v>1273</v>
      </c>
      <c r="B124" s="210">
        <v>120155</v>
      </c>
      <c r="C124" s="221">
        <v>24.663900000000002</v>
      </c>
      <c r="D124" s="237">
        <f t="shared" ref="D124:D125" si="43">+B124*C124</f>
        <v>2963490.9045000002</v>
      </c>
      <c r="E124" s="235">
        <f t="shared" ref="E124:E125" si="44">+D124*0.01</f>
        <v>29634.909045000004</v>
      </c>
      <c r="F124" s="235">
        <f t="shared" ref="F124:F125" si="45">+E124*0.1</f>
        <v>2963.4909045000004</v>
      </c>
      <c r="G124" s="236">
        <f t="shared" ref="G124:G125" si="46">SUM(E124:F124)</f>
        <v>32598.399949500003</v>
      </c>
      <c r="H124" s="244"/>
      <c r="J124" s="134"/>
      <c r="K124" s="133"/>
      <c r="M124" s="134"/>
    </row>
    <row r="125" spans="1:13" x14ac:dyDescent="0.15">
      <c r="A125" s="133" t="s">
        <v>1325</v>
      </c>
      <c r="B125" s="210">
        <v>121809</v>
      </c>
      <c r="C125" s="221">
        <v>24.680800000000001</v>
      </c>
      <c r="D125" s="237">
        <f t="shared" si="43"/>
        <v>3006343.5672000004</v>
      </c>
      <c r="E125" s="235">
        <f t="shared" si="44"/>
        <v>30063.435672000003</v>
      </c>
      <c r="F125" s="235">
        <f t="shared" si="45"/>
        <v>3006.3435672000005</v>
      </c>
      <c r="G125" s="236">
        <f t="shared" si="46"/>
        <v>33069.779239200005</v>
      </c>
      <c r="H125" s="244"/>
    </row>
    <row r="126" spans="1:13" ht="12" thickBot="1" x14ac:dyDescent="0.2">
      <c r="A126" s="133"/>
      <c r="B126" s="211">
        <f>SUM(B124:B125)</f>
        <v>241964</v>
      </c>
      <c r="C126" s="221"/>
      <c r="D126" s="237"/>
      <c r="E126" s="242">
        <f>SUM(E124:E125)</f>
        <v>59698.344717000007</v>
      </c>
      <c r="F126" s="242">
        <f t="shared" ref="F126:G126" si="47">SUM(F124:F125)</f>
        <v>5969.8344717000009</v>
      </c>
      <c r="G126" s="242">
        <f t="shared" si="47"/>
        <v>65668.179188700014</v>
      </c>
      <c r="H126" s="244"/>
    </row>
    <row r="127" spans="1:13" ht="12" thickTop="1" x14ac:dyDescent="0.15">
      <c r="A127" s="133" t="s">
        <v>1271</v>
      </c>
      <c r="B127" s="210">
        <v>33986</v>
      </c>
      <c r="C127" s="221">
        <v>24.427299999999999</v>
      </c>
      <c r="D127" s="237">
        <f t="shared" ref="D127:D131" si="48">+B127*C127</f>
        <v>830186.21779999998</v>
      </c>
      <c r="E127" s="235">
        <f t="shared" ref="E127:E131" si="49">+D127*0.01</f>
        <v>8301.8621779999994</v>
      </c>
      <c r="F127" s="235">
        <f t="shared" ref="F127:F131" si="50">+E127*0.1</f>
        <v>830.18621780000001</v>
      </c>
      <c r="G127" s="236">
        <f>SUM(E127:F127)</f>
        <v>9132.0483957999986</v>
      </c>
    </row>
    <row r="128" spans="1:13" x14ac:dyDescent="0.15">
      <c r="A128" s="133" t="s">
        <v>1274</v>
      </c>
      <c r="B128" s="210">
        <v>263394</v>
      </c>
      <c r="C128" s="221">
        <v>24.804600000000001</v>
      </c>
      <c r="D128" s="237">
        <f t="shared" si="48"/>
        <v>6533382.8124000002</v>
      </c>
      <c r="E128" s="235">
        <f t="shared" si="49"/>
        <v>65333.828124</v>
      </c>
      <c r="F128" s="235">
        <f t="shared" si="50"/>
        <v>6533.3828124000001</v>
      </c>
      <c r="G128" s="236">
        <f t="shared" ref="G128:G131" si="51">SUM(E128:F128)</f>
        <v>71867.210936400006</v>
      </c>
    </row>
    <row r="129" spans="1:7" x14ac:dyDescent="0.15">
      <c r="A129" s="133" t="s">
        <v>1322</v>
      </c>
      <c r="B129" s="210">
        <v>322742</v>
      </c>
      <c r="C129" s="221">
        <v>24.009499999999999</v>
      </c>
      <c r="D129" s="237">
        <f t="shared" si="48"/>
        <v>7748874.0489999996</v>
      </c>
      <c r="E129" s="235">
        <f t="shared" si="49"/>
        <v>77488.740489999996</v>
      </c>
      <c r="F129" s="235">
        <f t="shared" si="50"/>
        <v>7748.874049</v>
      </c>
      <c r="G129" s="236">
        <f t="shared" si="51"/>
        <v>85237.614539000002</v>
      </c>
    </row>
    <row r="130" spans="1:7" x14ac:dyDescent="0.15">
      <c r="A130" s="133" t="s">
        <v>1327</v>
      </c>
      <c r="B130" s="210">
        <v>121959</v>
      </c>
      <c r="C130" s="221">
        <v>23.9758</v>
      </c>
      <c r="D130" s="237">
        <f t="shared" si="48"/>
        <v>2924064.5921999998</v>
      </c>
      <c r="E130" s="235">
        <f t="shared" si="49"/>
        <v>29240.645922</v>
      </c>
      <c r="F130" s="235">
        <f t="shared" si="50"/>
        <v>2924.0645922000003</v>
      </c>
      <c r="G130" s="236">
        <f t="shared" si="51"/>
        <v>32164.7105142</v>
      </c>
    </row>
    <row r="131" spans="1:7" x14ac:dyDescent="0.15">
      <c r="A131" s="193" t="s">
        <v>1328</v>
      </c>
      <c r="B131" s="210">
        <v>100030</v>
      </c>
      <c r="C131" s="221">
        <v>24.241099999999999</v>
      </c>
      <c r="D131" s="237">
        <f t="shared" si="48"/>
        <v>2424837.233</v>
      </c>
      <c r="E131" s="235">
        <f t="shared" si="49"/>
        <v>24248.372330000002</v>
      </c>
      <c r="F131" s="235">
        <f t="shared" si="50"/>
        <v>2424.8372330000002</v>
      </c>
      <c r="G131" s="236">
        <f t="shared" si="51"/>
        <v>26673.209563000004</v>
      </c>
    </row>
    <row r="132" spans="1:7" ht="12" thickBot="1" x14ac:dyDescent="0.2">
      <c r="B132" s="211">
        <f>SUM(B127:B131)</f>
        <v>842111</v>
      </c>
      <c r="E132" s="234">
        <f>SUM(E127:E131)</f>
        <v>204613.44904400001</v>
      </c>
      <c r="F132" s="234">
        <f t="shared" ref="F132:G132" si="52">SUM(F127:F131)</f>
        <v>20461.344904400001</v>
      </c>
      <c r="G132" s="234">
        <f t="shared" si="52"/>
        <v>225074.79394840004</v>
      </c>
    </row>
    <row r="133" spans="1:7" ht="12" thickTop="1" x14ac:dyDescent="0.15"/>
    <row r="134" spans="1:7" x14ac:dyDescent="0.15">
      <c r="B134" s="231"/>
    </row>
  </sheetData>
  <mergeCells count="8">
    <mergeCell ref="B91:D91"/>
    <mergeCell ref="B92:D92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D1" zoomScale="115" zoomScaleNormal="115" workbookViewId="0">
      <pane ySplit="6" topLeftCell="A54" activePane="bottomLeft" state="frozen"/>
      <selection pane="bottomLeft" activeCell="N77" sqref="N77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1241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1212</v>
      </c>
      <c r="B7" s="146"/>
      <c r="C7" s="147">
        <v>151641.64626200963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151641.64626200963</v>
      </c>
      <c r="P7" s="147">
        <f>+C76</f>
        <v>537248.62626200961</v>
      </c>
    </row>
    <row r="8" spans="1:16" x14ac:dyDescent="0.15">
      <c r="A8" s="154" t="s">
        <v>1213</v>
      </c>
      <c r="B8" s="151"/>
      <c r="C8" s="152">
        <v>61978.705999999998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151641.64626200963</v>
      </c>
      <c r="P8" s="152">
        <f t="shared" ref="P8:P9" si="0">P7+H8-J8-M8</f>
        <v>537248.62626200961</v>
      </c>
    </row>
    <row r="9" spans="1:16" x14ac:dyDescent="0.15">
      <c r="A9" s="157" t="s">
        <v>1234</v>
      </c>
      <c r="B9" s="151"/>
      <c r="C9" s="152">
        <v>79950.115000000005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151641.64626200963</v>
      </c>
      <c r="P9" s="152">
        <f t="shared" si="0"/>
        <v>537248.62626200961</v>
      </c>
    </row>
    <row r="10" spans="1:16" x14ac:dyDescent="0.15">
      <c r="A10" s="154" t="s">
        <v>1235</v>
      </c>
      <c r="B10" s="151"/>
      <c r="C10" s="152">
        <v>119995.944</v>
      </c>
      <c r="D10" s="155"/>
      <c r="E10" s="154"/>
      <c r="F10" s="157"/>
      <c r="G10" s="154"/>
      <c r="H10" s="152"/>
      <c r="I10" s="155"/>
      <c r="J10" s="152"/>
      <c r="K10" s="154"/>
      <c r="L10" s="154"/>
      <c r="M10" s="227"/>
      <c r="N10" s="154"/>
      <c r="O10" s="227">
        <f t="shared" ref="O10:O12" si="2">+O9-J10-M10</f>
        <v>151641.64626200963</v>
      </c>
      <c r="P10" s="152">
        <f t="shared" ref="P10:P12" si="3">P9+H10-J10-M10</f>
        <v>537248.62626200961</v>
      </c>
    </row>
    <row r="11" spans="1:16" x14ac:dyDescent="0.15">
      <c r="A11" s="154" t="s">
        <v>1233</v>
      </c>
      <c r="B11" s="151"/>
      <c r="C11" s="152">
        <v>123682.215</v>
      </c>
      <c r="D11" s="155"/>
      <c r="E11" s="154"/>
      <c r="F11" s="157"/>
      <c r="G11" s="154"/>
      <c r="H11" s="152"/>
      <c r="I11" s="155"/>
      <c r="J11" s="152"/>
      <c r="K11" s="154"/>
      <c r="L11" s="154"/>
      <c r="M11" s="227"/>
      <c r="N11" s="154"/>
      <c r="O11" s="227">
        <f t="shared" si="2"/>
        <v>151641.64626200963</v>
      </c>
      <c r="P11" s="152">
        <f t="shared" si="3"/>
        <v>537248.62626200961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/>
      <c r="J12" s="152"/>
      <c r="K12" s="154"/>
      <c r="L12" s="154"/>
      <c r="M12" s="227"/>
      <c r="N12" s="154"/>
      <c r="O12" s="227">
        <f t="shared" si="2"/>
        <v>151641.64626200963</v>
      </c>
      <c r="P12" s="152">
        <f t="shared" si="3"/>
        <v>537248.62626200961</v>
      </c>
    </row>
    <row r="13" spans="1:16" x14ac:dyDescent="0.15">
      <c r="A13" s="154"/>
      <c r="B13" s="151"/>
      <c r="C13" s="152"/>
      <c r="D13" s="155" t="s">
        <v>1242</v>
      </c>
      <c r="E13" s="154" t="s">
        <v>72</v>
      </c>
      <c r="F13" s="157" t="str">
        <f>+'[5]รับ 1112'!$F$61</f>
        <v>TOP 241012</v>
      </c>
      <c r="G13" s="154"/>
      <c r="H13" s="152">
        <f>+'[5]รับ 1112'!$D$62</f>
        <v>42093.591</v>
      </c>
      <c r="I13" s="155" t="s">
        <v>1242</v>
      </c>
      <c r="J13" s="152"/>
      <c r="K13" s="154"/>
      <c r="L13" s="154" t="s">
        <v>1278</v>
      </c>
      <c r="M13" s="227">
        <v>902.55</v>
      </c>
      <c r="N13" s="154" t="s">
        <v>1212</v>
      </c>
      <c r="O13" s="227">
        <f t="shared" ref="O13:O75" si="4">+O12-J13-M13</f>
        <v>150739.09626200964</v>
      </c>
      <c r="P13" s="152">
        <f t="shared" ref="P13:P75" si="5">P12+H13-J13-M13</f>
        <v>578439.66726200958</v>
      </c>
    </row>
    <row r="14" spans="1:16" x14ac:dyDescent="0.15">
      <c r="A14" s="154"/>
      <c r="B14" s="151"/>
      <c r="C14" s="152"/>
      <c r="D14" s="155"/>
      <c r="E14" s="155"/>
      <c r="F14" s="157"/>
      <c r="G14" s="154"/>
      <c r="H14" s="152"/>
      <c r="I14" s="155" t="s">
        <v>1243</v>
      </c>
      <c r="J14" s="152">
        <v>1172.5899999999999</v>
      </c>
      <c r="K14" s="154" t="s">
        <v>1212</v>
      </c>
      <c r="L14" s="154" t="s">
        <v>1278</v>
      </c>
      <c r="M14" s="227">
        <v>1161.5899999999999</v>
      </c>
      <c r="N14" s="154" t="s">
        <v>1212</v>
      </c>
      <c r="O14" s="227">
        <f t="shared" si="4"/>
        <v>148404.91626200965</v>
      </c>
      <c r="P14" s="152">
        <f t="shared" si="5"/>
        <v>576105.48726200964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1244</v>
      </c>
      <c r="J15" s="152"/>
      <c r="K15" s="154"/>
      <c r="L15" s="154" t="s">
        <v>1278</v>
      </c>
      <c r="M15" s="227">
        <v>31951.75</v>
      </c>
      <c r="N15" s="154" t="s">
        <v>1212</v>
      </c>
      <c r="O15" s="227">
        <f t="shared" si="4"/>
        <v>116453.16626200965</v>
      </c>
      <c r="P15" s="152">
        <f t="shared" si="5"/>
        <v>544153.73726200964</v>
      </c>
    </row>
    <row r="16" spans="1:16" x14ac:dyDescent="0.15">
      <c r="A16" s="154"/>
      <c r="B16" s="151"/>
      <c r="C16" s="152"/>
      <c r="D16" s="155" t="s">
        <v>1245</v>
      </c>
      <c r="E16" s="154" t="s">
        <v>72</v>
      </c>
      <c r="F16" s="157" t="s">
        <v>1267</v>
      </c>
      <c r="G16" s="154"/>
      <c r="H16" s="152">
        <f>+'[5]รับ 1112'!$D$63</f>
        <v>39969.173000000003</v>
      </c>
      <c r="I16" s="155" t="s">
        <v>1245</v>
      </c>
      <c r="J16" s="152">
        <v>3837.38</v>
      </c>
      <c r="K16" s="154" t="s">
        <v>1212</v>
      </c>
      <c r="L16" s="154" t="s">
        <v>1278</v>
      </c>
      <c r="M16" s="227">
        <v>794.97</v>
      </c>
      <c r="N16" s="154" t="s">
        <v>1212</v>
      </c>
      <c r="O16" s="227">
        <f t="shared" si="4"/>
        <v>111820.81626200964</v>
      </c>
      <c r="P16" s="152">
        <f t="shared" si="5"/>
        <v>579490.56026200962</v>
      </c>
    </row>
    <row r="17" spans="1:16" x14ac:dyDescent="0.15">
      <c r="A17" s="154"/>
      <c r="B17" s="151"/>
      <c r="C17" s="152"/>
      <c r="D17" s="155" t="s">
        <v>1264</v>
      </c>
      <c r="E17" s="154" t="s">
        <v>72</v>
      </c>
      <c r="F17" s="157" t="s">
        <v>1267</v>
      </c>
      <c r="G17" s="154"/>
      <c r="H17" s="152">
        <f>+'[5]รับ 1112'!$D$64</f>
        <v>62073.313000000002</v>
      </c>
      <c r="I17" s="155" t="s">
        <v>1264</v>
      </c>
      <c r="J17" s="152"/>
      <c r="K17" s="154"/>
      <c r="L17" s="154"/>
      <c r="M17" s="227"/>
      <c r="N17" s="154"/>
      <c r="O17" s="227">
        <f t="shared" si="4"/>
        <v>111820.81626200964</v>
      </c>
      <c r="P17" s="152">
        <f t="shared" si="5"/>
        <v>641563.87326200958</v>
      </c>
    </row>
    <row r="18" spans="1:16" x14ac:dyDescent="0.15">
      <c r="A18" s="154"/>
      <c r="B18" s="151"/>
      <c r="C18" s="152"/>
      <c r="D18" s="155" t="s">
        <v>1246</v>
      </c>
      <c r="E18" s="154" t="s">
        <v>72</v>
      </c>
      <c r="F18" s="157" t="s">
        <v>1267</v>
      </c>
      <c r="G18" s="154"/>
      <c r="H18" s="152">
        <f>+'[5]รับ 1112'!$D$65</f>
        <v>121845.046</v>
      </c>
      <c r="I18" s="155" t="s">
        <v>1246</v>
      </c>
      <c r="J18" s="152"/>
      <c r="K18" s="154"/>
      <c r="L18" s="154" t="s">
        <v>1278</v>
      </c>
      <c r="M18" s="227">
        <v>72737.81</v>
      </c>
      <c r="N18" s="154" t="s">
        <v>1212</v>
      </c>
      <c r="O18" s="227">
        <f t="shared" si="4"/>
        <v>39083.006262009643</v>
      </c>
      <c r="P18" s="152">
        <f t="shared" si="5"/>
        <v>690671.10926200962</v>
      </c>
    </row>
    <row r="19" spans="1:16" x14ac:dyDescent="0.15">
      <c r="A19" s="154"/>
      <c r="B19" s="151"/>
      <c r="C19" s="152"/>
      <c r="D19" s="155" t="s">
        <v>1246</v>
      </c>
      <c r="E19" s="154" t="s">
        <v>72</v>
      </c>
      <c r="F19" s="157" t="str">
        <f>+'[5]รับ 1112'!$F$66</f>
        <v>GC 021112</v>
      </c>
      <c r="G19" s="154"/>
      <c r="H19" s="152">
        <f>+'[5]รับ 1112'!$D$66</f>
        <v>41995.741000000002</v>
      </c>
      <c r="I19" s="155" t="s">
        <v>1246</v>
      </c>
      <c r="J19" s="152"/>
      <c r="K19" s="154"/>
      <c r="L19" s="154" t="s">
        <v>1278</v>
      </c>
      <c r="M19" s="227">
        <v>39083.006262009643</v>
      </c>
      <c r="N19" s="154" t="s">
        <v>1212</v>
      </c>
      <c r="O19" s="227">
        <f t="shared" ref="O19:O21" si="6">+O18-J19-M19</f>
        <v>0</v>
      </c>
      <c r="P19" s="152">
        <f t="shared" ref="P19:P21" si="7">P18+H19-J19-M19</f>
        <v>693583.84400000004</v>
      </c>
    </row>
    <row r="20" spans="1:16" x14ac:dyDescent="0.15">
      <c r="A20" s="154"/>
      <c r="B20" s="151"/>
      <c r="C20" s="152"/>
      <c r="D20" s="155"/>
      <c r="E20" s="154"/>
      <c r="F20" s="157"/>
      <c r="G20" s="154"/>
      <c r="H20" s="152"/>
      <c r="I20" s="155" t="s">
        <v>1246</v>
      </c>
      <c r="J20" s="152"/>
      <c r="K20" s="154"/>
      <c r="L20" s="154" t="s">
        <v>1278</v>
      </c>
      <c r="M20" s="227">
        <v>24630.183737990399</v>
      </c>
      <c r="N20" s="154" t="s">
        <v>1213</v>
      </c>
      <c r="O20" s="227">
        <f>C8+O19-J20-M20</f>
        <v>37348.522262009603</v>
      </c>
      <c r="P20" s="152">
        <f t="shared" si="7"/>
        <v>668953.66026200959</v>
      </c>
    </row>
    <row r="21" spans="1:16" x14ac:dyDescent="0.15">
      <c r="A21" s="154"/>
      <c r="B21" s="151"/>
      <c r="C21" s="152"/>
      <c r="D21" s="155"/>
      <c r="E21" s="155"/>
      <c r="F21" s="157"/>
      <c r="G21" s="154"/>
      <c r="H21" s="152"/>
      <c r="I21" s="155" t="s">
        <v>1246</v>
      </c>
      <c r="J21" s="152"/>
      <c r="K21" s="154"/>
      <c r="L21" s="154" t="s">
        <v>1278</v>
      </c>
      <c r="M21" s="227">
        <v>37348.522262009603</v>
      </c>
      <c r="N21" s="154" t="s">
        <v>1213</v>
      </c>
      <c r="O21" s="227">
        <f t="shared" si="6"/>
        <v>0</v>
      </c>
      <c r="P21" s="152">
        <f t="shared" si="7"/>
        <v>631605.13800000004</v>
      </c>
    </row>
    <row r="22" spans="1:16" x14ac:dyDescent="0.15">
      <c r="A22" s="154"/>
      <c r="B22" s="151"/>
      <c r="C22" s="152"/>
      <c r="D22" s="155"/>
      <c r="E22" s="155"/>
      <c r="F22" s="157"/>
      <c r="G22" s="154"/>
      <c r="H22" s="152"/>
      <c r="I22" s="155" t="s">
        <v>1246</v>
      </c>
      <c r="J22" s="152"/>
      <c r="K22" s="154"/>
      <c r="L22" s="154" t="s">
        <v>1278</v>
      </c>
      <c r="M22" s="227">
        <v>24727.017737990402</v>
      </c>
      <c r="N22" s="157" t="s">
        <v>1234</v>
      </c>
      <c r="O22" s="227">
        <f>C9+O21-J22-M22</f>
        <v>55223.0972620096</v>
      </c>
      <c r="P22" s="152">
        <f t="shared" ref="P22:P24" si="8">P21+H22-J22-M22</f>
        <v>606878.12026200967</v>
      </c>
    </row>
    <row r="23" spans="1:16" x14ac:dyDescent="0.15">
      <c r="A23" s="154"/>
      <c r="B23" s="151"/>
      <c r="C23" s="152"/>
      <c r="D23" s="155"/>
      <c r="E23" s="155"/>
      <c r="F23" s="157"/>
      <c r="G23" s="154"/>
      <c r="H23" s="152"/>
      <c r="I23" s="155" t="s">
        <v>1246</v>
      </c>
      <c r="J23" s="152"/>
      <c r="K23" s="154"/>
      <c r="L23" s="154" t="s">
        <v>1278</v>
      </c>
      <c r="M23" s="227">
        <v>4102.08</v>
      </c>
      <c r="N23" s="157" t="s">
        <v>1234</v>
      </c>
      <c r="O23" s="227">
        <f t="shared" ref="O23:O24" si="9">+O22-J23-M23</f>
        <v>51121.017262009598</v>
      </c>
      <c r="P23" s="152">
        <f t="shared" si="8"/>
        <v>602776.04026200972</v>
      </c>
    </row>
    <row r="24" spans="1:16" x14ac:dyDescent="0.15">
      <c r="A24" s="154"/>
      <c r="B24" s="151"/>
      <c r="C24" s="152"/>
      <c r="D24" s="155"/>
      <c r="E24" s="155"/>
      <c r="F24" s="157"/>
      <c r="G24" s="154"/>
      <c r="H24" s="152"/>
      <c r="I24" s="155" t="s">
        <v>1247</v>
      </c>
      <c r="J24" s="152"/>
      <c r="K24" s="154"/>
      <c r="L24" s="154" t="s">
        <v>1278</v>
      </c>
      <c r="M24" s="227">
        <v>1110.56</v>
      </c>
      <c r="N24" s="157" t="s">
        <v>1234</v>
      </c>
      <c r="O24" s="227">
        <f t="shared" si="9"/>
        <v>50010.457262009601</v>
      </c>
      <c r="P24" s="152">
        <f t="shared" si="8"/>
        <v>601665.48026200966</v>
      </c>
    </row>
    <row r="25" spans="1:16" x14ac:dyDescent="0.15">
      <c r="A25" s="154"/>
      <c r="B25" s="151"/>
      <c r="C25" s="152"/>
      <c r="D25" s="155"/>
      <c r="E25" s="155"/>
      <c r="F25" s="157"/>
      <c r="G25" s="154"/>
      <c r="H25" s="152"/>
      <c r="I25" s="155" t="s">
        <v>1248</v>
      </c>
      <c r="J25" s="152"/>
      <c r="K25" s="154"/>
      <c r="L25" s="154" t="s">
        <v>1278</v>
      </c>
      <c r="M25" s="227">
        <v>50010.457262009601</v>
      </c>
      <c r="N25" s="157" t="s">
        <v>1234</v>
      </c>
      <c r="O25" s="227">
        <f t="shared" ref="O25:O28" si="10">+O24-J25-M25</f>
        <v>0</v>
      </c>
      <c r="P25" s="152">
        <f t="shared" ref="P25:P28" si="11">P24+H25-J25-M25</f>
        <v>551655.02300000004</v>
      </c>
    </row>
    <row r="26" spans="1:16" x14ac:dyDescent="0.15">
      <c r="A26" s="154"/>
      <c r="B26" s="151"/>
      <c r="C26" s="152"/>
      <c r="D26" s="155"/>
      <c r="E26" s="155"/>
      <c r="F26" s="157"/>
      <c r="G26" s="154"/>
      <c r="H26" s="152"/>
      <c r="I26" s="155" t="s">
        <v>1248</v>
      </c>
      <c r="J26" s="152"/>
      <c r="K26" s="154"/>
      <c r="L26" s="154" t="s">
        <v>1279</v>
      </c>
      <c r="M26" s="227">
        <v>17919.542737990399</v>
      </c>
      <c r="N26" s="154" t="s">
        <v>1235</v>
      </c>
      <c r="O26" s="227">
        <f>C10+O25-J26-M26</f>
        <v>102076.4012620096</v>
      </c>
      <c r="P26" s="152">
        <f t="shared" si="11"/>
        <v>533735.48026200966</v>
      </c>
    </row>
    <row r="27" spans="1:16" x14ac:dyDescent="0.15">
      <c r="A27" s="154"/>
      <c r="B27" s="151"/>
      <c r="C27" s="152"/>
      <c r="D27" s="155"/>
      <c r="E27" s="155"/>
      <c r="F27" s="157"/>
      <c r="G27" s="154"/>
      <c r="H27" s="152"/>
      <c r="I27" s="155" t="s">
        <v>1249</v>
      </c>
      <c r="J27" s="152">
        <v>1262.02</v>
      </c>
      <c r="K27" s="154" t="s">
        <v>1235</v>
      </c>
      <c r="L27" s="154"/>
      <c r="M27" s="227"/>
      <c r="N27" s="154"/>
      <c r="O27" s="227">
        <f t="shared" si="10"/>
        <v>100814.3812620096</v>
      </c>
      <c r="P27" s="152">
        <f t="shared" si="11"/>
        <v>532473.46026200964</v>
      </c>
    </row>
    <row r="28" spans="1:16" x14ac:dyDescent="0.15">
      <c r="A28" s="154"/>
      <c r="B28" s="151"/>
      <c r="C28" s="152"/>
      <c r="D28" s="155" t="s">
        <v>1250</v>
      </c>
      <c r="E28" s="154" t="s">
        <v>72</v>
      </c>
      <c r="F28" s="157" t="s">
        <v>1268</v>
      </c>
      <c r="G28" s="154"/>
      <c r="H28" s="152">
        <v>123884.799</v>
      </c>
      <c r="I28" s="155" t="s">
        <v>1250</v>
      </c>
      <c r="J28" s="152">
        <v>1479.4</v>
      </c>
      <c r="K28" s="154" t="s">
        <v>1235</v>
      </c>
      <c r="L28" s="154" t="s">
        <v>1279</v>
      </c>
      <c r="M28" s="227">
        <v>83660.509999999995</v>
      </c>
      <c r="N28" s="154" t="s">
        <v>1235</v>
      </c>
      <c r="O28" s="227">
        <f t="shared" si="10"/>
        <v>15674.471262009611</v>
      </c>
      <c r="P28" s="152">
        <f t="shared" si="11"/>
        <v>571218.34926200961</v>
      </c>
    </row>
    <row r="29" spans="1:16" x14ac:dyDescent="0.15">
      <c r="A29" s="154"/>
      <c r="B29" s="151"/>
      <c r="C29" s="152"/>
      <c r="D29" s="155" t="s">
        <v>1251</v>
      </c>
      <c r="E29" s="154" t="s">
        <v>72</v>
      </c>
      <c r="F29" s="157" t="s">
        <v>1268</v>
      </c>
      <c r="G29" s="154"/>
      <c r="H29" s="152">
        <v>81933.070000000007</v>
      </c>
      <c r="I29" s="155" t="s">
        <v>1251</v>
      </c>
      <c r="J29" s="152"/>
      <c r="K29" s="154"/>
      <c r="L29" s="154" t="s">
        <v>1279</v>
      </c>
      <c r="M29" s="227">
        <v>15674.471262009611</v>
      </c>
      <c r="N29" s="154" t="s">
        <v>1235</v>
      </c>
      <c r="O29" s="227">
        <f t="shared" si="4"/>
        <v>0</v>
      </c>
      <c r="P29" s="152">
        <f t="shared" si="5"/>
        <v>637476.94800000009</v>
      </c>
    </row>
    <row r="30" spans="1:16" x14ac:dyDescent="0.15">
      <c r="A30" s="154"/>
      <c r="B30" s="151"/>
      <c r="C30" s="152"/>
      <c r="D30" s="155"/>
      <c r="E30" s="154"/>
      <c r="F30" s="157"/>
      <c r="G30" s="154"/>
      <c r="H30" s="152"/>
      <c r="I30" s="155" t="s">
        <v>1251</v>
      </c>
      <c r="J30" s="152"/>
      <c r="K30" s="154"/>
      <c r="L30" s="154" t="s">
        <v>1278</v>
      </c>
      <c r="M30" s="227">
        <v>61381.378737990402</v>
      </c>
      <c r="N30" s="154" t="s">
        <v>1233</v>
      </c>
      <c r="O30" s="227">
        <f>C11+O29-J30-M30</f>
        <v>62300.836262009594</v>
      </c>
      <c r="P30" s="152">
        <f t="shared" ref="P30:P31" si="12">P29+H30-J30-M30</f>
        <v>576095.5692620097</v>
      </c>
    </row>
    <row r="31" spans="1:16" x14ac:dyDescent="0.15">
      <c r="A31" s="154"/>
      <c r="B31" s="151"/>
      <c r="C31" s="152"/>
      <c r="D31" s="155"/>
      <c r="E31" s="155"/>
      <c r="F31" s="157"/>
      <c r="G31" s="154"/>
      <c r="H31" s="152"/>
      <c r="I31" s="155" t="s">
        <v>1251</v>
      </c>
      <c r="J31" s="152"/>
      <c r="K31" s="154"/>
      <c r="L31" s="154" t="s">
        <v>1278</v>
      </c>
      <c r="M31" s="227">
        <v>62300.836262009594</v>
      </c>
      <c r="N31" s="154" t="s">
        <v>1233</v>
      </c>
      <c r="O31" s="227">
        <f t="shared" ref="O31" si="13">+O30-J31-M31</f>
        <v>0</v>
      </c>
      <c r="P31" s="152">
        <f t="shared" si="12"/>
        <v>513794.73300000012</v>
      </c>
    </row>
    <row r="32" spans="1:16" x14ac:dyDescent="0.15">
      <c r="A32" s="154"/>
      <c r="B32" s="151"/>
      <c r="C32" s="152"/>
      <c r="D32" s="155"/>
      <c r="E32" s="155"/>
      <c r="F32" s="157"/>
      <c r="G32" s="154"/>
      <c r="H32" s="152"/>
      <c r="I32" s="155" t="s">
        <v>1251</v>
      </c>
      <c r="J32" s="152"/>
      <c r="K32" s="154"/>
      <c r="L32" s="154" t="s">
        <v>1279</v>
      </c>
      <c r="M32" s="227">
        <v>15936.333737990401</v>
      </c>
      <c r="N32" s="157" t="str">
        <f>+'[5]รับ 1112'!$F$61</f>
        <v>TOP 241012</v>
      </c>
      <c r="O32" s="227">
        <f>H13+O31-J32-M32</f>
        <v>26157.2572620096</v>
      </c>
      <c r="P32" s="152">
        <f t="shared" ref="P32:P35" si="14">P31+H32-J32-M32</f>
        <v>497858.39926200971</v>
      </c>
    </row>
    <row r="33" spans="1:16" x14ac:dyDescent="0.15">
      <c r="A33" s="154"/>
      <c r="B33" s="151"/>
      <c r="C33" s="152"/>
      <c r="D33" s="155"/>
      <c r="E33" s="155"/>
      <c r="F33" s="157"/>
      <c r="G33" s="154"/>
      <c r="H33" s="152"/>
      <c r="I33" s="155" t="s">
        <v>1251</v>
      </c>
      <c r="J33" s="152"/>
      <c r="K33" s="154"/>
      <c r="L33" s="154" t="s">
        <v>1279</v>
      </c>
      <c r="M33" s="227">
        <v>16458.009999999998</v>
      </c>
      <c r="N33" s="157" t="str">
        <f>+'[5]รับ 1112'!$F$61</f>
        <v>TOP 241012</v>
      </c>
      <c r="O33" s="227">
        <f t="shared" ref="O33:O35" si="15">+O32-J33-M33</f>
        <v>9699.2472620096014</v>
      </c>
      <c r="P33" s="152">
        <f t="shared" si="14"/>
        <v>481400.3892620097</v>
      </c>
    </row>
    <row r="34" spans="1:16" x14ac:dyDescent="0.15">
      <c r="A34" s="154"/>
      <c r="B34" s="151"/>
      <c r="C34" s="152"/>
      <c r="D34" s="155" t="s">
        <v>1265</v>
      </c>
      <c r="E34" s="154" t="s">
        <v>72</v>
      </c>
      <c r="F34" s="157" t="s">
        <v>1269</v>
      </c>
      <c r="G34" s="154"/>
      <c r="H34" s="152">
        <v>121878.617</v>
      </c>
      <c r="I34" s="155" t="s">
        <v>1265</v>
      </c>
      <c r="J34" s="152"/>
      <c r="K34" s="154"/>
      <c r="L34" s="154"/>
      <c r="M34" s="227"/>
      <c r="N34" s="154"/>
      <c r="O34" s="227">
        <f t="shared" si="15"/>
        <v>9699.2472620096014</v>
      </c>
      <c r="P34" s="152">
        <f t="shared" si="14"/>
        <v>603279.00626200973</v>
      </c>
    </row>
    <row r="35" spans="1:16" x14ac:dyDescent="0.15">
      <c r="A35" s="154"/>
      <c r="B35" s="151"/>
      <c r="C35" s="152"/>
      <c r="D35" s="155"/>
      <c r="E35" s="155"/>
      <c r="F35" s="157"/>
      <c r="G35" s="154"/>
      <c r="H35" s="152"/>
      <c r="I35" s="155" t="s">
        <v>1252</v>
      </c>
      <c r="J35" s="152">
        <v>7323.6399999999994</v>
      </c>
      <c r="K35" s="157" t="str">
        <f>+'[5]รับ 1112'!$F$61</f>
        <v>TOP 241012</v>
      </c>
      <c r="L35" s="154"/>
      <c r="M35" s="227"/>
      <c r="N35" s="154"/>
      <c r="O35" s="227">
        <f t="shared" si="15"/>
        <v>2375.607262009602</v>
      </c>
      <c r="P35" s="152">
        <f t="shared" si="14"/>
        <v>595955.36626200972</v>
      </c>
    </row>
    <row r="36" spans="1:16" x14ac:dyDescent="0.15">
      <c r="A36" s="154"/>
      <c r="B36" s="151"/>
      <c r="C36" s="152"/>
      <c r="D36" s="155"/>
      <c r="E36" s="155"/>
      <c r="F36" s="157"/>
      <c r="G36" s="154"/>
      <c r="H36" s="152"/>
      <c r="I36" s="155" t="s">
        <v>1253</v>
      </c>
      <c r="J36" s="152"/>
      <c r="K36" s="154"/>
      <c r="L36" s="154" t="s">
        <v>1279</v>
      </c>
      <c r="M36" s="227">
        <v>2375.607262009602</v>
      </c>
      <c r="N36" s="157" t="str">
        <f>+'[5]รับ 1112'!$F$61</f>
        <v>TOP 241012</v>
      </c>
      <c r="O36" s="227">
        <f t="shared" si="4"/>
        <v>0</v>
      </c>
      <c r="P36" s="152">
        <f t="shared" si="5"/>
        <v>593579.75900000008</v>
      </c>
    </row>
    <row r="37" spans="1:16" x14ac:dyDescent="0.15">
      <c r="A37" s="154"/>
      <c r="B37" s="151"/>
      <c r="C37" s="152"/>
      <c r="D37" s="155"/>
      <c r="E37" s="155"/>
      <c r="F37" s="157"/>
      <c r="G37" s="154"/>
      <c r="H37" s="152"/>
      <c r="I37" s="155" t="s">
        <v>1253</v>
      </c>
      <c r="J37" s="152"/>
      <c r="K37" s="154"/>
      <c r="L37" s="154" t="s">
        <v>1279</v>
      </c>
      <c r="M37" s="227">
        <v>15444.852737990401</v>
      </c>
      <c r="N37" s="157" t="s">
        <v>1267</v>
      </c>
      <c r="O37" s="227">
        <f>H16+H17+H18+O36-J37-M37</f>
        <v>208442.67926200959</v>
      </c>
      <c r="P37" s="152">
        <f t="shared" ref="P37:P39" si="16">P36+H37-J37-M37</f>
        <v>578134.90626200964</v>
      </c>
    </row>
    <row r="38" spans="1:16" x14ac:dyDescent="0.15">
      <c r="A38" s="154"/>
      <c r="B38" s="151"/>
      <c r="C38" s="152"/>
      <c r="D38" s="155" t="s">
        <v>1254</v>
      </c>
      <c r="E38" s="154" t="s">
        <v>72</v>
      </c>
      <c r="F38" s="157" t="s">
        <v>1270</v>
      </c>
      <c r="G38" s="154"/>
      <c r="H38" s="152">
        <v>83751.850999999995</v>
      </c>
      <c r="I38" s="155" t="s">
        <v>1254</v>
      </c>
      <c r="J38" s="152"/>
      <c r="K38" s="154"/>
      <c r="L38" s="154" t="s">
        <v>1279</v>
      </c>
      <c r="M38" s="227">
        <v>75513.41</v>
      </c>
      <c r="N38" s="157" t="s">
        <v>1267</v>
      </c>
      <c r="O38" s="227">
        <f t="shared" ref="O38:O39" si="17">+O37-J38-M38</f>
        <v>132929.26926200959</v>
      </c>
      <c r="P38" s="152">
        <f t="shared" si="16"/>
        <v>586373.34726200963</v>
      </c>
    </row>
    <row r="39" spans="1:16" x14ac:dyDescent="0.15">
      <c r="A39" s="154"/>
      <c r="B39" s="151"/>
      <c r="C39" s="152"/>
      <c r="D39" s="155"/>
      <c r="E39" s="155"/>
      <c r="F39" s="157"/>
      <c r="G39" s="154"/>
      <c r="H39" s="152"/>
      <c r="I39" s="155" t="s">
        <v>1254</v>
      </c>
      <c r="J39" s="152"/>
      <c r="K39" s="154"/>
      <c r="L39" s="154" t="s">
        <v>1279</v>
      </c>
      <c r="M39" s="227">
        <v>65541.279999999999</v>
      </c>
      <c r="N39" s="157" t="s">
        <v>1267</v>
      </c>
      <c r="O39" s="227">
        <f t="shared" si="17"/>
        <v>67387.989262009592</v>
      </c>
      <c r="P39" s="152">
        <f t="shared" si="16"/>
        <v>520832.0672620096</v>
      </c>
    </row>
    <row r="40" spans="1:16" x14ac:dyDescent="0.15">
      <c r="A40" s="154"/>
      <c r="B40" s="151"/>
      <c r="C40" s="152"/>
      <c r="D40" s="155" t="s">
        <v>1266</v>
      </c>
      <c r="E40" s="154" t="s">
        <v>72</v>
      </c>
      <c r="F40" s="157" t="s">
        <v>1271</v>
      </c>
      <c r="G40" s="154"/>
      <c r="H40" s="152">
        <v>84021.692999999999</v>
      </c>
      <c r="I40" s="155" t="s">
        <v>1266</v>
      </c>
      <c r="J40" s="152"/>
      <c r="K40" s="154"/>
      <c r="L40" s="154"/>
      <c r="M40" s="227"/>
      <c r="N40" s="154"/>
      <c r="O40" s="227">
        <f t="shared" si="4"/>
        <v>67387.989262009592</v>
      </c>
      <c r="P40" s="152">
        <f t="shared" si="5"/>
        <v>604853.76026200957</v>
      </c>
    </row>
    <row r="41" spans="1:16" x14ac:dyDescent="0.15">
      <c r="A41" s="154"/>
      <c r="B41" s="151"/>
      <c r="C41" s="152"/>
      <c r="D41" s="155"/>
      <c r="E41" s="155"/>
      <c r="F41" s="157"/>
      <c r="G41" s="154"/>
      <c r="H41" s="152"/>
      <c r="I41" s="155" t="s">
        <v>1255</v>
      </c>
      <c r="J41" s="152">
        <v>1310.1300000000001</v>
      </c>
      <c r="K41" s="157" t="s">
        <v>1267</v>
      </c>
      <c r="L41" s="154" t="s">
        <v>1279</v>
      </c>
      <c r="M41" s="227">
        <v>4084.41</v>
      </c>
      <c r="N41" s="157" t="s">
        <v>1267</v>
      </c>
      <c r="O41" s="227">
        <f t="shared" si="4"/>
        <v>61993.449262009584</v>
      </c>
      <c r="P41" s="152">
        <f t="shared" si="5"/>
        <v>599459.22026200953</v>
      </c>
    </row>
    <row r="42" spans="1:16" x14ac:dyDescent="0.15">
      <c r="A42" s="154"/>
      <c r="B42" s="151"/>
      <c r="C42" s="152"/>
      <c r="D42" s="155" t="s">
        <v>1256</v>
      </c>
      <c r="E42" s="154" t="s">
        <v>72</v>
      </c>
      <c r="F42" s="157" t="s">
        <v>1271</v>
      </c>
      <c r="G42" s="154"/>
      <c r="H42" s="152">
        <v>121926.78400000001</v>
      </c>
      <c r="I42" s="155" t="s">
        <v>1256</v>
      </c>
      <c r="J42" s="152"/>
      <c r="K42" s="154"/>
      <c r="L42" s="154" t="s">
        <v>1279</v>
      </c>
      <c r="M42" s="227">
        <v>61993.449262009584</v>
      </c>
      <c r="N42" s="157" t="s">
        <v>1267</v>
      </c>
      <c r="O42" s="227">
        <f t="shared" ref="O42:O49" si="18">+O41-J42-M42</f>
        <v>0</v>
      </c>
      <c r="P42" s="152">
        <f t="shared" ref="P42:P50" si="19">P41+H42-J42-M42</f>
        <v>659392.55499999993</v>
      </c>
    </row>
    <row r="43" spans="1:16" x14ac:dyDescent="0.15">
      <c r="A43" s="154"/>
      <c r="B43" s="151"/>
      <c r="C43" s="152"/>
      <c r="D43" s="155"/>
      <c r="E43" s="154"/>
      <c r="F43" s="157"/>
      <c r="G43" s="154"/>
      <c r="H43" s="152"/>
      <c r="I43" s="155" t="s">
        <v>1256</v>
      </c>
      <c r="J43" s="152"/>
      <c r="K43" s="154"/>
      <c r="L43" s="154" t="s">
        <v>1278</v>
      </c>
      <c r="M43" s="227">
        <v>23659.300737990401</v>
      </c>
      <c r="N43" s="157" t="str">
        <f>+'[5]รับ 1112'!$F$66</f>
        <v>GC 021112</v>
      </c>
      <c r="O43" s="227">
        <f>H19+O42-J43-M43</f>
        <v>18336.440262009601</v>
      </c>
      <c r="P43" s="152">
        <f t="shared" si="19"/>
        <v>635733.25426200952</v>
      </c>
    </row>
    <row r="44" spans="1:16" x14ac:dyDescent="0.15">
      <c r="A44" s="154"/>
      <c r="B44" s="151"/>
      <c r="C44" s="152"/>
      <c r="D44" s="155"/>
      <c r="E44" s="155"/>
      <c r="F44" s="157"/>
      <c r="G44" s="154"/>
      <c r="H44" s="152"/>
      <c r="I44" s="155" t="s">
        <v>1256</v>
      </c>
      <c r="J44" s="152"/>
      <c r="K44" s="154"/>
      <c r="L44" s="154" t="s">
        <v>1278</v>
      </c>
      <c r="M44" s="227">
        <v>18336.440262009601</v>
      </c>
      <c r="N44" s="157" t="str">
        <f>+'[5]รับ 1112'!$F$66</f>
        <v>GC 021112</v>
      </c>
      <c r="O44" s="227">
        <f t="shared" si="18"/>
        <v>0</v>
      </c>
      <c r="P44" s="152">
        <f t="shared" si="19"/>
        <v>617396.8139999999</v>
      </c>
    </row>
    <row r="45" spans="1:16" x14ac:dyDescent="0.15">
      <c r="A45" s="154"/>
      <c r="B45" s="151"/>
      <c r="C45" s="152"/>
      <c r="D45" s="155"/>
      <c r="E45" s="155"/>
      <c r="F45" s="157"/>
      <c r="G45" s="154"/>
      <c r="H45" s="152"/>
      <c r="I45" s="155" t="s">
        <v>1256</v>
      </c>
      <c r="J45" s="152"/>
      <c r="K45" s="154"/>
      <c r="L45" s="154" t="s">
        <v>1278</v>
      </c>
      <c r="M45" s="227">
        <v>55605.889737990401</v>
      </c>
      <c r="N45" s="157" t="s">
        <v>1268</v>
      </c>
      <c r="O45" s="227">
        <f>H28+H29+O44-J45-M45</f>
        <v>150211.97926200961</v>
      </c>
      <c r="P45" s="152">
        <f t="shared" ref="P45:P48" si="20">P44+H45-J45-M45</f>
        <v>561790.92426200944</v>
      </c>
    </row>
    <row r="46" spans="1:16" x14ac:dyDescent="0.15">
      <c r="A46" s="154"/>
      <c r="B46" s="151"/>
      <c r="C46" s="152"/>
      <c r="D46" s="155"/>
      <c r="E46" s="155"/>
      <c r="F46" s="157"/>
      <c r="G46" s="154"/>
      <c r="H46" s="152"/>
      <c r="I46" s="155" t="s">
        <v>1256</v>
      </c>
      <c r="J46" s="152"/>
      <c r="K46" s="154"/>
      <c r="L46" s="154" t="s">
        <v>1278</v>
      </c>
      <c r="M46" s="227">
        <v>76300.44</v>
      </c>
      <c r="N46" s="157" t="s">
        <v>1268</v>
      </c>
      <c r="O46" s="227">
        <f t="shared" ref="O46:O48" si="21">+O45-J46-M46</f>
        <v>73911.53926200961</v>
      </c>
      <c r="P46" s="152">
        <f t="shared" si="20"/>
        <v>485490.48426200944</v>
      </c>
    </row>
    <row r="47" spans="1:16" x14ac:dyDescent="0.15">
      <c r="A47" s="154"/>
      <c r="B47" s="151"/>
      <c r="C47" s="152"/>
      <c r="D47" s="155" t="s">
        <v>1257</v>
      </c>
      <c r="E47" s="154" t="s">
        <v>72</v>
      </c>
      <c r="F47" s="157" t="s">
        <v>1272</v>
      </c>
      <c r="G47" s="154"/>
      <c r="H47" s="152">
        <v>122152.927</v>
      </c>
      <c r="I47" s="155" t="s">
        <v>1257</v>
      </c>
      <c r="J47" s="152">
        <v>1388.42</v>
      </c>
      <c r="K47" s="157" t="s">
        <v>1268</v>
      </c>
      <c r="L47" s="154"/>
      <c r="M47" s="227"/>
      <c r="N47" s="154"/>
      <c r="O47" s="227">
        <f t="shared" si="21"/>
        <v>72523.119262009612</v>
      </c>
      <c r="P47" s="152">
        <f t="shared" si="20"/>
        <v>606254.99126200937</v>
      </c>
    </row>
    <row r="48" spans="1:16" x14ac:dyDescent="0.15">
      <c r="A48" s="154"/>
      <c r="B48" s="151"/>
      <c r="C48" s="152"/>
      <c r="D48" s="155"/>
      <c r="E48" s="155"/>
      <c r="F48" s="157"/>
      <c r="G48" s="154"/>
      <c r="H48" s="152"/>
      <c r="I48" s="155" t="s">
        <v>1258</v>
      </c>
      <c r="J48" s="152"/>
      <c r="K48" s="154"/>
      <c r="L48" s="154" t="s">
        <v>1278</v>
      </c>
      <c r="M48" s="227">
        <v>68855.8</v>
      </c>
      <c r="N48" s="157" t="s">
        <v>1268</v>
      </c>
      <c r="O48" s="227">
        <f t="shared" si="21"/>
        <v>3667.3192620096088</v>
      </c>
      <c r="P48" s="152">
        <f t="shared" si="20"/>
        <v>537399.19126200932</v>
      </c>
    </row>
    <row r="49" spans="1:16" x14ac:dyDescent="0.15">
      <c r="A49" s="154"/>
      <c r="B49" s="151"/>
      <c r="C49" s="152"/>
      <c r="D49" s="155"/>
      <c r="E49" s="155"/>
      <c r="F49" s="157"/>
      <c r="G49" s="154"/>
      <c r="H49" s="152"/>
      <c r="I49" s="155" t="s">
        <v>1258</v>
      </c>
      <c r="J49" s="152"/>
      <c r="K49" s="154"/>
      <c r="L49" s="154" t="s">
        <v>1278</v>
      </c>
      <c r="M49" s="227">
        <v>3667.3192620096088</v>
      </c>
      <c r="N49" s="157" t="s">
        <v>1268</v>
      </c>
      <c r="O49" s="227">
        <f t="shared" si="18"/>
        <v>0</v>
      </c>
      <c r="P49" s="152">
        <f t="shared" si="19"/>
        <v>533731.87199999974</v>
      </c>
    </row>
    <row r="50" spans="1:16" x14ac:dyDescent="0.15">
      <c r="A50" s="154"/>
      <c r="B50" s="151"/>
      <c r="C50" s="152"/>
      <c r="D50" s="155"/>
      <c r="E50" s="155"/>
      <c r="F50" s="157"/>
      <c r="G50" s="154"/>
      <c r="H50" s="152"/>
      <c r="I50" s="155" t="s">
        <v>1258</v>
      </c>
      <c r="J50" s="152"/>
      <c r="K50" s="154"/>
      <c r="L50" s="154" t="s">
        <v>1278</v>
      </c>
      <c r="M50" s="227">
        <v>58673.200737990403</v>
      </c>
      <c r="N50" s="157" t="s">
        <v>1269</v>
      </c>
      <c r="O50" s="227">
        <f>H34+O49-J50-M50</f>
        <v>63205.416262009596</v>
      </c>
      <c r="P50" s="152">
        <f t="shared" si="19"/>
        <v>475058.67126200936</v>
      </c>
    </row>
    <row r="51" spans="1:16" x14ac:dyDescent="0.15">
      <c r="A51" s="154"/>
      <c r="B51" s="151"/>
      <c r="C51" s="152"/>
      <c r="D51" s="155" t="s">
        <v>1259</v>
      </c>
      <c r="E51" s="154" t="s">
        <v>72</v>
      </c>
      <c r="F51" s="157" t="s">
        <v>1273</v>
      </c>
      <c r="G51" s="154"/>
      <c r="H51" s="152">
        <v>120155.12299999999</v>
      </c>
      <c r="I51" s="155" t="s">
        <v>1259</v>
      </c>
      <c r="J51" s="152">
        <v>5901.21</v>
      </c>
      <c r="K51" s="157" t="s">
        <v>1269</v>
      </c>
      <c r="L51" s="154"/>
      <c r="M51" s="227"/>
      <c r="N51" s="154"/>
      <c r="O51" s="227">
        <f t="shared" si="4"/>
        <v>57304.206262009597</v>
      </c>
      <c r="P51" s="152">
        <f t="shared" si="5"/>
        <v>589312.58426200936</v>
      </c>
    </row>
    <row r="52" spans="1:16" x14ac:dyDescent="0.15">
      <c r="A52" s="154"/>
      <c r="B52" s="151"/>
      <c r="C52" s="152"/>
      <c r="D52" s="155" t="s">
        <v>1260</v>
      </c>
      <c r="E52" s="154" t="s">
        <v>72</v>
      </c>
      <c r="F52" s="157" t="s">
        <v>1274</v>
      </c>
      <c r="G52" s="154"/>
      <c r="H52" s="152">
        <v>80025.54800000001</v>
      </c>
      <c r="I52" s="155" t="s">
        <v>1260</v>
      </c>
      <c r="J52" s="152"/>
      <c r="K52" s="154"/>
      <c r="L52" s="154" t="s">
        <v>1278</v>
      </c>
      <c r="M52" s="227">
        <v>49419.06</v>
      </c>
      <c r="N52" s="157" t="s">
        <v>1269</v>
      </c>
      <c r="O52" s="227">
        <f t="shared" si="4"/>
        <v>7885.146262009599</v>
      </c>
      <c r="P52" s="152">
        <f t="shared" si="5"/>
        <v>619919.07226200937</v>
      </c>
    </row>
    <row r="53" spans="1:16" x14ac:dyDescent="0.15">
      <c r="A53" s="154"/>
      <c r="B53" s="151"/>
      <c r="C53" s="152"/>
      <c r="D53" s="155"/>
      <c r="E53" s="155"/>
      <c r="F53" s="157"/>
      <c r="G53" s="154"/>
      <c r="H53" s="152"/>
      <c r="I53" s="155" t="s">
        <v>1260</v>
      </c>
      <c r="J53" s="152"/>
      <c r="K53" s="154"/>
      <c r="L53" s="154" t="s">
        <v>1278</v>
      </c>
      <c r="M53" s="227">
        <v>7885.146262009599</v>
      </c>
      <c r="N53" s="157" t="s">
        <v>1269</v>
      </c>
      <c r="O53" s="227">
        <f t="shared" si="4"/>
        <v>0</v>
      </c>
      <c r="P53" s="152">
        <f t="shared" si="5"/>
        <v>612033.92599999974</v>
      </c>
    </row>
    <row r="54" spans="1:16" x14ac:dyDescent="0.15">
      <c r="A54" s="154"/>
      <c r="B54" s="151"/>
      <c r="C54" s="152"/>
      <c r="D54" s="155"/>
      <c r="E54" s="155"/>
      <c r="F54" s="157"/>
      <c r="G54" s="154"/>
      <c r="H54" s="152"/>
      <c r="I54" s="155" t="s">
        <v>1260</v>
      </c>
      <c r="J54" s="152"/>
      <c r="K54" s="154"/>
      <c r="L54" s="154" t="s">
        <v>1279</v>
      </c>
      <c r="M54" s="227">
        <v>25056.553737990402</v>
      </c>
      <c r="N54" s="157" t="s">
        <v>1270</v>
      </c>
      <c r="O54" s="227">
        <f>H38+O53-J54-M54</f>
        <v>58695.297262009597</v>
      </c>
      <c r="P54" s="152">
        <f t="shared" si="5"/>
        <v>586977.3722620093</v>
      </c>
    </row>
    <row r="55" spans="1:16" x14ac:dyDescent="0.15">
      <c r="A55" s="154"/>
      <c r="B55" s="151"/>
      <c r="C55" s="152"/>
      <c r="D55" s="155" t="s">
        <v>1261</v>
      </c>
      <c r="E55" s="154" t="s">
        <v>72</v>
      </c>
      <c r="F55" s="157" t="s">
        <v>1274</v>
      </c>
      <c r="G55" s="154"/>
      <c r="H55" s="152">
        <v>122110.50599999999</v>
      </c>
      <c r="I55" s="155" t="s">
        <v>1261</v>
      </c>
      <c r="J55" s="152">
        <v>532.26969999999994</v>
      </c>
      <c r="K55" s="157" t="s">
        <v>1270</v>
      </c>
      <c r="L55" s="154" t="s">
        <v>1279</v>
      </c>
      <c r="M55" s="227">
        <v>58163.0275620096</v>
      </c>
      <c r="N55" s="157" t="s">
        <v>1270</v>
      </c>
      <c r="O55" s="227">
        <f t="shared" si="4"/>
        <v>0</v>
      </c>
      <c r="P55" s="152">
        <f t="shared" si="5"/>
        <v>650392.58099999966</v>
      </c>
    </row>
    <row r="56" spans="1:16" x14ac:dyDescent="0.15">
      <c r="A56" s="154"/>
      <c r="B56" s="151"/>
      <c r="C56" s="152"/>
      <c r="D56" s="155"/>
      <c r="E56" s="154"/>
      <c r="F56" s="157"/>
      <c r="G56" s="154"/>
      <c r="H56" s="152"/>
      <c r="I56" s="155" t="s">
        <v>1261</v>
      </c>
      <c r="J56" s="152"/>
      <c r="K56" s="154"/>
      <c r="L56" s="154" t="s">
        <v>1279</v>
      </c>
      <c r="M56" s="227">
        <v>19529.232437990398</v>
      </c>
      <c r="N56" s="154" t="s">
        <v>1271</v>
      </c>
      <c r="O56" s="227">
        <f>H40+H42+O55-J56-M56</f>
        <v>186419.24456200961</v>
      </c>
      <c r="P56" s="152">
        <f t="shared" ref="P56:P60" si="22">P55+H56-J56-M56</f>
        <v>630863.34856200928</v>
      </c>
    </row>
    <row r="57" spans="1:16" x14ac:dyDescent="0.15">
      <c r="A57" s="154"/>
      <c r="B57" s="151"/>
      <c r="C57" s="152"/>
      <c r="D57" s="155"/>
      <c r="E57" s="155"/>
      <c r="F57" s="157"/>
      <c r="G57" s="154"/>
      <c r="H57" s="152"/>
      <c r="I57" s="155" t="s">
        <v>1261</v>
      </c>
      <c r="J57" s="152"/>
      <c r="K57" s="154"/>
      <c r="L57" s="154" t="s">
        <v>1279</v>
      </c>
      <c r="M57" s="227">
        <v>80055.37</v>
      </c>
      <c r="N57" s="154" t="s">
        <v>1271</v>
      </c>
      <c r="O57" s="227">
        <f t="shared" ref="O57:O60" si="23">+O56-J57-M57</f>
        <v>106363.87456200962</v>
      </c>
      <c r="P57" s="152">
        <f t="shared" si="22"/>
        <v>550807.97856200929</v>
      </c>
    </row>
    <row r="58" spans="1:16" x14ac:dyDescent="0.15">
      <c r="A58" s="154"/>
      <c r="B58" s="151"/>
      <c r="C58" s="152"/>
      <c r="D58" s="155"/>
      <c r="E58" s="155"/>
      <c r="F58" s="157"/>
      <c r="G58" s="154"/>
      <c r="H58" s="152"/>
      <c r="I58" s="155" t="s">
        <v>1261</v>
      </c>
      <c r="J58" s="152"/>
      <c r="K58" s="154"/>
      <c r="L58" s="154" t="s">
        <v>1279</v>
      </c>
      <c r="M58" s="227">
        <v>35692.080000000002</v>
      </c>
      <c r="N58" s="154" t="s">
        <v>1271</v>
      </c>
      <c r="O58" s="227">
        <f t="shared" si="23"/>
        <v>70671.794562009614</v>
      </c>
      <c r="P58" s="152">
        <f t="shared" si="22"/>
        <v>515115.89856200927</v>
      </c>
    </row>
    <row r="59" spans="1:16" x14ac:dyDescent="0.15">
      <c r="A59" s="154"/>
      <c r="B59" s="151"/>
      <c r="C59" s="152"/>
      <c r="D59" s="155" t="s">
        <v>1262</v>
      </c>
      <c r="E59" s="154" t="s">
        <v>72</v>
      </c>
      <c r="F59" s="157" t="s">
        <v>1274</v>
      </c>
      <c r="G59" s="154"/>
      <c r="H59" s="152">
        <v>62138.377999999997</v>
      </c>
      <c r="I59" s="155" t="s">
        <v>1262</v>
      </c>
      <c r="J59" s="152"/>
      <c r="K59" s="154"/>
      <c r="L59" s="154" t="s">
        <v>1279</v>
      </c>
      <c r="M59" s="227">
        <v>35263.300000000003</v>
      </c>
      <c r="N59" s="154" t="s">
        <v>1271</v>
      </c>
      <c r="O59" s="227">
        <f t="shared" si="23"/>
        <v>35408.494562009611</v>
      </c>
      <c r="P59" s="152">
        <f t="shared" si="22"/>
        <v>541990.97656200919</v>
      </c>
    </row>
    <row r="60" spans="1:16" x14ac:dyDescent="0.15">
      <c r="A60" s="154"/>
      <c r="B60" s="151"/>
      <c r="C60" s="152"/>
      <c r="D60" s="155" t="s">
        <v>1263</v>
      </c>
      <c r="E60" s="154" t="s">
        <v>72</v>
      </c>
      <c r="F60" s="157" t="s">
        <v>1275</v>
      </c>
      <c r="G60" s="154"/>
      <c r="H60" s="152">
        <v>82122.956000000006</v>
      </c>
      <c r="I60" s="155" t="s">
        <v>1263</v>
      </c>
      <c r="J60" s="152"/>
      <c r="K60" s="154"/>
      <c r="L60" s="154" t="s">
        <v>1279</v>
      </c>
      <c r="M60" s="227">
        <v>699.86</v>
      </c>
      <c r="N60" s="154" t="s">
        <v>1271</v>
      </c>
      <c r="O60" s="227">
        <f t="shared" si="23"/>
        <v>34708.634562009611</v>
      </c>
      <c r="P60" s="152">
        <f t="shared" si="22"/>
        <v>623414.07256200921</v>
      </c>
    </row>
    <row r="61" spans="1:16" hidden="1" x14ac:dyDescent="0.15">
      <c r="A61" s="154"/>
      <c r="B61" s="151"/>
      <c r="C61" s="152"/>
      <c r="D61" s="155"/>
      <c r="E61" s="154"/>
      <c r="F61" s="157"/>
      <c r="G61" s="154"/>
      <c r="H61" s="152"/>
      <c r="I61" s="155"/>
      <c r="J61" s="152"/>
      <c r="K61" s="157"/>
      <c r="L61" s="154" t="e">
        <v>#N/A</v>
      </c>
      <c r="M61" s="227"/>
      <c r="N61" s="154"/>
      <c r="O61" s="227">
        <f t="shared" si="4"/>
        <v>34708.634562009611</v>
      </c>
      <c r="P61" s="152">
        <f t="shared" si="5"/>
        <v>623414.07256200921</v>
      </c>
    </row>
    <row r="62" spans="1:16" hidden="1" x14ac:dyDescent="0.15">
      <c r="A62" s="154"/>
      <c r="B62" s="151"/>
      <c r="C62" s="152"/>
      <c r="D62" s="155"/>
      <c r="E62" s="154"/>
      <c r="F62" s="157"/>
      <c r="G62" s="154"/>
      <c r="H62" s="152"/>
      <c r="I62" s="155"/>
      <c r="J62" s="152"/>
      <c r="K62" s="157"/>
      <c r="L62" s="154" t="e">
        <v>#N/A</v>
      </c>
      <c r="M62" s="227"/>
      <c r="N62" s="154"/>
      <c r="O62" s="227">
        <f t="shared" si="4"/>
        <v>34708.634562009611</v>
      </c>
      <c r="P62" s="152">
        <f t="shared" si="5"/>
        <v>623414.07256200921</v>
      </c>
    </row>
    <row r="63" spans="1:16" hidden="1" x14ac:dyDescent="0.15">
      <c r="A63" s="154"/>
      <c r="B63" s="151"/>
      <c r="C63" s="152"/>
      <c r="D63" s="155"/>
      <c r="E63" s="155"/>
      <c r="F63" s="157"/>
      <c r="G63" s="154"/>
      <c r="H63" s="152"/>
      <c r="I63" s="155"/>
      <c r="J63" s="152"/>
      <c r="K63" s="154"/>
      <c r="L63" s="154" t="e">
        <v>#N/A</v>
      </c>
      <c r="M63" s="227"/>
      <c r="N63" s="157"/>
      <c r="O63" s="227">
        <f t="shared" si="4"/>
        <v>34708.634562009611</v>
      </c>
      <c r="P63" s="152">
        <f t="shared" si="5"/>
        <v>623414.07256200921</v>
      </c>
    </row>
    <row r="64" spans="1:16" hidden="1" x14ac:dyDescent="0.15">
      <c r="A64" s="154"/>
      <c r="B64" s="151"/>
      <c r="C64" s="152"/>
      <c r="D64" s="155"/>
      <c r="E64" s="155"/>
      <c r="F64" s="157"/>
      <c r="G64" s="154"/>
      <c r="H64" s="152"/>
      <c r="I64" s="155"/>
      <c r="J64" s="152"/>
      <c r="K64" s="157"/>
      <c r="L64" s="154" t="e">
        <v>#N/A</v>
      </c>
      <c r="M64" s="227"/>
      <c r="N64" s="157"/>
      <c r="O64" s="227">
        <f t="shared" si="4"/>
        <v>34708.634562009611</v>
      </c>
      <c r="P64" s="152">
        <f t="shared" si="5"/>
        <v>623414.07256200921</v>
      </c>
    </row>
    <row r="65" spans="1:16" hidden="1" x14ac:dyDescent="0.15">
      <c r="A65" s="154"/>
      <c r="B65" s="151"/>
      <c r="C65" s="152"/>
      <c r="D65" s="155"/>
      <c r="E65" s="155"/>
      <c r="F65" s="157"/>
      <c r="G65" s="154"/>
      <c r="H65" s="152"/>
      <c r="I65" s="155"/>
      <c r="J65" s="152"/>
      <c r="K65" s="157"/>
      <c r="L65" s="154" t="e">
        <v>#N/A</v>
      </c>
      <c r="M65" s="227"/>
      <c r="N65" s="157"/>
      <c r="O65" s="227">
        <f t="shared" si="4"/>
        <v>34708.634562009611</v>
      </c>
      <c r="P65" s="152">
        <f t="shared" si="5"/>
        <v>623414.07256200921</v>
      </c>
    </row>
    <row r="66" spans="1:16" hidden="1" x14ac:dyDescent="0.15">
      <c r="A66" s="154"/>
      <c r="B66" s="151"/>
      <c r="C66" s="152"/>
      <c r="D66" s="155"/>
      <c r="E66" s="155"/>
      <c r="F66" s="157"/>
      <c r="G66" s="154"/>
      <c r="H66" s="152"/>
      <c r="I66" s="155"/>
      <c r="J66" s="152"/>
      <c r="K66" s="157"/>
      <c r="L66" s="154" t="e">
        <v>#N/A</v>
      </c>
      <c r="M66" s="227"/>
      <c r="N66" s="157"/>
      <c r="O66" s="227">
        <f t="shared" si="4"/>
        <v>34708.634562009611</v>
      </c>
      <c r="P66" s="152">
        <f t="shared" si="5"/>
        <v>623414.07256200921</v>
      </c>
    </row>
    <row r="67" spans="1:16" hidden="1" x14ac:dyDescent="0.15">
      <c r="A67" s="154"/>
      <c r="B67" s="151"/>
      <c r="C67" s="152"/>
      <c r="D67" s="155"/>
      <c r="E67" s="155"/>
      <c r="F67" s="157"/>
      <c r="G67" s="154"/>
      <c r="H67" s="152"/>
      <c r="I67" s="155"/>
      <c r="J67" s="152"/>
      <c r="K67" s="157"/>
      <c r="L67" s="154" t="e">
        <v>#N/A</v>
      </c>
      <c r="M67" s="227"/>
      <c r="N67" s="157"/>
      <c r="O67" s="227">
        <f t="shared" si="4"/>
        <v>34708.634562009611</v>
      </c>
      <c r="P67" s="152">
        <f t="shared" si="5"/>
        <v>623414.07256200921</v>
      </c>
    </row>
    <row r="68" spans="1:16" hidden="1" x14ac:dyDescent="0.15">
      <c r="A68" s="154"/>
      <c r="B68" s="151"/>
      <c r="C68" s="152"/>
      <c r="D68" s="155"/>
      <c r="E68" s="155"/>
      <c r="F68" s="157"/>
      <c r="G68" s="154"/>
      <c r="H68" s="152"/>
      <c r="I68" s="155"/>
      <c r="J68" s="152"/>
      <c r="K68" s="154"/>
      <c r="L68" s="154" t="e">
        <v>#N/A</v>
      </c>
      <c r="M68" s="227"/>
      <c r="N68" s="157"/>
      <c r="O68" s="227">
        <f t="shared" si="4"/>
        <v>34708.634562009611</v>
      </c>
      <c r="P68" s="152">
        <f t="shared" si="5"/>
        <v>623414.07256200921</v>
      </c>
    </row>
    <row r="69" spans="1:16" hidden="1" x14ac:dyDescent="0.15">
      <c r="A69" s="154"/>
      <c r="B69" s="151"/>
      <c r="C69" s="152"/>
      <c r="D69" s="155"/>
      <c r="E69" s="155"/>
      <c r="F69" s="157"/>
      <c r="G69" s="154"/>
      <c r="H69" s="152"/>
      <c r="I69" s="155"/>
      <c r="J69" s="152"/>
      <c r="K69" s="157"/>
      <c r="L69" s="154" t="e">
        <v>#N/A</v>
      </c>
      <c r="M69" s="227"/>
      <c r="N69" s="157"/>
      <c r="O69" s="227">
        <f t="shared" si="4"/>
        <v>34708.634562009611</v>
      </c>
      <c r="P69" s="152">
        <f t="shared" si="5"/>
        <v>623414.07256200921</v>
      </c>
    </row>
    <row r="70" spans="1:16" hidden="1" x14ac:dyDescent="0.15">
      <c r="A70" s="154"/>
      <c r="B70" s="151"/>
      <c r="C70" s="152"/>
      <c r="D70" s="155"/>
      <c r="E70" s="155"/>
      <c r="F70" s="157"/>
      <c r="G70" s="154"/>
      <c r="H70" s="152"/>
      <c r="I70" s="155"/>
      <c r="J70" s="152"/>
      <c r="K70" s="150"/>
      <c r="L70" s="154" t="e">
        <v>#N/A</v>
      </c>
      <c r="M70" s="227"/>
      <c r="N70" s="157"/>
      <c r="O70" s="227">
        <f t="shared" si="4"/>
        <v>34708.634562009611</v>
      </c>
      <c r="P70" s="152">
        <f t="shared" si="5"/>
        <v>623414.07256200921</v>
      </c>
    </row>
    <row r="71" spans="1:16" hidden="1" x14ac:dyDescent="0.15">
      <c r="A71" s="154"/>
      <c r="B71" s="151"/>
      <c r="C71" s="152"/>
      <c r="D71" s="155"/>
      <c r="E71" s="155"/>
      <c r="F71" s="157"/>
      <c r="G71" s="154"/>
      <c r="H71" s="152"/>
      <c r="I71" s="155"/>
      <c r="J71" s="152"/>
      <c r="K71" s="150"/>
      <c r="L71" s="154" t="e">
        <v>#N/A</v>
      </c>
      <c r="M71" s="227"/>
      <c r="N71" s="157"/>
      <c r="O71" s="227">
        <f t="shared" si="4"/>
        <v>34708.634562009611</v>
      </c>
      <c r="P71" s="152">
        <f t="shared" si="5"/>
        <v>623414.07256200921</v>
      </c>
    </row>
    <row r="72" spans="1:16" hidden="1" x14ac:dyDescent="0.15">
      <c r="A72" s="154"/>
      <c r="B72" s="151"/>
      <c r="C72" s="152"/>
      <c r="D72" s="155"/>
      <c r="E72" s="155"/>
      <c r="F72" s="157"/>
      <c r="G72" s="154"/>
      <c r="H72" s="152"/>
      <c r="I72" s="155"/>
      <c r="J72" s="152"/>
      <c r="K72" s="150"/>
      <c r="L72" s="154" t="e">
        <v>#N/A</v>
      </c>
      <c r="M72" s="227"/>
      <c r="N72" s="157"/>
      <c r="O72" s="227">
        <f t="shared" si="4"/>
        <v>34708.634562009611</v>
      </c>
      <c r="P72" s="152">
        <f t="shared" si="5"/>
        <v>623414.07256200921</v>
      </c>
    </row>
    <row r="73" spans="1:16" hidden="1" x14ac:dyDescent="0.15">
      <c r="A73" s="154"/>
      <c r="B73" s="151"/>
      <c r="C73" s="152"/>
      <c r="D73" s="155"/>
      <c r="E73" s="155"/>
      <c r="F73" s="157"/>
      <c r="G73" s="154"/>
      <c r="H73" s="152"/>
      <c r="I73" s="155"/>
      <c r="J73" s="152"/>
      <c r="K73" s="157"/>
      <c r="L73" s="154" t="e">
        <v>#N/A</v>
      </c>
      <c r="M73" s="227"/>
      <c r="N73" s="154"/>
      <c r="O73" s="227">
        <f t="shared" si="4"/>
        <v>34708.634562009611</v>
      </c>
      <c r="P73" s="152">
        <f t="shared" si="5"/>
        <v>623414.07256200921</v>
      </c>
    </row>
    <row r="74" spans="1:16" hidden="1" x14ac:dyDescent="0.15">
      <c r="A74" s="154"/>
      <c r="B74" s="151"/>
      <c r="C74" s="152"/>
      <c r="D74" s="155"/>
      <c r="E74" s="154"/>
      <c r="F74" s="160"/>
      <c r="G74" s="151"/>
      <c r="H74" s="152"/>
      <c r="I74" s="155"/>
      <c r="J74" s="152"/>
      <c r="K74" s="150"/>
      <c r="L74" s="154" t="e">
        <v>#N/A</v>
      </c>
      <c r="M74" s="227"/>
      <c r="N74" s="157"/>
      <c r="O74" s="227">
        <f t="shared" si="4"/>
        <v>34708.634562009611</v>
      </c>
      <c r="P74" s="152">
        <f t="shared" si="5"/>
        <v>623414.07256200921</v>
      </c>
    </row>
    <row r="75" spans="1:16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4"/>
        <v>34708.634562009611</v>
      </c>
      <c r="P75" s="152">
        <f t="shared" si="5"/>
        <v>623414.07256200921</v>
      </c>
    </row>
    <row r="76" spans="1:16" x14ac:dyDescent="0.15">
      <c r="A76" s="177"/>
      <c r="B76" s="177"/>
      <c r="C76" s="178">
        <f>SUM(C7:C74)</f>
        <v>537248.62626200961</v>
      </c>
      <c r="D76" s="177"/>
      <c r="E76" s="177"/>
      <c r="F76" s="177"/>
      <c r="G76" s="177"/>
      <c r="H76" s="178">
        <f>SUM(H7:H74)</f>
        <v>1514079.1159999999</v>
      </c>
      <c r="I76" s="179"/>
      <c r="J76" s="178">
        <f>SUM(J7:J74)</f>
        <v>24207.059700000002</v>
      </c>
      <c r="K76" s="177"/>
      <c r="L76" s="177"/>
      <c r="M76" s="229">
        <f>SUM(M9:M74)</f>
        <v>1403706.6100000003</v>
      </c>
      <c r="N76" s="177"/>
      <c r="O76" s="180"/>
      <c r="P76" s="181">
        <f>C76+H76-J76-M76</f>
        <v>623414.0725620091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1427913.6697000004</v>
      </c>
      <c r="N77" s="197"/>
      <c r="O77" s="230">
        <f>+O75</f>
        <v>34708.634562009611</v>
      </c>
      <c r="P77" s="195" t="s">
        <v>1271</v>
      </c>
    </row>
    <row r="78" spans="1:16" x14ac:dyDescent="0.15">
      <c r="A78" s="193"/>
      <c r="B78" s="470"/>
      <c r="C78" s="470"/>
      <c r="D78" s="470"/>
      <c r="E78" s="183"/>
      <c r="F78" s="472"/>
      <c r="G78" s="472"/>
      <c r="H78" s="219"/>
      <c r="I78" s="186"/>
      <c r="J78" s="187"/>
      <c r="K78" s="210"/>
      <c r="L78" s="210"/>
      <c r="O78" s="230">
        <f>+H47</f>
        <v>122152.927</v>
      </c>
      <c r="P78" s="195" t="s">
        <v>1272</v>
      </c>
    </row>
    <row r="79" spans="1:16" x14ac:dyDescent="0.15">
      <c r="A79" s="193" t="s">
        <v>1212</v>
      </c>
      <c r="B79" s="277" t="s">
        <v>1239</v>
      </c>
      <c r="C79" s="276"/>
      <c r="D79" s="276"/>
      <c r="E79" s="183" t="s">
        <v>55</v>
      </c>
      <c r="F79" s="471">
        <v>702912.22</v>
      </c>
      <c r="G79" s="471"/>
      <c r="H79" s="219" t="s">
        <v>56</v>
      </c>
      <c r="I79" s="186">
        <v>41173</v>
      </c>
      <c r="J79" s="187" t="s">
        <v>71</v>
      </c>
      <c r="K79" s="210">
        <v>146631.67626200966</v>
      </c>
      <c r="L79" s="210"/>
      <c r="O79" s="230">
        <f>+H51</f>
        <v>120155.12299999999</v>
      </c>
      <c r="P79" s="195" t="s">
        <v>1273</v>
      </c>
    </row>
    <row r="80" spans="1:16" x14ac:dyDescent="0.15">
      <c r="A80" s="193" t="s">
        <v>1213</v>
      </c>
      <c r="B80" s="277" t="s">
        <v>1280</v>
      </c>
      <c r="C80" s="276"/>
      <c r="D80" s="276"/>
      <c r="E80" s="183" t="s">
        <v>55</v>
      </c>
      <c r="F80" s="471">
        <v>2127316.08</v>
      </c>
      <c r="G80" s="471"/>
      <c r="H80" s="219" t="s">
        <v>56</v>
      </c>
      <c r="I80" s="186">
        <v>41176</v>
      </c>
      <c r="J80" s="187" t="s">
        <v>71</v>
      </c>
      <c r="K80" s="210">
        <v>61978.706000000006</v>
      </c>
      <c r="L80" s="210"/>
      <c r="O80" s="230">
        <f>+H52+H55+H59</f>
        <v>264274.43200000003</v>
      </c>
      <c r="P80" s="195" t="s">
        <v>1274</v>
      </c>
    </row>
    <row r="81" spans="1:16" x14ac:dyDescent="0.15">
      <c r="A81" s="133" t="s">
        <v>1234</v>
      </c>
      <c r="B81" s="278" t="s">
        <v>1290</v>
      </c>
      <c r="C81" s="276"/>
      <c r="D81" s="276"/>
      <c r="E81" s="183" t="s">
        <v>55</v>
      </c>
      <c r="F81" s="471">
        <v>643449.62</v>
      </c>
      <c r="G81" s="471"/>
      <c r="H81" s="219" t="s">
        <v>56</v>
      </c>
      <c r="I81" s="186">
        <v>41187</v>
      </c>
      <c r="J81" s="187" t="s">
        <v>71</v>
      </c>
      <c r="K81" s="210">
        <v>79950.115000000005</v>
      </c>
      <c r="L81" s="210"/>
      <c r="O81" s="230">
        <f>+H60</f>
        <v>82122.956000000006</v>
      </c>
      <c r="P81" s="195" t="s">
        <v>1275</v>
      </c>
    </row>
    <row r="82" spans="1:16" x14ac:dyDescent="0.15">
      <c r="A82" s="193" t="s">
        <v>1233</v>
      </c>
      <c r="B82" s="278" t="s">
        <v>1281</v>
      </c>
      <c r="C82" s="276"/>
      <c r="D82" s="276"/>
      <c r="E82" s="183" t="s">
        <v>55</v>
      </c>
      <c r="F82" s="471">
        <v>2151842.84</v>
      </c>
      <c r="G82" s="471"/>
      <c r="H82" s="219" t="s">
        <v>56</v>
      </c>
      <c r="I82" s="186">
        <v>41208</v>
      </c>
      <c r="J82" s="187" t="s">
        <v>71</v>
      </c>
      <c r="K82" s="210">
        <v>123682.215</v>
      </c>
      <c r="L82" s="210"/>
      <c r="O82" s="230"/>
      <c r="P82" s="195"/>
    </row>
    <row r="83" spans="1:16" x14ac:dyDescent="0.15">
      <c r="A83" s="193" t="s">
        <v>1277</v>
      </c>
      <c r="B83" s="278" t="s">
        <v>1282</v>
      </c>
      <c r="C83" s="276"/>
      <c r="D83" s="276"/>
      <c r="E83" s="183" t="s">
        <v>55</v>
      </c>
      <c r="F83" s="471">
        <v>599167.65</v>
      </c>
      <c r="G83" s="471"/>
      <c r="H83" s="219" t="s">
        <v>56</v>
      </c>
      <c r="I83" s="186">
        <v>41225</v>
      </c>
      <c r="J83" s="187" t="s">
        <v>71</v>
      </c>
      <c r="K83" s="210">
        <v>41995.741000000002</v>
      </c>
      <c r="L83" s="210"/>
      <c r="O83" s="230"/>
      <c r="P83" s="195"/>
    </row>
    <row r="84" spans="1:16" x14ac:dyDescent="0.15">
      <c r="A84" s="133" t="s">
        <v>1268</v>
      </c>
      <c r="B84" s="277" t="s">
        <v>1283</v>
      </c>
      <c r="C84" s="276"/>
      <c r="D84" s="276"/>
      <c r="E84" s="183" t="s">
        <v>55</v>
      </c>
      <c r="F84" s="471">
        <v>2295475.11</v>
      </c>
      <c r="G84" s="471"/>
      <c r="H84" s="219" t="s">
        <v>56</v>
      </c>
      <c r="I84" s="186">
        <v>41228</v>
      </c>
      <c r="J84" s="187" t="s">
        <v>71</v>
      </c>
      <c r="K84" s="210">
        <v>204429.44899999999</v>
      </c>
      <c r="L84" s="210"/>
      <c r="O84" s="206" t="s">
        <v>33</v>
      </c>
      <c r="P84" s="207">
        <f>SUM(O77:O83)</f>
        <v>623414.07256200968</v>
      </c>
    </row>
    <row r="85" spans="1:16" x14ac:dyDescent="0.15">
      <c r="A85" s="133" t="s">
        <v>1269</v>
      </c>
      <c r="B85" s="277" t="s">
        <v>1284</v>
      </c>
      <c r="C85" s="276"/>
      <c r="D85" s="276"/>
      <c r="E85" s="183" t="s">
        <v>55</v>
      </c>
      <c r="F85" s="471">
        <v>2127212.12</v>
      </c>
      <c r="G85" s="471"/>
      <c r="H85" s="219" t="s">
        <v>56</v>
      </c>
      <c r="I85" s="186">
        <v>41232</v>
      </c>
      <c r="J85" s="187" t="s">
        <v>71</v>
      </c>
      <c r="K85" s="210">
        <v>115977.40700000001</v>
      </c>
      <c r="L85" s="210"/>
      <c r="P85" s="132">
        <f>+P76-P84</f>
        <v>0</v>
      </c>
    </row>
    <row r="86" spans="1:16" s="132" customFormat="1" ht="12" thickBot="1" x14ac:dyDescent="0.2">
      <c r="A86" s="133"/>
      <c r="B86" s="276"/>
      <c r="C86" s="276"/>
      <c r="D86" s="276"/>
      <c r="E86" s="183"/>
      <c r="F86" s="275"/>
      <c r="G86" s="275"/>
      <c r="H86" s="219"/>
      <c r="I86" s="186"/>
      <c r="J86" s="217" t="s">
        <v>856</v>
      </c>
      <c r="K86" s="211">
        <f>SUM(K79:K85)</f>
        <v>774645.30926200957</v>
      </c>
      <c r="L86" s="133"/>
      <c r="N86" s="134"/>
    </row>
    <row r="87" spans="1:16" s="132" customFormat="1" ht="12" thickTop="1" x14ac:dyDescent="0.15">
      <c r="A87" s="133" t="s">
        <v>1235</v>
      </c>
      <c r="B87" s="131" t="s">
        <v>1285</v>
      </c>
      <c r="C87" s="131"/>
      <c r="D87" s="131"/>
      <c r="E87" s="183" t="s">
        <v>55</v>
      </c>
      <c r="F87" s="471">
        <v>42902524.030000001</v>
      </c>
      <c r="G87" s="471"/>
      <c r="H87" s="219" t="s">
        <v>56</v>
      </c>
      <c r="I87" s="186">
        <v>41190</v>
      </c>
      <c r="J87" s="187" t="s">
        <v>71</v>
      </c>
      <c r="K87" s="210">
        <v>117254.524</v>
      </c>
      <c r="L87" s="210"/>
      <c r="N87" s="134"/>
    </row>
    <row r="88" spans="1:16" s="132" customFormat="1" x14ac:dyDescent="0.15">
      <c r="A88" s="133" t="s">
        <v>1276</v>
      </c>
      <c r="B88" s="131" t="s">
        <v>1286</v>
      </c>
      <c r="C88" s="131"/>
      <c r="D88" s="131"/>
      <c r="E88" s="183" t="s">
        <v>55</v>
      </c>
      <c r="F88" s="471">
        <v>48129304.07</v>
      </c>
      <c r="G88" s="471"/>
      <c r="H88" s="219" t="s">
        <v>56</v>
      </c>
      <c r="I88" s="186">
        <v>41218</v>
      </c>
      <c r="J88" s="187" t="s">
        <v>71</v>
      </c>
      <c r="K88" s="210">
        <v>34769.951000000001</v>
      </c>
      <c r="L88" s="210"/>
      <c r="N88" s="134"/>
    </row>
    <row r="89" spans="1:16" s="132" customFormat="1" x14ac:dyDescent="0.15">
      <c r="A89" s="133" t="s">
        <v>1267</v>
      </c>
      <c r="B89" s="131" t="s">
        <v>1287</v>
      </c>
      <c r="C89" s="131"/>
      <c r="D89" s="131"/>
      <c r="E89" s="183" t="s">
        <v>55</v>
      </c>
      <c r="F89" s="471">
        <v>26569243</v>
      </c>
      <c r="G89" s="471"/>
      <c r="H89" s="219" t="s">
        <v>56</v>
      </c>
      <c r="I89" s="186">
        <v>41219</v>
      </c>
      <c r="J89" s="187" t="s">
        <v>71</v>
      </c>
      <c r="K89" s="210">
        <v>222577.40199999997</v>
      </c>
      <c r="L89" s="210"/>
      <c r="N89" s="134"/>
    </row>
    <row r="90" spans="1:16" s="132" customFormat="1" x14ac:dyDescent="0.15">
      <c r="A90" s="133" t="s">
        <v>1270</v>
      </c>
      <c r="B90" s="131" t="s">
        <v>1288</v>
      </c>
      <c r="C90" s="131"/>
      <c r="D90" s="131"/>
      <c r="E90" s="183" t="s">
        <v>55</v>
      </c>
      <c r="F90" s="471">
        <v>108107764.45</v>
      </c>
      <c r="G90" s="471"/>
      <c r="H90" s="219" t="s">
        <v>56</v>
      </c>
      <c r="I90" s="186">
        <v>41235</v>
      </c>
      <c r="J90" s="187" t="s">
        <v>71</v>
      </c>
      <c r="K90" s="210">
        <v>83219.581300000005</v>
      </c>
      <c r="L90" s="210"/>
      <c r="N90" s="134"/>
    </row>
    <row r="91" spans="1:16" s="132" customFormat="1" x14ac:dyDescent="0.15">
      <c r="A91" s="193" t="s">
        <v>1271</v>
      </c>
      <c r="B91" s="131" t="s">
        <v>1289</v>
      </c>
      <c r="C91" s="131"/>
      <c r="D91" s="131"/>
      <c r="E91" s="183" t="s">
        <v>55</v>
      </c>
      <c r="F91" s="471">
        <v>37420414.969999999</v>
      </c>
      <c r="G91" s="471"/>
      <c r="H91" s="219" t="s">
        <v>56</v>
      </c>
      <c r="I91" s="186">
        <v>41239</v>
      </c>
      <c r="J91" s="187" t="s">
        <v>71</v>
      </c>
      <c r="K91" s="210">
        <v>171239.84243799036</v>
      </c>
      <c r="L91" s="133"/>
      <c r="N91" s="134"/>
    </row>
    <row r="92" spans="1:16" s="132" customFormat="1" ht="12" thickBot="1" x14ac:dyDescent="0.2">
      <c r="A92" s="193"/>
      <c r="B92" s="210"/>
      <c r="C92" s="221"/>
      <c r="D92" s="237"/>
      <c r="E92" s="235"/>
      <c r="F92" s="235"/>
      <c r="G92" s="236"/>
      <c r="I92" s="133"/>
      <c r="J92" s="218" t="s">
        <v>106</v>
      </c>
      <c r="K92" s="212">
        <f>SUM(K87:K91)</f>
        <v>629061.3007379903</v>
      </c>
      <c r="L92" s="133"/>
      <c r="N92" s="134"/>
    </row>
    <row r="93" spans="1:16" s="132" customFormat="1" ht="12" thickTop="1" x14ac:dyDescent="0.15">
      <c r="A93" s="193"/>
      <c r="B93" s="210"/>
      <c r="C93" s="221"/>
      <c r="D93" s="237"/>
      <c r="E93" s="235"/>
      <c r="F93" s="235"/>
      <c r="G93" s="236"/>
      <c r="I93" s="133"/>
      <c r="K93" s="205"/>
      <c r="L93" s="133"/>
      <c r="N93" s="134"/>
    </row>
    <row r="94" spans="1:16" s="132" customFormat="1" x14ac:dyDescent="0.15">
      <c r="A94" s="133"/>
      <c r="B94" s="133" t="s">
        <v>9</v>
      </c>
      <c r="C94" s="220" t="s">
        <v>729</v>
      </c>
      <c r="D94" s="220" t="s">
        <v>850</v>
      </c>
      <c r="E94" s="133" t="s">
        <v>570</v>
      </c>
      <c r="F94" s="133" t="s">
        <v>571</v>
      </c>
      <c r="G94" s="133" t="s">
        <v>16</v>
      </c>
      <c r="I94" s="134"/>
      <c r="J94" s="134"/>
      <c r="K94" s="205"/>
      <c r="L94" s="133"/>
      <c r="N94" s="134"/>
    </row>
    <row r="95" spans="1:16" s="132" customFormat="1" x14ac:dyDescent="0.15">
      <c r="A95" s="193" t="s">
        <v>1212</v>
      </c>
      <c r="B95" s="210">
        <v>146632</v>
      </c>
      <c r="C95" s="221">
        <v>26.5944</v>
      </c>
      <c r="D95" s="237">
        <f t="shared" ref="D95:D107" si="24">+B95*C95</f>
        <v>3899590.0608000001</v>
      </c>
      <c r="E95" s="235">
        <f t="shared" ref="E95:E107" si="25">+D95*0.01</f>
        <v>38995.900608000004</v>
      </c>
      <c r="F95" s="235">
        <f t="shared" ref="F95:F107" si="26">+E95*0.1</f>
        <v>3899.5900608000006</v>
      </c>
      <c r="G95" s="236">
        <f t="shared" ref="G95:G107" si="27">+E95+F95</f>
        <v>42895.490668800005</v>
      </c>
      <c r="I95" s="134"/>
      <c r="J95" s="134"/>
      <c r="K95" s="134"/>
      <c r="L95" s="133"/>
      <c r="N95" s="134"/>
    </row>
    <row r="96" spans="1:16" s="132" customFormat="1" x14ac:dyDescent="0.15">
      <c r="A96" s="193" t="s">
        <v>1213</v>
      </c>
      <c r="B96" s="210">
        <v>61979</v>
      </c>
      <c r="C96" s="221">
        <v>26.636500000000002</v>
      </c>
      <c r="D96" s="237">
        <f t="shared" si="24"/>
        <v>1650903.6335</v>
      </c>
      <c r="E96" s="235">
        <f t="shared" si="25"/>
        <v>16509.036335000001</v>
      </c>
      <c r="F96" s="235">
        <f t="shared" si="26"/>
        <v>1650.9036335000001</v>
      </c>
      <c r="G96" s="236">
        <f t="shared" si="27"/>
        <v>18159.939968500003</v>
      </c>
      <c r="I96" s="133"/>
      <c r="K96" s="134"/>
      <c r="L96" s="133"/>
      <c r="N96" s="134"/>
    </row>
    <row r="97" spans="1:14" s="132" customFormat="1" x14ac:dyDescent="0.15">
      <c r="A97" s="133" t="s">
        <v>1234</v>
      </c>
      <c r="B97" s="210">
        <v>79950</v>
      </c>
      <c r="C97" s="221">
        <v>25.317499999999999</v>
      </c>
      <c r="D97" s="237">
        <f t="shared" si="24"/>
        <v>2024134.125</v>
      </c>
      <c r="E97" s="235">
        <f t="shared" si="25"/>
        <v>20241.341250000001</v>
      </c>
      <c r="F97" s="235">
        <f t="shared" si="26"/>
        <v>2024.1341250000003</v>
      </c>
      <c r="G97" s="236">
        <f t="shared" si="27"/>
        <v>22265.475375000002</v>
      </c>
      <c r="I97" s="134"/>
      <c r="J97" s="134"/>
      <c r="K97" s="134"/>
      <c r="L97" s="133"/>
      <c r="N97" s="134"/>
    </row>
    <row r="98" spans="1:14" s="132" customFormat="1" x14ac:dyDescent="0.15">
      <c r="A98" s="193" t="s">
        <v>1233</v>
      </c>
      <c r="B98" s="210">
        <v>123682</v>
      </c>
      <c r="C98" s="221">
        <v>25.735800000000001</v>
      </c>
      <c r="D98" s="237">
        <f t="shared" si="24"/>
        <v>3183055.2156000002</v>
      </c>
      <c r="E98" s="235">
        <f t="shared" si="25"/>
        <v>31830.552156000002</v>
      </c>
      <c r="F98" s="235">
        <f t="shared" si="26"/>
        <v>3183.0552156000003</v>
      </c>
      <c r="G98" s="236">
        <f t="shared" si="27"/>
        <v>35013.607371600003</v>
      </c>
      <c r="I98" s="133"/>
      <c r="K98" s="134"/>
      <c r="L98" s="133"/>
      <c r="N98" s="134"/>
    </row>
    <row r="99" spans="1:14" s="132" customFormat="1" x14ac:dyDescent="0.15">
      <c r="A99" s="193" t="s">
        <v>1277</v>
      </c>
      <c r="B99" s="210">
        <v>41996</v>
      </c>
      <c r="C99" s="221">
        <v>24.3169</v>
      </c>
      <c r="D99" s="237">
        <f t="shared" si="24"/>
        <v>1021212.5324</v>
      </c>
      <c r="E99" s="235">
        <f t="shared" si="25"/>
        <v>10212.125324000001</v>
      </c>
      <c r="F99" s="235">
        <f t="shared" si="26"/>
        <v>1021.2125324000001</v>
      </c>
      <c r="G99" s="236">
        <f t="shared" si="27"/>
        <v>11233.337856400001</v>
      </c>
      <c r="I99" s="133"/>
      <c r="K99" s="134"/>
      <c r="L99" s="133"/>
      <c r="N99" s="134"/>
    </row>
    <row r="100" spans="1:14" s="132" customFormat="1" x14ac:dyDescent="0.15">
      <c r="A100" s="133" t="s">
        <v>1268</v>
      </c>
      <c r="B100" s="210">
        <v>204429</v>
      </c>
      <c r="C100" s="221">
        <v>24.171700000000001</v>
      </c>
      <c r="D100" s="237">
        <f t="shared" si="24"/>
        <v>4941396.4593000002</v>
      </c>
      <c r="E100" s="235">
        <f t="shared" si="25"/>
        <v>49413.964593000004</v>
      </c>
      <c r="F100" s="235">
        <f t="shared" si="26"/>
        <v>4941.396459300001</v>
      </c>
      <c r="G100" s="236">
        <f t="shared" si="27"/>
        <v>54355.361052300002</v>
      </c>
      <c r="I100" s="133"/>
      <c r="K100" s="134"/>
      <c r="L100" s="133"/>
      <c r="N100" s="134"/>
    </row>
    <row r="101" spans="1:14" s="132" customFormat="1" x14ac:dyDescent="0.15">
      <c r="A101" s="133" t="s">
        <v>1269</v>
      </c>
      <c r="B101" s="210">
        <v>115977</v>
      </c>
      <c r="C101" s="221">
        <v>24.241700000000002</v>
      </c>
      <c r="D101" s="237">
        <f t="shared" si="24"/>
        <v>2811479.6409</v>
      </c>
      <c r="E101" s="235">
        <f t="shared" si="25"/>
        <v>28114.796409000002</v>
      </c>
      <c r="F101" s="235">
        <f t="shared" si="26"/>
        <v>2811.4796409000005</v>
      </c>
      <c r="G101" s="236">
        <f t="shared" si="27"/>
        <v>30926.276049900003</v>
      </c>
      <c r="I101" s="133"/>
      <c r="K101" s="134"/>
      <c r="L101" s="133"/>
      <c r="N101" s="134"/>
    </row>
    <row r="102" spans="1:14" s="132" customFormat="1" ht="12" thickBot="1" x14ac:dyDescent="0.2">
      <c r="A102" s="133"/>
      <c r="B102" s="211">
        <f>SUM(B95:B101)</f>
        <v>774645</v>
      </c>
      <c r="C102" s="221"/>
      <c r="D102" s="237"/>
      <c r="E102" s="242">
        <f>SUM(E95:E101)</f>
        <v>195317.71667500003</v>
      </c>
      <c r="F102" s="242">
        <f>SUM(F95:F101)</f>
        <v>19531.771667500005</v>
      </c>
      <c r="G102" s="242">
        <f>SUM(G95:G101)</f>
        <v>214849.48834250003</v>
      </c>
      <c r="I102" s="244"/>
      <c r="K102" s="134"/>
      <c r="L102" s="133"/>
      <c r="N102" s="134"/>
    </row>
    <row r="103" spans="1:14" s="132" customFormat="1" ht="12" thickTop="1" x14ac:dyDescent="0.15">
      <c r="A103" s="133" t="s">
        <v>1235</v>
      </c>
      <c r="B103" s="210">
        <v>117255</v>
      </c>
      <c r="C103" s="221">
        <v>25.594200000000001</v>
      </c>
      <c r="D103" s="237">
        <f t="shared" si="24"/>
        <v>3001047.9210000001</v>
      </c>
      <c r="E103" s="235">
        <f t="shared" si="25"/>
        <v>30010.479210000001</v>
      </c>
      <c r="F103" s="235">
        <f t="shared" si="26"/>
        <v>3001.0479210000003</v>
      </c>
      <c r="G103" s="236">
        <f t="shared" si="27"/>
        <v>33011.527131000003</v>
      </c>
      <c r="I103" s="244"/>
      <c r="K103" s="134"/>
      <c r="L103" s="133"/>
      <c r="N103" s="134"/>
    </row>
    <row r="104" spans="1:14" s="132" customFormat="1" x14ac:dyDescent="0.15">
      <c r="A104" s="133" t="s">
        <v>1276</v>
      </c>
      <c r="B104" s="210">
        <v>34770</v>
      </c>
      <c r="C104" s="221">
        <v>24.8508</v>
      </c>
      <c r="D104" s="237">
        <f t="shared" si="24"/>
        <v>864062.31599999999</v>
      </c>
      <c r="E104" s="235">
        <f t="shared" si="25"/>
        <v>8640.6231599999992</v>
      </c>
      <c r="F104" s="235">
        <f t="shared" si="26"/>
        <v>864.06231600000001</v>
      </c>
      <c r="G104" s="236">
        <f t="shared" si="27"/>
        <v>9504.6854759999987</v>
      </c>
      <c r="I104" s="244"/>
      <c r="K104" s="134"/>
      <c r="L104" s="133"/>
      <c r="N104" s="134"/>
    </row>
    <row r="105" spans="1:14" s="132" customFormat="1" x14ac:dyDescent="0.15">
      <c r="A105" s="133" t="s">
        <v>1267</v>
      </c>
      <c r="B105" s="210">
        <v>222577</v>
      </c>
      <c r="C105" s="221">
        <v>24.812000000000001</v>
      </c>
      <c r="D105" s="237">
        <f t="shared" si="24"/>
        <v>5522580.5240000002</v>
      </c>
      <c r="E105" s="235">
        <f t="shared" si="25"/>
        <v>55225.805240000002</v>
      </c>
      <c r="F105" s="235">
        <f t="shared" si="26"/>
        <v>5522.5805240000009</v>
      </c>
      <c r="G105" s="236">
        <f t="shared" si="27"/>
        <v>60748.385764000006</v>
      </c>
      <c r="I105" s="244"/>
      <c r="K105" s="134"/>
      <c r="L105" s="133"/>
      <c r="N105" s="134"/>
    </row>
    <row r="106" spans="1:14" s="132" customFormat="1" x14ac:dyDescent="0.15">
      <c r="A106" s="133" t="s">
        <v>1270</v>
      </c>
      <c r="B106" s="210">
        <v>83220</v>
      </c>
      <c r="C106" s="221">
        <v>24.2179</v>
      </c>
      <c r="D106" s="237">
        <f t="shared" si="24"/>
        <v>2015413.638</v>
      </c>
      <c r="E106" s="235">
        <f t="shared" si="25"/>
        <v>20154.13638</v>
      </c>
      <c r="F106" s="235">
        <f t="shared" si="26"/>
        <v>2015.413638</v>
      </c>
      <c r="G106" s="236">
        <f t="shared" si="27"/>
        <v>22169.550018000002</v>
      </c>
      <c r="I106" s="244"/>
      <c r="K106" s="134"/>
      <c r="L106" s="133"/>
      <c r="N106" s="134"/>
    </row>
    <row r="107" spans="1:14" s="132" customFormat="1" x14ac:dyDescent="0.15">
      <c r="A107" s="193" t="s">
        <v>1271</v>
      </c>
      <c r="B107" s="210">
        <v>171240</v>
      </c>
      <c r="C107" s="221">
        <v>24.427299999999999</v>
      </c>
      <c r="D107" s="237">
        <f t="shared" si="24"/>
        <v>4182930.852</v>
      </c>
      <c r="E107" s="235">
        <f t="shared" si="25"/>
        <v>41829.308519999999</v>
      </c>
      <c r="F107" s="235">
        <f t="shared" si="26"/>
        <v>4182.9308520000004</v>
      </c>
      <c r="G107" s="236">
        <f t="shared" si="27"/>
        <v>46012.239371999996</v>
      </c>
      <c r="I107" s="244"/>
      <c r="K107" s="134"/>
      <c r="L107" s="133"/>
      <c r="N107" s="134"/>
    </row>
    <row r="108" spans="1:14" s="132" customFormat="1" ht="12" thickBot="1" x14ac:dyDescent="0.2">
      <c r="A108" s="134"/>
      <c r="B108" s="211">
        <f>SUM(B103:B107)</f>
        <v>629062</v>
      </c>
      <c r="D108" s="133"/>
      <c r="E108" s="234">
        <f>SUM(E103:E107)</f>
        <v>155860.35251</v>
      </c>
      <c r="F108" s="234">
        <f t="shared" ref="F108:G108" si="28">SUM(F103:F107)</f>
        <v>15586.035251000001</v>
      </c>
      <c r="G108" s="234">
        <f t="shared" si="28"/>
        <v>171446.38776100002</v>
      </c>
      <c r="I108" s="133"/>
      <c r="K108" s="134"/>
      <c r="L108" s="133"/>
      <c r="N108" s="134"/>
    </row>
    <row r="109" spans="1:14" s="132" customFormat="1" ht="12" thickTop="1" x14ac:dyDescent="0.15">
      <c r="A109" s="134"/>
      <c r="B109" s="131"/>
      <c r="D109" s="133"/>
      <c r="E109" s="133"/>
      <c r="F109" s="134"/>
      <c r="G109" s="133"/>
      <c r="I109" s="133"/>
      <c r="K109" s="134"/>
      <c r="L109" s="133"/>
      <c r="N109" s="134"/>
    </row>
    <row r="110" spans="1:14" x14ac:dyDescent="0.15">
      <c r="B110" s="231"/>
    </row>
  </sheetData>
  <mergeCells count="22">
    <mergeCell ref="F88:G88"/>
    <mergeCell ref="F89:G89"/>
    <mergeCell ref="F90:G90"/>
    <mergeCell ref="F91:G91"/>
    <mergeCell ref="F81:G81"/>
    <mergeCell ref="F82:G82"/>
    <mergeCell ref="F83:G83"/>
    <mergeCell ref="F84:G84"/>
    <mergeCell ref="F85:G85"/>
    <mergeCell ref="F87:G87"/>
    <mergeCell ref="F80:G80"/>
    <mergeCell ref="J3:L3"/>
    <mergeCell ref="A4:C4"/>
    <mergeCell ref="D4:H4"/>
    <mergeCell ref="I4:N4"/>
    <mergeCell ref="J5:K5"/>
    <mergeCell ref="L5:N5"/>
    <mergeCell ref="B77:D77"/>
    <mergeCell ref="F77:G77"/>
    <mergeCell ref="B78:D78"/>
    <mergeCell ref="F78:G78"/>
    <mergeCell ref="F79:G79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D1" zoomScale="115" zoomScaleNormal="115" workbookViewId="0">
      <pane ySplit="6" topLeftCell="A19" activePane="bottomLeft" state="frozen"/>
      <selection pane="bottomLeft" activeCell="D32" sqref="D32:D33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1215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1152</v>
      </c>
      <c r="B7" s="146"/>
      <c r="C7" s="147">
        <v>5340.1702620096094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5340.1702620096094</v>
      </c>
      <c r="P7" s="147">
        <f>+C39</f>
        <v>411170.02226200968</v>
      </c>
    </row>
    <row r="8" spans="1:16" x14ac:dyDescent="0.15">
      <c r="A8" s="154" t="s">
        <v>1153</v>
      </c>
      <c r="B8" s="151"/>
      <c r="C8" s="152">
        <v>59967.356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5340.1702620096094</v>
      </c>
      <c r="P8" s="152">
        <f t="shared" ref="P8:P38" si="0">P7+H8-J8-M8</f>
        <v>411170.02226200968</v>
      </c>
    </row>
    <row r="9" spans="1:16" x14ac:dyDescent="0.15">
      <c r="A9" s="157" t="s">
        <v>1164</v>
      </c>
      <c r="B9" s="151"/>
      <c r="C9" s="152">
        <v>19971.608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38" si="1">+O8-J9-M9</f>
        <v>5340.1702620096094</v>
      </c>
      <c r="P9" s="152">
        <f t="shared" si="0"/>
        <v>411170.02226200968</v>
      </c>
    </row>
    <row r="10" spans="1:16" x14ac:dyDescent="0.15">
      <c r="A10" s="154" t="s">
        <v>1212</v>
      </c>
      <c r="B10" s="151"/>
      <c r="C10" s="152">
        <v>263912.18200000003</v>
      </c>
      <c r="D10" s="155"/>
      <c r="E10" s="154"/>
      <c r="F10" s="157"/>
      <c r="G10" s="154"/>
      <c r="H10" s="152"/>
      <c r="I10" s="155"/>
      <c r="J10" s="152"/>
      <c r="K10" s="154"/>
      <c r="L10" s="154"/>
      <c r="M10" s="227"/>
      <c r="N10" s="154"/>
      <c r="O10" s="227">
        <f t="shared" ref="O10:O37" si="2">+O9-J10-M10</f>
        <v>5340.1702620096094</v>
      </c>
      <c r="P10" s="152">
        <f t="shared" ref="P10:P37" si="3">P9+H10-J10-M10</f>
        <v>411170.02226200968</v>
      </c>
    </row>
    <row r="11" spans="1:16" x14ac:dyDescent="0.15">
      <c r="A11" s="154" t="s">
        <v>1213</v>
      </c>
      <c r="B11" s="151"/>
      <c r="C11" s="152">
        <v>61978.705999999998</v>
      </c>
      <c r="D11" s="155"/>
      <c r="E11" s="154"/>
      <c r="F11" s="157"/>
      <c r="G11" s="154"/>
      <c r="H11" s="152"/>
      <c r="I11" s="155"/>
      <c r="J11" s="152"/>
      <c r="K11" s="154"/>
      <c r="L11" s="154"/>
      <c r="M11" s="227"/>
      <c r="N11" s="154"/>
      <c r="O11" s="227">
        <f t="shared" si="2"/>
        <v>5340.1702620096094</v>
      </c>
      <c r="P11" s="152">
        <f t="shared" si="3"/>
        <v>411170.02226200968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/>
      <c r="J12" s="152"/>
      <c r="K12" s="154"/>
      <c r="L12" s="154"/>
      <c r="M12" s="227"/>
      <c r="N12" s="154"/>
      <c r="O12" s="227">
        <f t="shared" si="2"/>
        <v>5340.1702620096094</v>
      </c>
      <c r="P12" s="152">
        <f t="shared" si="3"/>
        <v>411170.02226200968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1216</v>
      </c>
      <c r="J13" s="152"/>
      <c r="K13" s="154"/>
      <c r="L13" s="154" t="s">
        <v>1236</v>
      </c>
      <c r="M13" s="227">
        <v>469.57</v>
      </c>
      <c r="N13" s="154" t="s">
        <v>1152</v>
      </c>
      <c r="O13" s="227">
        <f t="shared" si="2"/>
        <v>4870.6002620096097</v>
      </c>
      <c r="P13" s="152">
        <f t="shared" si="3"/>
        <v>410700.45226200967</v>
      </c>
    </row>
    <row r="14" spans="1:16" x14ac:dyDescent="0.15">
      <c r="A14" s="154"/>
      <c r="B14" s="151"/>
      <c r="C14" s="152"/>
      <c r="D14" s="155"/>
      <c r="E14" s="155"/>
      <c r="F14" s="157"/>
      <c r="G14" s="154"/>
      <c r="H14" s="152"/>
      <c r="I14" s="155" t="s">
        <v>1217</v>
      </c>
      <c r="J14" s="152"/>
      <c r="K14" s="154"/>
      <c r="L14" s="154" t="s">
        <v>1236</v>
      </c>
      <c r="M14" s="227">
        <v>502.36</v>
      </c>
      <c r="N14" s="154" t="s">
        <v>1152</v>
      </c>
      <c r="O14" s="227">
        <f t="shared" si="2"/>
        <v>4368.24026200961</v>
      </c>
      <c r="P14" s="152">
        <f t="shared" si="3"/>
        <v>410198.09226200968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1218</v>
      </c>
      <c r="J15" s="152">
        <v>999.81</v>
      </c>
      <c r="K15" s="154" t="s">
        <v>1152</v>
      </c>
      <c r="L15" s="154" t="s">
        <v>1236</v>
      </c>
      <c r="M15" s="227">
        <v>3368.43026200961</v>
      </c>
      <c r="N15" s="154" t="s">
        <v>1152</v>
      </c>
      <c r="O15" s="227">
        <f t="shared" si="2"/>
        <v>0</v>
      </c>
      <c r="P15" s="152">
        <f t="shared" si="3"/>
        <v>405829.85200000007</v>
      </c>
    </row>
    <row r="16" spans="1:16" x14ac:dyDescent="0.15">
      <c r="A16" s="154"/>
      <c r="B16" s="151"/>
      <c r="C16" s="152"/>
      <c r="D16" s="155"/>
      <c r="E16" s="155"/>
      <c r="F16" s="157"/>
      <c r="G16" s="154"/>
      <c r="H16" s="152"/>
      <c r="I16" s="155" t="s">
        <v>1218</v>
      </c>
      <c r="J16" s="152"/>
      <c r="K16" s="154"/>
      <c r="L16" s="154" t="s">
        <v>1236</v>
      </c>
      <c r="M16" s="227">
        <v>11783.8497379904</v>
      </c>
      <c r="N16" s="154" t="s">
        <v>1153</v>
      </c>
      <c r="O16" s="227">
        <f>C8+O15-J16-M16</f>
        <v>48183.5062620096</v>
      </c>
      <c r="P16" s="152">
        <f t="shared" si="3"/>
        <v>394046.00226200966</v>
      </c>
    </row>
    <row r="17" spans="1:16" x14ac:dyDescent="0.15">
      <c r="A17" s="154"/>
      <c r="B17" s="151"/>
      <c r="C17" s="152"/>
      <c r="D17" s="155"/>
      <c r="E17" s="155"/>
      <c r="F17" s="157"/>
      <c r="G17" s="154"/>
      <c r="H17" s="152"/>
      <c r="I17" s="155" t="s">
        <v>1218</v>
      </c>
      <c r="J17" s="152"/>
      <c r="K17" s="154"/>
      <c r="L17" s="154" t="s">
        <v>1236</v>
      </c>
      <c r="M17" s="227">
        <v>16910.71</v>
      </c>
      <c r="N17" s="154" t="s">
        <v>1153</v>
      </c>
      <c r="O17" s="227">
        <f t="shared" si="2"/>
        <v>31272.7962620096</v>
      </c>
      <c r="P17" s="152">
        <f t="shared" si="3"/>
        <v>377135.29226200964</v>
      </c>
    </row>
    <row r="18" spans="1:16" x14ac:dyDescent="0.15">
      <c r="A18" s="154"/>
      <c r="B18" s="151"/>
      <c r="C18" s="152"/>
      <c r="D18" s="155"/>
      <c r="E18" s="155"/>
      <c r="F18" s="157"/>
      <c r="G18" s="154"/>
      <c r="H18" s="152"/>
      <c r="I18" s="155" t="s">
        <v>1218</v>
      </c>
      <c r="J18" s="152"/>
      <c r="K18" s="154"/>
      <c r="L18" s="154" t="s">
        <v>1236</v>
      </c>
      <c r="M18" s="227">
        <v>519.16</v>
      </c>
      <c r="N18" s="154" t="s">
        <v>1153</v>
      </c>
      <c r="O18" s="227">
        <f t="shared" si="2"/>
        <v>30753.636262009601</v>
      </c>
      <c r="P18" s="152">
        <f t="shared" si="3"/>
        <v>376616.13226200966</v>
      </c>
    </row>
    <row r="19" spans="1:16" x14ac:dyDescent="0.15">
      <c r="A19" s="154"/>
      <c r="B19" s="151"/>
      <c r="C19" s="152"/>
      <c r="D19" s="155" t="s">
        <v>1219</v>
      </c>
      <c r="E19" s="155" t="s">
        <v>72</v>
      </c>
      <c r="F19" s="157" t="s">
        <v>1234</v>
      </c>
      <c r="G19" s="154"/>
      <c r="H19" s="152">
        <v>79950.115000000005</v>
      </c>
      <c r="I19" s="155" t="s">
        <v>1219</v>
      </c>
      <c r="J19" s="152">
        <v>1462.52</v>
      </c>
      <c r="K19" s="154" t="s">
        <v>1153</v>
      </c>
      <c r="L19" s="154" t="s">
        <v>1236</v>
      </c>
      <c r="M19" s="227">
        <v>18507.93</v>
      </c>
      <c r="N19" s="154" t="s">
        <v>1153</v>
      </c>
      <c r="O19" s="227">
        <f t="shared" si="2"/>
        <v>10783.1862620096</v>
      </c>
      <c r="P19" s="152">
        <f t="shared" si="3"/>
        <v>436595.79726200964</v>
      </c>
    </row>
    <row r="20" spans="1:16" x14ac:dyDescent="0.15">
      <c r="A20" s="154"/>
      <c r="B20" s="151"/>
      <c r="C20" s="152"/>
      <c r="D20" s="155" t="s">
        <v>1232</v>
      </c>
      <c r="E20" s="155" t="s">
        <v>72</v>
      </c>
      <c r="F20" s="157" t="s">
        <v>1235</v>
      </c>
      <c r="G20" s="154"/>
      <c r="H20" s="152">
        <v>80000</v>
      </c>
      <c r="I20" s="155" t="s">
        <v>1232</v>
      </c>
      <c r="J20" s="152"/>
      <c r="K20" s="154"/>
      <c r="L20" s="154"/>
      <c r="M20" s="227"/>
      <c r="N20" s="154"/>
      <c r="O20" s="227">
        <f t="shared" si="2"/>
        <v>10783.1862620096</v>
      </c>
      <c r="P20" s="152">
        <f t="shared" si="3"/>
        <v>516595.79726200964</v>
      </c>
    </row>
    <row r="21" spans="1:16" x14ac:dyDescent="0.15">
      <c r="A21" s="154"/>
      <c r="B21" s="151"/>
      <c r="C21" s="152"/>
      <c r="D21" s="155" t="s">
        <v>1220</v>
      </c>
      <c r="E21" s="155" t="s">
        <v>72</v>
      </c>
      <c r="F21" s="157" t="s">
        <v>1235</v>
      </c>
      <c r="G21" s="154"/>
      <c r="H21" s="152">
        <v>39995.944000000003</v>
      </c>
      <c r="I21" s="155" t="s">
        <v>1220</v>
      </c>
      <c r="J21" s="152">
        <v>688.11</v>
      </c>
      <c r="K21" s="154" t="s">
        <v>1153</v>
      </c>
      <c r="L21" s="154" t="s">
        <v>1236</v>
      </c>
      <c r="M21" s="227">
        <v>10095.076262009599</v>
      </c>
      <c r="N21" s="154" t="s">
        <v>1153</v>
      </c>
      <c r="O21" s="227">
        <f>C9+O20-J21-M21</f>
        <v>19971.608</v>
      </c>
      <c r="P21" s="152">
        <f t="shared" si="3"/>
        <v>545808.55500000005</v>
      </c>
    </row>
    <row r="22" spans="1:16" x14ac:dyDescent="0.15">
      <c r="A22" s="154"/>
      <c r="B22" s="151"/>
      <c r="C22" s="152"/>
      <c r="D22" s="155"/>
      <c r="E22" s="155"/>
      <c r="F22" s="157"/>
      <c r="G22" s="154"/>
      <c r="H22" s="152"/>
      <c r="I22" s="155" t="s">
        <v>1220</v>
      </c>
      <c r="J22" s="152"/>
      <c r="K22" s="154"/>
      <c r="L22" s="154" t="s">
        <v>1237</v>
      </c>
      <c r="M22" s="227">
        <v>5982.9537379904004</v>
      </c>
      <c r="N22" s="157" t="s">
        <v>1164</v>
      </c>
      <c r="O22" s="227">
        <f t="shared" si="2"/>
        <v>13988.654262009601</v>
      </c>
      <c r="P22" s="152">
        <f t="shared" si="3"/>
        <v>539825.6012620097</v>
      </c>
    </row>
    <row r="23" spans="1:16" x14ac:dyDescent="0.15">
      <c r="A23" s="154"/>
      <c r="B23" s="151"/>
      <c r="C23" s="152"/>
      <c r="D23" s="155"/>
      <c r="E23" s="155"/>
      <c r="F23" s="157"/>
      <c r="G23" s="154"/>
      <c r="H23" s="152"/>
      <c r="I23" s="155" t="s">
        <v>1221</v>
      </c>
      <c r="J23" s="152">
        <v>809.41</v>
      </c>
      <c r="K23" s="157" t="s">
        <v>1164</v>
      </c>
      <c r="L23" s="154"/>
      <c r="M23" s="227"/>
      <c r="N23" s="154"/>
      <c r="O23" s="227">
        <f t="shared" si="2"/>
        <v>13179.244262009601</v>
      </c>
      <c r="P23" s="152">
        <f t="shared" si="3"/>
        <v>539016.19126200967</v>
      </c>
    </row>
    <row r="24" spans="1:16" x14ac:dyDescent="0.15">
      <c r="A24" s="154"/>
      <c r="B24" s="151"/>
      <c r="C24" s="152"/>
      <c r="D24" s="155"/>
      <c r="E24" s="154"/>
      <c r="F24" s="157"/>
      <c r="G24" s="154"/>
      <c r="H24" s="152"/>
      <c r="I24" s="155" t="s">
        <v>1222</v>
      </c>
      <c r="J24" s="152">
        <v>981.5</v>
      </c>
      <c r="K24" s="157" t="s">
        <v>1164</v>
      </c>
      <c r="L24" s="154"/>
      <c r="M24" s="227"/>
      <c r="N24" s="154"/>
      <c r="O24" s="227">
        <f t="shared" si="2"/>
        <v>12197.744262009601</v>
      </c>
      <c r="P24" s="152">
        <f t="shared" si="3"/>
        <v>538034.69126200967</v>
      </c>
    </row>
    <row r="25" spans="1:16" x14ac:dyDescent="0.15">
      <c r="A25" s="154"/>
      <c r="B25" s="151"/>
      <c r="C25" s="152"/>
      <c r="D25" s="155"/>
      <c r="E25" s="154"/>
      <c r="F25" s="157"/>
      <c r="G25" s="154"/>
      <c r="H25" s="152"/>
      <c r="I25" s="155" t="s">
        <v>1223</v>
      </c>
      <c r="J25" s="152">
        <v>607.37</v>
      </c>
      <c r="K25" s="157" t="s">
        <v>1164</v>
      </c>
      <c r="L25" s="154"/>
      <c r="M25" s="227"/>
      <c r="N25" s="154"/>
      <c r="O25" s="227">
        <f t="shared" si="2"/>
        <v>11590.3742620096</v>
      </c>
      <c r="P25" s="152">
        <f t="shared" si="3"/>
        <v>537427.32126200967</v>
      </c>
    </row>
    <row r="26" spans="1:16" x14ac:dyDescent="0.15">
      <c r="A26" s="154"/>
      <c r="B26" s="151"/>
      <c r="C26" s="152"/>
      <c r="D26" s="155"/>
      <c r="E26" s="155"/>
      <c r="F26" s="157"/>
      <c r="G26" s="154"/>
      <c r="H26" s="152"/>
      <c r="I26" s="155" t="s">
        <v>1224</v>
      </c>
      <c r="J26" s="152"/>
      <c r="K26" s="154"/>
      <c r="L26" s="154" t="s">
        <v>1237</v>
      </c>
      <c r="M26" s="227">
        <v>1128.57</v>
      </c>
      <c r="N26" s="157" t="s">
        <v>1164</v>
      </c>
      <c r="O26" s="227">
        <f t="shared" si="2"/>
        <v>10461.8042620096</v>
      </c>
      <c r="P26" s="152">
        <f t="shared" si="3"/>
        <v>536298.75126200973</v>
      </c>
    </row>
    <row r="27" spans="1:16" x14ac:dyDescent="0.15">
      <c r="A27" s="154"/>
      <c r="B27" s="151"/>
      <c r="C27" s="152"/>
      <c r="D27" s="155"/>
      <c r="E27" s="155"/>
      <c r="F27" s="157"/>
      <c r="G27" s="154"/>
      <c r="H27" s="152"/>
      <c r="I27" s="155" t="s">
        <v>1225</v>
      </c>
      <c r="J27" s="152">
        <v>1768.08</v>
      </c>
      <c r="K27" s="157" t="s">
        <v>1164</v>
      </c>
      <c r="L27" s="154" t="s">
        <v>1237</v>
      </c>
      <c r="M27" s="227">
        <v>1798.09</v>
      </c>
      <c r="N27" s="157" t="s">
        <v>1164</v>
      </c>
      <c r="O27" s="227">
        <f t="shared" si="2"/>
        <v>6895.6342620096002</v>
      </c>
      <c r="P27" s="152">
        <f t="shared" si="3"/>
        <v>532732.5812620098</v>
      </c>
    </row>
    <row r="28" spans="1:16" x14ac:dyDescent="0.15">
      <c r="A28" s="154"/>
      <c r="B28" s="151"/>
      <c r="C28" s="152"/>
      <c r="D28" s="155"/>
      <c r="E28" s="155"/>
      <c r="F28" s="157"/>
      <c r="G28" s="154"/>
      <c r="H28" s="152"/>
      <c r="I28" s="155" t="s">
        <v>1226</v>
      </c>
      <c r="J28" s="152">
        <v>1464.1799999999998</v>
      </c>
      <c r="K28" s="157" t="s">
        <v>1164</v>
      </c>
      <c r="L28" s="154"/>
      <c r="M28" s="227"/>
      <c r="N28" s="157"/>
      <c r="O28" s="227">
        <f t="shared" si="2"/>
        <v>5431.4542620095999</v>
      </c>
      <c r="P28" s="152">
        <f t="shared" si="3"/>
        <v>531268.40126200975</v>
      </c>
    </row>
    <row r="29" spans="1:16" x14ac:dyDescent="0.15">
      <c r="A29" s="154"/>
      <c r="B29" s="151"/>
      <c r="C29" s="152"/>
      <c r="D29" s="155"/>
      <c r="E29" s="155"/>
      <c r="F29" s="157"/>
      <c r="G29" s="154"/>
      <c r="H29" s="152"/>
      <c r="I29" s="155" t="s">
        <v>1227</v>
      </c>
      <c r="J29" s="152">
        <v>1332.16</v>
      </c>
      <c r="K29" s="157" t="s">
        <v>1164</v>
      </c>
      <c r="L29" s="154"/>
      <c r="M29" s="227"/>
      <c r="N29" s="157"/>
      <c r="O29" s="227">
        <f t="shared" si="2"/>
        <v>4099.2942620096001</v>
      </c>
      <c r="P29" s="152">
        <f t="shared" si="3"/>
        <v>529936.24126200972</v>
      </c>
    </row>
    <row r="30" spans="1:16" x14ac:dyDescent="0.15">
      <c r="A30" s="154"/>
      <c r="B30" s="151"/>
      <c r="C30" s="152"/>
      <c r="D30" s="155"/>
      <c r="E30" s="155"/>
      <c r="F30" s="157"/>
      <c r="G30" s="154"/>
      <c r="H30" s="152"/>
      <c r="I30" s="155" t="s">
        <v>1228</v>
      </c>
      <c r="J30" s="152">
        <v>575.82000000000005</v>
      </c>
      <c r="K30" s="157" t="s">
        <v>1164</v>
      </c>
      <c r="L30" s="154"/>
      <c r="M30" s="227"/>
      <c r="N30" s="157"/>
      <c r="O30" s="227">
        <f t="shared" si="2"/>
        <v>3523.4742620095999</v>
      </c>
      <c r="P30" s="152">
        <f t="shared" si="3"/>
        <v>529360.42126200977</v>
      </c>
    </row>
    <row r="31" spans="1:16" x14ac:dyDescent="0.15">
      <c r="A31" s="154"/>
      <c r="B31" s="151"/>
      <c r="C31" s="152"/>
      <c r="D31" s="155"/>
      <c r="E31" s="155"/>
      <c r="F31" s="157"/>
      <c r="G31" s="154"/>
      <c r="H31" s="152"/>
      <c r="I31" s="155" t="s">
        <v>1229</v>
      </c>
      <c r="J31" s="152"/>
      <c r="K31" s="154"/>
      <c r="L31" s="154" t="s">
        <v>1237</v>
      </c>
      <c r="M31" s="227">
        <v>340.45</v>
      </c>
      <c r="N31" s="157" t="s">
        <v>1164</v>
      </c>
      <c r="O31" s="227">
        <f t="shared" si="2"/>
        <v>3183.0242620096001</v>
      </c>
      <c r="P31" s="152">
        <f t="shared" si="3"/>
        <v>529019.97126200981</v>
      </c>
    </row>
    <row r="32" spans="1:16" x14ac:dyDescent="0.15">
      <c r="A32" s="154"/>
      <c r="B32" s="151"/>
      <c r="C32" s="152"/>
      <c r="D32" s="155" t="s">
        <v>1230</v>
      </c>
      <c r="E32" s="155" t="s">
        <v>72</v>
      </c>
      <c r="F32" s="157" t="s">
        <v>1233</v>
      </c>
      <c r="G32" s="154"/>
      <c r="H32" s="152">
        <v>41909.550999999999</v>
      </c>
      <c r="I32" s="155" t="s">
        <v>1230</v>
      </c>
      <c r="J32" s="152">
        <v>1863</v>
      </c>
      <c r="K32" s="157" t="s">
        <v>1164</v>
      </c>
      <c r="L32" s="154"/>
      <c r="M32" s="227"/>
      <c r="N32" s="157"/>
      <c r="O32" s="227">
        <f t="shared" si="2"/>
        <v>1320.0242620096001</v>
      </c>
      <c r="P32" s="152">
        <f t="shared" si="3"/>
        <v>569066.52226200979</v>
      </c>
    </row>
    <row r="33" spans="1:16" x14ac:dyDescent="0.15">
      <c r="A33" s="154"/>
      <c r="B33" s="151"/>
      <c r="C33" s="152"/>
      <c r="D33" s="155" t="s">
        <v>1231</v>
      </c>
      <c r="E33" s="155" t="s">
        <v>72</v>
      </c>
      <c r="F33" s="157" t="s">
        <v>1233</v>
      </c>
      <c r="G33" s="154"/>
      <c r="H33" s="152">
        <v>81772.66399999999</v>
      </c>
      <c r="I33" s="155" t="s">
        <v>1231</v>
      </c>
      <c r="J33" s="152"/>
      <c r="K33" s="150"/>
      <c r="L33" s="154" t="s">
        <v>1237</v>
      </c>
      <c r="M33" s="227">
        <v>1320.0242620096001</v>
      </c>
      <c r="N33" s="157" t="s">
        <v>1164</v>
      </c>
      <c r="O33" s="227">
        <f>C10+O32-J33-M33</f>
        <v>263912.18200000003</v>
      </c>
      <c r="P33" s="152">
        <f t="shared" si="3"/>
        <v>649519.16200000013</v>
      </c>
    </row>
    <row r="34" spans="1:16" x14ac:dyDescent="0.15">
      <c r="A34" s="154"/>
      <c r="B34" s="151"/>
      <c r="C34" s="152"/>
      <c r="D34" s="155"/>
      <c r="E34" s="155"/>
      <c r="F34" s="157"/>
      <c r="G34" s="154"/>
      <c r="H34" s="152"/>
      <c r="I34" s="155" t="s">
        <v>1231</v>
      </c>
      <c r="J34" s="152"/>
      <c r="K34" s="150"/>
      <c r="L34" s="154" t="s">
        <v>1236</v>
      </c>
      <c r="M34" s="227">
        <v>55365.175737990401</v>
      </c>
      <c r="N34" s="157" t="s">
        <v>1212</v>
      </c>
      <c r="O34" s="227">
        <f t="shared" si="2"/>
        <v>208547.00626200961</v>
      </c>
      <c r="P34" s="152">
        <f t="shared" si="3"/>
        <v>594153.98626200971</v>
      </c>
    </row>
    <row r="35" spans="1:16" x14ac:dyDescent="0.15">
      <c r="A35" s="154"/>
      <c r="B35" s="151"/>
      <c r="C35" s="152"/>
      <c r="D35" s="155"/>
      <c r="E35" s="155"/>
      <c r="F35" s="157"/>
      <c r="G35" s="154"/>
      <c r="H35" s="152"/>
      <c r="I35" s="155" t="s">
        <v>1231</v>
      </c>
      <c r="J35" s="152"/>
      <c r="K35" s="150"/>
      <c r="L35" s="154" t="s">
        <v>1236</v>
      </c>
      <c r="M35" s="227">
        <v>56905.36</v>
      </c>
      <c r="N35" s="157" t="s">
        <v>1212</v>
      </c>
      <c r="O35" s="227">
        <f t="shared" si="2"/>
        <v>151641.64626200963</v>
      </c>
      <c r="P35" s="152">
        <f t="shared" si="3"/>
        <v>537248.62626200973</v>
      </c>
    </row>
    <row r="36" spans="1:16" hidden="1" x14ac:dyDescent="0.15">
      <c r="A36" s="154"/>
      <c r="B36" s="151"/>
      <c r="C36" s="152"/>
      <c r="D36" s="155"/>
      <c r="E36" s="155"/>
      <c r="F36" s="157"/>
      <c r="G36" s="154"/>
      <c r="H36" s="152"/>
      <c r="I36" s="155"/>
      <c r="J36" s="152"/>
      <c r="K36" s="157"/>
      <c r="L36" s="154"/>
      <c r="M36" s="227"/>
      <c r="N36" s="154"/>
      <c r="O36" s="227">
        <f t="shared" si="2"/>
        <v>151641.64626200963</v>
      </c>
      <c r="P36" s="152">
        <f t="shared" si="3"/>
        <v>537248.62626200973</v>
      </c>
    </row>
    <row r="37" spans="1:16" hidden="1" x14ac:dyDescent="0.15">
      <c r="A37" s="154"/>
      <c r="B37" s="151"/>
      <c r="C37" s="152"/>
      <c r="D37" s="155"/>
      <c r="E37" s="154"/>
      <c r="F37" s="160"/>
      <c r="G37" s="151"/>
      <c r="H37" s="152"/>
      <c r="I37" s="155"/>
      <c r="J37" s="152"/>
      <c r="K37" s="150"/>
      <c r="L37" s="154"/>
      <c r="M37" s="227"/>
      <c r="N37" s="157"/>
      <c r="O37" s="227">
        <f t="shared" si="2"/>
        <v>151641.64626200963</v>
      </c>
      <c r="P37" s="152">
        <f t="shared" si="3"/>
        <v>537248.62626200973</v>
      </c>
    </row>
    <row r="38" spans="1:16" x14ac:dyDescent="0.15">
      <c r="A38" s="173"/>
      <c r="B38" s="173"/>
      <c r="C38" s="174"/>
      <c r="D38" s="175"/>
      <c r="E38" s="173"/>
      <c r="F38" s="173"/>
      <c r="G38" s="176"/>
      <c r="H38" s="174"/>
      <c r="I38" s="175"/>
      <c r="J38" s="174"/>
      <c r="K38" s="173"/>
      <c r="L38" s="154"/>
      <c r="M38" s="228"/>
      <c r="N38" s="173"/>
      <c r="O38" s="227">
        <f t="shared" si="1"/>
        <v>151641.64626200963</v>
      </c>
      <c r="P38" s="152">
        <f t="shared" si="0"/>
        <v>537248.62626200973</v>
      </c>
    </row>
    <row r="39" spans="1:16" x14ac:dyDescent="0.15">
      <c r="A39" s="177"/>
      <c r="B39" s="177"/>
      <c r="C39" s="178">
        <f>SUM(C7:C37)</f>
        <v>411170.02226200968</v>
      </c>
      <c r="D39" s="177"/>
      <c r="E39" s="177"/>
      <c r="F39" s="177"/>
      <c r="G39" s="177"/>
      <c r="H39" s="178">
        <f>SUM(H7:H37)</f>
        <v>323628.27399999998</v>
      </c>
      <c r="I39" s="179"/>
      <c r="J39" s="178">
        <f>SUM(J7:J37)</f>
        <v>12551.96</v>
      </c>
      <c r="K39" s="177"/>
      <c r="L39" s="177"/>
      <c r="M39" s="229">
        <f>SUM(M9:M37)</f>
        <v>184997.71000000002</v>
      </c>
      <c r="N39" s="177"/>
      <c r="O39" s="180"/>
      <c r="P39" s="181">
        <f>C39+H39-J39-M39</f>
        <v>537248.62626200961</v>
      </c>
    </row>
    <row r="40" spans="1:16" x14ac:dyDescent="0.15">
      <c r="A40" s="182"/>
      <c r="B40" s="465"/>
      <c r="C40" s="465"/>
      <c r="D40" s="465"/>
      <c r="E40" s="183"/>
      <c r="F40" s="472"/>
      <c r="G40" s="472"/>
      <c r="H40" s="185"/>
      <c r="I40" s="186"/>
      <c r="J40" s="187"/>
      <c r="K40" s="188"/>
      <c r="L40" s="189" t="s">
        <v>139</v>
      </c>
      <c r="M40" s="190">
        <f>+M39+J39</f>
        <v>197549.67</v>
      </c>
      <c r="N40" s="197"/>
      <c r="O40" s="230">
        <f>+O38</f>
        <v>151641.64626200963</v>
      </c>
      <c r="P40" s="195" t="s">
        <v>1212</v>
      </c>
    </row>
    <row r="41" spans="1:16" x14ac:dyDescent="0.15">
      <c r="A41" s="193"/>
      <c r="B41" s="470"/>
      <c r="C41" s="470"/>
      <c r="D41" s="470"/>
      <c r="E41" s="183"/>
      <c r="F41" s="472"/>
      <c r="G41" s="472"/>
      <c r="H41" s="219"/>
      <c r="I41" s="186"/>
      <c r="J41" s="187"/>
      <c r="K41" s="210"/>
      <c r="L41" s="210"/>
      <c r="O41" s="230">
        <f>+C11</f>
        <v>61978.705999999998</v>
      </c>
      <c r="P41" s="195" t="s">
        <v>1213</v>
      </c>
    </row>
    <row r="42" spans="1:16" x14ac:dyDescent="0.15">
      <c r="A42" s="193" t="s">
        <v>1152</v>
      </c>
      <c r="B42" s="274" t="s">
        <v>1158</v>
      </c>
      <c r="C42" s="273"/>
      <c r="D42" s="273"/>
      <c r="E42" s="183" t="s">
        <v>55</v>
      </c>
      <c r="F42" s="471">
        <v>4797650.51</v>
      </c>
      <c r="G42" s="471"/>
      <c r="H42" s="219" t="s">
        <v>56</v>
      </c>
      <c r="I42" s="186">
        <v>41016</v>
      </c>
      <c r="J42" s="187" t="s">
        <v>71</v>
      </c>
      <c r="K42" s="210">
        <v>4340.3602620096099</v>
      </c>
      <c r="L42" s="210"/>
      <c r="O42" s="230">
        <f>+H19</f>
        <v>79950.115000000005</v>
      </c>
      <c r="P42" s="195" t="s">
        <v>1234</v>
      </c>
    </row>
    <row r="43" spans="1:16" x14ac:dyDescent="0.15">
      <c r="A43" s="193" t="s">
        <v>1153</v>
      </c>
      <c r="B43" s="274" t="s">
        <v>1238</v>
      </c>
      <c r="C43" s="273"/>
      <c r="D43" s="273"/>
      <c r="E43" s="183" t="s">
        <v>55</v>
      </c>
      <c r="F43" s="471">
        <v>4963272.08</v>
      </c>
      <c r="G43" s="471"/>
      <c r="H43" s="219" t="s">
        <v>56</v>
      </c>
      <c r="I43" s="186">
        <v>41016</v>
      </c>
      <c r="J43" s="187" t="s">
        <v>71</v>
      </c>
      <c r="K43" s="210">
        <v>57816.726000000002</v>
      </c>
      <c r="L43" s="210"/>
      <c r="O43" s="230">
        <f>+H20+H21</f>
        <v>119995.944</v>
      </c>
      <c r="P43" s="195" t="s">
        <v>1235</v>
      </c>
    </row>
    <row r="44" spans="1:16" x14ac:dyDescent="0.15">
      <c r="A44" s="133" t="s">
        <v>1212</v>
      </c>
      <c r="B44" s="274" t="s">
        <v>1239</v>
      </c>
      <c r="C44" s="273"/>
      <c r="D44" s="273"/>
      <c r="E44" s="183" t="s">
        <v>55</v>
      </c>
      <c r="F44" s="471">
        <v>702912.22</v>
      </c>
      <c r="G44" s="471"/>
      <c r="H44" s="219" t="s">
        <v>56</v>
      </c>
      <c r="I44" s="186">
        <v>41173</v>
      </c>
      <c r="J44" s="187" t="s">
        <v>71</v>
      </c>
      <c r="K44" s="210">
        <v>112270.5357379904</v>
      </c>
      <c r="L44" s="210"/>
      <c r="O44" s="230">
        <f>+H32+H33</f>
        <v>123682.215</v>
      </c>
      <c r="P44" s="195" t="s">
        <v>1233</v>
      </c>
    </row>
    <row r="45" spans="1:16" ht="12" thickBot="1" x14ac:dyDescent="0.2">
      <c r="A45" s="133"/>
      <c r="B45" s="273"/>
      <c r="C45" s="273"/>
      <c r="D45" s="273"/>
      <c r="E45" s="183"/>
      <c r="F45" s="471"/>
      <c r="G45" s="471"/>
      <c r="H45" s="219"/>
      <c r="I45" s="186"/>
      <c r="J45" s="217" t="s">
        <v>856</v>
      </c>
      <c r="K45" s="211">
        <f>SUM(K42:K44)</f>
        <v>174427.62200000003</v>
      </c>
      <c r="L45" s="210"/>
      <c r="O45" s="230"/>
      <c r="P45" s="195"/>
    </row>
    <row r="46" spans="1:16" ht="12" thickTop="1" x14ac:dyDescent="0.15">
      <c r="A46" s="133" t="s">
        <v>1164</v>
      </c>
      <c r="B46" s="274" t="s">
        <v>1240</v>
      </c>
      <c r="C46" s="273"/>
      <c r="D46" s="273"/>
      <c r="E46" s="183" t="s">
        <v>55</v>
      </c>
      <c r="F46" s="471">
        <v>1863003.87</v>
      </c>
      <c r="G46" s="471"/>
      <c r="H46" s="219" t="s">
        <v>56</v>
      </c>
      <c r="I46" s="186">
        <v>41039</v>
      </c>
      <c r="J46" s="187" t="s">
        <v>71</v>
      </c>
      <c r="K46" s="210">
        <v>10570.088</v>
      </c>
      <c r="L46" s="210"/>
      <c r="O46" s="230"/>
      <c r="P46" s="195"/>
    </row>
    <row r="47" spans="1:16" ht="12" thickBot="1" x14ac:dyDescent="0.2">
      <c r="A47" s="133"/>
      <c r="B47" s="273"/>
      <c r="C47" s="273"/>
      <c r="D47" s="273"/>
      <c r="E47" s="183"/>
      <c r="F47" s="471"/>
      <c r="G47" s="471"/>
      <c r="H47" s="219"/>
      <c r="I47" s="186"/>
      <c r="J47" s="217" t="s">
        <v>856</v>
      </c>
      <c r="K47" s="211">
        <f>SUM(K46)</f>
        <v>10570.088</v>
      </c>
      <c r="L47" s="210"/>
      <c r="O47" s="206" t="s">
        <v>33</v>
      </c>
      <c r="P47" s="207">
        <f>SUM(O40:O46)</f>
        <v>537248.62626200961</v>
      </c>
    </row>
    <row r="48" spans="1:16" ht="12" thickTop="1" x14ac:dyDescent="0.15">
      <c r="A48" s="193"/>
      <c r="B48" s="210"/>
      <c r="C48" s="221"/>
      <c r="D48" s="237"/>
      <c r="E48" s="235"/>
      <c r="F48" s="235"/>
      <c r="G48" s="236"/>
      <c r="K48" s="205"/>
      <c r="L48" s="210"/>
      <c r="P48" s="132">
        <f>+P39-P47</f>
        <v>0</v>
      </c>
    </row>
    <row r="49" spans="1:14" s="132" customFormat="1" x14ac:dyDescent="0.15">
      <c r="A49" s="133"/>
      <c r="B49" s="133" t="s">
        <v>9</v>
      </c>
      <c r="C49" s="220" t="s">
        <v>729</v>
      </c>
      <c r="D49" s="220" t="s">
        <v>850</v>
      </c>
      <c r="E49" s="133" t="s">
        <v>570</v>
      </c>
      <c r="F49" s="133" t="s">
        <v>571</v>
      </c>
      <c r="G49" s="133" t="s">
        <v>16</v>
      </c>
      <c r="I49" s="134"/>
      <c r="J49" s="134"/>
      <c r="K49" s="205"/>
      <c r="L49" s="133"/>
      <c r="N49" s="134"/>
    </row>
    <row r="50" spans="1:14" s="132" customFormat="1" x14ac:dyDescent="0.15">
      <c r="A50" s="193" t="s">
        <v>1152</v>
      </c>
      <c r="B50" s="210">
        <v>4340</v>
      </c>
      <c r="C50" s="221">
        <v>26.610600000000002</v>
      </c>
      <c r="D50" s="237">
        <f t="shared" ref="D50:D52" si="4">+B50*C50</f>
        <v>115490.004</v>
      </c>
      <c r="E50" s="235">
        <f t="shared" ref="E50:E52" si="5">+D50*0.01</f>
        <v>1154.90004</v>
      </c>
      <c r="F50" s="235">
        <f t="shared" ref="F50:F52" si="6">+E50*0.1</f>
        <v>115.490004</v>
      </c>
      <c r="G50" s="236">
        <f t="shared" ref="G50:G52" si="7">+E50+F50</f>
        <v>1270.390044</v>
      </c>
      <c r="I50" s="134"/>
      <c r="J50" s="134"/>
      <c r="K50" s="134"/>
      <c r="L50" s="133"/>
      <c r="N50" s="134"/>
    </row>
    <row r="51" spans="1:14" s="132" customFormat="1" x14ac:dyDescent="0.15">
      <c r="A51" s="193" t="s">
        <v>1153</v>
      </c>
      <c r="B51" s="210">
        <v>57817</v>
      </c>
      <c r="C51" s="221">
        <v>26.703600000000002</v>
      </c>
      <c r="D51" s="237">
        <f t="shared" si="4"/>
        <v>1543922.0412000001</v>
      </c>
      <c r="E51" s="235">
        <f t="shared" si="5"/>
        <v>15439.220412000001</v>
      </c>
      <c r="F51" s="235">
        <f t="shared" si="6"/>
        <v>1543.9220412000002</v>
      </c>
      <c r="G51" s="236">
        <f t="shared" si="7"/>
        <v>16983.142453200002</v>
      </c>
      <c r="I51" s="133"/>
      <c r="K51" s="134"/>
      <c r="L51" s="133"/>
      <c r="N51" s="134"/>
    </row>
    <row r="52" spans="1:14" s="132" customFormat="1" x14ac:dyDescent="0.15">
      <c r="A52" s="133" t="s">
        <v>1212</v>
      </c>
      <c r="B52" s="210">
        <v>112271</v>
      </c>
      <c r="C52" s="221">
        <v>26.5944</v>
      </c>
      <c r="D52" s="237">
        <f t="shared" si="4"/>
        <v>2985779.8824</v>
      </c>
      <c r="E52" s="235">
        <f t="shared" si="5"/>
        <v>29857.798824000001</v>
      </c>
      <c r="F52" s="235">
        <f t="shared" si="6"/>
        <v>2985.7798824000001</v>
      </c>
      <c r="G52" s="236">
        <f t="shared" si="7"/>
        <v>32843.578706400003</v>
      </c>
      <c r="H52" s="138"/>
      <c r="I52" s="135"/>
      <c r="J52" s="135"/>
      <c r="K52" s="216"/>
      <c r="L52" s="133"/>
      <c r="N52" s="134"/>
    </row>
    <row r="53" spans="1:14" s="132" customFormat="1" ht="12" thickBot="1" x14ac:dyDescent="0.2">
      <c r="A53" s="133"/>
      <c r="B53" s="211">
        <f>SUM(B50:B52)</f>
        <v>174428</v>
      </c>
      <c r="C53" s="221"/>
      <c r="D53" s="237"/>
      <c r="E53" s="242">
        <f>SUM(E50:E52)</f>
        <v>46451.919276000001</v>
      </c>
      <c r="F53" s="242">
        <f t="shared" ref="F53:G53" si="8">SUM(F50:F52)</f>
        <v>4645.1919276000008</v>
      </c>
      <c r="G53" s="242">
        <f t="shared" si="8"/>
        <v>51097.111203600005</v>
      </c>
      <c r="H53" s="138"/>
      <c r="I53" s="135"/>
      <c r="J53" s="135"/>
      <c r="K53" s="135"/>
      <c r="L53" s="133"/>
      <c r="N53" s="134"/>
    </row>
    <row r="54" spans="1:14" s="132" customFormat="1" ht="12" thickTop="1" x14ac:dyDescent="0.15">
      <c r="A54" s="133" t="s">
        <v>1164</v>
      </c>
      <c r="B54" s="210">
        <v>10570</v>
      </c>
      <c r="C54" s="221">
        <v>26.066199999999998</v>
      </c>
      <c r="D54" s="237">
        <f t="shared" ref="D54" si="9">+B54*C54</f>
        <v>275519.734</v>
      </c>
      <c r="E54" s="235">
        <f t="shared" ref="E54" si="10">+D54*0.01</f>
        <v>2755.1973400000002</v>
      </c>
      <c r="F54" s="235">
        <f t="shared" ref="F54" si="11">+E54*0.1</f>
        <v>275.51973400000003</v>
      </c>
      <c r="G54" s="236">
        <f t="shared" ref="G54" si="12">+E54+F54</f>
        <v>3030.7170740000001</v>
      </c>
      <c r="H54" s="138"/>
      <c r="I54" s="215"/>
      <c r="J54" s="138"/>
      <c r="K54" s="135"/>
      <c r="L54" s="133"/>
      <c r="N54" s="134"/>
    </row>
    <row r="55" spans="1:14" s="132" customFormat="1" ht="12" thickBot="1" x14ac:dyDescent="0.2">
      <c r="A55" s="133"/>
      <c r="B55" s="211">
        <f>SUM(B54)</f>
        <v>10570</v>
      </c>
      <c r="C55" s="221"/>
      <c r="D55" s="237"/>
      <c r="E55" s="242">
        <f>SUM(E54)</f>
        <v>2755.1973400000002</v>
      </c>
      <c r="F55" s="242">
        <f t="shared" ref="F55:G55" si="13">SUM(F54)</f>
        <v>275.51973400000003</v>
      </c>
      <c r="G55" s="242">
        <f t="shared" si="13"/>
        <v>3030.7170740000001</v>
      </c>
      <c r="H55" s="138"/>
      <c r="I55" s="215"/>
      <c r="J55" s="138"/>
      <c r="K55" s="135"/>
      <c r="L55" s="133"/>
      <c r="N55" s="134"/>
    </row>
    <row r="56" spans="1:14" s="132" customFormat="1" ht="12" thickTop="1" x14ac:dyDescent="0.15">
      <c r="A56" s="215"/>
      <c r="B56" s="210"/>
      <c r="C56" s="221"/>
      <c r="D56" s="237"/>
      <c r="E56" s="267"/>
      <c r="F56" s="267"/>
      <c r="G56" s="268"/>
      <c r="H56" s="138"/>
      <c r="I56" s="215"/>
      <c r="J56" s="138"/>
      <c r="K56" s="135"/>
      <c r="L56" s="133"/>
      <c r="N56" s="134"/>
    </row>
    <row r="57" spans="1:14" s="132" customFormat="1" x14ac:dyDescent="0.15">
      <c r="A57" s="215"/>
      <c r="B57" s="210"/>
      <c r="C57" s="221"/>
      <c r="D57" s="237"/>
      <c r="E57" s="267"/>
      <c r="F57" s="267"/>
      <c r="G57" s="267"/>
      <c r="H57" s="138"/>
      <c r="I57" s="269"/>
      <c r="J57" s="138"/>
      <c r="K57" s="135"/>
      <c r="L57" s="133"/>
      <c r="N57" s="134"/>
    </row>
  </sheetData>
  <mergeCells count="16">
    <mergeCell ref="F46:G46"/>
    <mergeCell ref="F47:G47"/>
    <mergeCell ref="F44:G44"/>
    <mergeCell ref="F45:G45"/>
    <mergeCell ref="B40:D40"/>
    <mergeCell ref="F40:G40"/>
    <mergeCell ref="B41:D41"/>
    <mergeCell ref="F41:G41"/>
    <mergeCell ref="F42:G42"/>
    <mergeCell ref="F43:G43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D1" zoomScale="115" zoomScaleNormal="115" workbookViewId="0">
      <pane ySplit="6" topLeftCell="A7" activePane="bottomLeft" state="frozen"/>
      <selection pane="bottomLeft" activeCell="L17" sqref="L17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1201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1152</v>
      </c>
      <c r="B7" s="146"/>
      <c r="C7" s="147">
        <v>49492.074962009603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49492.074962009603</v>
      </c>
      <c r="P7" s="147">
        <f>+C39</f>
        <v>129431.0389620096</v>
      </c>
    </row>
    <row r="8" spans="1:16" x14ac:dyDescent="0.15">
      <c r="A8" s="154" t="s">
        <v>1153</v>
      </c>
      <c r="B8" s="151"/>
      <c r="C8" s="152">
        <v>59967.356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49492.074962009603</v>
      </c>
      <c r="P8" s="152">
        <f t="shared" ref="P8:P13" si="0">P7+H8-J8-M8</f>
        <v>129431.0389620096</v>
      </c>
    </row>
    <row r="9" spans="1:16" x14ac:dyDescent="0.15">
      <c r="A9" s="157" t="s">
        <v>1164</v>
      </c>
      <c r="B9" s="151"/>
      <c r="C9" s="152">
        <v>19971.608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13" si="1">+O8-J9-M9</f>
        <v>49492.074962009603</v>
      </c>
      <c r="P9" s="152">
        <f t="shared" si="0"/>
        <v>129431.0389620096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/>
      <c r="J10" s="152"/>
      <c r="K10" s="154"/>
      <c r="L10" s="154"/>
      <c r="M10" s="227"/>
      <c r="N10" s="154"/>
      <c r="O10" s="227">
        <f t="shared" si="1"/>
        <v>49492.074962009603</v>
      </c>
      <c r="P10" s="152">
        <f t="shared" si="0"/>
        <v>129431.0389620096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 t="s">
        <v>1202</v>
      </c>
      <c r="J11" s="152"/>
      <c r="K11" s="154"/>
      <c r="L11" s="154" t="s">
        <v>1214</v>
      </c>
      <c r="M11" s="227">
        <v>621.38</v>
      </c>
      <c r="N11" s="154" t="s">
        <v>1152</v>
      </c>
      <c r="O11" s="227">
        <f t="shared" si="1"/>
        <v>48870.694962009606</v>
      </c>
      <c r="P11" s="152">
        <f t="shared" si="0"/>
        <v>128809.65896200959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1203</v>
      </c>
      <c r="J12" s="152">
        <v>509.83</v>
      </c>
      <c r="K12" s="154" t="s">
        <v>1152</v>
      </c>
      <c r="L12" s="154" t="s">
        <v>1214</v>
      </c>
      <c r="M12" s="227">
        <v>4019.51</v>
      </c>
      <c r="N12" s="154" t="s">
        <v>1152</v>
      </c>
      <c r="O12" s="227">
        <f t="shared" si="1"/>
        <v>44341.354962009602</v>
      </c>
      <c r="P12" s="152">
        <f t="shared" si="0"/>
        <v>124280.31896200959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1204</v>
      </c>
      <c r="J13" s="152"/>
      <c r="K13" s="154"/>
      <c r="L13" s="154" t="s">
        <v>1214</v>
      </c>
      <c r="M13" s="227">
        <v>611.42999999999995</v>
      </c>
      <c r="N13" s="154" t="s">
        <v>1152</v>
      </c>
      <c r="O13" s="227">
        <f t="shared" si="1"/>
        <v>43729.924962009602</v>
      </c>
      <c r="P13" s="152">
        <f t="shared" si="0"/>
        <v>123668.8889620096</v>
      </c>
    </row>
    <row r="14" spans="1:16" x14ac:dyDescent="0.15">
      <c r="A14" s="154"/>
      <c r="B14" s="151"/>
      <c r="C14" s="152"/>
      <c r="D14" s="155"/>
      <c r="E14" s="155"/>
      <c r="F14" s="157"/>
      <c r="G14" s="154"/>
      <c r="H14" s="152"/>
      <c r="I14" s="155" t="s">
        <v>1205</v>
      </c>
      <c r="J14" s="152">
        <v>776.24</v>
      </c>
      <c r="K14" s="154" t="s">
        <v>1152</v>
      </c>
      <c r="L14" s="154"/>
      <c r="M14" s="227"/>
      <c r="N14" s="154"/>
      <c r="O14" s="227">
        <f t="shared" ref="O14:O17" si="2">+O13-J14-M14</f>
        <v>42953.684962009604</v>
      </c>
      <c r="P14" s="152">
        <f t="shared" ref="P14:P17" si="3">P13+H14-J14-M14</f>
        <v>122892.6489620096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1206</v>
      </c>
      <c r="J15" s="152">
        <v>1536.4647</v>
      </c>
      <c r="K15" s="154" t="s">
        <v>1152</v>
      </c>
      <c r="L15" s="154"/>
      <c r="M15" s="227"/>
      <c r="N15" s="154"/>
      <c r="O15" s="227">
        <f t="shared" si="2"/>
        <v>41417.220262009607</v>
      </c>
      <c r="P15" s="152">
        <f t="shared" si="3"/>
        <v>121356.1842620096</v>
      </c>
    </row>
    <row r="16" spans="1:16" x14ac:dyDescent="0.15">
      <c r="A16" s="154"/>
      <c r="B16" s="151"/>
      <c r="C16" s="152"/>
      <c r="D16" s="155" t="s">
        <v>1207</v>
      </c>
      <c r="E16" s="155" t="s">
        <v>72</v>
      </c>
      <c r="F16" s="157" t="s">
        <v>1212</v>
      </c>
      <c r="G16" s="154"/>
      <c r="H16" s="152">
        <v>121964.30499999999</v>
      </c>
      <c r="I16" s="155" t="s">
        <v>1207</v>
      </c>
      <c r="J16" s="152">
        <v>606.88</v>
      </c>
      <c r="K16" s="154" t="s">
        <v>1152</v>
      </c>
      <c r="L16" s="154"/>
      <c r="M16" s="227"/>
      <c r="N16" s="154"/>
      <c r="O16" s="227">
        <f t="shared" si="2"/>
        <v>40810.340262009609</v>
      </c>
      <c r="P16" s="152">
        <f t="shared" si="3"/>
        <v>242713.60926200959</v>
      </c>
    </row>
    <row r="17" spans="1:16" x14ac:dyDescent="0.15">
      <c r="A17" s="154"/>
      <c r="B17" s="151"/>
      <c r="C17" s="152"/>
      <c r="D17" s="155" t="s">
        <v>1210</v>
      </c>
      <c r="E17" s="155" t="s">
        <v>72</v>
      </c>
      <c r="F17" s="157" t="s">
        <v>1212</v>
      </c>
      <c r="G17" s="154"/>
      <c r="H17" s="152">
        <v>141947.87700000001</v>
      </c>
      <c r="I17" s="155" t="s">
        <v>1210</v>
      </c>
      <c r="J17" s="152"/>
      <c r="K17" s="154"/>
      <c r="L17" s="154"/>
      <c r="M17" s="227"/>
      <c r="N17" s="154"/>
      <c r="O17" s="227">
        <f t="shared" si="2"/>
        <v>40810.340262009609</v>
      </c>
      <c r="P17" s="152">
        <f t="shared" si="3"/>
        <v>384661.4862620096</v>
      </c>
    </row>
    <row r="18" spans="1:16" x14ac:dyDescent="0.15">
      <c r="A18" s="154"/>
      <c r="B18" s="151"/>
      <c r="C18" s="152"/>
      <c r="D18" s="155" t="s">
        <v>1211</v>
      </c>
      <c r="E18" s="155" t="s">
        <v>72</v>
      </c>
      <c r="F18" s="157" t="s">
        <v>1213</v>
      </c>
      <c r="G18" s="154"/>
      <c r="H18" s="152">
        <v>61978.705999999998</v>
      </c>
      <c r="I18" s="155" t="s">
        <v>1211</v>
      </c>
      <c r="J18" s="152"/>
      <c r="K18" s="154"/>
      <c r="L18" s="154"/>
      <c r="M18" s="227"/>
      <c r="N18" s="154"/>
      <c r="O18" s="227">
        <f t="shared" ref="O18:O38" si="4">+O17-J18-M18</f>
        <v>40810.340262009609</v>
      </c>
      <c r="P18" s="152">
        <f t="shared" ref="P18:P38" si="5">P17+H18-J18-M18</f>
        <v>446640.1922620096</v>
      </c>
    </row>
    <row r="19" spans="1:16" x14ac:dyDescent="0.15">
      <c r="A19" s="154"/>
      <c r="B19" s="151"/>
      <c r="C19" s="152"/>
      <c r="D19" s="155"/>
      <c r="E19" s="155"/>
      <c r="F19" s="157"/>
      <c r="G19" s="154"/>
      <c r="H19" s="152"/>
      <c r="I19" s="155" t="s">
        <v>1208</v>
      </c>
      <c r="J19" s="152">
        <v>5151.75</v>
      </c>
      <c r="K19" s="154" t="s">
        <v>1152</v>
      </c>
      <c r="L19" s="154" t="s">
        <v>1214</v>
      </c>
      <c r="M19" s="227">
        <v>248.28</v>
      </c>
      <c r="N19" s="154" t="s">
        <v>1152</v>
      </c>
      <c r="O19" s="227">
        <f t="shared" si="4"/>
        <v>35410.310262009611</v>
      </c>
      <c r="P19" s="152">
        <f t="shared" si="5"/>
        <v>441240.16226200957</v>
      </c>
    </row>
    <row r="20" spans="1:16" x14ac:dyDescent="0.15">
      <c r="A20" s="154"/>
      <c r="B20" s="151"/>
      <c r="C20" s="152"/>
      <c r="D20" s="155"/>
      <c r="E20" s="155"/>
      <c r="F20" s="157"/>
      <c r="G20" s="154"/>
      <c r="H20" s="152"/>
      <c r="I20" s="155" t="s">
        <v>1209</v>
      </c>
      <c r="J20" s="152"/>
      <c r="K20" s="154"/>
      <c r="L20" s="154" t="s">
        <v>1214</v>
      </c>
      <c r="M20" s="227">
        <v>14684.11</v>
      </c>
      <c r="N20" s="154" t="s">
        <v>1152</v>
      </c>
      <c r="O20" s="227">
        <f t="shared" si="4"/>
        <v>20726.20026200961</v>
      </c>
      <c r="P20" s="152">
        <f t="shared" si="5"/>
        <v>426556.05226200959</v>
      </c>
    </row>
    <row r="21" spans="1:16" x14ac:dyDescent="0.15">
      <c r="A21" s="154"/>
      <c r="B21" s="151"/>
      <c r="C21" s="152"/>
      <c r="D21" s="155"/>
      <c r="E21" s="155"/>
      <c r="F21" s="157"/>
      <c r="G21" s="154"/>
      <c r="H21" s="152"/>
      <c r="I21" s="155" t="s">
        <v>1209</v>
      </c>
      <c r="J21" s="152"/>
      <c r="K21" s="154"/>
      <c r="L21" s="154" t="s">
        <v>1214</v>
      </c>
      <c r="M21" s="227">
        <v>15386.03</v>
      </c>
      <c r="N21" s="154" t="s">
        <v>1152</v>
      </c>
      <c r="O21" s="227">
        <f t="shared" si="4"/>
        <v>5340.1702620096094</v>
      </c>
      <c r="P21" s="152">
        <f t="shared" si="5"/>
        <v>411170.02226200956</v>
      </c>
    </row>
    <row r="22" spans="1:16" hidden="1" x14ac:dyDescent="0.15">
      <c r="A22" s="154"/>
      <c r="B22" s="151"/>
      <c r="C22" s="152"/>
      <c r="D22" s="155"/>
      <c r="E22" s="155"/>
      <c r="F22" s="157"/>
      <c r="G22" s="154"/>
      <c r="H22" s="152"/>
      <c r="I22" s="155"/>
      <c r="J22" s="152"/>
      <c r="K22" s="154"/>
      <c r="L22" s="154"/>
      <c r="M22" s="227"/>
      <c r="N22" s="154"/>
      <c r="O22" s="227">
        <f t="shared" si="4"/>
        <v>5340.1702620096094</v>
      </c>
      <c r="P22" s="152">
        <f t="shared" si="5"/>
        <v>411170.02226200956</v>
      </c>
    </row>
    <row r="23" spans="1:16" hidden="1" x14ac:dyDescent="0.15">
      <c r="A23" s="154"/>
      <c r="B23" s="151"/>
      <c r="C23" s="152"/>
      <c r="D23" s="155"/>
      <c r="E23" s="155"/>
      <c r="F23" s="157"/>
      <c r="G23" s="154"/>
      <c r="H23" s="152"/>
      <c r="I23" s="155"/>
      <c r="J23" s="152"/>
      <c r="K23" s="154"/>
      <c r="L23" s="154"/>
      <c r="M23" s="227"/>
      <c r="N23" s="154"/>
      <c r="O23" s="227">
        <f t="shared" si="4"/>
        <v>5340.1702620096094</v>
      </c>
      <c r="P23" s="152">
        <f t="shared" si="5"/>
        <v>411170.02226200956</v>
      </c>
    </row>
    <row r="24" spans="1:16" hidden="1" x14ac:dyDescent="0.15">
      <c r="A24" s="154"/>
      <c r="B24" s="151"/>
      <c r="C24" s="152"/>
      <c r="D24" s="155"/>
      <c r="E24" s="154"/>
      <c r="F24" s="157"/>
      <c r="G24" s="154"/>
      <c r="H24" s="152"/>
      <c r="I24" s="155"/>
      <c r="J24" s="152"/>
      <c r="K24" s="154"/>
      <c r="L24" s="154"/>
      <c r="M24" s="227"/>
      <c r="N24" s="154"/>
      <c r="O24" s="227">
        <f t="shared" si="4"/>
        <v>5340.1702620096094</v>
      </c>
      <c r="P24" s="152">
        <f t="shared" si="5"/>
        <v>411170.02226200956</v>
      </c>
    </row>
    <row r="25" spans="1:16" hidden="1" x14ac:dyDescent="0.15">
      <c r="A25" s="154"/>
      <c r="B25" s="151"/>
      <c r="C25" s="152"/>
      <c r="D25" s="155"/>
      <c r="E25" s="154"/>
      <c r="F25" s="157"/>
      <c r="G25" s="154"/>
      <c r="H25" s="152"/>
      <c r="I25" s="155"/>
      <c r="J25" s="152"/>
      <c r="K25" s="154"/>
      <c r="L25" s="154"/>
      <c r="M25" s="227"/>
      <c r="N25" s="154"/>
      <c r="O25" s="227">
        <f t="shared" si="4"/>
        <v>5340.1702620096094</v>
      </c>
      <c r="P25" s="152">
        <f t="shared" si="5"/>
        <v>411170.02226200956</v>
      </c>
    </row>
    <row r="26" spans="1:16" hidden="1" x14ac:dyDescent="0.15">
      <c r="A26" s="154"/>
      <c r="B26" s="151"/>
      <c r="C26" s="152"/>
      <c r="D26" s="155"/>
      <c r="E26" s="155"/>
      <c r="F26" s="157"/>
      <c r="G26" s="154"/>
      <c r="H26" s="152"/>
      <c r="I26" s="155"/>
      <c r="J26" s="152"/>
      <c r="K26" s="150"/>
      <c r="L26" s="154"/>
      <c r="M26" s="227"/>
      <c r="N26" s="157"/>
      <c r="O26" s="227">
        <f t="shared" si="4"/>
        <v>5340.1702620096094</v>
      </c>
      <c r="P26" s="152">
        <f t="shared" si="5"/>
        <v>411170.02226200956</v>
      </c>
    </row>
    <row r="27" spans="1:16" hidden="1" x14ac:dyDescent="0.15">
      <c r="A27" s="154"/>
      <c r="B27" s="151"/>
      <c r="C27" s="152"/>
      <c r="D27" s="155"/>
      <c r="E27" s="155"/>
      <c r="F27" s="157"/>
      <c r="G27" s="154"/>
      <c r="H27" s="152"/>
      <c r="I27" s="155"/>
      <c r="J27" s="152"/>
      <c r="K27" s="150"/>
      <c r="L27" s="154"/>
      <c r="M27" s="227"/>
      <c r="N27" s="157"/>
      <c r="O27" s="227">
        <f t="shared" si="4"/>
        <v>5340.1702620096094</v>
      </c>
      <c r="P27" s="152">
        <f t="shared" si="5"/>
        <v>411170.02226200956</v>
      </c>
    </row>
    <row r="28" spans="1:16" hidden="1" x14ac:dyDescent="0.15">
      <c r="A28" s="154"/>
      <c r="B28" s="151"/>
      <c r="C28" s="152"/>
      <c r="D28" s="155"/>
      <c r="E28" s="155"/>
      <c r="F28" s="157"/>
      <c r="G28" s="154"/>
      <c r="H28" s="152"/>
      <c r="I28" s="155"/>
      <c r="J28" s="152"/>
      <c r="K28" s="157"/>
      <c r="L28" s="154"/>
      <c r="M28" s="227"/>
      <c r="N28" s="157"/>
      <c r="O28" s="227">
        <f t="shared" si="4"/>
        <v>5340.1702620096094</v>
      </c>
      <c r="P28" s="152">
        <f t="shared" si="5"/>
        <v>411170.02226200956</v>
      </c>
    </row>
    <row r="29" spans="1:16" hidden="1" x14ac:dyDescent="0.15">
      <c r="A29" s="154"/>
      <c r="B29" s="151"/>
      <c r="C29" s="152"/>
      <c r="D29" s="155"/>
      <c r="E29" s="155"/>
      <c r="F29" s="157"/>
      <c r="G29" s="154"/>
      <c r="H29" s="152"/>
      <c r="I29" s="155"/>
      <c r="J29" s="152"/>
      <c r="K29" s="154"/>
      <c r="L29" s="154"/>
      <c r="M29" s="227"/>
      <c r="N29" s="157"/>
      <c r="O29" s="227">
        <f t="shared" si="4"/>
        <v>5340.1702620096094</v>
      </c>
      <c r="P29" s="152">
        <f t="shared" si="5"/>
        <v>411170.02226200956</v>
      </c>
    </row>
    <row r="30" spans="1:16" hidden="1" x14ac:dyDescent="0.15">
      <c r="A30" s="154"/>
      <c r="B30" s="151"/>
      <c r="C30" s="152"/>
      <c r="D30" s="155"/>
      <c r="E30" s="155"/>
      <c r="F30" s="157"/>
      <c r="G30" s="154"/>
      <c r="H30" s="152"/>
      <c r="I30" s="155"/>
      <c r="J30" s="152"/>
      <c r="K30" s="157"/>
      <c r="L30" s="154"/>
      <c r="M30" s="227"/>
      <c r="N30" s="157"/>
      <c r="O30" s="227">
        <f t="shared" si="4"/>
        <v>5340.1702620096094</v>
      </c>
      <c r="P30" s="152">
        <f t="shared" si="5"/>
        <v>411170.02226200956</v>
      </c>
    </row>
    <row r="31" spans="1:16" hidden="1" x14ac:dyDescent="0.15">
      <c r="A31" s="154"/>
      <c r="B31" s="151"/>
      <c r="C31" s="152"/>
      <c r="D31" s="155"/>
      <c r="E31" s="155"/>
      <c r="F31" s="157"/>
      <c r="G31" s="154"/>
      <c r="H31" s="152"/>
      <c r="I31" s="155"/>
      <c r="J31" s="152"/>
      <c r="K31" s="150"/>
      <c r="L31" s="154"/>
      <c r="M31" s="227"/>
      <c r="N31" s="157"/>
      <c r="O31" s="227">
        <f t="shared" si="4"/>
        <v>5340.1702620096094</v>
      </c>
      <c r="P31" s="152">
        <f t="shared" si="5"/>
        <v>411170.02226200956</v>
      </c>
    </row>
    <row r="32" spans="1:16" hidden="1" x14ac:dyDescent="0.15">
      <c r="A32" s="154"/>
      <c r="B32" s="151"/>
      <c r="C32" s="152"/>
      <c r="D32" s="155"/>
      <c r="E32" s="155"/>
      <c r="F32" s="157"/>
      <c r="G32" s="154"/>
      <c r="H32" s="152"/>
      <c r="I32" s="155"/>
      <c r="J32" s="152"/>
      <c r="K32" s="150"/>
      <c r="L32" s="154"/>
      <c r="M32" s="227"/>
      <c r="N32" s="157"/>
      <c r="O32" s="227">
        <f t="shared" si="4"/>
        <v>5340.1702620096094</v>
      </c>
      <c r="P32" s="152">
        <f t="shared" si="5"/>
        <v>411170.02226200956</v>
      </c>
    </row>
    <row r="33" spans="1:16" hidden="1" x14ac:dyDescent="0.15">
      <c r="A33" s="154"/>
      <c r="B33" s="151"/>
      <c r="C33" s="152"/>
      <c r="D33" s="155"/>
      <c r="E33" s="155"/>
      <c r="F33" s="157"/>
      <c r="G33" s="154"/>
      <c r="H33" s="152"/>
      <c r="I33" s="155"/>
      <c r="J33" s="152"/>
      <c r="K33" s="157"/>
      <c r="L33" s="154"/>
      <c r="M33" s="227"/>
      <c r="N33" s="154"/>
      <c r="O33" s="227">
        <f t="shared" si="4"/>
        <v>5340.1702620096094</v>
      </c>
      <c r="P33" s="152">
        <f t="shared" si="5"/>
        <v>411170.02226200956</v>
      </c>
    </row>
    <row r="34" spans="1:16" hidden="1" x14ac:dyDescent="0.15">
      <c r="A34" s="154"/>
      <c r="B34" s="151"/>
      <c r="C34" s="152"/>
      <c r="D34" s="155"/>
      <c r="E34" s="155"/>
      <c r="F34" s="157"/>
      <c r="G34" s="154"/>
      <c r="H34" s="152"/>
      <c r="I34" s="155"/>
      <c r="J34" s="152"/>
      <c r="K34" s="157"/>
      <c r="L34" s="154"/>
      <c r="M34" s="227"/>
      <c r="N34" s="154"/>
      <c r="O34" s="227">
        <f t="shared" si="4"/>
        <v>5340.1702620096094</v>
      </c>
      <c r="P34" s="152">
        <f t="shared" si="5"/>
        <v>411170.02226200956</v>
      </c>
    </row>
    <row r="35" spans="1:16" hidden="1" x14ac:dyDescent="0.15">
      <c r="A35" s="154"/>
      <c r="B35" s="151"/>
      <c r="C35" s="152"/>
      <c r="D35" s="155"/>
      <c r="E35" s="155"/>
      <c r="F35" s="157"/>
      <c r="G35" s="154"/>
      <c r="H35" s="152"/>
      <c r="I35" s="155"/>
      <c r="J35" s="152"/>
      <c r="K35" s="154"/>
      <c r="L35" s="154"/>
      <c r="M35" s="227"/>
      <c r="N35" s="157"/>
      <c r="O35" s="227">
        <f t="shared" si="4"/>
        <v>5340.1702620096094</v>
      </c>
      <c r="P35" s="152">
        <f t="shared" si="5"/>
        <v>411170.02226200956</v>
      </c>
    </row>
    <row r="36" spans="1:16" hidden="1" x14ac:dyDescent="0.15">
      <c r="A36" s="154"/>
      <c r="B36" s="151"/>
      <c r="C36" s="152"/>
      <c r="D36" s="155"/>
      <c r="E36" s="155"/>
      <c r="F36" s="157"/>
      <c r="G36" s="154"/>
      <c r="H36" s="152"/>
      <c r="I36" s="155"/>
      <c r="J36" s="152"/>
      <c r="K36" s="157"/>
      <c r="L36" s="154"/>
      <c r="M36" s="227"/>
      <c r="N36" s="154"/>
      <c r="O36" s="227">
        <f t="shared" si="4"/>
        <v>5340.1702620096094</v>
      </c>
      <c r="P36" s="152">
        <f t="shared" si="5"/>
        <v>411170.02226200956</v>
      </c>
    </row>
    <row r="37" spans="1:16" hidden="1" x14ac:dyDescent="0.15">
      <c r="A37" s="154"/>
      <c r="B37" s="151"/>
      <c r="C37" s="152"/>
      <c r="D37" s="155"/>
      <c r="E37" s="154"/>
      <c r="F37" s="160"/>
      <c r="G37" s="151"/>
      <c r="H37" s="152"/>
      <c r="I37" s="155"/>
      <c r="J37" s="152"/>
      <c r="K37" s="150"/>
      <c r="L37" s="154"/>
      <c r="M37" s="227"/>
      <c r="N37" s="157"/>
      <c r="O37" s="227">
        <f t="shared" si="4"/>
        <v>5340.1702620096094</v>
      </c>
      <c r="P37" s="152">
        <f t="shared" si="5"/>
        <v>411170.02226200956</v>
      </c>
    </row>
    <row r="38" spans="1:16" x14ac:dyDescent="0.15">
      <c r="A38" s="173"/>
      <c r="B38" s="173"/>
      <c r="C38" s="174"/>
      <c r="D38" s="175"/>
      <c r="E38" s="173"/>
      <c r="F38" s="173"/>
      <c r="G38" s="176"/>
      <c r="H38" s="174"/>
      <c r="I38" s="175"/>
      <c r="J38" s="174"/>
      <c r="K38" s="173"/>
      <c r="L38" s="154"/>
      <c r="M38" s="228"/>
      <c r="N38" s="173"/>
      <c r="O38" s="227">
        <f t="shared" si="4"/>
        <v>5340.1702620096094</v>
      </c>
      <c r="P38" s="152">
        <f t="shared" si="5"/>
        <v>411170.02226200956</v>
      </c>
    </row>
    <row r="39" spans="1:16" x14ac:dyDescent="0.15">
      <c r="A39" s="177"/>
      <c r="B39" s="177"/>
      <c r="C39" s="178">
        <f>SUM(C7:C37)</f>
        <v>129431.0389620096</v>
      </c>
      <c r="D39" s="177"/>
      <c r="E39" s="177"/>
      <c r="F39" s="177"/>
      <c r="G39" s="177"/>
      <c r="H39" s="178">
        <f>SUM(H7:H37)</f>
        <v>325890.88800000004</v>
      </c>
      <c r="I39" s="179"/>
      <c r="J39" s="178">
        <f>SUM(J7:J37)</f>
        <v>8581.1647000000012</v>
      </c>
      <c r="K39" s="177"/>
      <c r="L39" s="177"/>
      <c r="M39" s="229">
        <f>SUM(M9:M37)</f>
        <v>35570.74</v>
      </c>
      <c r="N39" s="177"/>
      <c r="O39" s="180"/>
      <c r="P39" s="181">
        <f>C39+H39-J39-M39</f>
        <v>411170.02226200962</v>
      </c>
    </row>
    <row r="40" spans="1:16" x14ac:dyDescent="0.15">
      <c r="A40" s="182"/>
      <c r="B40" s="465"/>
      <c r="C40" s="465"/>
      <c r="D40" s="465"/>
      <c r="E40" s="183"/>
      <c r="F40" s="472"/>
      <c r="G40" s="472"/>
      <c r="H40" s="185"/>
      <c r="I40" s="186"/>
      <c r="J40" s="187"/>
      <c r="K40" s="188"/>
      <c r="L40" s="189" t="s">
        <v>139</v>
      </c>
      <c r="M40" s="190">
        <f>+M39+J39</f>
        <v>44151.904699999999</v>
      </c>
      <c r="N40" s="197"/>
      <c r="O40" s="230">
        <f>+O38</f>
        <v>5340.1702620096094</v>
      </c>
      <c r="P40" s="195" t="s">
        <v>1152</v>
      </c>
    </row>
    <row r="41" spans="1:16" x14ac:dyDescent="0.15">
      <c r="A41" s="193"/>
      <c r="B41" s="470"/>
      <c r="C41" s="470"/>
      <c r="D41" s="470"/>
      <c r="E41" s="183"/>
      <c r="F41" s="472"/>
      <c r="G41" s="472"/>
      <c r="H41" s="219"/>
      <c r="I41" s="186"/>
      <c r="J41" s="187"/>
      <c r="K41" s="210"/>
      <c r="L41" s="210"/>
      <c r="O41" s="230">
        <v>59967.356</v>
      </c>
      <c r="P41" s="195" t="s">
        <v>1153</v>
      </c>
    </row>
    <row r="42" spans="1:16" x14ac:dyDescent="0.15">
      <c r="A42" s="193" t="s">
        <v>1152</v>
      </c>
      <c r="B42" s="272" t="s">
        <v>1158</v>
      </c>
      <c r="C42" s="272"/>
      <c r="D42" s="272"/>
      <c r="E42" s="183" t="s">
        <v>55</v>
      </c>
      <c r="F42" s="471">
        <v>4797650.51</v>
      </c>
      <c r="G42" s="471"/>
      <c r="H42" s="219" t="s">
        <v>56</v>
      </c>
      <c r="I42" s="186">
        <v>41016</v>
      </c>
      <c r="J42" s="187" t="s">
        <v>71</v>
      </c>
      <c r="K42" s="210">
        <f>+M39</f>
        <v>35570.74</v>
      </c>
      <c r="L42" s="210"/>
      <c r="O42" s="230">
        <v>19971.608</v>
      </c>
      <c r="P42" s="195" t="s">
        <v>1164</v>
      </c>
    </row>
    <row r="43" spans="1:16" x14ac:dyDescent="0.15">
      <c r="A43" s="193"/>
      <c r="B43" s="272"/>
      <c r="C43" s="272"/>
      <c r="D43" s="272"/>
      <c r="E43" s="183"/>
      <c r="F43" s="471"/>
      <c r="G43" s="471"/>
      <c r="H43" s="219"/>
      <c r="I43" s="186"/>
      <c r="J43" s="187"/>
      <c r="K43" s="210"/>
      <c r="L43" s="210"/>
      <c r="O43" s="230">
        <f>+H16+H17</f>
        <v>263912.18200000003</v>
      </c>
      <c r="P43" s="195" t="s">
        <v>1212</v>
      </c>
    </row>
    <row r="44" spans="1:16" x14ac:dyDescent="0.15">
      <c r="A44" s="193"/>
      <c r="B44" s="133" t="s">
        <v>9</v>
      </c>
      <c r="C44" s="220" t="s">
        <v>729</v>
      </c>
      <c r="D44" s="220" t="s">
        <v>850</v>
      </c>
      <c r="E44" s="133" t="s">
        <v>570</v>
      </c>
      <c r="F44" s="133" t="s">
        <v>571</v>
      </c>
      <c r="G44" s="133" t="s">
        <v>16</v>
      </c>
      <c r="H44" s="219"/>
      <c r="I44" s="186"/>
      <c r="J44" s="187"/>
      <c r="K44" s="210"/>
      <c r="L44" s="210"/>
      <c r="O44" s="230">
        <f>+H18</f>
        <v>61978.705999999998</v>
      </c>
      <c r="P44" s="195" t="s">
        <v>1213</v>
      </c>
    </row>
    <row r="45" spans="1:16" x14ac:dyDescent="0.15">
      <c r="A45" s="193" t="s">
        <v>1152</v>
      </c>
      <c r="B45" s="210">
        <v>12796</v>
      </c>
      <c r="C45" s="221">
        <v>26.610600000000002</v>
      </c>
      <c r="D45" s="237">
        <f t="shared" ref="D45" si="6">+B45*C45</f>
        <v>340509.23759999999</v>
      </c>
      <c r="E45" s="235">
        <f t="shared" ref="E45" si="7">+D45*0.01</f>
        <v>3405.0923760000001</v>
      </c>
      <c r="F45" s="235">
        <f t="shared" ref="F45" si="8">+E45*0.1</f>
        <v>340.50923760000001</v>
      </c>
      <c r="G45" s="236">
        <f t="shared" ref="G45" si="9">+E45+F45</f>
        <v>3745.6016135999998</v>
      </c>
      <c r="H45" s="219"/>
      <c r="I45" s="186"/>
      <c r="J45" s="187"/>
      <c r="K45" s="210"/>
      <c r="L45" s="210"/>
      <c r="O45" s="230"/>
      <c r="P45" s="195"/>
    </row>
    <row r="46" spans="1:16" x14ac:dyDescent="0.15">
      <c r="A46" s="193"/>
      <c r="B46" s="272"/>
      <c r="C46" s="272"/>
      <c r="D46" s="272"/>
      <c r="E46" s="183"/>
      <c r="F46" s="471"/>
      <c r="G46" s="471"/>
      <c r="H46" s="219"/>
      <c r="I46" s="186"/>
      <c r="J46" s="187"/>
      <c r="K46" s="210"/>
      <c r="L46" s="210"/>
      <c r="O46" s="230"/>
      <c r="P46" s="195"/>
    </row>
    <row r="47" spans="1:16" x14ac:dyDescent="0.15">
      <c r="A47" s="215"/>
      <c r="B47" s="272"/>
      <c r="C47" s="272"/>
      <c r="D47" s="272"/>
      <c r="E47" s="183"/>
      <c r="F47" s="471"/>
      <c r="G47" s="471"/>
      <c r="H47" s="219"/>
      <c r="I47" s="186"/>
      <c r="J47" s="187"/>
      <c r="K47" s="210"/>
      <c r="L47" s="210"/>
      <c r="O47" s="206" t="s">
        <v>33</v>
      </c>
      <c r="P47" s="207">
        <f>SUM(O40:O46)</f>
        <v>411170.02226200968</v>
      </c>
    </row>
    <row r="48" spans="1:16" x14ac:dyDescent="0.15">
      <c r="A48" s="215"/>
      <c r="B48" s="272"/>
      <c r="C48" s="272"/>
      <c r="D48" s="272"/>
      <c r="E48" s="183"/>
      <c r="F48" s="471"/>
      <c r="G48" s="471"/>
      <c r="H48" s="219"/>
      <c r="I48" s="186"/>
      <c r="J48" s="187"/>
      <c r="K48" s="210"/>
      <c r="L48" s="210"/>
      <c r="P48" s="132">
        <f>+P39-P47</f>
        <v>0</v>
      </c>
    </row>
    <row r="49" spans="1:14" s="132" customFormat="1" x14ac:dyDescent="0.15">
      <c r="A49" s="193"/>
      <c r="B49" s="210"/>
      <c r="C49" s="221"/>
      <c r="D49" s="237"/>
      <c r="E49" s="267"/>
      <c r="F49" s="267"/>
      <c r="G49" s="268"/>
      <c r="H49" s="138"/>
      <c r="I49" s="215"/>
      <c r="J49" s="138"/>
      <c r="K49" s="216"/>
      <c r="L49" s="133"/>
      <c r="N49" s="134"/>
    </row>
    <row r="50" spans="1:14" s="132" customFormat="1" x14ac:dyDescent="0.15">
      <c r="A50" s="215"/>
      <c r="B50" s="215"/>
      <c r="C50" s="137"/>
      <c r="D50" s="137"/>
      <c r="E50" s="215"/>
      <c r="F50" s="215"/>
      <c r="G50" s="215"/>
      <c r="H50" s="138"/>
      <c r="I50" s="135"/>
      <c r="J50" s="135"/>
      <c r="K50" s="216"/>
      <c r="L50" s="133"/>
      <c r="N50" s="134"/>
    </row>
    <row r="51" spans="1:14" s="132" customFormat="1" x14ac:dyDescent="0.15">
      <c r="A51" s="193"/>
      <c r="B51" s="210"/>
      <c r="C51" s="221"/>
      <c r="D51" s="237"/>
      <c r="E51" s="267"/>
      <c r="F51" s="267"/>
      <c r="G51" s="268"/>
      <c r="H51" s="138"/>
      <c r="I51" s="135"/>
      <c r="J51" s="135"/>
      <c r="K51" s="135"/>
      <c r="L51" s="133"/>
      <c r="N51" s="134"/>
    </row>
    <row r="52" spans="1:14" s="132" customFormat="1" x14ac:dyDescent="0.15">
      <c r="A52" s="193"/>
      <c r="B52" s="210"/>
      <c r="C52" s="221"/>
      <c r="D52" s="237"/>
      <c r="E52" s="267"/>
      <c r="F52" s="267"/>
      <c r="G52" s="268"/>
      <c r="H52" s="138"/>
      <c r="I52" s="215"/>
      <c r="J52" s="138"/>
      <c r="K52" s="135"/>
      <c r="L52" s="133"/>
      <c r="N52" s="134"/>
    </row>
    <row r="53" spans="1:14" s="132" customFormat="1" x14ac:dyDescent="0.15">
      <c r="A53" s="193"/>
      <c r="B53" s="210"/>
      <c r="C53" s="221"/>
      <c r="D53" s="237"/>
      <c r="E53" s="267"/>
      <c r="F53" s="267"/>
      <c r="G53" s="268"/>
      <c r="H53" s="138"/>
      <c r="I53" s="135"/>
      <c r="J53" s="135"/>
      <c r="K53" s="135"/>
      <c r="L53" s="133"/>
      <c r="N53" s="134"/>
    </row>
    <row r="54" spans="1:14" s="132" customFormat="1" x14ac:dyDescent="0.15">
      <c r="A54" s="193"/>
      <c r="B54" s="210"/>
      <c r="C54" s="221"/>
      <c r="D54" s="237"/>
      <c r="E54" s="267"/>
      <c r="F54" s="267"/>
      <c r="G54" s="268"/>
      <c r="H54" s="138"/>
      <c r="I54" s="215"/>
      <c r="J54" s="138"/>
      <c r="K54" s="135"/>
      <c r="L54" s="133"/>
      <c r="N54" s="134"/>
    </row>
    <row r="55" spans="1:14" s="132" customFormat="1" x14ac:dyDescent="0.15">
      <c r="A55" s="193"/>
      <c r="B55" s="210"/>
      <c r="C55" s="221"/>
      <c r="D55" s="237"/>
      <c r="E55" s="267"/>
      <c r="F55" s="267"/>
      <c r="G55" s="268"/>
      <c r="H55" s="138"/>
      <c r="I55" s="215"/>
      <c r="J55" s="138"/>
      <c r="K55" s="135"/>
      <c r="L55" s="133"/>
      <c r="N55" s="134"/>
    </row>
    <row r="56" spans="1:14" s="132" customFormat="1" x14ac:dyDescent="0.15">
      <c r="A56" s="215"/>
      <c r="B56" s="210"/>
      <c r="C56" s="221"/>
      <c r="D56" s="237"/>
      <c r="E56" s="267"/>
      <c r="F56" s="267"/>
      <c r="G56" s="268"/>
      <c r="H56" s="138"/>
      <c r="I56" s="215"/>
      <c r="J56" s="138"/>
      <c r="K56" s="135"/>
      <c r="L56" s="133"/>
      <c r="N56" s="134"/>
    </row>
    <row r="57" spans="1:14" s="132" customFormat="1" x14ac:dyDescent="0.15">
      <c r="A57" s="215"/>
      <c r="B57" s="210"/>
      <c r="C57" s="221"/>
      <c r="D57" s="237"/>
      <c r="E57" s="267"/>
      <c r="F57" s="267"/>
      <c r="G57" s="267"/>
      <c r="H57" s="138"/>
      <c r="I57" s="269"/>
      <c r="J57" s="138"/>
      <c r="K57" s="135"/>
      <c r="L57" s="133"/>
      <c r="N57" s="134"/>
    </row>
  </sheetData>
  <mergeCells count="15">
    <mergeCell ref="J3:L3"/>
    <mergeCell ref="A4:C4"/>
    <mergeCell ref="D4:H4"/>
    <mergeCell ref="I4:N4"/>
    <mergeCell ref="J5:K5"/>
    <mergeCell ref="L5:N5"/>
    <mergeCell ref="F46:G46"/>
    <mergeCell ref="F47:G47"/>
    <mergeCell ref="F48:G48"/>
    <mergeCell ref="B40:D40"/>
    <mergeCell ref="F40:G40"/>
    <mergeCell ref="B41:D41"/>
    <mergeCell ref="F41:G41"/>
    <mergeCell ref="F42:G42"/>
    <mergeCell ref="F43:G43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D1" zoomScale="115" zoomScaleNormal="115" workbookViewId="0">
      <pane ySplit="6" topLeftCell="A7" activePane="bottomLeft" state="frozen"/>
      <selection pane="bottomLeft" activeCell="O39" sqref="O39:P40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1190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1152</v>
      </c>
      <c r="B7" s="146"/>
      <c r="C7" s="147">
        <v>77954.494962009601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77954.494962009601</v>
      </c>
      <c r="P7" s="147">
        <f>+C37</f>
        <v>157893.45896200961</v>
      </c>
    </row>
    <row r="8" spans="1:16" x14ac:dyDescent="0.15">
      <c r="A8" s="154" t="s">
        <v>1153</v>
      </c>
      <c r="B8" s="151"/>
      <c r="C8" s="152">
        <v>59967.356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77954.494962009601</v>
      </c>
      <c r="P8" s="152">
        <f t="shared" ref="P8:P9" si="0">P7+H8-J8-M8</f>
        <v>157893.45896200961</v>
      </c>
    </row>
    <row r="9" spans="1:16" x14ac:dyDescent="0.15">
      <c r="A9" s="157" t="s">
        <v>1164</v>
      </c>
      <c r="B9" s="151"/>
      <c r="C9" s="152">
        <v>19971.608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77954.494962009601</v>
      </c>
      <c r="P9" s="152">
        <f t="shared" si="0"/>
        <v>157893.45896200961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/>
      <c r="J10" s="152"/>
      <c r="K10" s="154"/>
      <c r="L10" s="154"/>
      <c r="M10" s="227"/>
      <c r="N10" s="154"/>
      <c r="O10" s="227">
        <f t="shared" ref="O10:O36" si="2">+O9-J10-M10</f>
        <v>77954.494962009601</v>
      </c>
      <c r="P10" s="152">
        <f t="shared" ref="P10:P36" si="3">P9+H10-J10-M10</f>
        <v>157893.45896200961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 t="s">
        <v>1191</v>
      </c>
      <c r="J11" s="152">
        <v>419</v>
      </c>
      <c r="K11" s="154"/>
      <c r="L11" s="154"/>
      <c r="M11" s="227"/>
      <c r="N11" s="154"/>
      <c r="O11" s="227">
        <f t="shared" si="2"/>
        <v>77535.494962009601</v>
      </c>
      <c r="P11" s="152">
        <f t="shared" si="3"/>
        <v>157474.45896200961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1192</v>
      </c>
      <c r="J12" s="152"/>
      <c r="K12" s="154"/>
      <c r="L12" s="154" t="s">
        <v>1200</v>
      </c>
      <c r="M12" s="227">
        <v>7500</v>
      </c>
      <c r="N12" s="154"/>
      <c r="O12" s="227">
        <f t="shared" si="2"/>
        <v>70035.494962009601</v>
      </c>
      <c r="P12" s="152">
        <f t="shared" si="3"/>
        <v>149974.45896200961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1193</v>
      </c>
      <c r="J13" s="152">
        <v>745</v>
      </c>
      <c r="K13" s="154"/>
      <c r="L13" s="154"/>
      <c r="M13" s="227"/>
      <c r="N13" s="154"/>
      <c r="O13" s="227">
        <f t="shared" si="2"/>
        <v>69290.494962009601</v>
      </c>
      <c r="P13" s="152">
        <f t="shared" si="3"/>
        <v>149229.45896200961</v>
      </c>
    </row>
    <row r="14" spans="1:16" x14ac:dyDescent="0.15">
      <c r="A14" s="154"/>
      <c r="B14" s="151"/>
      <c r="C14" s="152"/>
      <c r="D14" s="155"/>
      <c r="E14" s="155"/>
      <c r="F14" s="157"/>
      <c r="G14" s="154"/>
      <c r="H14" s="152"/>
      <c r="I14" s="155" t="s">
        <v>1194</v>
      </c>
      <c r="J14" s="152">
        <v>2700</v>
      </c>
      <c r="K14" s="154"/>
      <c r="L14" s="154"/>
      <c r="M14" s="227"/>
      <c r="N14" s="154"/>
      <c r="O14" s="227">
        <f t="shared" si="2"/>
        <v>66590.494962009601</v>
      </c>
      <c r="P14" s="152">
        <f t="shared" si="3"/>
        <v>146529.45896200961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1195</v>
      </c>
      <c r="J15" s="152"/>
      <c r="K15" s="154"/>
      <c r="L15" s="154" t="s">
        <v>1200</v>
      </c>
      <c r="M15" s="227">
        <v>1336</v>
      </c>
      <c r="N15" s="154"/>
      <c r="O15" s="227">
        <f t="shared" si="2"/>
        <v>65254.494962009601</v>
      </c>
      <c r="P15" s="152">
        <f t="shared" si="3"/>
        <v>145193.45896200961</v>
      </c>
    </row>
    <row r="16" spans="1:16" x14ac:dyDescent="0.15">
      <c r="A16" s="154"/>
      <c r="B16" s="151"/>
      <c r="C16" s="152"/>
      <c r="D16" s="155"/>
      <c r="E16" s="155"/>
      <c r="F16" s="157"/>
      <c r="G16" s="154"/>
      <c r="H16" s="152"/>
      <c r="I16" s="155" t="s">
        <v>1196</v>
      </c>
      <c r="J16" s="152">
        <v>1193</v>
      </c>
      <c r="K16" s="154"/>
      <c r="L16" s="154"/>
      <c r="M16" s="227"/>
      <c r="N16" s="154"/>
      <c r="O16" s="227">
        <f t="shared" si="2"/>
        <v>64061.494962009601</v>
      </c>
      <c r="P16" s="152">
        <f t="shared" si="3"/>
        <v>144000.45896200961</v>
      </c>
    </row>
    <row r="17" spans="1:16" x14ac:dyDescent="0.15">
      <c r="A17" s="154"/>
      <c r="B17" s="151"/>
      <c r="C17" s="152"/>
      <c r="D17" s="155"/>
      <c r="E17" s="155"/>
      <c r="F17" s="157"/>
      <c r="G17" s="154"/>
      <c r="H17" s="152"/>
      <c r="I17" s="155" t="s">
        <v>1197</v>
      </c>
      <c r="J17" s="152">
        <v>2527</v>
      </c>
      <c r="K17" s="154"/>
      <c r="L17" s="154"/>
      <c r="M17" s="227"/>
      <c r="N17" s="154"/>
      <c r="O17" s="227">
        <f t="shared" si="2"/>
        <v>61534.494962009601</v>
      </c>
      <c r="P17" s="152">
        <f t="shared" si="3"/>
        <v>141473.45896200961</v>
      </c>
    </row>
    <row r="18" spans="1:16" x14ac:dyDescent="0.15">
      <c r="A18" s="154"/>
      <c r="B18" s="151"/>
      <c r="C18" s="152"/>
      <c r="D18" s="155"/>
      <c r="E18" s="155"/>
      <c r="F18" s="157"/>
      <c r="G18" s="154"/>
      <c r="H18" s="152"/>
      <c r="I18" s="155" t="s">
        <v>1198</v>
      </c>
      <c r="J18" s="152">
        <v>8082</v>
      </c>
      <c r="K18" s="154"/>
      <c r="L18" s="154"/>
      <c r="M18" s="227"/>
      <c r="N18" s="154"/>
      <c r="O18" s="227">
        <f t="shared" si="2"/>
        <v>53452.494962009601</v>
      </c>
      <c r="P18" s="152">
        <f t="shared" si="3"/>
        <v>133391.45896200961</v>
      </c>
    </row>
    <row r="19" spans="1:16" x14ac:dyDescent="0.15">
      <c r="A19" s="154"/>
      <c r="B19" s="151"/>
      <c r="C19" s="152"/>
      <c r="D19" s="155"/>
      <c r="E19" s="155"/>
      <c r="F19" s="157"/>
      <c r="G19" s="154"/>
      <c r="H19" s="152"/>
      <c r="I19" s="155" t="s">
        <v>1199</v>
      </c>
      <c r="J19" s="152"/>
      <c r="K19" s="154"/>
      <c r="L19" s="154" t="s">
        <v>1200</v>
      </c>
      <c r="M19" s="227">
        <v>3960.42</v>
      </c>
      <c r="N19" s="154"/>
      <c r="O19" s="227">
        <f t="shared" si="2"/>
        <v>49492.074962009603</v>
      </c>
      <c r="P19" s="152">
        <f t="shared" si="3"/>
        <v>129431.03896200961</v>
      </c>
    </row>
    <row r="20" spans="1:16" hidden="1" x14ac:dyDescent="0.15">
      <c r="A20" s="154"/>
      <c r="B20" s="151"/>
      <c r="C20" s="152"/>
      <c r="D20" s="155"/>
      <c r="E20" s="155"/>
      <c r="F20" s="157"/>
      <c r="G20" s="154"/>
      <c r="H20" s="152"/>
      <c r="I20" s="155"/>
      <c r="J20" s="152"/>
      <c r="K20" s="154"/>
      <c r="L20" s="154"/>
      <c r="M20" s="227"/>
      <c r="N20" s="154"/>
      <c r="O20" s="227">
        <f t="shared" si="2"/>
        <v>49492.074962009603</v>
      </c>
      <c r="P20" s="152">
        <f t="shared" si="3"/>
        <v>129431.03896200961</v>
      </c>
    </row>
    <row r="21" spans="1:16" hidden="1" x14ac:dyDescent="0.15">
      <c r="A21" s="154"/>
      <c r="B21" s="151"/>
      <c r="C21" s="152"/>
      <c r="D21" s="155"/>
      <c r="E21" s="155"/>
      <c r="F21" s="157"/>
      <c r="G21" s="154"/>
      <c r="H21" s="152"/>
      <c r="I21" s="155"/>
      <c r="J21" s="152"/>
      <c r="K21" s="154"/>
      <c r="L21" s="154"/>
      <c r="M21" s="227"/>
      <c r="N21" s="154"/>
      <c r="O21" s="227">
        <f t="shared" si="2"/>
        <v>49492.074962009603</v>
      </c>
      <c r="P21" s="152">
        <f t="shared" si="3"/>
        <v>129431.03896200961</v>
      </c>
    </row>
    <row r="22" spans="1:16" hidden="1" x14ac:dyDescent="0.15">
      <c r="A22" s="154"/>
      <c r="B22" s="151"/>
      <c r="C22" s="152"/>
      <c r="D22" s="155"/>
      <c r="E22" s="154"/>
      <c r="F22" s="157"/>
      <c r="G22" s="154"/>
      <c r="H22" s="152"/>
      <c r="I22" s="155"/>
      <c r="J22" s="152"/>
      <c r="K22" s="154"/>
      <c r="L22" s="154"/>
      <c r="M22" s="227"/>
      <c r="N22" s="154"/>
      <c r="O22" s="227">
        <f t="shared" si="2"/>
        <v>49492.074962009603</v>
      </c>
      <c r="P22" s="152">
        <f t="shared" si="3"/>
        <v>129431.03896200961</v>
      </c>
    </row>
    <row r="23" spans="1:16" hidden="1" x14ac:dyDescent="0.15">
      <c r="A23" s="154"/>
      <c r="B23" s="151"/>
      <c r="C23" s="152"/>
      <c r="D23" s="155"/>
      <c r="E23" s="154"/>
      <c r="F23" s="157"/>
      <c r="G23" s="154"/>
      <c r="H23" s="152"/>
      <c r="I23" s="155"/>
      <c r="J23" s="152"/>
      <c r="K23" s="154"/>
      <c r="L23" s="154"/>
      <c r="M23" s="227"/>
      <c r="N23" s="154"/>
      <c r="O23" s="227">
        <f t="shared" si="2"/>
        <v>49492.074962009603</v>
      </c>
      <c r="P23" s="152">
        <f t="shared" si="3"/>
        <v>129431.03896200961</v>
      </c>
    </row>
    <row r="24" spans="1:16" hidden="1" x14ac:dyDescent="0.15">
      <c r="A24" s="154"/>
      <c r="B24" s="151"/>
      <c r="C24" s="152"/>
      <c r="D24" s="155"/>
      <c r="E24" s="155"/>
      <c r="F24" s="157"/>
      <c r="G24" s="154"/>
      <c r="H24" s="152"/>
      <c r="I24" s="155"/>
      <c r="J24" s="152"/>
      <c r="K24" s="150"/>
      <c r="L24" s="154"/>
      <c r="M24" s="227"/>
      <c r="N24" s="157"/>
      <c r="O24" s="227">
        <f t="shared" si="2"/>
        <v>49492.074962009603</v>
      </c>
      <c r="P24" s="152">
        <f t="shared" si="3"/>
        <v>129431.03896200961</v>
      </c>
    </row>
    <row r="25" spans="1:16" hidden="1" x14ac:dyDescent="0.15">
      <c r="A25" s="154"/>
      <c r="B25" s="151"/>
      <c r="C25" s="152"/>
      <c r="D25" s="155"/>
      <c r="E25" s="155"/>
      <c r="F25" s="157"/>
      <c r="G25" s="154"/>
      <c r="H25" s="152"/>
      <c r="I25" s="155"/>
      <c r="J25" s="152"/>
      <c r="K25" s="150"/>
      <c r="L25" s="154"/>
      <c r="M25" s="227"/>
      <c r="N25" s="157"/>
      <c r="O25" s="227">
        <f t="shared" si="2"/>
        <v>49492.074962009603</v>
      </c>
      <c r="P25" s="152">
        <f t="shared" si="3"/>
        <v>129431.03896200961</v>
      </c>
    </row>
    <row r="26" spans="1:16" hidden="1" x14ac:dyDescent="0.15">
      <c r="A26" s="154"/>
      <c r="B26" s="151"/>
      <c r="C26" s="152"/>
      <c r="D26" s="155"/>
      <c r="E26" s="155"/>
      <c r="F26" s="157"/>
      <c r="G26" s="154"/>
      <c r="H26" s="152"/>
      <c r="I26" s="155"/>
      <c r="J26" s="152"/>
      <c r="K26" s="157"/>
      <c r="L26" s="154"/>
      <c r="M26" s="227"/>
      <c r="N26" s="157"/>
      <c r="O26" s="227">
        <f t="shared" si="2"/>
        <v>49492.074962009603</v>
      </c>
      <c r="P26" s="152">
        <f t="shared" si="3"/>
        <v>129431.03896200961</v>
      </c>
    </row>
    <row r="27" spans="1:16" hidden="1" x14ac:dyDescent="0.15">
      <c r="A27" s="154"/>
      <c r="B27" s="151"/>
      <c r="C27" s="152"/>
      <c r="D27" s="155"/>
      <c r="E27" s="155"/>
      <c r="F27" s="157"/>
      <c r="G27" s="154"/>
      <c r="H27" s="152"/>
      <c r="I27" s="155"/>
      <c r="J27" s="152"/>
      <c r="K27" s="154"/>
      <c r="L27" s="154"/>
      <c r="M27" s="227"/>
      <c r="N27" s="157"/>
      <c r="O27" s="227">
        <f t="shared" si="2"/>
        <v>49492.074962009603</v>
      </c>
      <c r="P27" s="152">
        <f t="shared" si="3"/>
        <v>129431.03896200961</v>
      </c>
    </row>
    <row r="28" spans="1:16" hidden="1" x14ac:dyDescent="0.15">
      <c r="A28" s="154"/>
      <c r="B28" s="151"/>
      <c r="C28" s="152"/>
      <c r="D28" s="155"/>
      <c r="E28" s="155"/>
      <c r="F28" s="157"/>
      <c r="G28" s="154"/>
      <c r="H28" s="152"/>
      <c r="I28" s="155"/>
      <c r="J28" s="152"/>
      <c r="K28" s="157"/>
      <c r="L28" s="154"/>
      <c r="M28" s="227"/>
      <c r="N28" s="157"/>
      <c r="O28" s="227">
        <f t="shared" si="2"/>
        <v>49492.074962009603</v>
      </c>
      <c r="P28" s="152">
        <f t="shared" si="3"/>
        <v>129431.03896200961</v>
      </c>
    </row>
    <row r="29" spans="1:16" hidden="1" x14ac:dyDescent="0.15">
      <c r="A29" s="154"/>
      <c r="B29" s="151"/>
      <c r="C29" s="152"/>
      <c r="D29" s="155"/>
      <c r="E29" s="155"/>
      <c r="F29" s="157"/>
      <c r="G29" s="154"/>
      <c r="H29" s="152"/>
      <c r="I29" s="155"/>
      <c r="J29" s="152"/>
      <c r="K29" s="150"/>
      <c r="L29" s="154"/>
      <c r="M29" s="227"/>
      <c r="N29" s="157"/>
      <c r="O29" s="227">
        <f t="shared" si="2"/>
        <v>49492.074962009603</v>
      </c>
      <c r="P29" s="152">
        <f t="shared" si="3"/>
        <v>129431.03896200961</v>
      </c>
    </row>
    <row r="30" spans="1:16" hidden="1" x14ac:dyDescent="0.15">
      <c r="A30" s="154"/>
      <c r="B30" s="151"/>
      <c r="C30" s="152"/>
      <c r="D30" s="155"/>
      <c r="E30" s="155"/>
      <c r="F30" s="157"/>
      <c r="G30" s="154"/>
      <c r="H30" s="152"/>
      <c r="I30" s="155"/>
      <c r="J30" s="152"/>
      <c r="K30" s="150"/>
      <c r="L30" s="154"/>
      <c r="M30" s="227"/>
      <c r="N30" s="157"/>
      <c r="O30" s="227">
        <f t="shared" si="2"/>
        <v>49492.074962009603</v>
      </c>
      <c r="P30" s="152">
        <f t="shared" si="3"/>
        <v>129431.03896200961</v>
      </c>
    </row>
    <row r="31" spans="1:16" hidden="1" x14ac:dyDescent="0.15">
      <c r="A31" s="154"/>
      <c r="B31" s="151"/>
      <c r="C31" s="152"/>
      <c r="D31" s="155"/>
      <c r="E31" s="155"/>
      <c r="F31" s="157"/>
      <c r="G31" s="154"/>
      <c r="H31" s="152"/>
      <c r="I31" s="155"/>
      <c r="J31" s="152"/>
      <c r="K31" s="157"/>
      <c r="L31" s="154"/>
      <c r="M31" s="227"/>
      <c r="N31" s="154"/>
      <c r="O31" s="227">
        <f t="shared" si="2"/>
        <v>49492.074962009603</v>
      </c>
      <c r="P31" s="152">
        <f t="shared" si="3"/>
        <v>129431.03896200961</v>
      </c>
    </row>
    <row r="32" spans="1:16" hidden="1" x14ac:dyDescent="0.15">
      <c r="A32" s="154"/>
      <c r="B32" s="151"/>
      <c r="C32" s="152"/>
      <c r="D32" s="155"/>
      <c r="E32" s="155"/>
      <c r="F32" s="157"/>
      <c r="G32" s="154"/>
      <c r="H32" s="152"/>
      <c r="I32" s="155"/>
      <c r="J32" s="152"/>
      <c r="K32" s="157"/>
      <c r="L32" s="154"/>
      <c r="M32" s="227"/>
      <c r="N32" s="154"/>
      <c r="O32" s="227">
        <f t="shared" si="2"/>
        <v>49492.074962009603</v>
      </c>
      <c r="P32" s="152">
        <f t="shared" si="3"/>
        <v>129431.03896200961</v>
      </c>
    </row>
    <row r="33" spans="1:16" hidden="1" x14ac:dyDescent="0.15">
      <c r="A33" s="154"/>
      <c r="B33" s="151"/>
      <c r="C33" s="152"/>
      <c r="D33" s="155"/>
      <c r="E33" s="155"/>
      <c r="F33" s="157"/>
      <c r="G33" s="154"/>
      <c r="H33" s="152"/>
      <c r="I33" s="155"/>
      <c r="J33" s="152"/>
      <c r="K33" s="154"/>
      <c r="L33" s="154"/>
      <c r="M33" s="227"/>
      <c r="N33" s="157"/>
      <c r="O33" s="227">
        <f t="shared" si="2"/>
        <v>49492.074962009603</v>
      </c>
      <c r="P33" s="152">
        <f t="shared" si="3"/>
        <v>129431.03896200961</v>
      </c>
    </row>
    <row r="34" spans="1:16" hidden="1" x14ac:dyDescent="0.15">
      <c r="A34" s="154"/>
      <c r="B34" s="151"/>
      <c r="C34" s="152"/>
      <c r="D34" s="155"/>
      <c r="E34" s="155"/>
      <c r="F34" s="157"/>
      <c r="G34" s="154"/>
      <c r="H34" s="152"/>
      <c r="I34" s="155"/>
      <c r="J34" s="152"/>
      <c r="K34" s="157"/>
      <c r="L34" s="154"/>
      <c r="M34" s="227"/>
      <c r="N34" s="154"/>
      <c r="O34" s="227">
        <f t="shared" si="2"/>
        <v>49492.074962009603</v>
      </c>
      <c r="P34" s="152">
        <f t="shared" si="3"/>
        <v>129431.03896200961</v>
      </c>
    </row>
    <row r="35" spans="1:16" hidden="1" x14ac:dyDescent="0.15">
      <c r="A35" s="154"/>
      <c r="B35" s="151"/>
      <c r="C35" s="152"/>
      <c r="D35" s="155"/>
      <c r="E35" s="154"/>
      <c r="F35" s="160"/>
      <c r="G35" s="151"/>
      <c r="H35" s="152"/>
      <c r="I35" s="155"/>
      <c r="J35" s="152"/>
      <c r="K35" s="150"/>
      <c r="L35" s="154"/>
      <c r="M35" s="227"/>
      <c r="N35" s="157"/>
      <c r="O35" s="227">
        <f t="shared" si="2"/>
        <v>49492.074962009603</v>
      </c>
      <c r="P35" s="152">
        <f t="shared" si="3"/>
        <v>129431.03896200961</v>
      </c>
    </row>
    <row r="36" spans="1:16" x14ac:dyDescent="0.15">
      <c r="A36" s="173"/>
      <c r="B36" s="173"/>
      <c r="C36" s="174"/>
      <c r="D36" s="175"/>
      <c r="E36" s="173"/>
      <c r="F36" s="173"/>
      <c r="G36" s="176"/>
      <c r="H36" s="174"/>
      <c r="I36" s="175"/>
      <c r="J36" s="174"/>
      <c r="K36" s="173"/>
      <c r="L36" s="154"/>
      <c r="M36" s="228"/>
      <c r="N36" s="173"/>
      <c r="O36" s="227">
        <f t="shared" si="2"/>
        <v>49492.074962009603</v>
      </c>
      <c r="P36" s="152">
        <f t="shared" si="3"/>
        <v>129431.03896200961</v>
      </c>
    </row>
    <row r="37" spans="1:16" x14ac:dyDescent="0.15">
      <c r="A37" s="177"/>
      <c r="B37" s="177"/>
      <c r="C37" s="178">
        <f>SUM(C7:C35)</f>
        <v>157893.45896200961</v>
      </c>
      <c r="D37" s="177"/>
      <c r="E37" s="177"/>
      <c r="F37" s="177"/>
      <c r="G37" s="177"/>
      <c r="H37" s="178">
        <f>SUM(H7:H35)</f>
        <v>0</v>
      </c>
      <c r="I37" s="179"/>
      <c r="J37" s="178">
        <f>SUM(J7:J35)</f>
        <v>15666</v>
      </c>
      <c r="K37" s="177"/>
      <c r="L37" s="177"/>
      <c r="M37" s="229">
        <f>SUM(M9:M35)</f>
        <v>12796.42</v>
      </c>
      <c r="N37" s="177"/>
      <c r="O37" s="180"/>
      <c r="P37" s="181">
        <f>C37+H37-J37-M37</f>
        <v>129431.03896200961</v>
      </c>
    </row>
    <row r="38" spans="1:16" x14ac:dyDescent="0.15">
      <c r="A38" s="182"/>
      <c r="B38" s="465"/>
      <c r="C38" s="465"/>
      <c r="D38" s="465"/>
      <c r="E38" s="183"/>
      <c r="F38" s="472"/>
      <c r="G38" s="472"/>
      <c r="H38" s="185"/>
      <c r="I38" s="186"/>
      <c r="J38" s="187"/>
      <c r="K38" s="188"/>
      <c r="L38" s="189" t="s">
        <v>139</v>
      </c>
      <c r="M38" s="190">
        <f>+M37+J37</f>
        <v>28462.42</v>
      </c>
      <c r="N38" s="197"/>
      <c r="O38" s="230">
        <f>+O36</f>
        <v>49492.074962009603</v>
      </c>
      <c r="P38" s="195" t="s">
        <v>1152</v>
      </c>
    </row>
    <row r="39" spans="1:16" x14ac:dyDescent="0.15">
      <c r="A39" s="193"/>
      <c r="B39" s="470"/>
      <c r="C39" s="470"/>
      <c r="D39" s="470"/>
      <c r="E39" s="183"/>
      <c r="F39" s="472"/>
      <c r="G39" s="472"/>
      <c r="H39" s="219"/>
      <c r="I39" s="186"/>
      <c r="J39" s="187"/>
      <c r="K39" s="210"/>
      <c r="L39" s="210"/>
      <c r="O39" s="230">
        <v>59967.356</v>
      </c>
      <c r="P39" s="195" t="s">
        <v>1153</v>
      </c>
    </row>
    <row r="40" spans="1:16" x14ac:dyDescent="0.15">
      <c r="A40" s="193" t="s">
        <v>1152</v>
      </c>
      <c r="B40" s="271" t="s">
        <v>1158</v>
      </c>
      <c r="C40" s="271"/>
      <c r="D40" s="271"/>
      <c r="E40" s="183" t="s">
        <v>55</v>
      </c>
      <c r="F40" s="471">
        <v>4797650.51</v>
      </c>
      <c r="G40" s="471"/>
      <c r="H40" s="219" t="s">
        <v>56</v>
      </c>
      <c r="I40" s="186">
        <v>41016</v>
      </c>
      <c r="J40" s="187" t="s">
        <v>71</v>
      </c>
      <c r="K40" s="210">
        <f>+M37</f>
        <v>12796.42</v>
      </c>
      <c r="L40" s="210"/>
      <c r="O40" s="230">
        <v>19971.608</v>
      </c>
      <c r="P40" s="195" t="s">
        <v>1164</v>
      </c>
    </row>
    <row r="41" spans="1:16" x14ac:dyDescent="0.15">
      <c r="A41" s="193"/>
      <c r="B41" s="271"/>
      <c r="C41" s="271"/>
      <c r="D41" s="271"/>
      <c r="E41" s="183"/>
      <c r="F41" s="471"/>
      <c r="G41" s="471"/>
      <c r="H41" s="219"/>
      <c r="I41" s="186"/>
      <c r="J41" s="187"/>
      <c r="K41" s="210"/>
      <c r="L41" s="210"/>
      <c r="O41" s="230"/>
      <c r="P41" s="195"/>
    </row>
    <row r="42" spans="1:16" x14ac:dyDescent="0.15">
      <c r="A42" s="193"/>
      <c r="B42" s="133" t="s">
        <v>9</v>
      </c>
      <c r="C42" s="220" t="s">
        <v>729</v>
      </c>
      <c r="D42" s="220" t="s">
        <v>850</v>
      </c>
      <c r="E42" s="133" t="s">
        <v>570</v>
      </c>
      <c r="F42" s="133" t="s">
        <v>571</v>
      </c>
      <c r="G42" s="133" t="s">
        <v>16</v>
      </c>
      <c r="H42" s="219"/>
      <c r="I42" s="186"/>
      <c r="J42" s="187"/>
      <c r="K42" s="210"/>
      <c r="L42" s="210"/>
      <c r="O42" s="230"/>
      <c r="P42" s="195"/>
    </row>
    <row r="43" spans="1:16" x14ac:dyDescent="0.15">
      <c r="A43" s="193" t="s">
        <v>1152</v>
      </c>
      <c r="B43" s="210">
        <v>12796</v>
      </c>
      <c r="C43" s="221">
        <v>26.610600000000002</v>
      </c>
      <c r="D43" s="237">
        <f t="shared" ref="D43" si="4">+B43*C43</f>
        <v>340509.23759999999</v>
      </c>
      <c r="E43" s="235">
        <f t="shared" ref="E43" si="5">+D43*0.01</f>
        <v>3405.0923760000001</v>
      </c>
      <c r="F43" s="235">
        <f t="shared" ref="F43" si="6">+E43*0.1</f>
        <v>340.50923760000001</v>
      </c>
      <c r="G43" s="236">
        <f t="shared" ref="G43" si="7">+E43+F43</f>
        <v>3745.6016135999998</v>
      </c>
      <c r="H43" s="219"/>
      <c r="I43" s="186"/>
      <c r="J43" s="187"/>
      <c r="K43" s="210"/>
      <c r="L43" s="210"/>
      <c r="O43" s="230"/>
      <c r="P43" s="195"/>
    </row>
    <row r="44" spans="1:16" x14ac:dyDescent="0.15">
      <c r="A44" s="193"/>
      <c r="B44" s="271"/>
      <c r="C44" s="271"/>
      <c r="D44" s="271"/>
      <c r="E44" s="183"/>
      <c r="F44" s="471"/>
      <c r="G44" s="471"/>
      <c r="H44" s="219"/>
      <c r="I44" s="186"/>
      <c r="J44" s="187"/>
      <c r="K44" s="210"/>
      <c r="L44" s="210"/>
      <c r="O44" s="230"/>
      <c r="P44" s="195"/>
    </row>
    <row r="45" spans="1:16" x14ac:dyDescent="0.15">
      <c r="A45" s="215"/>
      <c r="B45" s="271"/>
      <c r="C45" s="271"/>
      <c r="D45" s="271"/>
      <c r="E45" s="183"/>
      <c r="F45" s="471"/>
      <c r="G45" s="471"/>
      <c r="H45" s="219"/>
      <c r="I45" s="186"/>
      <c r="J45" s="187"/>
      <c r="K45" s="210"/>
      <c r="L45" s="210"/>
      <c r="O45" s="206" t="s">
        <v>33</v>
      </c>
      <c r="P45" s="207">
        <f>SUM(O38:O44)</f>
        <v>129431.0389620096</v>
      </c>
    </row>
    <row r="46" spans="1:16" x14ac:dyDescent="0.15">
      <c r="A46" s="215"/>
      <c r="B46" s="271"/>
      <c r="C46" s="271"/>
      <c r="D46" s="271"/>
      <c r="E46" s="183"/>
      <c r="F46" s="471"/>
      <c r="G46" s="471"/>
      <c r="H46" s="219"/>
      <c r="I46" s="186"/>
      <c r="J46" s="187"/>
      <c r="K46" s="210"/>
      <c r="L46" s="210"/>
      <c r="P46" s="132">
        <f>+P37-P45</f>
        <v>0</v>
      </c>
    </row>
    <row r="47" spans="1:16" s="132" customFormat="1" x14ac:dyDescent="0.15">
      <c r="A47" s="193"/>
      <c r="B47" s="210"/>
      <c r="C47" s="221"/>
      <c r="D47" s="237"/>
      <c r="E47" s="267"/>
      <c r="F47" s="267"/>
      <c r="G47" s="268"/>
      <c r="H47" s="138"/>
      <c r="I47" s="215"/>
      <c r="J47" s="138"/>
      <c r="K47" s="216"/>
      <c r="L47" s="133"/>
      <c r="N47" s="134"/>
    </row>
    <row r="48" spans="1:16" s="132" customFormat="1" x14ac:dyDescent="0.15">
      <c r="A48" s="215"/>
      <c r="B48" s="215"/>
      <c r="C48" s="137"/>
      <c r="D48" s="137"/>
      <c r="E48" s="215"/>
      <c r="F48" s="215"/>
      <c r="G48" s="215"/>
      <c r="H48" s="138"/>
      <c r="I48" s="135"/>
      <c r="J48" s="135"/>
      <c r="K48" s="216"/>
      <c r="L48" s="133"/>
      <c r="N48" s="134"/>
    </row>
    <row r="49" spans="1:14" s="132" customFormat="1" x14ac:dyDescent="0.15">
      <c r="A49" s="193"/>
      <c r="B49" s="210"/>
      <c r="C49" s="221"/>
      <c r="D49" s="237"/>
      <c r="E49" s="267"/>
      <c r="F49" s="267"/>
      <c r="G49" s="268"/>
      <c r="H49" s="138"/>
      <c r="I49" s="135"/>
      <c r="J49" s="135"/>
      <c r="K49" s="135"/>
      <c r="L49" s="133"/>
      <c r="N49" s="134"/>
    </row>
    <row r="50" spans="1:14" s="132" customFormat="1" x14ac:dyDescent="0.15">
      <c r="A50" s="193"/>
      <c r="B50" s="210"/>
      <c r="C50" s="221"/>
      <c r="D50" s="237"/>
      <c r="E50" s="267"/>
      <c r="F50" s="267"/>
      <c r="G50" s="268"/>
      <c r="H50" s="138"/>
      <c r="I50" s="215"/>
      <c r="J50" s="138"/>
      <c r="K50" s="135"/>
      <c r="L50" s="133"/>
      <c r="N50" s="134"/>
    </row>
    <row r="51" spans="1:14" s="132" customFormat="1" x14ac:dyDescent="0.15">
      <c r="A51" s="193"/>
      <c r="B51" s="210"/>
      <c r="C51" s="221"/>
      <c r="D51" s="237"/>
      <c r="E51" s="267"/>
      <c r="F51" s="267"/>
      <c r="G51" s="268"/>
      <c r="H51" s="138"/>
      <c r="I51" s="135"/>
      <c r="J51" s="135"/>
      <c r="K51" s="135"/>
      <c r="L51" s="133"/>
      <c r="N51" s="134"/>
    </row>
    <row r="52" spans="1:14" s="132" customFormat="1" x14ac:dyDescent="0.15">
      <c r="A52" s="193"/>
      <c r="B52" s="210"/>
      <c r="C52" s="221"/>
      <c r="D52" s="237"/>
      <c r="E52" s="267"/>
      <c r="F52" s="267"/>
      <c r="G52" s="268"/>
      <c r="H52" s="138"/>
      <c r="I52" s="215"/>
      <c r="J52" s="138"/>
      <c r="K52" s="135"/>
      <c r="L52" s="133"/>
      <c r="N52" s="134"/>
    </row>
    <row r="53" spans="1:14" s="132" customFormat="1" x14ac:dyDescent="0.15">
      <c r="A53" s="193"/>
      <c r="B53" s="210"/>
      <c r="C53" s="221"/>
      <c r="D53" s="237"/>
      <c r="E53" s="267"/>
      <c r="F53" s="267"/>
      <c r="G53" s="268"/>
      <c r="H53" s="138"/>
      <c r="I53" s="215"/>
      <c r="J53" s="138"/>
      <c r="K53" s="135"/>
      <c r="L53" s="133"/>
      <c r="N53" s="134"/>
    </row>
    <row r="54" spans="1:14" s="132" customFormat="1" x14ac:dyDescent="0.15">
      <c r="A54" s="215"/>
      <c r="B54" s="210"/>
      <c r="C54" s="221"/>
      <c r="D54" s="237"/>
      <c r="E54" s="267"/>
      <c r="F54" s="267"/>
      <c r="G54" s="268"/>
      <c r="H54" s="138"/>
      <c r="I54" s="215"/>
      <c r="J54" s="138"/>
      <c r="K54" s="135"/>
      <c r="L54" s="133"/>
      <c r="N54" s="134"/>
    </row>
    <row r="55" spans="1:14" s="132" customFormat="1" x14ac:dyDescent="0.15">
      <c r="A55" s="215"/>
      <c r="B55" s="210"/>
      <c r="C55" s="221"/>
      <c r="D55" s="237"/>
      <c r="E55" s="267"/>
      <c r="F55" s="267"/>
      <c r="G55" s="267"/>
      <c r="H55" s="138"/>
      <c r="I55" s="269"/>
      <c r="J55" s="138"/>
      <c r="K55" s="135"/>
      <c r="L55" s="133"/>
      <c r="N55" s="134"/>
    </row>
  </sheetData>
  <mergeCells count="15">
    <mergeCell ref="F44:G44"/>
    <mergeCell ref="F45:G45"/>
    <mergeCell ref="F46:G46"/>
    <mergeCell ref="B38:D38"/>
    <mergeCell ref="F38:G38"/>
    <mergeCell ref="B39:D39"/>
    <mergeCell ref="F39:G39"/>
    <mergeCell ref="F40:G40"/>
    <mergeCell ref="F41:G41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D1" zoomScale="115" zoomScaleNormal="115" workbookViewId="0">
      <pane ySplit="6" topLeftCell="A7" activePane="bottomLeft" state="frozen"/>
      <selection pane="bottomLeft" activeCell="L23" activeCellId="3" sqref="L13 L15 L17 L23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1188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1152</v>
      </c>
      <c r="B7" s="146"/>
      <c r="C7" s="147">
        <v>94657.214962009602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94657.214962009602</v>
      </c>
      <c r="P7" s="147">
        <f>+C37</f>
        <v>174596.17896200961</v>
      </c>
    </row>
    <row r="8" spans="1:16" x14ac:dyDescent="0.15">
      <c r="A8" s="154" t="s">
        <v>1153</v>
      </c>
      <c r="B8" s="151"/>
      <c r="C8" s="152">
        <v>59967.356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94657.214962009602</v>
      </c>
      <c r="P8" s="152">
        <f t="shared" ref="P8" si="0">P7+H8-J8-M8</f>
        <v>174596.17896200961</v>
      </c>
    </row>
    <row r="9" spans="1:16" x14ac:dyDescent="0.15">
      <c r="A9" s="157" t="s">
        <v>1164</v>
      </c>
      <c r="B9" s="151"/>
      <c r="C9" s="152">
        <v>19971.608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36" si="1">+O8-J9-M9</f>
        <v>94657.214962009602</v>
      </c>
      <c r="P9" s="152">
        <f t="shared" ref="P9:P36" si="2">P8+H9-J9-M9</f>
        <v>174596.17896200961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/>
      <c r="J10" s="152"/>
      <c r="K10" s="154"/>
      <c r="L10" s="154"/>
      <c r="M10" s="227"/>
      <c r="N10" s="154"/>
      <c r="O10" s="227">
        <f t="shared" si="1"/>
        <v>94657.214962009602</v>
      </c>
      <c r="P10" s="152">
        <f t="shared" si="2"/>
        <v>174596.17896200961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 t="s">
        <v>1175</v>
      </c>
      <c r="J11" s="152">
        <v>395</v>
      </c>
      <c r="K11" s="154" t="s">
        <v>1152</v>
      </c>
      <c r="L11" s="154"/>
      <c r="M11" s="227"/>
      <c r="N11" s="154"/>
      <c r="O11" s="227">
        <f t="shared" si="1"/>
        <v>94262.214962009602</v>
      </c>
      <c r="P11" s="152">
        <f t="shared" si="2"/>
        <v>174201.17896200961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1176</v>
      </c>
      <c r="J12" s="152"/>
      <c r="K12" s="154"/>
      <c r="L12" s="154" t="s">
        <v>1189</v>
      </c>
      <c r="M12" s="227">
        <v>636</v>
      </c>
      <c r="N12" s="154" t="s">
        <v>1152</v>
      </c>
      <c r="O12" s="227">
        <f t="shared" si="1"/>
        <v>93626.214962009602</v>
      </c>
      <c r="P12" s="152">
        <f t="shared" si="2"/>
        <v>173565.17896200961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1177</v>
      </c>
      <c r="J13" s="152"/>
      <c r="K13" s="154"/>
      <c r="L13" s="154" t="s">
        <v>1189</v>
      </c>
      <c r="M13" s="227">
        <v>945</v>
      </c>
      <c r="N13" s="154" t="s">
        <v>1152</v>
      </c>
      <c r="O13" s="227">
        <f t="shared" si="1"/>
        <v>92681.214962009602</v>
      </c>
      <c r="P13" s="152">
        <f t="shared" si="2"/>
        <v>172620.17896200961</v>
      </c>
    </row>
    <row r="14" spans="1:16" x14ac:dyDescent="0.15">
      <c r="A14" s="154"/>
      <c r="B14" s="151"/>
      <c r="C14" s="152"/>
      <c r="D14" s="155"/>
      <c r="E14" s="155"/>
      <c r="F14" s="157"/>
      <c r="G14" s="154"/>
      <c r="H14" s="152"/>
      <c r="I14" s="155" t="s">
        <v>1178</v>
      </c>
      <c r="J14" s="152">
        <v>945</v>
      </c>
      <c r="K14" s="154" t="s">
        <v>1152</v>
      </c>
      <c r="L14" s="154"/>
      <c r="M14" s="227"/>
      <c r="N14" s="154"/>
      <c r="O14" s="227">
        <f t="shared" si="1"/>
        <v>91736.214962009602</v>
      </c>
      <c r="P14" s="152">
        <f t="shared" si="2"/>
        <v>171675.17896200961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1179</v>
      </c>
      <c r="J15" s="152">
        <v>952</v>
      </c>
      <c r="K15" s="154" t="s">
        <v>1152</v>
      </c>
      <c r="L15" s="154" t="s">
        <v>1189</v>
      </c>
      <c r="M15" s="227">
        <v>1558</v>
      </c>
      <c r="N15" s="154" t="s">
        <v>1152</v>
      </c>
      <c r="O15" s="227">
        <f t="shared" si="1"/>
        <v>89226.214962009602</v>
      </c>
      <c r="P15" s="152">
        <f t="shared" si="2"/>
        <v>169165.17896200961</v>
      </c>
    </row>
    <row r="16" spans="1:16" x14ac:dyDescent="0.15">
      <c r="A16" s="154"/>
      <c r="B16" s="151"/>
      <c r="C16" s="152"/>
      <c r="D16" s="155"/>
      <c r="E16" s="155"/>
      <c r="F16" s="157"/>
      <c r="G16" s="154"/>
      <c r="H16" s="152"/>
      <c r="I16" s="155" t="s">
        <v>1180</v>
      </c>
      <c r="J16" s="152">
        <v>764</v>
      </c>
      <c r="K16" s="154" t="s">
        <v>1152</v>
      </c>
      <c r="L16" s="154"/>
      <c r="M16" s="227"/>
      <c r="N16" s="154"/>
      <c r="O16" s="227">
        <f t="shared" si="1"/>
        <v>88462.214962009602</v>
      </c>
      <c r="P16" s="152">
        <f t="shared" si="2"/>
        <v>168401.17896200961</v>
      </c>
    </row>
    <row r="17" spans="1:16" x14ac:dyDescent="0.15">
      <c r="A17" s="154"/>
      <c r="B17" s="151"/>
      <c r="C17" s="152"/>
      <c r="D17" s="155"/>
      <c r="E17" s="155"/>
      <c r="F17" s="157"/>
      <c r="G17" s="154"/>
      <c r="H17" s="152"/>
      <c r="I17" s="155" t="s">
        <v>1181</v>
      </c>
      <c r="J17" s="152"/>
      <c r="K17" s="154"/>
      <c r="L17" s="154" t="s">
        <v>1189</v>
      </c>
      <c r="M17" s="227">
        <v>6046</v>
      </c>
      <c r="N17" s="154" t="s">
        <v>1152</v>
      </c>
      <c r="O17" s="227">
        <f t="shared" si="1"/>
        <v>82416.214962009602</v>
      </c>
      <c r="P17" s="152">
        <f t="shared" si="2"/>
        <v>162355.17896200961</v>
      </c>
    </row>
    <row r="18" spans="1:16" x14ac:dyDescent="0.15">
      <c r="A18" s="154"/>
      <c r="B18" s="151"/>
      <c r="C18" s="152"/>
      <c r="D18" s="155"/>
      <c r="E18" s="155"/>
      <c r="F18" s="157"/>
      <c r="G18" s="154"/>
      <c r="H18" s="152"/>
      <c r="I18" s="155" t="s">
        <v>1182</v>
      </c>
      <c r="J18" s="152">
        <v>170.09</v>
      </c>
      <c r="K18" s="154" t="s">
        <v>1152</v>
      </c>
      <c r="L18" s="154"/>
      <c r="M18" s="227"/>
      <c r="N18" s="154"/>
      <c r="O18" s="227">
        <f t="shared" si="1"/>
        <v>82246.124962009606</v>
      </c>
      <c r="P18" s="152">
        <f t="shared" si="2"/>
        <v>162185.08896200961</v>
      </c>
    </row>
    <row r="19" spans="1:16" x14ac:dyDescent="0.15">
      <c r="A19" s="154"/>
      <c r="B19" s="151"/>
      <c r="C19" s="152"/>
      <c r="D19" s="155"/>
      <c r="E19" s="155"/>
      <c r="F19" s="157"/>
      <c r="G19" s="154"/>
      <c r="H19" s="152"/>
      <c r="I19" s="155" t="s">
        <v>1183</v>
      </c>
      <c r="J19" s="152">
        <v>785</v>
      </c>
      <c r="K19" s="154" t="s">
        <v>1152</v>
      </c>
      <c r="L19" s="154"/>
      <c r="M19" s="227"/>
      <c r="N19" s="154"/>
      <c r="O19" s="227">
        <f t="shared" si="1"/>
        <v>81461.124962009606</v>
      </c>
      <c r="P19" s="152">
        <f t="shared" si="2"/>
        <v>161400.08896200961</v>
      </c>
    </row>
    <row r="20" spans="1:16" x14ac:dyDescent="0.15">
      <c r="A20" s="154"/>
      <c r="B20" s="151"/>
      <c r="C20" s="152"/>
      <c r="D20" s="155"/>
      <c r="E20" s="155"/>
      <c r="F20" s="157"/>
      <c r="G20" s="154"/>
      <c r="H20" s="152"/>
      <c r="I20" s="155" t="s">
        <v>1184</v>
      </c>
      <c r="J20" s="152">
        <v>1244.6300000000001</v>
      </c>
      <c r="K20" s="154" t="s">
        <v>1152</v>
      </c>
      <c r="L20" s="154"/>
      <c r="M20" s="227"/>
      <c r="N20" s="154"/>
      <c r="O20" s="227">
        <f t="shared" si="1"/>
        <v>80216.494962009601</v>
      </c>
      <c r="P20" s="152">
        <f t="shared" si="2"/>
        <v>160155.45896200961</v>
      </c>
    </row>
    <row r="21" spans="1:16" x14ac:dyDescent="0.15">
      <c r="A21" s="154"/>
      <c r="B21" s="151"/>
      <c r="C21" s="152"/>
      <c r="D21" s="155"/>
      <c r="E21" s="155"/>
      <c r="F21" s="157"/>
      <c r="G21" s="154"/>
      <c r="H21" s="152"/>
      <c r="I21" s="155" t="s">
        <v>1185</v>
      </c>
      <c r="J21" s="152">
        <v>677</v>
      </c>
      <c r="K21" s="154" t="s">
        <v>1152</v>
      </c>
      <c r="L21" s="154"/>
      <c r="M21" s="227"/>
      <c r="N21" s="154"/>
      <c r="O21" s="227">
        <f t="shared" si="1"/>
        <v>79539.494962009601</v>
      </c>
      <c r="P21" s="152">
        <f t="shared" si="2"/>
        <v>159478.45896200961</v>
      </c>
    </row>
    <row r="22" spans="1:16" x14ac:dyDescent="0.15">
      <c r="A22" s="154"/>
      <c r="B22" s="151"/>
      <c r="C22" s="152"/>
      <c r="D22" s="155"/>
      <c r="E22" s="154"/>
      <c r="F22" s="157"/>
      <c r="G22" s="154"/>
      <c r="H22" s="152"/>
      <c r="I22" s="155" t="s">
        <v>1186</v>
      </c>
      <c r="J22" s="152">
        <v>863</v>
      </c>
      <c r="K22" s="154" t="s">
        <v>1152</v>
      </c>
      <c r="L22" s="154"/>
      <c r="M22" s="227"/>
      <c r="N22" s="154"/>
      <c r="O22" s="227">
        <f t="shared" si="1"/>
        <v>78676.494962009601</v>
      </c>
      <c r="P22" s="152">
        <f t="shared" si="2"/>
        <v>158615.45896200961</v>
      </c>
    </row>
    <row r="23" spans="1:16" x14ac:dyDescent="0.15">
      <c r="A23" s="154"/>
      <c r="B23" s="151"/>
      <c r="C23" s="152"/>
      <c r="D23" s="155"/>
      <c r="E23" s="154"/>
      <c r="F23" s="157"/>
      <c r="G23" s="154"/>
      <c r="H23" s="152"/>
      <c r="I23" s="155" t="s">
        <v>1187</v>
      </c>
      <c r="J23" s="152"/>
      <c r="K23" s="154"/>
      <c r="L23" s="154" t="s">
        <v>1189</v>
      </c>
      <c r="M23" s="227">
        <v>722</v>
      </c>
      <c r="N23" s="154" t="s">
        <v>1152</v>
      </c>
      <c r="O23" s="227">
        <f t="shared" si="1"/>
        <v>77954.494962009601</v>
      </c>
      <c r="P23" s="152">
        <f t="shared" si="2"/>
        <v>157893.45896200961</v>
      </c>
    </row>
    <row r="24" spans="1:16" hidden="1" x14ac:dyDescent="0.15">
      <c r="A24" s="154"/>
      <c r="B24" s="151"/>
      <c r="C24" s="152"/>
      <c r="D24" s="155"/>
      <c r="E24" s="155"/>
      <c r="F24" s="157"/>
      <c r="G24" s="154"/>
      <c r="H24" s="152"/>
      <c r="I24" s="155"/>
      <c r="J24" s="152"/>
      <c r="K24" s="150"/>
      <c r="L24" s="154"/>
      <c r="M24" s="227"/>
      <c r="N24" s="157"/>
      <c r="O24" s="227">
        <f t="shared" si="1"/>
        <v>77954.494962009601</v>
      </c>
      <c r="P24" s="152">
        <f t="shared" si="2"/>
        <v>157893.45896200961</v>
      </c>
    </row>
    <row r="25" spans="1:16" hidden="1" x14ac:dyDescent="0.15">
      <c r="A25" s="154"/>
      <c r="B25" s="151"/>
      <c r="C25" s="152"/>
      <c r="D25" s="155"/>
      <c r="E25" s="155"/>
      <c r="F25" s="157"/>
      <c r="G25" s="154"/>
      <c r="H25" s="152"/>
      <c r="I25" s="155"/>
      <c r="J25" s="152"/>
      <c r="K25" s="150"/>
      <c r="L25" s="154"/>
      <c r="M25" s="227"/>
      <c r="N25" s="157"/>
      <c r="O25" s="227">
        <f t="shared" si="1"/>
        <v>77954.494962009601</v>
      </c>
      <c r="P25" s="152">
        <f t="shared" si="2"/>
        <v>157893.45896200961</v>
      </c>
    </row>
    <row r="26" spans="1:16" hidden="1" x14ac:dyDescent="0.15">
      <c r="A26" s="154"/>
      <c r="B26" s="151"/>
      <c r="C26" s="152"/>
      <c r="D26" s="155"/>
      <c r="E26" s="155"/>
      <c r="F26" s="157"/>
      <c r="G26" s="154"/>
      <c r="H26" s="152"/>
      <c r="I26" s="155"/>
      <c r="J26" s="152"/>
      <c r="K26" s="157"/>
      <c r="L26" s="154"/>
      <c r="M26" s="227"/>
      <c r="N26" s="157"/>
      <c r="O26" s="227">
        <f t="shared" si="1"/>
        <v>77954.494962009601</v>
      </c>
      <c r="P26" s="152">
        <f t="shared" si="2"/>
        <v>157893.45896200961</v>
      </c>
    </row>
    <row r="27" spans="1:16" hidden="1" x14ac:dyDescent="0.15">
      <c r="A27" s="154"/>
      <c r="B27" s="151"/>
      <c r="C27" s="152"/>
      <c r="D27" s="155"/>
      <c r="E27" s="155"/>
      <c r="F27" s="157"/>
      <c r="G27" s="154"/>
      <c r="H27" s="152"/>
      <c r="I27" s="155"/>
      <c r="J27" s="152"/>
      <c r="K27" s="154"/>
      <c r="L27" s="154"/>
      <c r="M27" s="227"/>
      <c r="N27" s="157"/>
      <c r="O27" s="227">
        <f t="shared" si="1"/>
        <v>77954.494962009601</v>
      </c>
      <c r="P27" s="152">
        <f t="shared" si="2"/>
        <v>157893.45896200961</v>
      </c>
    </row>
    <row r="28" spans="1:16" hidden="1" x14ac:dyDescent="0.15">
      <c r="A28" s="154"/>
      <c r="B28" s="151"/>
      <c r="C28" s="152"/>
      <c r="D28" s="155"/>
      <c r="E28" s="155"/>
      <c r="F28" s="157"/>
      <c r="G28" s="154"/>
      <c r="H28" s="152"/>
      <c r="I28" s="155"/>
      <c r="J28" s="152"/>
      <c r="K28" s="157"/>
      <c r="L28" s="154"/>
      <c r="M28" s="227"/>
      <c r="N28" s="157"/>
      <c r="O28" s="227">
        <f t="shared" si="1"/>
        <v>77954.494962009601</v>
      </c>
      <c r="P28" s="152">
        <f t="shared" si="2"/>
        <v>157893.45896200961</v>
      </c>
    </row>
    <row r="29" spans="1:16" hidden="1" x14ac:dyDescent="0.15">
      <c r="A29" s="154"/>
      <c r="B29" s="151"/>
      <c r="C29" s="152"/>
      <c r="D29" s="155"/>
      <c r="E29" s="155"/>
      <c r="F29" s="157"/>
      <c r="G29" s="154"/>
      <c r="H29" s="152"/>
      <c r="I29" s="155"/>
      <c r="J29" s="152"/>
      <c r="K29" s="150"/>
      <c r="L29" s="154"/>
      <c r="M29" s="227"/>
      <c r="N29" s="157"/>
      <c r="O29" s="227">
        <f t="shared" si="1"/>
        <v>77954.494962009601</v>
      </c>
      <c r="P29" s="152">
        <f t="shared" si="2"/>
        <v>157893.45896200961</v>
      </c>
    </row>
    <row r="30" spans="1:16" hidden="1" x14ac:dyDescent="0.15">
      <c r="A30" s="154"/>
      <c r="B30" s="151"/>
      <c r="C30" s="152"/>
      <c r="D30" s="155"/>
      <c r="E30" s="155"/>
      <c r="F30" s="157"/>
      <c r="G30" s="154"/>
      <c r="H30" s="152"/>
      <c r="I30" s="155"/>
      <c r="J30" s="152"/>
      <c r="K30" s="150"/>
      <c r="L30" s="154"/>
      <c r="M30" s="227"/>
      <c r="N30" s="157"/>
      <c r="O30" s="227">
        <f t="shared" si="1"/>
        <v>77954.494962009601</v>
      </c>
      <c r="P30" s="152">
        <f t="shared" si="2"/>
        <v>157893.45896200961</v>
      </c>
    </row>
    <row r="31" spans="1:16" hidden="1" x14ac:dyDescent="0.15">
      <c r="A31" s="154"/>
      <c r="B31" s="151"/>
      <c r="C31" s="152"/>
      <c r="D31" s="155"/>
      <c r="E31" s="155"/>
      <c r="F31" s="157"/>
      <c r="G31" s="154"/>
      <c r="H31" s="152"/>
      <c r="I31" s="155"/>
      <c r="J31" s="152"/>
      <c r="K31" s="157"/>
      <c r="L31" s="154"/>
      <c r="M31" s="227"/>
      <c r="N31" s="154"/>
      <c r="O31" s="227">
        <f t="shared" si="1"/>
        <v>77954.494962009601</v>
      </c>
      <c r="P31" s="152">
        <f t="shared" si="2"/>
        <v>157893.45896200961</v>
      </c>
    </row>
    <row r="32" spans="1:16" hidden="1" x14ac:dyDescent="0.15">
      <c r="A32" s="154"/>
      <c r="B32" s="151"/>
      <c r="C32" s="152"/>
      <c r="D32" s="155"/>
      <c r="E32" s="155"/>
      <c r="F32" s="157"/>
      <c r="G32" s="154"/>
      <c r="H32" s="152"/>
      <c r="I32" s="155"/>
      <c r="J32" s="152"/>
      <c r="K32" s="157"/>
      <c r="L32" s="154"/>
      <c r="M32" s="227"/>
      <c r="N32" s="154"/>
      <c r="O32" s="227">
        <f t="shared" si="1"/>
        <v>77954.494962009601</v>
      </c>
      <c r="P32" s="152">
        <f t="shared" si="2"/>
        <v>157893.45896200961</v>
      </c>
    </row>
    <row r="33" spans="1:16" hidden="1" x14ac:dyDescent="0.15">
      <c r="A33" s="154"/>
      <c r="B33" s="151"/>
      <c r="C33" s="152"/>
      <c r="D33" s="155"/>
      <c r="E33" s="155"/>
      <c r="F33" s="157"/>
      <c r="G33" s="154"/>
      <c r="H33" s="152"/>
      <c r="I33" s="155"/>
      <c r="J33" s="152"/>
      <c r="K33" s="154"/>
      <c r="L33" s="154"/>
      <c r="M33" s="227"/>
      <c r="N33" s="157"/>
      <c r="O33" s="227">
        <f t="shared" si="1"/>
        <v>77954.494962009601</v>
      </c>
      <c r="P33" s="152">
        <f t="shared" si="2"/>
        <v>157893.45896200961</v>
      </c>
    </row>
    <row r="34" spans="1:16" hidden="1" x14ac:dyDescent="0.15">
      <c r="A34" s="154"/>
      <c r="B34" s="151"/>
      <c r="C34" s="152"/>
      <c r="D34" s="155"/>
      <c r="E34" s="155"/>
      <c r="F34" s="157"/>
      <c r="G34" s="154"/>
      <c r="H34" s="152"/>
      <c r="I34" s="155"/>
      <c r="J34" s="152"/>
      <c r="K34" s="157"/>
      <c r="L34" s="154"/>
      <c r="M34" s="227"/>
      <c r="N34" s="154"/>
      <c r="O34" s="227">
        <f t="shared" si="1"/>
        <v>77954.494962009601</v>
      </c>
      <c r="P34" s="152">
        <f t="shared" si="2"/>
        <v>157893.45896200961</v>
      </c>
    </row>
    <row r="35" spans="1:16" hidden="1" x14ac:dyDescent="0.15">
      <c r="A35" s="154"/>
      <c r="B35" s="151"/>
      <c r="C35" s="152"/>
      <c r="D35" s="155"/>
      <c r="E35" s="154"/>
      <c r="F35" s="160"/>
      <c r="G35" s="151"/>
      <c r="H35" s="152"/>
      <c r="I35" s="155"/>
      <c r="J35" s="152"/>
      <c r="K35" s="150"/>
      <c r="L35" s="154"/>
      <c r="M35" s="227"/>
      <c r="N35" s="157"/>
      <c r="O35" s="227">
        <f t="shared" si="1"/>
        <v>77954.494962009601</v>
      </c>
      <c r="P35" s="152">
        <f t="shared" si="2"/>
        <v>157893.45896200961</v>
      </c>
    </row>
    <row r="36" spans="1:16" x14ac:dyDescent="0.15">
      <c r="A36" s="173"/>
      <c r="B36" s="173"/>
      <c r="C36" s="174"/>
      <c r="D36" s="175"/>
      <c r="E36" s="173"/>
      <c r="F36" s="173"/>
      <c r="G36" s="176"/>
      <c r="H36" s="174"/>
      <c r="I36" s="175"/>
      <c r="J36" s="174"/>
      <c r="K36" s="173"/>
      <c r="L36" s="154"/>
      <c r="M36" s="228"/>
      <c r="N36" s="173"/>
      <c r="O36" s="227">
        <f t="shared" si="1"/>
        <v>77954.494962009601</v>
      </c>
      <c r="P36" s="152">
        <f t="shared" si="2"/>
        <v>157893.45896200961</v>
      </c>
    </row>
    <row r="37" spans="1:16" x14ac:dyDescent="0.15">
      <c r="A37" s="177"/>
      <c r="B37" s="177"/>
      <c r="C37" s="178">
        <f>SUM(C7:C35)</f>
        <v>174596.17896200961</v>
      </c>
      <c r="D37" s="177"/>
      <c r="E37" s="177"/>
      <c r="F37" s="177"/>
      <c r="G37" s="177"/>
      <c r="H37" s="178">
        <f>SUM(H7:H35)</f>
        <v>0</v>
      </c>
      <c r="I37" s="179"/>
      <c r="J37" s="178">
        <f>SUM(J7:J35)</f>
        <v>6795.72</v>
      </c>
      <c r="K37" s="177"/>
      <c r="L37" s="177"/>
      <c r="M37" s="229">
        <f>SUM(M9:M35)</f>
        <v>9907</v>
      </c>
      <c r="N37" s="177"/>
      <c r="O37" s="180"/>
      <c r="P37" s="181">
        <f>C37+H37-J37-M37</f>
        <v>157893.45896200961</v>
      </c>
    </row>
    <row r="38" spans="1:16" x14ac:dyDescent="0.15">
      <c r="A38" s="182"/>
      <c r="B38" s="465"/>
      <c r="C38" s="465"/>
      <c r="D38" s="465"/>
      <c r="E38" s="183"/>
      <c r="F38" s="472"/>
      <c r="G38" s="472"/>
      <c r="H38" s="185"/>
      <c r="I38" s="186"/>
      <c r="J38" s="187"/>
      <c r="K38" s="188"/>
      <c r="L38" s="189" t="s">
        <v>139</v>
      </c>
      <c r="M38" s="190">
        <f>+M37+J37</f>
        <v>16702.72</v>
      </c>
      <c r="N38" s="197"/>
      <c r="O38" s="230">
        <f>+O36</f>
        <v>77954.494962009601</v>
      </c>
      <c r="P38" s="195" t="s">
        <v>1152</v>
      </c>
    </row>
    <row r="39" spans="1:16" x14ac:dyDescent="0.15">
      <c r="A39" s="193"/>
      <c r="B39" s="470"/>
      <c r="C39" s="470"/>
      <c r="D39" s="470"/>
      <c r="E39" s="183"/>
      <c r="F39" s="472"/>
      <c r="G39" s="472"/>
      <c r="H39" s="219"/>
      <c r="I39" s="186"/>
      <c r="J39" s="187"/>
      <c r="K39" s="210"/>
      <c r="L39" s="210"/>
      <c r="O39" s="230">
        <v>59967.356</v>
      </c>
      <c r="P39" s="195" t="s">
        <v>1153</v>
      </c>
    </row>
    <row r="40" spans="1:16" x14ac:dyDescent="0.15">
      <c r="A40" s="193" t="s">
        <v>1152</v>
      </c>
      <c r="B40" s="270" t="s">
        <v>1158</v>
      </c>
      <c r="C40" s="270"/>
      <c r="D40" s="270"/>
      <c r="E40" s="183" t="s">
        <v>55</v>
      </c>
      <c r="F40" s="471">
        <v>4797650.51</v>
      </c>
      <c r="G40" s="471"/>
      <c r="H40" s="219" t="s">
        <v>56</v>
      </c>
      <c r="I40" s="186">
        <v>41016</v>
      </c>
      <c r="J40" s="187" t="s">
        <v>71</v>
      </c>
      <c r="K40" s="210">
        <f>+M37</f>
        <v>9907</v>
      </c>
      <c r="L40" s="210"/>
      <c r="O40" s="230">
        <v>19971.608</v>
      </c>
      <c r="P40" s="195" t="s">
        <v>1164</v>
      </c>
    </row>
    <row r="41" spans="1:16" x14ac:dyDescent="0.15">
      <c r="A41" s="193"/>
      <c r="B41" s="270"/>
      <c r="C41" s="270"/>
      <c r="D41" s="270"/>
      <c r="E41" s="183"/>
      <c r="F41" s="471"/>
      <c r="G41" s="471"/>
      <c r="H41" s="219"/>
      <c r="I41" s="186"/>
      <c r="J41" s="187"/>
      <c r="K41" s="210"/>
      <c r="L41" s="210"/>
      <c r="O41" s="230"/>
      <c r="P41" s="195"/>
    </row>
    <row r="42" spans="1:16" x14ac:dyDescent="0.15">
      <c r="A42" s="193"/>
      <c r="B42" s="133" t="s">
        <v>9</v>
      </c>
      <c r="C42" s="220" t="s">
        <v>729</v>
      </c>
      <c r="D42" s="220" t="s">
        <v>850</v>
      </c>
      <c r="E42" s="133" t="s">
        <v>570</v>
      </c>
      <c r="F42" s="133" t="s">
        <v>571</v>
      </c>
      <c r="G42" s="133" t="s">
        <v>16</v>
      </c>
      <c r="H42" s="219"/>
      <c r="I42" s="186"/>
      <c r="J42" s="187"/>
      <c r="K42" s="210"/>
      <c r="L42" s="210"/>
      <c r="O42" s="230"/>
      <c r="P42" s="195"/>
    </row>
    <row r="43" spans="1:16" x14ac:dyDescent="0.15">
      <c r="A43" s="193" t="s">
        <v>1152</v>
      </c>
      <c r="B43" s="210">
        <v>2100</v>
      </c>
      <c r="C43" s="221">
        <v>26.610600000000002</v>
      </c>
      <c r="D43" s="237">
        <f t="shared" ref="D43" si="3">+B43*C43</f>
        <v>55882.26</v>
      </c>
      <c r="E43" s="235">
        <f t="shared" ref="E43" si="4">+D43*0.01</f>
        <v>558.82260000000008</v>
      </c>
      <c r="F43" s="235">
        <f t="shared" ref="F43" si="5">+E43*0.1</f>
        <v>55.882260000000009</v>
      </c>
      <c r="G43" s="236">
        <f t="shared" ref="G43" si="6">+E43+F43</f>
        <v>614.70486000000005</v>
      </c>
      <c r="H43" s="219"/>
      <c r="I43" s="186"/>
      <c r="J43" s="187"/>
      <c r="K43" s="210"/>
      <c r="L43" s="210"/>
      <c r="O43" s="230"/>
      <c r="P43" s="195"/>
    </row>
    <row r="44" spans="1:16" x14ac:dyDescent="0.15">
      <c r="A44" s="193"/>
      <c r="B44" s="270"/>
      <c r="C44" s="270"/>
      <c r="D44" s="270"/>
      <c r="E44" s="183"/>
      <c r="F44" s="471"/>
      <c r="G44" s="471"/>
      <c r="H44" s="219"/>
      <c r="I44" s="186"/>
      <c r="J44" s="187"/>
      <c r="K44" s="210"/>
      <c r="L44" s="210"/>
      <c r="O44" s="230"/>
      <c r="P44" s="195"/>
    </row>
    <row r="45" spans="1:16" x14ac:dyDescent="0.15">
      <c r="A45" s="215"/>
      <c r="B45" s="270"/>
      <c r="C45" s="270"/>
      <c r="D45" s="270"/>
      <c r="E45" s="183"/>
      <c r="F45" s="471"/>
      <c r="G45" s="471"/>
      <c r="H45" s="219"/>
      <c r="I45" s="186"/>
      <c r="J45" s="187"/>
      <c r="K45" s="210"/>
      <c r="L45" s="210"/>
      <c r="O45" s="206" t="s">
        <v>33</v>
      </c>
      <c r="P45" s="207">
        <f>SUM(O38:O44)</f>
        <v>157893.45896200961</v>
      </c>
    </row>
    <row r="46" spans="1:16" x14ac:dyDescent="0.15">
      <c r="A46" s="215"/>
      <c r="B46" s="270"/>
      <c r="C46" s="270"/>
      <c r="D46" s="270"/>
      <c r="E46" s="183"/>
      <c r="F46" s="471"/>
      <c r="G46" s="471"/>
      <c r="H46" s="219"/>
      <c r="I46" s="186"/>
      <c r="J46" s="187"/>
      <c r="K46" s="210"/>
      <c r="L46" s="210"/>
      <c r="P46" s="132">
        <f>+P37-P45</f>
        <v>0</v>
      </c>
    </row>
    <row r="47" spans="1:16" s="132" customFormat="1" x14ac:dyDescent="0.15">
      <c r="A47" s="193"/>
      <c r="B47" s="210"/>
      <c r="C47" s="221"/>
      <c r="D47" s="237"/>
      <c r="E47" s="267"/>
      <c r="F47" s="267"/>
      <c r="G47" s="268"/>
      <c r="H47" s="138"/>
      <c r="I47" s="215"/>
      <c r="J47" s="138"/>
      <c r="K47" s="216"/>
      <c r="L47" s="133"/>
      <c r="N47" s="134"/>
    </row>
    <row r="48" spans="1:16" s="132" customFormat="1" x14ac:dyDescent="0.15">
      <c r="A48" s="215"/>
      <c r="B48" s="215"/>
      <c r="C48" s="137"/>
      <c r="D48" s="137"/>
      <c r="E48" s="215"/>
      <c r="F48" s="215"/>
      <c r="G48" s="215"/>
      <c r="H48" s="138"/>
      <c r="I48" s="135"/>
      <c r="J48" s="135"/>
      <c r="K48" s="216"/>
      <c r="L48" s="133"/>
      <c r="N48" s="134"/>
    </row>
    <row r="49" spans="1:14" s="132" customFormat="1" x14ac:dyDescent="0.15">
      <c r="A49" s="193"/>
      <c r="B49" s="210"/>
      <c r="C49" s="221"/>
      <c r="D49" s="237"/>
      <c r="E49" s="267"/>
      <c r="F49" s="267"/>
      <c r="G49" s="268"/>
      <c r="H49" s="138"/>
      <c r="I49" s="135"/>
      <c r="J49" s="135"/>
      <c r="K49" s="135"/>
      <c r="L49" s="133"/>
      <c r="N49" s="134"/>
    </row>
    <row r="50" spans="1:14" s="132" customFormat="1" x14ac:dyDescent="0.15">
      <c r="A50" s="193"/>
      <c r="B50" s="210"/>
      <c r="C50" s="221"/>
      <c r="D50" s="237"/>
      <c r="E50" s="267"/>
      <c r="F50" s="267"/>
      <c r="G50" s="268"/>
      <c r="H50" s="138"/>
      <c r="I50" s="215"/>
      <c r="J50" s="138"/>
      <c r="K50" s="135"/>
      <c r="L50" s="133"/>
      <c r="N50" s="134"/>
    </row>
    <row r="51" spans="1:14" s="132" customFormat="1" x14ac:dyDescent="0.15">
      <c r="A51" s="193"/>
      <c r="B51" s="210"/>
      <c r="C51" s="221"/>
      <c r="D51" s="237"/>
      <c r="E51" s="267"/>
      <c r="F51" s="267"/>
      <c r="G51" s="268"/>
      <c r="H51" s="138"/>
      <c r="I51" s="135"/>
      <c r="J51" s="135"/>
      <c r="K51" s="135"/>
      <c r="L51" s="133"/>
      <c r="N51" s="134"/>
    </row>
    <row r="52" spans="1:14" s="132" customFormat="1" x14ac:dyDescent="0.15">
      <c r="A52" s="193"/>
      <c r="B52" s="210"/>
      <c r="C52" s="221"/>
      <c r="D52" s="237"/>
      <c r="E52" s="267"/>
      <c r="F52" s="267"/>
      <c r="G52" s="268"/>
      <c r="H52" s="138"/>
      <c r="I52" s="215"/>
      <c r="J52" s="138"/>
      <c r="K52" s="135"/>
      <c r="L52" s="133"/>
      <c r="N52" s="134"/>
    </row>
    <row r="53" spans="1:14" s="132" customFormat="1" x14ac:dyDescent="0.15">
      <c r="A53" s="193"/>
      <c r="B53" s="210"/>
      <c r="C53" s="221"/>
      <c r="D53" s="237"/>
      <c r="E53" s="267"/>
      <c r="F53" s="267"/>
      <c r="G53" s="268"/>
      <c r="H53" s="138"/>
      <c r="I53" s="215"/>
      <c r="J53" s="138"/>
      <c r="K53" s="135"/>
      <c r="L53" s="133"/>
      <c r="N53" s="134"/>
    </row>
    <row r="54" spans="1:14" s="132" customFormat="1" x14ac:dyDescent="0.15">
      <c r="A54" s="215"/>
      <c r="B54" s="210"/>
      <c r="C54" s="221"/>
      <c r="D54" s="237"/>
      <c r="E54" s="267"/>
      <c r="F54" s="267"/>
      <c r="G54" s="268"/>
      <c r="H54" s="138"/>
      <c r="I54" s="215"/>
      <c r="J54" s="138"/>
      <c r="K54" s="135"/>
      <c r="L54" s="133"/>
      <c r="N54" s="134"/>
    </row>
    <row r="55" spans="1:14" s="132" customFormat="1" x14ac:dyDescent="0.15">
      <c r="A55" s="215"/>
      <c r="B55" s="210"/>
      <c r="C55" s="221"/>
      <c r="D55" s="237"/>
      <c r="E55" s="267"/>
      <c r="F55" s="267"/>
      <c r="G55" s="267"/>
      <c r="H55" s="138"/>
      <c r="I55" s="269"/>
      <c r="J55" s="138"/>
      <c r="K55" s="135"/>
      <c r="L55" s="133"/>
      <c r="N55" s="134"/>
    </row>
  </sheetData>
  <mergeCells count="15">
    <mergeCell ref="F44:G44"/>
    <mergeCell ref="F45:G45"/>
    <mergeCell ref="F46:G46"/>
    <mergeCell ref="B38:D38"/>
    <mergeCell ref="F38:G38"/>
    <mergeCell ref="B39:D39"/>
    <mergeCell ref="F39:G39"/>
    <mergeCell ref="F40:G40"/>
    <mergeCell ref="F41:G41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6" topLeftCell="A7" activePane="bottomLeft" state="frozen"/>
      <selection pane="bottomLeft" activeCell="M45" sqref="M45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1165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1152</v>
      </c>
      <c r="B7" s="146"/>
      <c r="C7" s="147">
        <v>103632.2149620096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103632.2149620096</v>
      </c>
      <c r="P7" s="147">
        <f>+C37</f>
        <v>183571.17896200961</v>
      </c>
    </row>
    <row r="8" spans="1:16" x14ac:dyDescent="0.15">
      <c r="A8" s="154" t="s">
        <v>1153</v>
      </c>
      <c r="B8" s="151"/>
      <c r="C8" s="152">
        <v>59967.356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103632.2149620096</v>
      </c>
      <c r="P8" s="152">
        <f t="shared" ref="P8:P9" si="0">P7+H8-J8-M8</f>
        <v>183571.17896200961</v>
      </c>
    </row>
    <row r="9" spans="1:16" x14ac:dyDescent="0.15">
      <c r="A9" s="157" t="s">
        <v>1164</v>
      </c>
      <c r="B9" s="151"/>
      <c r="C9" s="152">
        <v>19971.608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103632.2149620096</v>
      </c>
      <c r="P9" s="152">
        <f t="shared" si="0"/>
        <v>183571.17896200961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/>
      <c r="J10" s="152"/>
      <c r="K10" s="150"/>
      <c r="L10" s="154"/>
      <c r="M10" s="227"/>
      <c r="N10" s="154"/>
      <c r="O10" s="227">
        <f t="shared" ref="O10:O36" si="2">+O9-J10-M10</f>
        <v>103632.2149620096</v>
      </c>
      <c r="P10" s="152">
        <f t="shared" ref="P10:P36" si="3">P9+H10-J10-M10</f>
        <v>183571.17896200961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 t="s">
        <v>1166</v>
      </c>
      <c r="J11" s="152">
        <v>3246</v>
      </c>
      <c r="K11" s="150" t="s">
        <v>1152</v>
      </c>
      <c r="L11" s="154" t="s">
        <v>1174</v>
      </c>
      <c r="M11" s="227">
        <v>763</v>
      </c>
      <c r="N11" s="154" t="s">
        <v>1152</v>
      </c>
      <c r="O11" s="227">
        <f t="shared" si="2"/>
        <v>99623.214962009602</v>
      </c>
      <c r="P11" s="152">
        <f t="shared" si="3"/>
        <v>179562.17896200961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1167</v>
      </c>
      <c r="J12" s="152"/>
      <c r="K12" s="150"/>
      <c r="L12" s="154" t="s">
        <v>1174</v>
      </c>
      <c r="M12" s="227">
        <v>464</v>
      </c>
      <c r="N12" s="154" t="s">
        <v>1152</v>
      </c>
      <c r="O12" s="227">
        <f t="shared" si="2"/>
        <v>99159.214962009602</v>
      </c>
      <c r="P12" s="152">
        <f t="shared" si="3"/>
        <v>179098.17896200961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1168</v>
      </c>
      <c r="J13" s="152">
        <v>1121</v>
      </c>
      <c r="K13" s="150" t="s">
        <v>1152</v>
      </c>
      <c r="L13" s="154"/>
      <c r="M13" s="227"/>
      <c r="N13" s="154"/>
      <c r="O13" s="227">
        <f t="shared" si="2"/>
        <v>98038.214962009602</v>
      </c>
      <c r="P13" s="152">
        <f t="shared" si="3"/>
        <v>177977.17896200961</v>
      </c>
    </row>
    <row r="14" spans="1:16" x14ac:dyDescent="0.15">
      <c r="A14" s="154"/>
      <c r="B14" s="151"/>
      <c r="C14" s="152"/>
      <c r="D14" s="155"/>
      <c r="E14" s="155"/>
      <c r="F14" s="157"/>
      <c r="G14" s="154"/>
      <c r="H14" s="152"/>
      <c r="I14" s="155" t="s">
        <v>1169</v>
      </c>
      <c r="J14" s="152">
        <v>1183</v>
      </c>
      <c r="K14" s="150" t="s">
        <v>1152</v>
      </c>
      <c r="L14" s="154"/>
      <c r="M14" s="227"/>
      <c r="N14" s="154"/>
      <c r="O14" s="227">
        <f t="shared" si="2"/>
        <v>96855.214962009602</v>
      </c>
      <c r="P14" s="152">
        <f t="shared" si="3"/>
        <v>176794.17896200961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1170</v>
      </c>
      <c r="J15" s="152">
        <v>665</v>
      </c>
      <c r="K15" s="154" t="s">
        <v>1152</v>
      </c>
      <c r="L15" s="154"/>
      <c r="M15" s="227"/>
      <c r="N15" s="154"/>
      <c r="O15" s="227">
        <f t="shared" si="2"/>
        <v>96190.214962009602</v>
      </c>
      <c r="P15" s="152">
        <f t="shared" si="3"/>
        <v>176129.17896200961</v>
      </c>
    </row>
    <row r="16" spans="1:16" x14ac:dyDescent="0.15">
      <c r="A16" s="154"/>
      <c r="B16" s="151"/>
      <c r="C16" s="152"/>
      <c r="D16" s="155"/>
      <c r="E16" s="155"/>
      <c r="F16" s="157"/>
      <c r="G16" s="154"/>
      <c r="H16" s="152"/>
      <c r="I16" s="155" t="s">
        <v>1171</v>
      </c>
      <c r="J16" s="152"/>
      <c r="K16" s="150"/>
      <c r="L16" s="154" t="s">
        <v>1174</v>
      </c>
      <c r="M16" s="227">
        <v>378</v>
      </c>
      <c r="N16" s="154" t="s">
        <v>1152</v>
      </c>
      <c r="O16" s="227">
        <f t="shared" si="2"/>
        <v>95812.214962009602</v>
      </c>
      <c r="P16" s="152">
        <f t="shared" si="3"/>
        <v>175751.17896200961</v>
      </c>
    </row>
    <row r="17" spans="1:16" x14ac:dyDescent="0.15">
      <c r="A17" s="154"/>
      <c r="B17" s="151"/>
      <c r="C17" s="152"/>
      <c r="D17" s="155"/>
      <c r="E17" s="155"/>
      <c r="F17" s="157"/>
      <c r="G17" s="154"/>
      <c r="H17" s="152"/>
      <c r="I17" s="155" t="s">
        <v>1172</v>
      </c>
      <c r="J17" s="152"/>
      <c r="K17" s="150"/>
      <c r="L17" s="154" t="s">
        <v>1174</v>
      </c>
      <c r="M17" s="227">
        <v>495</v>
      </c>
      <c r="N17" s="157" t="s">
        <v>1152</v>
      </c>
      <c r="O17" s="227">
        <f t="shared" si="2"/>
        <v>95317.214962009602</v>
      </c>
      <c r="P17" s="152">
        <f t="shared" si="3"/>
        <v>175256.17896200961</v>
      </c>
    </row>
    <row r="18" spans="1:16" x14ac:dyDescent="0.15">
      <c r="A18" s="154"/>
      <c r="B18" s="151"/>
      <c r="C18" s="152"/>
      <c r="D18" s="155"/>
      <c r="E18" s="155"/>
      <c r="F18" s="157"/>
      <c r="G18" s="154"/>
      <c r="H18" s="152"/>
      <c r="I18" s="155" t="s">
        <v>1173</v>
      </c>
      <c r="J18" s="152">
        <v>660</v>
      </c>
      <c r="K18" s="150" t="s">
        <v>1152</v>
      </c>
      <c r="L18" s="154"/>
      <c r="M18" s="227"/>
      <c r="N18" s="157"/>
      <c r="O18" s="227">
        <f t="shared" si="2"/>
        <v>94657.214962009602</v>
      </c>
      <c r="P18" s="152">
        <f t="shared" si="3"/>
        <v>174596.17896200961</v>
      </c>
    </row>
    <row r="19" spans="1:16" hidden="1" x14ac:dyDescent="0.15">
      <c r="A19" s="154"/>
      <c r="B19" s="151"/>
      <c r="C19" s="152"/>
      <c r="D19" s="155"/>
      <c r="E19" s="155"/>
      <c r="F19" s="157"/>
      <c r="G19" s="154"/>
      <c r="H19" s="152"/>
      <c r="I19" s="155"/>
      <c r="J19" s="152"/>
      <c r="K19" s="154"/>
      <c r="L19" s="154"/>
      <c r="M19" s="227"/>
      <c r="N19" s="157"/>
      <c r="O19" s="227">
        <f t="shared" si="2"/>
        <v>94657.214962009602</v>
      </c>
      <c r="P19" s="152">
        <f t="shared" si="3"/>
        <v>174596.17896200961</v>
      </c>
    </row>
    <row r="20" spans="1:16" hidden="1" x14ac:dyDescent="0.15">
      <c r="A20" s="154"/>
      <c r="B20" s="151"/>
      <c r="C20" s="152"/>
      <c r="D20" s="155"/>
      <c r="E20" s="155"/>
      <c r="F20" s="157"/>
      <c r="G20" s="154"/>
      <c r="H20" s="152"/>
      <c r="I20" s="155"/>
      <c r="J20" s="152"/>
      <c r="K20" s="150"/>
      <c r="L20" s="154"/>
      <c r="M20" s="227"/>
      <c r="N20" s="157"/>
      <c r="O20" s="227">
        <f t="shared" si="2"/>
        <v>94657.214962009602</v>
      </c>
      <c r="P20" s="152">
        <f t="shared" si="3"/>
        <v>174596.17896200961</v>
      </c>
    </row>
    <row r="21" spans="1:16" hidden="1" x14ac:dyDescent="0.15">
      <c r="A21" s="154"/>
      <c r="B21" s="151"/>
      <c r="C21" s="152"/>
      <c r="D21" s="155"/>
      <c r="E21" s="155"/>
      <c r="F21" s="157"/>
      <c r="G21" s="154"/>
      <c r="H21" s="152"/>
      <c r="I21" s="155"/>
      <c r="J21" s="152"/>
      <c r="K21" s="150"/>
      <c r="L21" s="154"/>
      <c r="M21" s="227"/>
      <c r="N21" s="157"/>
      <c r="O21" s="227">
        <f t="shared" si="2"/>
        <v>94657.214962009602</v>
      </c>
      <c r="P21" s="152">
        <f t="shared" si="3"/>
        <v>174596.17896200961</v>
      </c>
    </row>
    <row r="22" spans="1:16" hidden="1" x14ac:dyDescent="0.15">
      <c r="A22" s="154"/>
      <c r="B22" s="151"/>
      <c r="C22" s="152"/>
      <c r="D22" s="155"/>
      <c r="E22" s="154"/>
      <c r="F22" s="157"/>
      <c r="G22" s="154"/>
      <c r="H22" s="152"/>
      <c r="I22" s="155"/>
      <c r="J22" s="152"/>
      <c r="K22" s="157"/>
      <c r="L22" s="154"/>
      <c r="M22" s="227"/>
      <c r="N22" s="154"/>
      <c r="O22" s="227">
        <f t="shared" si="2"/>
        <v>94657.214962009602</v>
      </c>
      <c r="P22" s="152">
        <f t="shared" si="3"/>
        <v>174596.17896200961</v>
      </c>
    </row>
    <row r="23" spans="1:16" hidden="1" x14ac:dyDescent="0.15">
      <c r="A23" s="154"/>
      <c r="B23" s="151"/>
      <c r="C23" s="152"/>
      <c r="D23" s="155"/>
      <c r="E23" s="154"/>
      <c r="F23" s="157"/>
      <c r="G23" s="154"/>
      <c r="H23" s="152"/>
      <c r="I23" s="155"/>
      <c r="J23" s="152"/>
      <c r="K23" s="150"/>
      <c r="L23" s="154"/>
      <c r="M23" s="227"/>
      <c r="N23" s="154"/>
      <c r="O23" s="227">
        <f t="shared" si="2"/>
        <v>94657.214962009602</v>
      </c>
      <c r="P23" s="152">
        <f t="shared" si="3"/>
        <v>174596.17896200961</v>
      </c>
    </row>
    <row r="24" spans="1:16" hidden="1" x14ac:dyDescent="0.15">
      <c r="A24" s="154"/>
      <c r="B24" s="151"/>
      <c r="C24" s="152"/>
      <c r="D24" s="155"/>
      <c r="E24" s="155"/>
      <c r="F24" s="157"/>
      <c r="G24" s="154"/>
      <c r="H24" s="152"/>
      <c r="I24" s="155"/>
      <c r="J24" s="152"/>
      <c r="K24" s="150"/>
      <c r="L24" s="154"/>
      <c r="M24" s="227"/>
      <c r="N24" s="157"/>
      <c r="O24" s="227">
        <f t="shared" si="2"/>
        <v>94657.214962009602</v>
      </c>
      <c r="P24" s="152">
        <f t="shared" si="3"/>
        <v>174596.17896200961</v>
      </c>
    </row>
    <row r="25" spans="1:16" hidden="1" x14ac:dyDescent="0.15">
      <c r="A25" s="154"/>
      <c r="B25" s="151"/>
      <c r="C25" s="152"/>
      <c r="D25" s="155"/>
      <c r="E25" s="155"/>
      <c r="F25" s="157"/>
      <c r="G25" s="154"/>
      <c r="H25" s="152"/>
      <c r="I25" s="155"/>
      <c r="J25" s="152"/>
      <c r="K25" s="150"/>
      <c r="L25" s="154"/>
      <c r="M25" s="227"/>
      <c r="N25" s="157"/>
      <c r="O25" s="227">
        <f t="shared" si="2"/>
        <v>94657.214962009602</v>
      </c>
      <c r="P25" s="152">
        <f t="shared" si="3"/>
        <v>174596.17896200961</v>
      </c>
    </row>
    <row r="26" spans="1:16" hidden="1" x14ac:dyDescent="0.15">
      <c r="A26" s="154"/>
      <c r="B26" s="151"/>
      <c r="C26" s="152"/>
      <c r="D26" s="155"/>
      <c r="E26" s="155"/>
      <c r="F26" s="157"/>
      <c r="G26" s="154"/>
      <c r="H26" s="152"/>
      <c r="I26" s="155"/>
      <c r="J26" s="152"/>
      <c r="K26" s="157"/>
      <c r="L26" s="154"/>
      <c r="M26" s="227"/>
      <c r="N26" s="157"/>
      <c r="O26" s="227">
        <f t="shared" si="2"/>
        <v>94657.214962009602</v>
      </c>
      <c r="P26" s="152">
        <f t="shared" si="3"/>
        <v>174596.17896200961</v>
      </c>
    </row>
    <row r="27" spans="1:16" hidden="1" x14ac:dyDescent="0.15">
      <c r="A27" s="154"/>
      <c r="B27" s="151"/>
      <c r="C27" s="152"/>
      <c r="D27" s="155"/>
      <c r="E27" s="155"/>
      <c r="F27" s="157"/>
      <c r="G27" s="154"/>
      <c r="H27" s="152"/>
      <c r="I27" s="155"/>
      <c r="J27" s="152"/>
      <c r="K27" s="154"/>
      <c r="L27" s="154"/>
      <c r="M27" s="227"/>
      <c r="N27" s="157"/>
      <c r="O27" s="227">
        <f t="shared" si="2"/>
        <v>94657.214962009602</v>
      </c>
      <c r="P27" s="152">
        <f t="shared" si="3"/>
        <v>174596.17896200961</v>
      </c>
    </row>
    <row r="28" spans="1:16" hidden="1" x14ac:dyDescent="0.15">
      <c r="A28" s="154"/>
      <c r="B28" s="151"/>
      <c r="C28" s="152"/>
      <c r="D28" s="155"/>
      <c r="E28" s="155"/>
      <c r="F28" s="157"/>
      <c r="G28" s="154"/>
      <c r="H28" s="152"/>
      <c r="I28" s="155"/>
      <c r="J28" s="152"/>
      <c r="K28" s="157"/>
      <c r="L28" s="154"/>
      <c r="M28" s="227"/>
      <c r="N28" s="157"/>
      <c r="O28" s="227">
        <f t="shared" si="2"/>
        <v>94657.214962009602</v>
      </c>
      <c r="P28" s="152">
        <f t="shared" si="3"/>
        <v>174596.17896200961</v>
      </c>
    </row>
    <row r="29" spans="1:16" hidden="1" x14ac:dyDescent="0.15">
      <c r="A29" s="154"/>
      <c r="B29" s="151"/>
      <c r="C29" s="152"/>
      <c r="D29" s="155"/>
      <c r="E29" s="155"/>
      <c r="F29" s="157"/>
      <c r="G29" s="154"/>
      <c r="H29" s="152"/>
      <c r="I29" s="155"/>
      <c r="J29" s="152"/>
      <c r="K29" s="150"/>
      <c r="L29" s="154"/>
      <c r="M29" s="227"/>
      <c r="N29" s="157"/>
      <c r="O29" s="227">
        <f t="shared" si="2"/>
        <v>94657.214962009602</v>
      </c>
      <c r="P29" s="152">
        <f t="shared" si="3"/>
        <v>174596.17896200961</v>
      </c>
    </row>
    <row r="30" spans="1:16" hidden="1" x14ac:dyDescent="0.15">
      <c r="A30" s="154"/>
      <c r="B30" s="151"/>
      <c r="C30" s="152"/>
      <c r="D30" s="155"/>
      <c r="E30" s="155"/>
      <c r="F30" s="157"/>
      <c r="G30" s="154"/>
      <c r="H30" s="152"/>
      <c r="I30" s="155"/>
      <c r="J30" s="152"/>
      <c r="K30" s="150"/>
      <c r="L30" s="154"/>
      <c r="M30" s="227"/>
      <c r="N30" s="157"/>
      <c r="O30" s="227">
        <f t="shared" si="2"/>
        <v>94657.214962009602</v>
      </c>
      <c r="P30" s="152">
        <f t="shared" si="3"/>
        <v>174596.17896200961</v>
      </c>
    </row>
    <row r="31" spans="1:16" hidden="1" x14ac:dyDescent="0.15">
      <c r="A31" s="154"/>
      <c r="B31" s="151"/>
      <c r="C31" s="152"/>
      <c r="D31" s="155"/>
      <c r="E31" s="155"/>
      <c r="F31" s="157"/>
      <c r="G31" s="154"/>
      <c r="H31" s="152"/>
      <c r="I31" s="155"/>
      <c r="J31" s="152"/>
      <c r="K31" s="157"/>
      <c r="L31" s="154"/>
      <c r="M31" s="227"/>
      <c r="N31" s="154"/>
      <c r="O31" s="227">
        <f t="shared" si="2"/>
        <v>94657.214962009602</v>
      </c>
      <c r="P31" s="152">
        <f t="shared" si="3"/>
        <v>174596.17896200961</v>
      </c>
    </row>
    <row r="32" spans="1:16" hidden="1" x14ac:dyDescent="0.15">
      <c r="A32" s="154"/>
      <c r="B32" s="151"/>
      <c r="C32" s="152"/>
      <c r="D32" s="155"/>
      <c r="E32" s="155"/>
      <c r="F32" s="157"/>
      <c r="G32" s="154"/>
      <c r="H32" s="152"/>
      <c r="I32" s="155"/>
      <c r="J32" s="152"/>
      <c r="K32" s="157"/>
      <c r="L32" s="154"/>
      <c r="M32" s="227"/>
      <c r="N32" s="154"/>
      <c r="O32" s="227">
        <f t="shared" si="2"/>
        <v>94657.214962009602</v>
      </c>
      <c r="P32" s="152">
        <f t="shared" si="3"/>
        <v>174596.17896200961</v>
      </c>
    </row>
    <row r="33" spans="1:16" hidden="1" x14ac:dyDescent="0.15">
      <c r="A33" s="154"/>
      <c r="B33" s="151"/>
      <c r="C33" s="152"/>
      <c r="D33" s="155"/>
      <c r="E33" s="155"/>
      <c r="F33" s="157"/>
      <c r="G33" s="154"/>
      <c r="H33" s="152"/>
      <c r="I33" s="155"/>
      <c r="J33" s="152"/>
      <c r="K33" s="154"/>
      <c r="L33" s="154"/>
      <c r="M33" s="227"/>
      <c r="N33" s="157"/>
      <c r="O33" s="227">
        <f t="shared" si="2"/>
        <v>94657.214962009602</v>
      </c>
      <c r="P33" s="152">
        <f t="shared" si="3"/>
        <v>174596.17896200961</v>
      </c>
    </row>
    <row r="34" spans="1:16" hidden="1" x14ac:dyDescent="0.15">
      <c r="A34" s="154"/>
      <c r="B34" s="151"/>
      <c r="C34" s="152"/>
      <c r="D34" s="155"/>
      <c r="E34" s="155"/>
      <c r="F34" s="157"/>
      <c r="G34" s="154"/>
      <c r="H34" s="152"/>
      <c r="I34" s="155"/>
      <c r="J34" s="152"/>
      <c r="K34" s="157"/>
      <c r="L34" s="154"/>
      <c r="M34" s="227"/>
      <c r="N34" s="154"/>
      <c r="O34" s="227">
        <f t="shared" si="2"/>
        <v>94657.214962009602</v>
      </c>
      <c r="P34" s="152">
        <f t="shared" si="3"/>
        <v>174596.17896200961</v>
      </c>
    </row>
    <row r="35" spans="1:16" hidden="1" x14ac:dyDescent="0.15">
      <c r="A35" s="154"/>
      <c r="B35" s="151"/>
      <c r="C35" s="152"/>
      <c r="D35" s="155"/>
      <c r="E35" s="154"/>
      <c r="F35" s="160"/>
      <c r="G35" s="151"/>
      <c r="H35" s="152"/>
      <c r="I35" s="155"/>
      <c r="J35" s="152"/>
      <c r="K35" s="150"/>
      <c r="L35" s="154"/>
      <c r="M35" s="227"/>
      <c r="N35" s="157"/>
      <c r="O35" s="227">
        <f t="shared" si="2"/>
        <v>94657.214962009602</v>
      </c>
      <c r="P35" s="152">
        <f t="shared" si="3"/>
        <v>174596.17896200961</v>
      </c>
    </row>
    <row r="36" spans="1:16" x14ac:dyDescent="0.15">
      <c r="A36" s="173"/>
      <c r="B36" s="173"/>
      <c r="C36" s="174"/>
      <c r="D36" s="175"/>
      <c r="E36" s="173"/>
      <c r="F36" s="173"/>
      <c r="G36" s="176"/>
      <c r="H36" s="174"/>
      <c r="I36" s="175"/>
      <c r="J36" s="174"/>
      <c r="K36" s="173"/>
      <c r="L36" s="154"/>
      <c r="M36" s="228"/>
      <c r="N36" s="173"/>
      <c r="O36" s="227">
        <f t="shared" si="2"/>
        <v>94657.214962009602</v>
      </c>
      <c r="P36" s="152">
        <f t="shared" si="3"/>
        <v>174596.17896200961</v>
      </c>
    </row>
    <row r="37" spans="1:16" x14ac:dyDescent="0.15">
      <c r="A37" s="177"/>
      <c r="B37" s="177"/>
      <c r="C37" s="178">
        <f>SUM(C7:C35)</f>
        <v>183571.17896200961</v>
      </c>
      <c r="D37" s="177"/>
      <c r="E37" s="177"/>
      <c r="F37" s="177"/>
      <c r="G37" s="177"/>
      <c r="H37" s="178">
        <f>SUM(H7:H35)</f>
        <v>0</v>
      </c>
      <c r="I37" s="179"/>
      <c r="J37" s="178">
        <f>SUM(J7:J35)</f>
        <v>6875</v>
      </c>
      <c r="K37" s="177"/>
      <c r="L37" s="177"/>
      <c r="M37" s="229">
        <f>SUM(M9:M35)</f>
        <v>2100</v>
      </c>
      <c r="N37" s="177"/>
      <c r="O37" s="180"/>
      <c r="P37" s="181">
        <f>C37+H37-J37-M37</f>
        <v>174596.17896200961</v>
      </c>
    </row>
    <row r="38" spans="1:16" x14ac:dyDescent="0.15">
      <c r="A38" s="182"/>
      <c r="B38" s="465"/>
      <c r="C38" s="465"/>
      <c r="D38" s="465"/>
      <c r="E38" s="183"/>
      <c r="F38" s="472"/>
      <c r="G38" s="472"/>
      <c r="H38" s="185"/>
      <c r="I38" s="186"/>
      <c r="J38" s="187"/>
      <c r="K38" s="188"/>
      <c r="L38" s="189" t="s">
        <v>139</v>
      </c>
      <c r="M38" s="190">
        <f>+M37+J37</f>
        <v>8975</v>
      </c>
      <c r="N38" s="197"/>
      <c r="O38" s="230">
        <f>+O36</f>
        <v>94657.214962009602</v>
      </c>
      <c r="P38" s="195" t="s">
        <v>1152</v>
      </c>
    </row>
    <row r="39" spans="1:16" x14ac:dyDescent="0.15">
      <c r="A39" s="193"/>
      <c r="B39" s="470"/>
      <c r="C39" s="470"/>
      <c r="D39" s="470"/>
      <c r="E39" s="183"/>
      <c r="F39" s="472"/>
      <c r="G39" s="472"/>
      <c r="H39" s="219"/>
      <c r="I39" s="186"/>
      <c r="J39" s="187"/>
      <c r="K39" s="210"/>
      <c r="L39" s="210"/>
      <c r="O39" s="230">
        <v>59967.356</v>
      </c>
      <c r="P39" s="195" t="s">
        <v>1153</v>
      </c>
    </row>
    <row r="40" spans="1:16" x14ac:dyDescent="0.15">
      <c r="A40" s="193" t="s">
        <v>1152</v>
      </c>
      <c r="B40" s="266" t="s">
        <v>1158</v>
      </c>
      <c r="C40" s="265"/>
      <c r="D40" s="265"/>
      <c r="E40" s="183" t="s">
        <v>55</v>
      </c>
      <c r="F40" s="471">
        <v>4797650.51</v>
      </c>
      <c r="G40" s="471"/>
      <c r="H40" s="219" t="s">
        <v>56</v>
      </c>
      <c r="I40" s="186">
        <v>41016</v>
      </c>
      <c r="J40" s="187" t="s">
        <v>71</v>
      </c>
      <c r="K40" s="210">
        <f>+M37</f>
        <v>2100</v>
      </c>
      <c r="L40" s="210"/>
      <c r="O40" s="230">
        <v>19971.608</v>
      </c>
      <c r="P40" s="195" t="s">
        <v>1164</v>
      </c>
    </row>
    <row r="41" spans="1:16" x14ac:dyDescent="0.15">
      <c r="A41" s="193"/>
      <c r="B41" s="265"/>
      <c r="C41" s="265"/>
      <c r="D41" s="265"/>
      <c r="E41" s="183"/>
      <c r="F41" s="471"/>
      <c r="G41" s="471"/>
      <c r="H41" s="219"/>
      <c r="I41" s="186"/>
      <c r="J41" s="187"/>
      <c r="K41" s="210"/>
      <c r="L41" s="210"/>
      <c r="O41" s="230"/>
      <c r="P41" s="195"/>
    </row>
    <row r="42" spans="1:16" x14ac:dyDescent="0.15">
      <c r="A42" s="193"/>
      <c r="B42" s="133" t="s">
        <v>9</v>
      </c>
      <c r="C42" s="220" t="s">
        <v>729</v>
      </c>
      <c r="D42" s="220" t="s">
        <v>850</v>
      </c>
      <c r="E42" s="133" t="s">
        <v>570</v>
      </c>
      <c r="F42" s="133" t="s">
        <v>571</v>
      </c>
      <c r="G42" s="133" t="s">
        <v>16</v>
      </c>
      <c r="H42" s="219"/>
      <c r="I42" s="186"/>
      <c r="J42" s="187"/>
      <c r="K42" s="210"/>
      <c r="L42" s="210"/>
      <c r="O42" s="230"/>
      <c r="P42" s="195"/>
    </row>
    <row r="43" spans="1:16" x14ac:dyDescent="0.15">
      <c r="A43" s="193" t="s">
        <v>1152</v>
      </c>
      <c r="B43" s="210">
        <v>2100</v>
      </c>
      <c r="C43" s="221">
        <v>26.610600000000002</v>
      </c>
      <c r="D43" s="237">
        <f t="shared" ref="D43" si="4">+B43*C43</f>
        <v>55882.26</v>
      </c>
      <c r="E43" s="235">
        <f t="shared" ref="E43" si="5">+D43*0.01</f>
        <v>558.82260000000008</v>
      </c>
      <c r="F43" s="235">
        <f t="shared" ref="F43" si="6">+E43*0.1</f>
        <v>55.882260000000009</v>
      </c>
      <c r="G43" s="236">
        <f t="shared" ref="G43" si="7">+E43+F43</f>
        <v>614.70486000000005</v>
      </c>
      <c r="H43" s="219"/>
      <c r="I43" s="186"/>
      <c r="J43" s="187"/>
      <c r="K43" s="210"/>
      <c r="L43" s="210"/>
      <c r="O43" s="230"/>
      <c r="P43" s="195"/>
    </row>
    <row r="44" spans="1:16" x14ac:dyDescent="0.15">
      <c r="A44" s="193"/>
      <c r="B44" s="265"/>
      <c r="C44" s="265"/>
      <c r="D44" s="265"/>
      <c r="E44" s="183"/>
      <c r="F44" s="471"/>
      <c r="G44" s="471"/>
      <c r="H44" s="219"/>
      <c r="I44" s="186"/>
      <c r="J44" s="187"/>
      <c r="K44" s="210"/>
      <c r="L44" s="210"/>
      <c r="O44" s="230"/>
      <c r="P44" s="195"/>
    </row>
    <row r="45" spans="1:16" x14ac:dyDescent="0.15">
      <c r="A45" s="215"/>
      <c r="B45" s="265"/>
      <c r="C45" s="265"/>
      <c r="D45" s="265"/>
      <c r="E45" s="183"/>
      <c r="F45" s="471"/>
      <c r="G45" s="471"/>
      <c r="H45" s="219"/>
      <c r="I45" s="186"/>
      <c r="J45" s="187"/>
      <c r="K45" s="210"/>
      <c r="L45" s="210"/>
      <c r="O45" s="206" t="s">
        <v>33</v>
      </c>
      <c r="P45" s="207">
        <f>SUM(O38:O44)</f>
        <v>174596.17896200961</v>
      </c>
    </row>
    <row r="46" spans="1:16" x14ac:dyDescent="0.15">
      <c r="A46" s="215"/>
      <c r="B46" s="265"/>
      <c r="C46" s="265"/>
      <c r="D46" s="265"/>
      <c r="E46" s="183"/>
      <c r="F46" s="471"/>
      <c r="G46" s="471"/>
      <c r="H46" s="219"/>
      <c r="I46" s="186"/>
      <c r="J46" s="187"/>
      <c r="K46" s="210"/>
      <c r="L46" s="210"/>
      <c r="P46" s="132">
        <f>+P37-P45</f>
        <v>0</v>
      </c>
    </row>
    <row r="47" spans="1:16" s="132" customFormat="1" x14ac:dyDescent="0.15">
      <c r="A47" s="193"/>
      <c r="B47" s="210"/>
      <c r="C47" s="221"/>
      <c r="D47" s="237"/>
      <c r="E47" s="267"/>
      <c r="F47" s="267"/>
      <c r="G47" s="268"/>
      <c r="H47" s="138"/>
      <c r="I47" s="215"/>
      <c r="J47" s="138"/>
      <c r="K47" s="216"/>
      <c r="L47" s="133"/>
      <c r="N47" s="134"/>
    </row>
    <row r="48" spans="1:16" s="132" customFormat="1" x14ac:dyDescent="0.15">
      <c r="A48" s="215"/>
      <c r="B48" s="215"/>
      <c r="C48" s="137"/>
      <c r="D48" s="137"/>
      <c r="E48" s="215"/>
      <c r="F48" s="215"/>
      <c r="G48" s="215"/>
      <c r="H48" s="138"/>
      <c r="I48" s="135"/>
      <c r="J48" s="135"/>
      <c r="K48" s="216"/>
      <c r="L48" s="133"/>
      <c r="N48" s="134"/>
    </row>
    <row r="49" spans="1:14" s="132" customFormat="1" x14ac:dyDescent="0.15">
      <c r="A49" s="193"/>
      <c r="B49" s="210"/>
      <c r="C49" s="221"/>
      <c r="D49" s="237"/>
      <c r="E49" s="267"/>
      <c r="F49" s="267"/>
      <c r="G49" s="268"/>
      <c r="H49" s="138"/>
      <c r="I49" s="135"/>
      <c r="J49" s="135"/>
      <c r="K49" s="135"/>
      <c r="L49" s="133"/>
      <c r="N49" s="134"/>
    </row>
    <row r="50" spans="1:14" s="132" customFormat="1" x14ac:dyDescent="0.15">
      <c r="A50" s="193"/>
      <c r="B50" s="210"/>
      <c r="C50" s="221"/>
      <c r="D50" s="237"/>
      <c r="E50" s="267"/>
      <c r="F50" s="267"/>
      <c r="G50" s="268"/>
      <c r="H50" s="138"/>
      <c r="I50" s="215"/>
      <c r="J50" s="138"/>
      <c r="K50" s="135"/>
      <c r="L50" s="133"/>
      <c r="N50" s="134"/>
    </row>
    <row r="51" spans="1:14" s="132" customFormat="1" x14ac:dyDescent="0.15">
      <c r="A51" s="193"/>
      <c r="B51" s="210"/>
      <c r="C51" s="221"/>
      <c r="D51" s="237"/>
      <c r="E51" s="267"/>
      <c r="F51" s="267"/>
      <c r="G51" s="268"/>
      <c r="H51" s="138"/>
      <c r="I51" s="135"/>
      <c r="J51" s="135"/>
      <c r="K51" s="135"/>
      <c r="L51" s="133"/>
      <c r="N51" s="134"/>
    </row>
    <row r="52" spans="1:14" s="132" customFormat="1" x14ac:dyDescent="0.15">
      <c r="A52" s="193"/>
      <c r="B52" s="210"/>
      <c r="C52" s="221"/>
      <c r="D52" s="237"/>
      <c r="E52" s="267"/>
      <c r="F52" s="267"/>
      <c r="G52" s="268"/>
      <c r="H52" s="138"/>
      <c r="I52" s="215"/>
      <c r="J52" s="138"/>
      <c r="K52" s="135"/>
      <c r="L52" s="133"/>
      <c r="N52" s="134"/>
    </row>
    <row r="53" spans="1:14" s="132" customFormat="1" x14ac:dyDescent="0.15">
      <c r="A53" s="193"/>
      <c r="B53" s="210"/>
      <c r="C53" s="221"/>
      <c r="D53" s="237"/>
      <c r="E53" s="267"/>
      <c r="F53" s="267"/>
      <c r="G53" s="268"/>
      <c r="H53" s="138"/>
      <c r="I53" s="215"/>
      <c r="J53" s="138"/>
      <c r="K53" s="135"/>
      <c r="L53" s="133"/>
      <c r="N53" s="134"/>
    </row>
    <row r="54" spans="1:14" s="132" customFormat="1" x14ac:dyDescent="0.15">
      <c r="A54" s="215"/>
      <c r="B54" s="210"/>
      <c r="C54" s="221"/>
      <c r="D54" s="237"/>
      <c r="E54" s="267"/>
      <c r="F54" s="267"/>
      <c r="G54" s="268"/>
      <c r="H54" s="138"/>
      <c r="I54" s="215"/>
      <c r="J54" s="138"/>
      <c r="K54" s="135"/>
      <c r="L54" s="133"/>
      <c r="N54" s="134"/>
    </row>
    <row r="55" spans="1:14" s="132" customFormat="1" x14ac:dyDescent="0.15">
      <c r="A55" s="215"/>
      <c r="B55" s="210"/>
      <c r="C55" s="221"/>
      <c r="D55" s="237"/>
      <c r="E55" s="267"/>
      <c r="F55" s="267"/>
      <c r="G55" s="267"/>
      <c r="H55" s="138"/>
      <c r="I55" s="269"/>
      <c r="J55" s="138"/>
      <c r="K55" s="135"/>
      <c r="L55" s="133"/>
      <c r="N55" s="134"/>
    </row>
  </sheetData>
  <mergeCells count="15">
    <mergeCell ref="F44:G44"/>
    <mergeCell ref="F45:G45"/>
    <mergeCell ref="F46:G46"/>
    <mergeCell ref="B38:D38"/>
    <mergeCell ref="F38:G38"/>
    <mergeCell ref="B39:D39"/>
    <mergeCell ref="F39:G39"/>
    <mergeCell ref="F40:G40"/>
    <mergeCell ref="F41:G41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D1" zoomScale="115" zoomScaleNormal="115" workbookViewId="0">
      <pane ySplit="6" topLeftCell="A7" activePane="bottomLeft" state="frozen"/>
      <selection pane="bottomLeft" activeCell="O38" sqref="O38:O43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1160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1152</v>
      </c>
      <c r="B7" s="146"/>
      <c r="C7" s="147">
        <v>105152.2149620096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105152.2149620096</v>
      </c>
      <c r="P7" s="147">
        <f>+C37</f>
        <v>165119.5709620096</v>
      </c>
    </row>
    <row r="8" spans="1:16" x14ac:dyDescent="0.15">
      <c r="A8" s="154" t="s">
        <v>1153</v>
      </c>
      <c r="B8" s="151"/>
      <c r="C8" s="152">
        <v>59967.356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105152.2149620096</v>
      </c>
      <c r="P8" s="152">
        <f t="shared" ref="P8:P9" si="0">P7+H8-J8-M8</f>
        <v>165119.5709620096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105152.2149620096</v>
      </c>
      <c r="P9" s="152">
        <f t="shared" si="0"/>
        <v>165119.5709620096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 t="s">
        <v>1161</v>
      </c>
      <c r="J10" s="152">
        <v>809</v>
      </c>
      <c r="K10" s="150"/>
      <c r="L10" s="154"/>
      <c r="M10" s="227"/>
      <c r="N10" s="154"/>
      <c r="O10" s="227">
        <f t="shared" ref="O10:O36" si="2">+O9-J10-M10</f>
        <v>104343.2149620096</v>
      </c>
      <c r="P10" s="152">
        <f t="shared" ref="P10:P36" si="3">P9+H10-J10-M10</f>
        <v>164310.5709620096</v>
      </c>
    </row>
    <row r="11" spans="1:16" x14ac:dyDescent="0.15">
      <c r="A11" s="154"/>
      <c r="B11" s="151"/>
      <c r="C11" s="152"/>
      <c r="D11" s="155" t="s">
        <v>1163</v>
      </c>
      <c r="E11" s="154" t="s">
        <v>72</v>
      </c>
      <c r="F11" s="157" t="s">
        <v>1164</v>
      </c>
      <c r="G11" s="154"/>
      <c r="H11" s="152">
        <v>19971.608</v>
      </c>
      <c r="I11" s="155" t="s">
        <v>1163</v>
      </c>
      <c r="J11" s="152"/>
      <c r="K11" s="150"/>
      <c r="L11" s="154"/>
      <c r="M11" s="227"/>
      <c r="N11" s="154"/>
      <c r="O11" s="227">
        <f t="shared" si="2"/>
        <v>104343.2149620096</v>
      </c>
      <c r="P11" s="152">
        <f t="shared" si="3"/>
        <v>184282.17896200961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1162</v>
      </c>
      <c r="J12" s="152"/>
      <c r="K12" s="150"/>
      <c r="L12" s="154"/>
      <c r="M12" s="227">
        <v>711</v>
      </c>
      <c r="N12" s="154"/>
      <c r="O12" s="227">
        <f t="shared" si="2"/>
        <v>103632.2149620096</v>
      </c>
      <c r="P12" s="152">
        <f t="shared" si="3"/>
        <v>183571.17896200961</v>
      </c>
    </row>
    <row r="13" spans="1:16" hidden="1" x14ac:dyDescent="0.15">
      <c r="A13" s="154"/>
      <c r="B13" s="151"/>
      <c r="C13" s="152"/>
      <c r="D13" s="155"/>
      <c r="E13" s="154"/>
      <c r="F13" s="157"/>
      <c r="G13" s="154"/>
      <c r="H13" s="152"/>
      <c r="I13" s="155"/>
      <c r="J13" s="152"/>
      <c r="K13" s="150"/>
      <c r="L13" s="154"/>
      <c r="M13" s="227"/>
      <c r="N13" s="154"/>
      <c r="O13" s="227">
        <f t="shared" si="2"/>
        <v>103632.2149620096</v>
      </c>
      <c r="P13" s="152">
        <f t="shared" si="3"/>
        <v>183571.17896200961</v>
      </c>
    </row>
    <row r="14" spans="1:16" hidden="1" x14ac:dyDescent="0.15">
      <c r="A14" s="154"/>
      <c r="B14" s="151"/>
      <c r="C14" s="152"/>
      <c r="D14" s="155"/>
      <c r="E14" s="155"/>
      <c r="F14" s="157"/>
      <c r="G14" s="154"/>
      <c r="H14" s="152"/>
      <c r="I14" s="155"/>
      <c r="J14" s="152"/>
      <c r="K14" s="150"/>
      <c r="L14" s="154"/>
      <c r="M14" s="227"/>
      <c r="N14" s="154"/>
      <c r="O14" s="227">
        <f t="shared" si="2"/>
        <v>103632.2149620096</v>
      </c>
      <c r="P14" s="152">
        <f t="shared" si="3"/>
        <v>183571.17896200961</v>
      </c>
    </row>
    <row r="15" spans="1:16" hidden="1" x14ac:dyDescent="0.15">
      <c r="A15" s="154"/>
      <c r="B15" s="151"/>
      <c r="C15" s="152"/>
      <c r="D15" s="155"/>
      <c r="E15" s="154"/>
      <c r="F15" s="157"/>
      <c r="G15" s="154"/>
      <c r="H15" s="152"/>
      <c r="I15" s="155"/>
      <c r="J15" s="152"/>
      <c r="K15" s="154"/>
      <c r="L15" s="154"/>
      <c r="M15" s="227"/>
      <c r="N15" s="154"/>
      <c r="O15" s="227">
        <f t="shared" si="2"/>
        <v>103632.2149620096</v>
      </c>
      <c r="P15" s="152">
        <f t="shared" si="3"/>
        <v>183571.17896200961</v>
      </c>
    </row>
    <row r="16" spans="1:16" hidden="1" x14ac:dyDescent="0.15">
      <c r="A16" s="154"/>
      <c r="B16" s="151"/>
      <c r="C16" s="152"/>
      <c r="D16" s="155"/>
      <c r="E16" s="155"/>
      <c r="F16" s="157"/>
      <c r="G16" s="154"/>
      <c r="H16" s="152"/>
      <c r="I16" s="155"/>
      <c r="J16" s="152"/>
      <c r="K16" s="150"/>
      <c r="L16" s="154"/>
      <c r="M16" s="227"/>
      <c r="N16" s="154"/>
      <c r="O16" s="227">
        <f t="shared" si="2"/>
        <v>103632.2149620096</v>
      </c>
      <c r="P16" s="152">
        <f t="shared" si="3"/>
        <v>183571.17896200961</v>
      </c>
    </row>
    <row r="17" spans="1:16" hidden="1" x14ac:dyDescent="0.15">
      <c r="A17" s="154"/>
      <c r="B17" s="151"/>
      <c r="C17" s="152"/>
      <c r="D17" s="155"/>
      <c r="E17" s="155"/>
      <c r="F17" s="157"/>
      <c r="G17" s="154"/>
      <c r="H17" s="152"/>
      <c r="I17" s="155"/>
      <c r="J17" s="152"/>
      <c r="K17" s="150"/>
      <c r="L17" s="154"/>
      <c r="M17" s="227"/>
      <c r="N17" s="157"/>
      <c r="O17" s="227">
        <f t="shared" si="2"/>
        <v>103632.2149620096</v>
      </c>
      <c r="P17" s="152">
        <f t="shared" si="3"/>
        <v>183571.17896200961</v>
      </c>
    </row>
    <row r="18" spans="1:16" hidden="1" x14ac:dyDescent="0.15">
      <c r="A18" s="154"/>
      <c r="B18" s="151"/>
      <c r="C18" s="152"/>
      <c r="D18" s="155"/>
      <c r="E18" s="155"/>
      <c r="F18" s="157"/>
      <c r="G18" s="154"/>
      <c r="H18" s="152"/>
      <c r="I18" s="155"/>
      <c r="J18" s="152"/>
      <c r="K18" s="150"/>
      <c r="L18" s="154"/>
      <c r="M18" s="227"/>
      <c r="N18" s="157"/>
      <c r="O18" s="227">
        <f t="shared" si="2"/>
        <v>103632.2149620096</v>
      </c>
      <c r="P18" s="152">
        <f t="shared" si="3"/>
        <v>183571.17896200961</v>
      </c>
    </row>
    <row r="19" spans="1:16" hidden="1" x14ac:dyDescent="0.15">
      <c r="A19" s="154"/>
      <c r="B19" s="151"/>
      <c r="C19" s="152"/>
      <c r="D19" s="155"/>
      <c r="E19" s="155"/>
      <c r="F19" s="157"/>
      <c r="G19" s="154"/>
      <c r="H19" s="152"/>
      <c r="I19" s="155"/>
      <c r="J19" s="152"/>
      <c r="K19" s="154"/>
      <c r="L19" s="154"/>
      <c r="M19" s="227"/>
      <c r="N19" s="157"/>
      <c r="O19" s="227">
        <f t="shared" si="2"/>
        <v>103632.2149620096</v>
      </c>
      <c r="P19" s="152">
        <f t="shared" si="3"/>
        <v>183571.17896200961</v>
      </c>
    </row>
    <row r="20" spans="1:16" hidden="1" x14ac:dyDescent="0.15">
      <c r="A20" s="154"/>
      <c r="B20" s="151"/>
      <c r="C20" s="152"/>
      <c r="D20" s="155"/>
      <c r="E20" s="155"/>
      <c r="F20" s="157"/>
      <c r="G20" s="154"/>
      <c r="H20" s="152"/>
      <c r="I20" s="155"/>
      <c r="J20" s="152"/>
      <c r="K20" s="150"/>
      <c r="L20" s="154"/>
      <c r="M20" s="227"/>
      <c r="N20" s="157"/>
      <c r="O20" s="227">
        <f t="shared" si="2"/>
        <v>103632.2149620096</v>
      </c>
      <c r="P20" s="152">
        <f t="shared" si="3"/>
        <v>183571.17896200961</v>
      </c>
    </row>
    <row r="21" spans="1:16" hidden="1" x14ac:dyDescent="0.15">
      <c r="A21" s="154"/>
      <c r="B21" s="151"/>
      <c r="C21" s="152"/>
      <c r="D21" s="155"/>
      <c r="E21" s="155"/>
      <c r="F21" s="157"/>
      <c r="G21" s="154"/>
      <c r="H21" s="152"/>
      <c r="I21" s="155"/>
      <c r="J21" s="152"/>
      <c r="K21" s="150"/>
      <c r="L21" s="154"/>
      <c r="M21" s="227"/>
      <c r="N21" s="157"/>
      <c r="O21" s="227">
        <f t="shared" si="2"/>
        <v>103632.2149620096</v>
      </c>
      <c r="P21" s="152">
        <f t="shared" si="3"/>
        <v>183571.17896200961</v>
      </c>
    </row>
    <row r="22" spans="1:16" hidden="1" x14ac:dyDescent="0.15">
      <c r="A22" s="154"/>
      <c r="B22" s="151"/>
      <c r="C22" s="152"/>
      <c r="D22" s="155"/>
      <c r="E22" s="154"/>
      <c r="F22" s="157"/>
      <c r="G22" s="154"/>
      <c r="H22" s="152"/>
      <c r="I22" s="155"/>
      <c r="J22" s="152"/>
      <c r="K22" s="157"/>
      <c r="L22" s="154"/>
      <c r="M22" s="227"/>
      <c r="N22" s="154"/>
      <c r="O22" s="227">
        <f t="shared" si="2"/>
        <v>103632.2149620096</v>
      </c>
      <c r="P22" s="152">
        <f t="shared" si="3"/>
        <v>183571.17896200961</v>
      </c>
    </row>
    <row r="23" spans="1:16" hidden="1" x14ac:dyDescent="0.15">
      <c r="A23" s="154"/>
      <c r="B23" s="151"/>
      <c r="C23" s="152"/>
      <c r="D23" s="155"/>
      <c r="E23" s="154"/>
      <c r="F23" s="157"/>
      <c r="G23" s="154"/>
      <c r="H23" s="152"/>
      <c r="I23" s="155"/>
      <c r="J23" s="152"/>
      <c r="K23" s="150"/>
      <c r="L23" s="154"/>
      <c r="M23" s="227"/>
      <c r="N23" s="154"/>
      <c r="O23" s="227">
        <f t="shared" si="2"/>
        <v>103632.2149620096</v>
      </c>
      <c r="P23" s="152">
        <f t="shared" si="3"/>
        <v>183571.17896200961</v>
      </c>
    </row>
    <row r="24" spans="1:16" hidden="1" x14ac:dyDescent="0.15">
      <c r="A24" s="154"/>
      <c r="B24" s="151"/>
      <c r="C24" s="152"/>
      <c r="D24" s="155"/>
      <c r="E24" s="155"/>
      <c r="F24" s="157"/>
      <c r="G24" s="154"/>
      <c r="H24" s="152"/>
      <c r="I24" s="155"/>
      <c r="J24" s="152"/>
      <c r="K24" s="150"/>
      <c r="L24" s="154"/>
      <c r="M24" s="227"/>
      <c r="N24" s="157"/>
      <c r="O24" s="227">
        <f t="shared" si="2"/>
        <v>103632.2149620096</v>
      </c>
      <c r="P24" s="152">
        <f t="shared" si="3"/>
        <v>183571.17896200961</v>
      </c>
    </row>
    <row r="25" spans="1:16" hidden="1" x14ac:dyDescent="0.15">
      <c r="A25" s="154"/>
      <c r="B25" s="151"/>
      <c r="C25" s="152"/>
      <c r="D25" s="155"/>
      <c r="E25" s="155"/>
      <c r="F25" s="157"/>
      <c r="G25" s="154"/>
      <c r="H25" s="152"/>
      <c r="I25" s="155"/>
      <c r="J25" s="152"/>
      <c r="K25" s="150"/>
      <c r="L25" s="154"/>
      <c r="M25" s="227"/>
      <c r="N25" s="157"/>
      <c r="O25" s="227">
        <f t="shared" si="2"/>
        <v>103632.2149620096</v>
      </c>
      <c r="P25" s="152">
        <f t="shared" si="3"/>
        <v>183571.17896200961</v>
      </c>
    </row>
    <row r="26" spans="1:16" hidden="1" x14ac:dyDescent="0.15">
      <c r="A26" s="154"/>
      <c r="B26" s="151"/>
      <c r="C26" s="152"/>
      <c r="D26" s="155"/>
      <c r="E26" s="155"/>
      <c r="F26" s="157"/>
      <c r="G26" s="154"/>
      <c r="H26" s="152"/>
      <c r="I26" s="155"/>
      <c r="J26" s="152"/>
      <c r="K26" s="157"/>
      <c r="L26" s="154"/>
      <c r="M26" s="227"/>
      <c r="N26" s="157"/>
      <c r="O26" s="227">
        <f t="shared" si="2"/>
        <v>103632.2149620096</v>
      </c>
      <c r="P26" s="152">
        <f t="shared" si="3"/>
        <v>183571.17896200961</v>
      </c>
    </row>
    <row r="27" spans="1:16" hidden="1" x14ac:dyDescent="0.15">
      <c r="A27" s="154"/>
      <c r="B27" s="151"/>
      <c r="C27" s="152"/>
      <c r="D27" s="155"/>
      <c r="E27" s="155"/>
      <c r="F27" s="157"/>
      <c r="G27" s="154"/>
      <c r="H27" s="152"/>
      <c r="I27" s="155"/>
      <c r="J27" s="152"/>
      <c r="K27" s="154"/>
      <c r="L27" s="154"/>
      <c r="M27" s="227"/>
      <c r="N27" s="157"/>
      <c r="O27" s="227">
        <f t="shared" si="2"/>
        <v>103632.2149620096</v>
      </c>
      <c r="P27" s="152">
        <f t="shared" si="3"/>
        <v>183571.17896200961</v>
      </c>
    </row>
    <row r="28" spans="1:16" hidden="1" x14ac:dyDescent="0.15">
      <c r="A28" s="154"/>
      <c r="B28" s="151"/>
      <c r="C28" s="152"/>
      <c r="D28" s="155"/>
      <c r="E28" s="155"/>
      <c r="F28" s="157"/>
      <c r="G28" s="154"/>
      <c r="H28" s="152"/>
      <c r="I28" s="155"/>
      <c r="J28" s="152"/>
      <c r="K28" s="157"/>
      <c r="L28" s="154"/>
      <c r="M28" s="227"/>
      <c r="N28" s="157"/>
      <c r="O28" s="227">
        <f t="shared" si="2"/>
        <v>103632.2149620096</v>
      </c>
      <c r="P28" s="152">
        <f t="shared" si="3"/>
        <v>183571.17896200961</v>
      </c>
    </row>
    <row r="29" spans="1:16" hidden="1" x14ac:dyDescent="0.15">
      <c r="A29" s="154"/>
      <c r="B29" s="151"/>
      <c r="C29" s="152"/>
      <c r="D29" s="155"/>
      <c r="E29" s="155"/>
      <c r="F29" s="157"/>
      <c r="G29" s="154"/>
      <c r="H29" s="152"/>
      <c r="I29" s="155"/>
      <c r="J29" s="152"/>
      <c r="K29" s="150"/>
      <c r="L29" s="154"/>
      <c r="M29" s="227"/>
      <c r="N29" s="157"/>
      <c r="O29" s="227">
        <f t="shared" si="2"/>
        <v>103632.2149620096</v>
      </c>
      <c r="P29" s="152">
        <f t="shared" si="3"/>
        <v>183571.17896200961</v>
      </c>
    </row>
    <row r="30" spans="1:16" hidden="1" x14ac:dyDescent="0.15">
      <c r="A30" s="154"/>
      <c r="B30" s="151"/>
      <c r="C30" s="152"/>
      <c r="D30" s="155"/>
      <c r="E30" s="155"/>
      <c r="F30" s="157"/>
      <c r="G30" s="154"/>
      <c r="H30" s="152"/>
      <c r="I30" s="155"/>
      <c r="J30" s="152"/>
      <c r="K30" s="150"/>
      <c r="L30" s="154"/>
      <c r="M30" s="227"/>
      <c r="N30" s="157"/>
      <c r="O30" s="227">
        <f t="shared" si="2"/>
        <v>103632.2149620096</v>
      </c>
      <c r="P30" s="152">
        <f t="shared" si="3"/>
        <v>183571.17896200961</v>
      </c>
    </row>
    <row r="31" spans="1:16" hidden="1" x14ac:dyDescent="0.15">
      <c r="A31" s="154"/>
      <c r="B31" s="151"/>
      <c r="C31" s="152"/>
      <c r="D31" s="155"/>
      <c r="E31" s="155"/>
      <c r="F31" s="157"/>
      <c r="G31" s="154"/>
      <c r="H31" s="152"/>
      <c r="I31" s="155"/>
      <c r="J31" s="152"/>
      <c r="K31" s="157"/>
      <c r="L31" s="154"/>
      <c r="M31" s="227"/>
      <c r="N31" s="154"/>
      <c r="O31" s="227">
        <f t="shared" si="2"/>
        <v>103632.2149620096</v>
      </c>
      <c r="P31" s="152">
        <f t="shared" si="3"/>
        <v>183571.17896200961</v>
      </c>
    </row>
    <row r="32" spans="1:16" hidden="1" x14ac:dyDescent="0.15">
      <c r="A32" s="154"/>
      <c r="B32" s="151"/>
      <c r="C32" s="152"/>
      <c r="D32" s="155"/>
      <c r="E32" s="155"/>
      <c r="F32" s="157"/>
      <c r="G32" s="154"/>
      <c r="H32" s="152"/>
      <c r="I32" s="155"/>
      <c r="J32" s="152"/>
      <c r="K32" s="157"/>
      <c r="L32" s="154"/>
      <c r="M32" s="227"/>
      <c r="N32" s="154"/>
      <c r="O32" s="227">
        <f t="shared" si="2"/>
        <v>103632.2149620096</v>
      </c>
      <c r="P32" s="152">
        <f t="shared" si="3"/>
        <v>183571.17896200961</v>
      </c>
    </row>
    <row r="33" spans="1:16" hidden="1" x14ac:dyDescent="0.15">
      <c r="A33" s="154"/>
      <c r="B33" s="151"/>
      <c r="C33" s="152"/>
      <c r="D33" s="155"/>
      <c r="E33" s="155"/>
      <c r="F33" s="157"/>
      <c r="G33" s="154"/>
      <c r="H33" s="152"/>
      <c r="I33" s="155"/>
      <c r="J33" s="152"/>
      <c r="K33" s="154"/>
      <c r="L33" s="154"/>
      <c r="M33" s="227"/>
      <c r="N33" s="157"/>
      <c r="O33" s="227">
        <f t="shared" si="2"/>
        <v>103632.2149620096</v>
      </c>
      <c r="P33" s="152">
        <f t="shared" si="3"/>
        <v>183571.17896200961</v>
      </c>
    </row>
    <row r="34" spans="1:16" hidden="1" x14ac:dyDescent="0.15">
      <c r="A34" s="154"/>
      <c r="B34" s="151"/>
      <c r="C34" s="152"/>
      <c r="D34" s="155"/>
      <c r="E34" s="155"/>
      <c r="F34" s="157"/>
      <c r="G34" s="154"/>
      <c r="H34" s="152"/>
      <c r="I34" s="155"/>
      <c r="J34" s="152"/>
      <c r="K34" s="157"/>
      <c r="L34" s="154"/>
      <c r="M34" s="227"/>
      <c r="N34" s="154"/>
      <c r="O34" s="227">
        <f t="shared" si="2"/>
        <v>103632.2149620096</v>
      </c>
      <c r="P34" s="152">
        <f t="shared" si="3"/>
        <v>183571.17896200961</v>
      </c>
    </row>
    <row r="35" spans="1:16" hidden="1" x14ac:dyDescent="0.15">
      <c r="A35" s="154"/>
      <c r="B35" s="151"/>
      <c r="C35" s="152"/>
      <c r="D35" s="155"/>
      <c r="E35" s="154"/>
      <c r="F35" s="160"/>
      <c r="G35" s="151"/>
      <c r="H35" s="152"/>
      <c r="I35" s="155"/>
      <c r="J35" s="152"/>
      <c r="K35" s="150"/>
      <c r="L35" s="154"/>
      <c r="M35" s="227"/>
      <c r="N35" s="157"/>
      <c r="O35" s="227">
        <f t="shared" si="2"/>
        <v>103632.2149620096</v>
      </c>
      <c r="P35" s="152">
        <f t="shared" si="3"/>
        <v>183571.17896200961</v>
      </c>
    </row>
    <row r="36" spans="1:16" x14ac:dyDescent="0.15">
      <c r="A36" s="173"/>
      <c r="B36" s="173"/>
      <c r="C36" s="174"/>
      <c r="D36" s="175"/>
      <c r="E36" s="173"/>
      <c r="F36" s="173"/>
      <c r="G36" s="176"/>
      <c r="H36" s="174"/>
      <c r="I36" s="175"/>
      <c r="J36" s="174"/>
      <c r="K36" s="173"/>
      <c r="L36" s="154"/>
      <c r="M36" s="228"/>
      <c r="N36" s="173"/>
      <c r="O36" s="227">
        <f t="shared" si="2"/>
        <v>103632.2149620096</v>
      </c>
      <c r="P36" s="152">
        <f t="shared" si="3"/>
        <v>183571.17896200961</v>
      </c>
    </row>
    <row r="37" spans="1:16" x14ac:dyDescent="0.15">
      <c r="A37" s="177"/>
      <c r="B37" s="177"/>
      <c r="C37" s="178">
        <f>SUM(C7:C35)</f>
        <v>165119.5709620096</v>
      </c>
      <c r="D37" s="177"/>
      <c r="E37" s="177"/>
      <c r="F37" s="177"/>
      <c r="G37" s="177"/>
      <c r="H37" s="178">
        <f>SUM(H7:H35)</f>
        <v>19971.608</v>
      </c>
      <c r="I37" s="179"/>
      <c r="J37" s="178">
        <f>SUM(J7:J35)</f>
        <v>809</v>
      </c>
      <c r="K37" s="177"/>
      <c r="L37" s="177"/>
      <c r="M37" s="229">
        <f>SUM(M9:M35)</f>
        <v>711</v>
      </c>
      <c r="N37" s="177"/>
      <c r="O37" s="180"/>
      <c r="P37" s="181">
        <f>C37+H37-J37-M37</f>
        <v>183571.17896200961</v>
      </c>
    </row>
    <row r="38" spans="1:16" x14ac:dyDescent="0.15">
      <c r="A38" s="182"/>
      <c r="B38" s="465"/>
      <c r="C38" s="465"/>
      <c r="D38" s="465"/>
      <c r="E38" s="183"/>
      <c r="F38" s="472"/>
      <c r="G38" s="472"/>
      <c r="H38" s="185"/>
      <c r="I38" s="186"/>
      <c r="J38" s="187"/>
      <c r="K38" s="188"/>
      <c r="L38" s="189" t="s">
        <v>139</v>
      </c>
      <c r="M38" s="190">
        <f>+M37+J37</f>
        <v>1520</v>
      </c>
      <c r="N38" s="197"/>
      <c r="O38" s="230">
        <f>+O36</f>
        <v>103632.2149620096</v>
      </c>
      <c r="P38" s="195" t="s">
        <v>1152</v>
      </c>
    </row>
    <row r="39" spans="1:16" x14ac:dyDescent="0.15">
      <c r="A39" s="193"/>
      <c r="B39" s="470"/>
      <c r="C39" s="470"/>
      <c r="D39" s="470"/>
      <c r="E39" s="183"/>
      <c r="F39" s="472"/>
      <c r="G39" s="472"/>
      <c r="H39" s="219"/>
      <c r="I39" s="186"/>
      <c r="J39" s="187"/>
      <c r="K39" s="210"/>
      <c r="L39" s="210"/>
      <c r="O39" s="230">
        <v>59967.356</v>
      </c>
      <c r="P39" s="195" t="s">
        <v>1153</v>
      </c>
    </row>
    <row r="40" spans="1:16" x14ac:dyDescent="0.15">
      <c r="A40" s="193"/>
      <c r="B40" s="265"/>
      <c r="C40" s="265"/>
      <c r="D40" s="265"/>
      <c r="E40" s="183"/>
      <c r="F40" s="471"/>
      <c r="G40" s="471"/>
      <c r="H40" s="219"/>
      <c r="I40" s="186"/>
      <c r="J40" s="187"/>
      <c r="K40" s="210"/>
      <c r="L40" s="210"/>
      <c r="O40" s="230">
        <f>+H11</f>
        <v>19971.608</v>
      </c>
      <c r="P40" s="195" t="s">
        <v>1164</v>
      </c>
    </row>
    <row r="41" spans="1:16" x14ac:dyDescent="0.15">
      <c r="A41" s="193"/>
      <c r="B41" s="265"/>
      <c r="C41" s="265"/>
      <c r="D41" s="265"/>
      <c r="E41" s="183"/>
      <c r="F41" s="471"/>
      <c r="G41" s="471"/>
      <c r="H41" s="219"/>
      <c r="I41" s="186"/>
      <c r="J41" s="187"/>
      <c r="K41" s="210"/>
      <c r="L41" s="210"/>
      <c r="O41" s="230"/>
      <c r="P41" s="195"/>
    </row>
    <row r="42" spans="1:16" x14ac:dyDescent="0.15">
      <c r="A42" s="193"/>
      <c r="B42" s="265"/>
      <c r="C42" s="265"/>
      <c r="D42" s="265"/>
      <c r="E42" s="183"/>
      <c r="F42" s="471"/>
      <c r="G42" s="471"/>
      <c r="H42" s="219"/>
      <c r="I42" s="186"/>
      <c r="J42" s="187"/>
      <c r="K42" s="210"/>
      <c r="L42" s="210"/>
      <c r="O42" s="230"/>
      <c r="P42" s="195"/>
    </row>
    <row r="43" spans="1:16" x14ac:dyDescent="0.15">
      <c r="A43" s="193"/>
      <c r="B43" s="265"/>
      <c r="C43" s="265"/>
      <c r="D43" s="265"/>
      <c r="E43" s="183"/>
      <c r="F43" s="471"/>
      <c r="G43" s="471"/>
      <c r="H43" s="219"/>
      <c r="I43" s="186"/>
      <c r="J43" s="187"/>
      <c r="K43" s="210"/>
      <c r="L43" s="210"/>
      <c r="O43" s="230"/>
      <c r="P43" s="195"/>
    </row>
    <row r="44" spans="1:16" x14ac:dyDescent="0.15">
      <c r="A44" s="193"/>
      <c r="B44" s="265"/>
      <c r="C44" s="265"/>
      <c r="D44" s="265"/>
      <c r="E44" s="183"/>
      <c r="F44" s="471"/>
      <c r="G44" s="471"/>
      <c r="H44" s="219"/>
      <c r="I44" s="186"/>
      <c r="J44" s="187"/>
      <c r="K44" s="210"/>
      <c r="L44" s="210"/>
      <c r="O44" s="230"/>
      <c r="P44" s="195"/>
    </row>
    <row r="45" spans="1:16" x14ac:dyDescent="0.15">
      <c r="A45" s="215"/>
      <c r="B45" s="265"/>
      <c r="C45" s="265"/>
      <c r="D45" s="265"/>
      <c r="E45" s="183"/>
      <c r="F45" s="471"/>
      <c r="G45" s="471"/>
      <c r="H45" s="219"/>
      <c r="I45" s="186"/>
      <c r="J45" s="187"/>
      <c r="K45" s="210"/>
      <c r="L45" s="210"/>
      <c r="O45" s="206" t="s">
        <v>33</v>
      </c>
      <c r="P45" s="207">
        <f>SUM(O38:O44)</f>
        <v>183571.17896200961</v>
      </c>
    </row>
    <row r="46" spans="1:16" x14ac:dyDescent="0.15">
      <c r="A46" s="215"/>
      <c r="B46" s="265"/>
      <c r="C46" s="265"/>
      <c r="D46" s="265"/>
      <c r="E46" s="183"/>
      <c r="F46" s="471"/>
      <c r="G46" s="471"/>
      <c r="H46" s="219"/>
      <c r="I46" s="186"/>
      <c r="J46" s="187"/>
      <c r="K46" s="210"/>
      <c r="L46" s="210"/>
      <c r="P46" s="132">
        <f>+P37-P45</f>
        <v>0</v>
      </c>
    </row>
    <row r="47" spans="1:16" s="132" customFormat="1" x14ac:dyDescent="0.15">
      <c r="A47" s="193"/>
      <c r="B47" s="210"/>
      <c r="C47" s="221"/>
      <c r="D47" s="237"/>
      <c r="E47" s="267"/>
      <c r="F47" s="267"/>
      <c r="G47" s="268"/>
      <c r="H47" s="138"/>
      <c r="I47" s="215"/>
      <c r="J47" s="138"/>
      <c r="K47" s="216"/>
      <c r="L47" s="133"/>
      <c r="N47" s="134"/>
    </row>
    <row r="48" spans="1:16" s="132" customFormat="1" x14ac:dyDescent="0.15">
      <c r="A48" s="215"/>
      <c r="B48" s="215"/>
      <c r="C48" s="137"/>
      <c r="D48" s="137"/>
      <c r="E48" s="215"/>
      <c r="F48" s="215"/>
      <c r="G48" s="215"/>
      <c r="H48" s="138"/>
      <c r="I48" s="135"/>
      <c r="J48" s="135"/>
      <c r="K48" s="216"/>
      <c r="L48" s="133"/>
      <c r="N48" s="134"/>
    </row>
    <row r="49" spans="1:14" s="132" customFormat="1" x14ac:dyDescent="0.15">
      <c r="A49" s="193"/>
      <c r="B49" s="210"/>
      <c r="C49" s="221"/>
      <c r="D49" s="237"/>
      <c r="E49" s="267"/>
      <c r="F49" s="267"/>
      <c r="G49" s="268"/>
      <c r="H49" s="138"/>
      <c r="I49" s="135"/>
      <c r="J49" s="135"/>
      <c r="K49" s="135"/>
      <c r="L49" s="133"/>
      <c r="N49" s="134"/>
    </row>
    <row r="50" spans="1:14" s="132" customFormat="1" x14ac:dyDescent="0.15">
      <c r="A50" s="193"/>
      <c r="B50" s="210"/>
      <c r="C50" s="221"/>
      <c r="D50" s="237"/>
      <c r="E50" s="267"/>
      <c r="F50" s="267"/>
      <c r="G50" s="268"/>
      <c r="H50" s="138"/>
      <c r="I50" s="215"/>
      <c r="J50" s="138"/>
      <c r="K50" s="135"/>
      <c r="L50" s="133"/>
      <c r="N50" s="134"/>
    </row>
    <row r="51" spans="1:14" s="132" customFormat="1" x14ac:dyDescent="0.15">
      <c r="A51" s="193"/>
      <c r="B51" s="210"/>
      <c r="C51" s="221"/>
      <c r="D51" s="237"/>
      <c r="E51" s="267"/>
      <c r="F51" s="267"/>
      <c r="G51" s="268"/>
      <c r="H51" s="138"/>
      <c r="I51" s="135"/>
      <c r="J51" s="135"/>
      <c r="K51" s="135"/>
      <c r="L51" s="133"/>
      <c r="N51" s="134"/>
    </row>
    <row r="52" spans="1:14" s="132" customFormat="1" x14ac:dyDescent="0.15">
      <c r="A52" s="193"/>
      <c r="B52" s="210"/>
      <c r="C52" s="221"/>
      <c r="D52" s="237"/>
      <c r="E52" s="267"/>
      <c r="F52" s="267"/>
      <c r="G52" s="268"/>
      <c r="H52" s="138"/>
      <c r="I52" s="215"/>
      <c r="J52" s="138"/>
      <c r="K52" s="135"/>
      <c r="L52" s="133"/>
      <c r="N52" s="134"/>
    </row>
    <row r="53" spans="1:14" s="132" customFormat="1" x14ac:dyDescent="0.15">
      <c r="A53" s="193"/>
      <c r="B53" s="210"/>
      <c r="C53" s="221"/>
      <c r="D53" s="237"/>
      <c r="E53" s="267"/>
      <c r="F53" s="267"/>
      <c r="G53" s="268"/>
      <c r="H53" s="138"/>
      <c r="I53" s="215"/>
      <c r="J53" s="138"/>
      <c r="K53" s="135"/>
      <c r="L53" s="133"/>
      <c r="N53" s="134"/>
    </row>
    <row r="54" spans="1:14" s="132" customFormat="1" x14ac:dyDescent="0.15">
      <c r="A54" s="215"/>
      <c r="B54" s="210"/>
      <c r="C54" s="221"/>
      <c r="D54" s="237"/>
      <c r="E54" s="267"/>
      <c r="F54" s="267"/>
      <c r="G54" s="268"/>
      <c r="H54" s="138"/>
      <c r="I54" s="215"/>
      <c r="J54" s="138"/>
      <c r="K54" s="135"/>
      <c r="L54" s="133"/>
      <c r="N54" s="134"/>
    </row>
    <row r="55" spans="1:14" s="132" customFormat="1" x14ac:dyDescent="0.15">
      <c r="A55" s="215"/>
      <c r="B55" s="210"/>
      <c r="C55" s="221"/>
      <c r="D55" s="237"/>
      <c r="E55" s="267"/>
      <c r="F55" s="267"/>
      <c r="G55" s="267"/>
      <c r="H55" s="138"/>
      <c r="I55" s="269"/>
      <c r="J55" s="138"/>
      <c r="K55" s="135"/>
      <c r="L55" s="133"/>
      <c r="N55" s="134"/>
    </row>
  </sheetData>
  <mergeCells count="17">
    <mergeCell ref="F42:G42"/>
    <mergeCell ref="F43:G43"/>
    <mergeCell ref="F44:G44"/>
    <mergeCell ref="F45:G45"/>
    <mergeCell ref="F46:G46"/>
    <mergeCell ref="F41:G41"/>
    <mergeCell ref="J3:L3"/>
    <mergeCell ref="A4:C4"/>
    <mergeCell ref="D4:H4"/>
    <mergeCell ref="I4:N4"/>
    <mergeCell ref="J5:K5"/>
    <mergeCell ref="L5:N5"/>
    <mergeCell ref="B38:D38"/>
    <mergeCell ref="F38:G38"/>
    <mergeCell ref="B39:D39"/>
    <mergeCell ref="F39:G39"/>
    <mergeCell ref="F40:G40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02"/>
  <sheetViews>
    <sheetView zoomScale="115" zoomScaleNormal="115" workbookViewId="0">
      <pane ySplit="6" topLeftCell="A372" activePane="bottomLeft" state="frozen"/>
      <selection pane="bottomLeft" activeCell="E382" sqref="E382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.85546875" style="132" bestFit="1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.5703125" style="132" bestFit="1" customWidth="1"/>
    <col min="16" max="16384" width="18.5703125" style="134"/>
  </cols>
  <sheetData>
    <row r="1" spans="1:15" x14ac:dyDescent="0.15">
      <c r="A1" s="130" t="s">
        <v>3529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3510</v>
      </c>
      <c r="B7" s="146"/>
      <c r="C7" s="152">
        <v>76436.639362012094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152">
        <f>+C7</f>
        <v>76436.639362012094</v>
      </c>
      <c r="O7" s="152">
        <f>+C352</f>
        <v>1965914.9503620123</v>
      </c>
    </row>
    <row r="8" spans="1:15" x14ac:dyDescent="0.15">
      <c r="A8" s="154" t="s">
        <v>3511</v>
      </c>
      <c r="B8" s="151"/>
      <c r="C8" s="152">
        <v>131820.24799999999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152">
        <f>+N7-I8-L8</f>
        <v>76436.639362012094</v>
      </c>
      <c r="O8" s="152">
        <f t="shared" ref="O8:O9" si="0">O7+G8-I8-L8</f>
        <v>1965914.9503620123</v>
      </c>
    </row>
    <row r="9" spans="1:15" x14ac:dyDescent="0.15">
      <c r="A9" s="157" t="s">
        <v>3512</v>
      </c>
      <c r="B9" s="151"/>
      <c r="C9" s="152">
        <v>527486.63199999998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152">
        <f t="shared" ref="N9" si="1">+N8-I9-L9</f>
        <v>76436.639362012094</v>
      </c>
      <c r="O9" s="152">
        <f t="shared" si="0"/>
        <v>1965914.9503620123</v>
      </c>
    </row>
    <row r="10" spans="1:15" x14ac:dyDescent="0.15">
      <c r="A10" s="154" t="s">
        <v>3513</v>
      </c>
      <c r="B10" s="151"/>
      <c r="C10" s="152">
        <v>175662.06899999999</v>
      </c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152">
        <f t="shared" ref="N10:N77" si="2">+N9-I10-L10</f>
        <v>76436.639362012094</v>
      </c>
      <c r="O10" s="152">
        <f t="shared" ref="O10:O77" si="3">O9+G10-I10-L10</f>
        <v>1965914.9503620123</v>
      </c>
    </row>
    <row r="11" spans="1:15" x14ac:dyDescent="0.15">
      <c r="A11" s="154" t="s">
        <v>3514</v>
      </c>
      <c r="B11" s="151"/>
      <c r="C11" s="152">
        <v>263657.49200000003</v>
      </c>
      <c r="D11" s="323"/>
      <c r="E11" s="154"/>
      <c r="F11" s="157"/>
      <c r="G11" s="152"/>
      <c r="H11" s="323"/>
      <c r="I11" s="152"/>
      <c r="J11" s="154"/>
      <c r="K11" s="157"/>
      <c r="L11" s="227"/>
      <c r="M11" s="154"/>
      <c r="N11" s="152">
        <f t="shared" si="2"/>
        <v>76436.639362012094</v>
      </c>
      <c r="O11" s="152">
        <f t="shared" si="3"/>
        <v>1965914.9503620123</v>
      </c>
    </row>
    <row r="12" spans="1:15" x14ac:dyDescent="0.15">
      <c r="A12" s="154" t="s">
        <v>3515</v>
      </c>
      <c r="B12" s="151"/>
      <c r="C12" s="152">
        <v>439711.777</v>
      </c>
      <c r="D12" s="323"/>
      <c r="E12" s="154"/>
      <c r="F12" s="157"/>
      <c r="G12" s="152"/>
      <c r="H12" s="323"/>
      <c r="I12" s="152"/>
      <c r="J12" s="154"/>
      <c r="K12" s="157"/>
      <c r="L12" s="227"/>
      <c r="M12" s="154"/>
      <c r="N12" s="152">
        <f t="shared" si="2"/>
        <v>76436.639362012094</v>
      </c>
      <c r="O12" s="152">
        <f t="shared" si="3"/>
        <v>1965914.9503620123</v>
      </c>
    </row>
    <row r="13" spans="1:15" x14ac:dyDescent="0.15">
      <c r="A13" s="154" t="s">
        <v>3516</v>
      </c>
      <c r="B13" s="151"/>
      <c r="C13" s="152">
        <v>351140.09299999999</v>
      </c>
      <c r="D13" s="323"/>
      <c r="E13" s="154"/>
      <c r="F13" s="157"/>
      <c r="G13" s="152"/>
      <c r="H13" s="323"/>
      <c r="I13" s="152"/>
      <c r="J13" s="157"/>
      <c r="K13" s="157"/>
      <c r="L13" s="227"/>
      <c r="M13" s="154"/>
      <c r="N13" s="152">
        <f t="shared" si="2"/>
        <v>76436.639362012094</v>
      </c>
      <c r="O13" s="152">
        <f t="shared" si="3"/>
        <v>1965914.9503620123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/>
      <c r="I14" s="152"/>
      <c r="J14" s="157"/>
      <c r="K14" s="157"/>
      <c r="L14" s="227"/>
      <c r="M14" s="154"/>
      <c r="N14" s="152">
        <f t="shared" si="2"/>
        <v>76436.639362012094</v>
      </c>
      <c r="O14" s="152">
        <f t="shared" si="3"/>
        <v>1965914.9503620123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3531</v>
      </c>
      <c r="I15" s="152">
        <v>14351.507000000001</v>
      </c>
      <c r="J15" s="154" t="s">
        <v>3510</v>
      </c>
      <c r="K15" s="157">
        <v>5800361507</v>
      </c>
      <c r="L15" s="227">
        <v>12928.755999999999</v>
      </c>
      <c r="M15" s="154" t="s">
        <v>3510</v>
      </c>
      <c r="N15" s="152">
        <f t="shared" si="2"/>
        <v>49156.376362012095</v>
      </c>
      <c r="O15" s="152">
        <f t="shared" si="3"/>
        <v>1938634.6873620122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3531</v>
      </c>
      <c r="I16" s="152"/>
      <c r="J16" s="157"/>
      <c r="K16" s="157">
        <v>5800361507</v>
      </c>
      <c r="L16" s="227">
        <v>39612.932999999997</v>
      </c>
      <c r="M16" s="154" t="s">
        <v>3510</v>
      </c>
      <c r="N16" s="152">
        <f t="shared" ref="N16:N22" si="4">+N15-I16-L16</f>
        <v>9543.4433620120981</v>
      </c>
      <c r="O16" s="152">
        <f t="shared" ref="O16:O22" si="5">O15+G16-I16-L16</f>
        <v>1899021.7543620123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3531</v>
      </c>
      <c r="I17" s="152"/>
      <c r="J17" s="157"/>
      <c r="K17" s="157">
        <v>5800361507</v>
      </c>
      <c r="L17" s="227">
        <v>9543.4433620120981</v>
      </c>
      <c r="M17" s="154" t="s">
        <v>3510</v>
      </c>
      <c r="N17" s="152">
        <f t="shared" si="4"/>
        <v>0</v>
      </c>
      <c r="O17" s="152">
        <f t="shared" si="5"/>
        <v>1889478.3110000002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3531</v>
      </c>
      <c r="I18" s="152"/>
      <c r="J18" s="157"/>
      <c r="K18" s="157">
        <v>5800362597</v>
      </c>
      <c r="L18" s="227">
        <v>8848.0966379878992</v>
      </c>
      <c r="M18" s="154" t="s">
        <v>3511</v>
      </c>
      <c r="N18" s="152">
        <f>C8+N17-I18-L18</f>
        <v>122972.1513620121</v>
      </c>
      <c r="O18" s="152">
        <f t="shared" si="5"/>
        <v>1880630.2143620122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3531</v>
      </c>
      <c r="I19" s="152"/>
      <c r="J19" s="157"/>
      <c r="K19" s="157">
        <v>5800362597</v>
      </c>
      <c r="L19" s="227">
        <v>11571.307000000001</v>
      </c>
      <c r="M19" s="154" t="s">
        <v>3511</v>
      </c>
      <c r="N19" s="152">
        <f t="shared" si="4"/>
        <v>111400.8443620121</v>
      </c>
      <c r="O19" s="152">
        <f t="shared" si="5"/>
        <v>1869058.9073620122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3531</v>
      </c>
      <c r="I20" s="152"/>
      <c r="J20" s="157"/>
      <c r="K20" s="157">
        <v>5800362597</v>
      </c>
      <c r="L20" s="227">
        <v>15809.588</v>
      </c>
      <c r="M20" s="154" t="s">
        <v>3511</v>
      </c>
      <c r="N20" s="152">
        <f t="shared" si="4"/>
        <v>95591.256362012093</v>
      </c>
      <c r="O20" s="152">
        <f t="shared" si="5"/>
        <v>1853249.3193620122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3531</v>
      </c>
      <c r="I21" s="152"/>
      <c r="J21" s="157"/>
      <c r="K21" s="157">
        <v>5800362597</v>
      </c>
      <c r="L21" s="227">
        <v>58689.372000000003</v>
      </c>
      <c r="M21" s="154" t="s">
        <v>3511</v>
      </c>
      <c r="N21" s="152">
        <f t="shared" si="4"/>
        <v>36901.88436201209</v>
      </c>
      <c r="O21" s="152">
        <f t="shared" si="5"/>
        <v>1794559.9473620122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3531</v>
      </c>
      <c r="I22" s="152"/>
      <c r="J22" s="157"/>
      <c r="K22" s="157">
        <v>5800362597</v>
      </c>
      <c r="L22" s="227">
        <v>360.70699999999999</v>
      </c>
      <c r="M22" s="154" t="s">
        <v>3511</v>
      </c>
      <c r="N22" s="152">
        <f t="shared" si="4"/>
        <v>36541.177362012088</v>
      </c>
      <c r="O22" s="152">
        <f t="shared" si="5"/>
        <v>1794199.2403620123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3531</v>
      </c>
      <c r="I23" s="152"/>
      <c r="J23" s="157"/>
      <c r="K23" s="157">
        <v>5800362597</v>
      </c>
      <c r="L23" s="227">
        <v>12426.915000000001</v>
      </c>
      <c r="M23" s="154" t="s">
        <v>3511</v>
      </c>
      <c r="N23" s="152">
        <f t="shared" si="2"/>
        <v>24114.262362012087</v>
      </c>
      <c r="O23" s="152">
        <f t="shared" si="3"/>
        <v>1781772.3253620123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3531</v>
      </c>
      <c r="I24" s="152"/>
      <c r="J24" s="157"/>
      <c r="K24" s="157">
        <v>5800362597</v>
      </c>
      <c r="L24" s="227">
        <v>2787.7379999999998</v>
      </c>
      <c r="M24" s="154" t="s">
        <v>3511</v>
      </c>
      <c r="N24" s="152">
        <f t="shared" si="2"/>
        <v>21326.524362012085</v>
      </c>
      <c r="O24" s="152">
        <f t="shared" si="3"/>
        <v>1778984.5873620124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3531</v>
      </c>
      <c r="I25" s="152"/>
      <c r="J25" s="154"/>
      <c r="K25" s="157">
        <v>5800362597</v>
      </c>
      <c r="L25" s="227">
        <v>11709.498</v>
      </c>
      <c r="M25" s="154" t="s">
        <v>3511</v>
      </c>
      <c r="N25" s="152">
        <f t="shared" si="2"/>
        <v>9617.0263620120859</v>
      </c>
      <c r="O25" s="152">
        <f t="shared" si="3"/>
        <v>1767275.0893620125</v>
      </c>
    </row>
    <row r="26" spans="1:15" x14ac:dyDescent="0.15">
      <c r="A26" s="154"/>
      <c r="B26" s="151"/>
      <c r="C26" s="152"/>
      <c r="D26" s="323" t="s">
        <v>3545</v>
      </c>
      <c r="E26" s="154" t="s">
        <v>72</v>
      </c>
      <c r="F26" s="157" t="s">
        <v>4080</v>
      </c>
      <c r="G26" s="152">
        <v>175815.02799999999</v>
      </c>
      <c r="H26" s="323" t="s">
        <v>3545</v>
      </c>
      <c r="I26" s="152">
        <v>9617.0263620120859</v>
      </c>
      <c r="J26" s="154" t="s">
        <v>3511</v>
      </c>
      <c r="K26" s="157"/>
      <c r="L26" s="227"/>
      <c r="M26" s="154"/>
      <c r="N26" s="152">
        <f t="shared" ref="N26:N30" si="6">+N25-I26-L26</f>
        <v>0</v>
      </c>
      <c r="O26" s="152">
        <f t="shared" ref="O26:O30" si="7">O25+G26-I26-L26</f>
        <v>1933473.0910000002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3545</v>
      </c>
      <c r="I27" s="152">
        <v>5321.1596379879202</v>
      </c>
      <c r="J27" s="157" t="s">
        <v>3512</v>
      </c>
      <c r="K27" s="157">
        <v>5800362597</v>
      </c>
      <c r="L27" s="227">
        <v>12420.259</v>
      </c>
      <c r="M27" s="157" t="s">
        <v>3512</v>
      </c>
      <c r="N27" s="152">
        <f>C9+N26-I27-L27</f>
        <v>509745.21336201206</v>
      </c>
      <c r="O27" s="152">
        <f t="shared" si="7"/>
        <v>1915731.6723620123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3545</v>
      </c>
      <c r="I28" s="152"/>
      <c r="J28" s="157"/>
      <c r="K28" s="157">
        <v>5800362597</v>
      </c>
      <c r="L28" s="227">
        <v>12011.217000000001</v>
      </c>
      <c r="M28" s="157" t="s">
        <v>3512</v>
      </c>
      <c r="N28" s="152">
        <f t="shared" si="6"/>
        <v>497733.99636201205</v>
      </c>
      <c r="O28" s="152">
        <f t="shared" si="7"/>
        <v>1903720.4553620124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3545</v>
      </c>
      <c r="I29" s="152"/>
      <c r="J29" s="157"/>
      <c r="K29" s="157">
        <v>5800362597</v>
      </c>
      <c r="L29" s="227">
        <v>10109.025</v>
      </c>
      <c r="M29" s="157" t="s">
        <v>3512</v>
      </c>
      <c r="N29" s="152">
        <f t="shared" si="6"/>
        <v>487624.97136201203</v>
      </c>
      <c r="O29" s="152">
        <f t="shared" si="7"/>
        <v>1893611.4303620125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3545</v>
      </c>
      <c r="I30" s="152"/>
      <c r="J30" s="154"/>
      <c r="K30" s="157">
        <v>5800362597</v>
      </c>
      <c r="L30" s="227">
        <v>12345.251</v>
      </c>
      <c r="M30" s="157" t="s">
        <v>3512</v>
      </c>
      <c r="N30" s="152">
        <f t="shared" si="6"/>
        <v>475279.72036201204</v>
      </c>
      <c r="O30" s="152">
        <f t="shared" si="7"/>
        <v>1881266.1793620125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3545</v>
      </c>
      <c r="I31" s="152"/>
      <c r="J31" s="157"/>
      <c r="K31" s="157">
        <v>5800362597</v>
      </c>
      <c r="L31" s="227">
        <v>1448.2660000000001</v>
      </c>
      <c r="M31" s="157" t="s">
        <v>3512</v>
      </c>
      <c r="N31" s="152">
        <f t="shared" si="2"/>
        <v>473831.45436201204</v>
      </c>
      <c r="O31" s="152">
        <f t="shared" si="3"/>
        <v>1879817.9133620125</v>
      </c>
    </row>
    <row r="32" spans="1:15" x14ac:dyDescent="0.15">
      <c r="A32" s="154"/>
      <c r="B32" s="151"/>
      <c r="C32" s="152"/>
      <c r="D32" s="323" t="s">
        <v>3552</v>
      </c>
      <c r="E32" s="154" t="s">
        <v>72</v>
      </c>
      <c r="F32" s="157" t="s">
        <v>4080</v>
      </c>
      <c r="G32" s="152">
        <v>175828.72500000001</v>
      </c>
      <c r="H32" s="323" t="s">
        <v>3552</v>
      </c>
      <c r="I32" s="152">
        <v>13606.445</v>
      </c>
      <c r="J32" s="157" t="s">
        <v>3512</v>
      </c>
      <c r="K32" s="157">
        <v>5800362597</v>
      </c>
      <c r="L32" s="227">
        <v>12572.273999999999</v>
      </c>
      <c r="M32" s="157" t="s">
        <v>3512</v>
      </c>
      <c r="N32" s="152">
        <f t="shared" si="2"/>
        <v>447652.73536201206</v>
      </c>
      <c r="O32" s="152">
        <f t="shared" si="3"/>
        <v>2029467.9193620125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3552</v>
      </c>
      <c r="I33" s="152"/>
      <c r="J33" s="157"/>
      <c r="K33" s="157">
        <v>5800362597</v>
      </c>
      <c r="L33" s="227">
        <v>11221.137000000001</v>
      </c>
      <c r="M33" s="157" t="s">
        <v>3512</v>
      </c>
      <c r="N33" s="152">
        <f t="shared" si="2"/>
        <v>436431.59836201207</v>
      </c>
      <c r="O33" s="152">
        <f t="shared" si="3"/>
        <v>2018246.7823620124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3552</v>
      </c>
      <c r="I34" s="152"/>
      <c r="J34" s="157"/>
      <c r="K34" s="157">
        <v>5800362597</v>
      </c>
      <c r="L34" s="227">
        <v>13809.4</v>
      </c>
      <c r="M34" s="157" t="s">
        <v>3512</v>
      </c>
      <c r="N34" s="152">
        <f t="shared" si="2"/>
        <v>422622.19836201204</v>
      </c>
      <c r="O34" s="152">
        <f t="shared" si="3"/>
        <v>2004437.3823620125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3552</v>
      </c>
      <c r="I35" s="152"/>
      <c r="J35" s="157"/>
      <c r="K35" s="157">
        <v>5800362597</v>
      </c>
      <c r="L35" s="227">
        <v>17599.784</v>
      </c>
      <c r="M35" s="157" t="s">
        <v>3512</v>
      </c>
      <c r="N35" s="152">
        <f t="shared" si="2"/>
        <v>405022.41436201206</v>
      </c>
      <c r="O35" s="152">
        <f t="shared" si="3"/>
        <v>1986837.5983620125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3552</v>
      </c>
      <c r="I36" s="152"/>
      <c r="J36" s="157"/>
      <c r="K36" s="157">
        <v>5800362597</v>
      </c>
      <c r="L36" s="227">
        <v>13256.343999999999</v>
      </c>
      <c r="M36" s="157" t="s">
        <v>3512</v>
      </c>
      <c r="N36" s="152">
        <f t="shared" si="2"/>
        <v>391766.07036201208</v>
      </c>
      <c r="O36" s="152">
        <f t="shared" si="3"/>
        <v>1973581.2543620125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3552</v>
      </c>
      <c r="I37" s="152"/>
      <c r="J37" s="154"/>
      <c r="K37" s="157">
        <v>5800362597</v>
      </c>
      <c r="L37" s="227">
        <v>11702.186</v>
      </c>
      <c r="M37" s="157" t="s">
        <v>3512</v>
      </c>
      <c r="N37" s="152">
        <f t="shared" si="2"/>
        <v>380063.88436201209</v>
      </c>
      <c r="O37" s="152">
        <f t="shared" si="3"/>
        <v>1961879.0683620125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3552</v>
      </c>
      <c r="I38" s="152"/>
      <c r="J38" s="154"/>
      <c r="K38" s="157">
        <v>5800362597</v>
      </c>
      <c r="L38" s="227">
        <v>14489.123</v>
      </c>
      <c r="M38" s="157" t="s">
        <v>3512</v>
      </c>
      <c r="N38" s="152">
        <f t="shared" si="2"/>
        <v>365574.76136201207</v>
      </c>
      <c r="O38" s="152">
        <f t="shared" si="3"/>
        <v>1947389.9453620126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3552</v>
      </c>
      <c r="I39" s="152"/>
      <c r="J39" s="154"/>
      <c r="K39" s="157">
        <v>5800362597</v>
      </c>
      <c r="L39" s="227">
        <v>3881.393</v>
      </c>
      <c r="M39" s="157" t="s">
        <v>3512</v>
      </c>
      <c r="N39" s="152">
        <f t="shared" si="2"/>
        <v>361693.36836201209</v>
      </c>
      <c r="O39" s="152">
        <f t="shared" si="3"/>
        <v>1943508.5523620127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3552</v>
      </c>
      <c r="I40" s="152"/>
      <c r="J40" s="154"/>
      <c r="K40" s="157">
        <v>5800362597</v>
      </c>
      <c r="L40" s="227">
        <v>12272.022000000001</v>
      </c>
      <c r="M40" s="157" t="s">
        <v>3512</v>
      </c>
      <c r="N40" s="152">
        <f t="shared" si="2"/>
        <v>349421.34636201209</v>
      </c>
      <c r="O40" s="152">
        <f t="shared" si="3"/>
        <v>1931236.5303620126</v>
      </c>
    </row>
    <row r="41" spans="1:15" x14ac:dyDescent="0.15">
      <c r="A41" s="154"/>
      <c r="B41" s="151"/>
      <c r="C41" s="152"/>
      <c r="D41" s="323" t="s">
        <v>3564</v>
      </c>
      <c r="E41" s="154" t="s">
        <v>72</v>
      </c>
      <c r="F41" s="157" t="s">
        <v>4080</v>
      </c>
      <c r="G41" s="152">
        <v>175775.89199999999</v>
      </c>
      <c r="H41" s="323" t="s">
        <v>3564</v>
      </c>
      <c r="I41" s="152">
        <v>15096.154999999999</v>
      </c>
      <c r="J41" s="157" t="s">
        <v>3512</v>
      </c>
      <c r="K41" s="157">
        <v>5800362597</v>
      </c>
      <c r="L41" s="227">
        <v>13823.001</v>
      </c>
      <c r="M41" s="157" t="s">
        <v>3512</v>
      </c>
      <c r="N41" s="152">
        <f t="shared" si="2"/>
        <v>320502.19036201207</v>
      </c>
      <c r="O41" s="152">
        <f t="shared" si="3"/>
        <v>2078093.2663620128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3564</v>
      </c>
      <c r="I42" s="152"/>
      <c r="J42" s="157"/>
      <c r="K42" s="157">
        <v>5800362597</v>
      </c>
      <c r="L42" s="227">
        <v>13570.745000000001</v>
      </c>
      <c r="M42" s="157" t="s">
        <v>3512</v>
      </c>
      <c r="N42" s="152">
        <f t="shared" si="2"/>
        <v>306931.44536201208</v>
      </c>
      <c r="O42" s="152">
        <f t="shared" si="3"/>
        <v>2064522.5213620127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3564</v>
      </c>
      <c r="I43" s="152"/>
      <c r="J43" s="157"/>
      <c r="K43" s="157">
        <v>5800362597</v>
      </c>
      <c r="L43" s="227">
        <v>18344.580999999998</v>
      </c>
      <c r="M43" s="157" t="s">
        <v>3512</v>
      </c>
      <c r="N43" s="152">
        <f t="shared" si="2"/>
        <v>288586.86436201207</v>
      </c>
      <c r="O43" s="152">
        <f t="shared" si="3"/>
        <v>2046177.9403620127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3564</v>
      </c>
      <c r="I44" s="152"/>
      <c r="J44" s="157"/>
      <c r="K44" s="157">
        <v>5800362597</v>
      </c>
      <c r="L44" s="227">
        <v>11456.603999999999</v>
      </c>
      <c r="M44" s="157" t="s">
        <v>3512</v>
      </c>
      <c r="N44" s="152">
        <f t="shared" si="2"/>
        <v>277130.26036201208</v>
      </c>
      <c r="O44" s="152">
        <f t="shared" si="3"/>
        <v>2034721.3363620127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3564</v>
      </c>
      <c r="I45" s="152"/>
      <c r="J45" s="157"/>
      <c r="K45" s="157">
        <v>5800362597</v>
      </c>
      <c r="L45" s="227">
        <v>15523.723</v>
      </c>
      <c r="M45" s="157" t="s">
        <v>3512</v>
      </c>
      <c r="N45" s="152">
        <f t="shared" si="2"/>
        <v>261606.53736201208</v>
      </c>
      <c r="O45" s="152">
        <f t="shared" si="3"/>
        <v>2019197.6133620127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3564</v>
      </c>
      <c r="I46" s="152"/>
      <c r="J46" s="154"/>
      <c r="K46" s="157">
        <v>5800362597</v>
      </c>
      <c r="L46" s="227">
        <v>13361.532999999999</v>
      </c>
      <c r="M46" s="157" t="s">
        <v>3512</v>
      </c>
      <c r="N46" s="152">
        <f t="shared" si="2"/>
        <v>248245.00436201209</v>
      </c>
      <c r="O46" s="152">
        <f t="shared" si="3"/>
        <v>2005836.0803620126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3564</v>
      </c>
      <c r="I47" s="152"/>
      <c r="J47" s="157"/>
      <c r="K47" s="157">
        <v>5800362597</v>
      </c>
      <c r="L47" s="227">
        <v>12439.902</v>
      </c>
      <c r="M47" s="157" t="s">
        <v>3512</v>
      </c>
      <c r="N47" s="152">
        <f t="shared" si="2"/>
        <v>235805.10236201208</v>
      </c>
      <c r="O47" s="152">
        <f t="shared" si="3"/>
        <v>1993396.1783620126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3564</v>
      </c>
      <c r="I48" s="152"/>
      <c r="J48" s="157"/>
      <c r="K48" s="157">
        <v>5800362597</v>
      </c>
      <c r="L48" s="227">
        <v>4312.4989999999998</v>
      </c>
      <c r="M48" s="157" t="s">
        <v>3512</v>
      </c>
      <c r="N48" s="152">
        <f t="shared" si="2"/>
        <v>231492.60336201207</v>
      </c>
      <c r="O48" s="152">
        <f t="shared" si="3"/>
        <v>1989083.6793620125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3564</v>
      </c>
      <c r="I49" s="152"/>
      <c r="J49" s="157"/>
      <c r="K49" s="157">
        <v>5800362597</v>
      </c>
      <c r="L49" s="227">
        <v>13719.862999999999</v>
      </c>
      <c r="M49" s="157" t="s">
        <v>3512</v>
      </c>
      <c r="N49" s="152">
        <f t="shared" si="2"/>
        <v>217772.74036201206</v>
      </c>
      <c r="O49" s="152">
        <f t="shared" si="3"/>
        <v>1975363.8163620126</v>
      </c>
    </row>
    <row r="50" spans="1:15" x14ac:dyDescent="0.15">
      <c r="A50" s="154"/>
      <c r="B50" s="151"/>
      <c r="C50" s="152"/>
      <c r="D50" s="323" t="s">
        <v>3575</v>
      </c>
      <c r="E50" s="154" t="s">
        <v>72</v>
      </c>
      <c r="F50" s="157" t="s">
        <v>4080</v>
      </c>
      <c r="G50" s="152">
        <v>21173.952999999543</v>
      </c>
      <c r="H50" s="323" t="s">
        <v>3575</v>
      </c>
      <c r="I50" s="152">
        <v>14131.613000000001</v>
      </c>
      <c r="J50" s="157" t="s">
        <v>3512</v>
      </c>
      <c r="K50" s="157">
        <v>5800362597</v>
      </c>
      <c r="L50" s="227">
        <v>16555.642</v>
      </c>
      <c r="M50" s="157" t="s">
        <v>3512</v>
      </c>
      <c r="N50" s="152">
        <f t="shared" si="2"/>
        <v>187085.48536201206</v>
      </c>
      <c r="O50" s="152">
        <f t="shared" si="3"/>
        <v>1965850.5143620123</v>
      </c>
    </row>
    <row r="51" spans="1:15" x14ac:dyDescent="0.15">
      <c r="A51" s="154"/>
      <c r="B51" s="151"/>
      <c r="C51" s="152"/>
      <c r="D51" s="323" t="s">
        <v>3575</v>
      </c>
      <c r="E51" s="154" t="s">
        <v>72</v>
      </c>
      <c r="F51" s="157" t="s">
        <v>4081</v>
      </c>
      <c r="G51" s="152">
        <v>154785.15100000001</v>
      </c>
      <c r="H51" s="323" t="s">
        <v>3575</v>
      </c>
      <c r="I51" s="152"/>
      <c r="J51" s="157"/>
      <c r="K51" s="157">
        <v>5800362597</v>
      </c>
      <c r="L51" s="227">
        <v>12120.541999999999</v>
      </c>
      <c r="M51" s="157" t="s">
        <v>3512</v>
      </c>
      <c r="N51" s="152">
        <f t="shared" si="2"/>
        <v>174964.94336201207</v>
      </c>
      <c r="O51" s="152">
        <f t="shared" si="3"/>
        <v>2108515.1233620122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3575</v>
      </c>
      <c r="I52" s="152"/>
      <c r="J52" s="157"/>
      <c r="K52" s="157">
        <v>5800362597</v>
      </c>
      <c r="L52" s="227">
        <v>15275.902</v>
      </c>
      <c r="M52" s="157" t="s">
        <v>3512</v>
      </c>
      <c r="N52" s="152">
        <f t="shared" si="2"/>
        <v>159689.04136201207</v>
      </c>
      <c r="O52" s="152">
        <f t="shared" si="3"/>
        <v>2093239.2213620122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3575</v>
      </c>
      <c r="I53" s="152"/>
      <c r="J53" s="157"/>
      <c r="K53" s="157">
        <v>5800362597</v>
      </c>
      <c r="L53" s="227">
        <v>9624.0480000000007</v>
      </c>
      <c r="M53" s="157" t="s">
        <v>3512</v>
      </c>
      <c r="N53" s="152">
        <f t="shared" si="2"/>
        <v>150064.99336201206</v>
      </c>
      <c r="O53" s="152">
        <f t="shared" si="3"/>
        <v>2083615.1733620123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3575</v>
      </c>
      <c r="I54" s="152"/>
      <c r="J54" s="157"/>
      <c r="K54" s="157">
        <v>5800362597</v>
      </c>
      <c r="L54" s="227">
        <v>64114.995999999999</v>
      </c>
      <c r="M54" s="157" t="s">
        <v>3512</v>
      </c>
      <c r="N54" s="152">
        <f t="shared" si="2"/>
        <v>85949.997362012058</v>
      </c>
      <c r="O54" s="152">
        <f t="shared" si="3"/>
        <v>2019500.1773620122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3575</v>
      </c>
      <c r="I55" s="152"/>
      <c r="J55" s="157"/>
      <c r="K55" s="157">
        <v>5800362597</v>
      </c>
      <c r="L55" s="227">
        <v>896.45399999999995</v>
      </c>
      <c r="M55" s="157" t="s">
        <v>3512</v>
      </c>
      <c r="N55" s="152">
        <f t="shared" si="2"/>
        <v>85053.54336201206</v>
      </c>
      <c r="O55" s="152">
        <f t="shared" si="3"/>
        <v>2018603.7233620123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3575</v>
      </c>
      <c r="I56" s="152"/>
      <c r="J56" s="157"/>
      <c r="K56" s="157">
        <v>5800362597</v>
      </c>
      <c r="L56" s="227">
        <v>32731.076000000001</v>
      </c>
      <c r="M56" s="157" t="s">
        <v>3512</v>
      </c>
      <c r="N56" s="152">
        <f t="shared" si="2"/>
        <v>52322.467362012059</v>
      </c>
      <c r="O56" s="152">
        <f t="shared" si="3"/>
        <v>1985872.6473620124</v>
      </c>
    </row>
    <row r="57" spans="1:15" x14ac:dyDescent="0.15">
      <c r="A57" s="154"/>
      <c r="B57" s="151"/>
      <c r="C57" s="152"/>
      <c r="D57" s="323" t="s">
        <v>3583</v>
      </c>
      <c r="E57" s="154" t="s">
        <v>72</v>
      </c>
      <c r="F57" s="157" t="s">
        <v>4081</v>
      </c>
      <c r="G57" s="152">
        <v>87945.732000000484</v>
      </c>
      <c r="H57" s="323" t="s">
        <v>3583</v>
      </c>
      <c r="I57" s="152">
        <v>16180.352999999999</v>
      </c>
      <c r="J57" s="157" t="s">
        <v>3512</v>
      </c>
      <c r="K57" s="157">
        <v>5800362597</v>
      </c>
      <c r="L57" s="227">
        <v>13899.409</v>
      </c>
      <c r="M57" s="157" t="s">
        <v>3512</v>
      </c>
      <c r="N57" s="152">
        <f t="shared" ref="N57:N64" si="8">+N56-I57-L57</f>
        <v>22242.705362012057</v>
      </c>
      <c r="O57" s="152">
        <f t="shared" ref="O57:O64" si="9">O56+G57-I57-L57</f>
        <v>2043738.6173620131</v>
      </c>
    </row>
    <row r="58" spans="1:15" x14ac:dyDescent="0.15">
      <c r="A58" s="154"/>
      <c r="B58" s="151"/>
      <c r="C58" s="152"/>
      <c r="D58" s="323" t="s">
        <v>3583</v>
      </c>
      <c r="E58" s="154" t="s">
        <v>72</v>
      </c>
      <c r="F58" s="157" t="s">
        <v>4082</v>
      </c>
      <c r="G58" s="152">
        <v>88031.638999999501</v>
      </c>
      <c r="H58" s="323" t="s">
        <v>3583</v>
      </c>
      <c r="I58" s="152"/>
      <c r="J58" s="154"/>
      <c r="K58" s="157">
        <v>5800362597</v>
      </c>
      <c r="L58" s="227">
        <v>17523.776000000002</v>
      </c>
      <c r="M58" s="157" t="s">
        <v>3512</v>
      </c>
      <c r="N58" s="152">
        <f t="shared" si="8"/>
        <v>4718.9293620120552</v>
      </c>
      <c r="O58" s="152">
        <f t="shared" si="9"/>
        <v>2114246.4803620125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3583</v>
      </c>
      <c r="I59" s="152"/>
      <c r="J59" s="157"/>
      <c r="K59" s="157">
        <v>5800362597</v>
      </c>
      <c r="L59" s="227">
        <v>4718.9293620120552</v>
      </c>
      <c r="M59" s="157" t="s">
        <v>3512</v>
      </c>
      <c r="N59" s="152">
        <f t="shared" si="8"/>
        <v>0</v>
      </c>
      <c r="O59" s="152">
        <f t="shared" si="9"/>
        <v>2109527.5510000004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3583</v>
      </c>
      <c r="I60" s="152"/>
      <c r="J60" s="157"/>
      <c r="K60" s="157">
        <v>5800361507</v>
      </c>
      <c r="L60" s="227">
        <v>8259.3866379879491</v>
      </c>
      <c r="M60" s="154" t="s">
        <v>3513</v>
      </c>
      <c r="N60" s="152">
        <f>C10+N59-I60-L60</f>
        <v>167402.68236201204</v>
      </c>
      <c r="O60" s="152">
        <f t="shared" si="9"/>
        <v>2101268.1643620124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3583</v>
      </c>
      <c r="I61" s="152"/>
      <c r="J61" s="157"/>
      <c r="K61" s="157">
        <v>5800361507</v>
      </c>
      <c r="L61" s="227">
        <v>12625.28</v>
      </c>
      <c r="M61" s="154" t="s">
        <v>3513</v>
      </c>
      <c r="N61" s="152">
        <f t="shared" si="8"/>
        <v>154777.40236201204</v>
      </c>
      <c r="O61" s="152">
        <f t="shared" si="9"/>
        <v>2088642.8843620124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3583</v>
      </c>
      <c r="I62" s="152"/>
      <c r="J62" s="157"/>
      <c r="K62" s="157">
        <v>5800361507</v>
      </c>
      <c r="L62" s="227">
        <v>15693.591</v>
      </c>
      <c r="M62" s="154" t="s">
        <v>3513</v>
      </c>
      <c r="N62" s="152">
        <f t="shared" si="8"/>
        <v>139083.81136201206</v>
      </c>
      <c r="O62" s="152">
        <f t="shared" si="9"/>
        <v>2072949.2933620124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3583</v>
      </c>
      <c r="I63" s="152"/>
      <c r="J63" s="157"/>
      <c r="K63" s="157">
        <v>5800361507</v>
      </c>
      <c r="L63" s="227">
        <v>2610.9409999999998</v>
      </c>
      <c r="M63" s="154" t="s">
        <v>3513</v>
      </c>
      <c r="N63" s="152">
        <f t="shared" si="8"/>
        <v>136472.87036201207</v>
      </c>
      <c r="O63" s="152">
        <f t="shared" si="9"/>
        <v>2070338.3523620123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3583</v>
      </c>
      <c r="I64" s="152"/>
      <c r="J64" s="157"/>
      <c r="K64" s="157">
        <v>5800361507</v>
      </c>
      <c r="L64" s="227">
        <v>12430.957</v>
      </c>
      <c r="M64" s="154" t="s">
        <v>3513</v>
      </c>
      <c r="N64" s="152">
        <f t="shared" si="8"/>
        <v>124041.91336201207</v>
      </c>
      <c r="O64" s="152">
        <f t="shared" si="9"/>
        <v>2057907.3953620123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3583</v>
      </c>
      <c r="I65" s="152"/>
      <c r="J65" s="157"/>
      <c r="K65" s="157">
        <v>5800361507</v>
      </c>
      <c r="L65" s="227">
        <v>7028.1490000000003</v>
      </c>
      <c r="M65" s="154" t="s">
        <v>3513</v>
      </c>
      <c r="N65" s="152">
        <f t="shared" si="2"/>
        <v>117013.76436201207</v>
      </c>
      <c r="O65" s="152">
        <f t="shared" si="3"/>
        <v>2050879.2463620123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3583</v>
      </c>
      <c r="I66" s="152"/>
      <c r="J66" s="157"/>
      <c r="K66" s="157">
        <v>5800361507</v>
      </c>
      <c r="L66" s="227">
        <v>14093.282999999999</v>
      </c>
      <c r="M66" s="154" t="s">
        <v>3513</v>
      </c>
      <c r="N66" s="152">
        <f t="shared" si="2"/>
        <v>102920.48136201207</v>
      </c>
      <c r="O66" s="152">
        <f t="shared" si="3"/>
        <v>2036785.9633620123</v>
      </c>
    </row>
    <row r="67" spans="1:15" x14ac:dyDescent="0.15">
      <c r="A67" s="154"/>
      <c r="B67" s="151"/>
      <c r="C67" s="152"/>
      <c r="D67" s="323" t="s">
        <v>3595</v>
      </c>
      <c r="E67" s="154" t="s">
        <v>72</v>
      </c>
      <c r="F67" s="157" t="s">
        <v>4082</v>
      </c>
      <c r="G67" s="152">
        <v>175902.55</v>
      </c>
      <c r="H67" s="323" t="s">
        <v>3595</v>
      </c>
      <c r="I67" s="152">
        <v>21272.173999999999</v>
      </c>
      <c r="J67" s="154" t="s">
        <v>3513</v>
      </c>
      <c r="K67" s="157">
        <v>5800361507</v>
      </c>
      <c r="L67" s="227">
        <v>12807.861000000001</v>
      </c>
      <c r="M67" s="154" t="s">
        <v>3513</v>
      </c>
      <c r="N67" s="152">
        <f t="shared" si="2"/>
        <v>68840.446362012066</v>
      </c>
      <c r="O67" s="152">
        <f t="shared" si="3"/>
        <v>2178608.4783620122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3595</v>
      </c>
      <c r="I68" s="152"/>
      <c r="J68" s="157"/>
      <c r="K68" s="157">
        <v>5800361507</v>
      </c>
      <c r="L68" s="227">
        <v>14185.674999999999</v>
      </c>
      <c r="M68" s="154" t="s">
        <v>3513</v>
      </c>
      <c r="N68" s="152">
        <f t="shared" si="2"/>
        <v>54654.771362012063</v>
      </c>
      <c r="O68" s="152">
        <f t="shared" si="3"/>
        <v>2164422.8033620124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3595</v>
      </c>
      <c r="I69" s="152"/>
      <c r="J69" s="157"/>
      <c r="K69" s="157">
        <v>5800361507</v>
      </c>
      <c r="L69" s="227">
        <v>10123.326999999999</v>
      </c>
      <c r="M69" s="154" t="s">
        <v>3513</v>
      </c>
      <c r="N69" s="152">
        <f t="shared" si="2"/>
        <v>44531.444362012066</v>
      </c>
      <c r="O69" s="152">
        <f t="shared" si="3"/>
        <v>2154299.4763620123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3595</v>
      </c>
      <c r="I70" s="152"/>
      <c r="J70" s="154"/>
      <c r="K70" s="157">
        <v>5800361507</v>
      </c>
      <c r="L70" s="227">
        <v>15174.383</v>
      </c>
      <c r="M70" s="154" t="s">
        <v>3513</v>
      </c>
      <c r="N70" s="152">
        <f t="shared" si="2"/>
        <v>29357.061362012064</v>
      </c>
      <c r="O70" s="152">
        <f t="shared" si="3"/>
        <v>2139125.0933620124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3595</v>
      </c>
      <c r="I71" s="152"/>
      <c r="J71" s="157"/>
      <c r="K71" s="157">
        <v>5800361507</v>
      </c>
      <c r="L71" s="227">
        <v>6480.0280000000002</v>
      </c>
      <c r="M71" s="154" t="s">
        <v>3513</v>
      </c>
      <c r="N71" s="152">
        <f t="shared" si="2"/>
        <v>22877.033362012065</v>
      </c>
      <c r="O71" s="152">
        <f t="shared" si="3"/>
        <v>2132645.0653620125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3595</v>
      </c>
      <c r="I72" s="152"/>
      <c r="J72" s="157"/>
      <c r="K72" s="157">
        <v>5800361507</v>
      </c>
      <c r="L72" s="227">
        <v>22877.033362012065</v>
      </c>
      <c r="M72" s="154" t="s">
        <v>3513</v>
      </c>
      <c r="N72" s="152">
        <f t="shared" ref="N72:N76" si="10">+N71-I72-L72</f>
        <v>0</v>
      </c>
      <c r="O72" s="152">
        <f t="shared" ref="O72:O76" si="11">O71+G72-I72-L72</f>
        <v>2109768.0320000006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3595</v>
      </c>
      <c r="I73" s="152"/>
      <c r="J73" s="157"/>
      <c r="K73" s="157">
        <v>5800362597</v>
      </c>
      <c r="L73" s="227">
        <v>13100.0196379879</v>
      </c>
      <c r="M73" s="154" t="s">
        <v>3514</v>
      </c>
      <c r="N73" s="152">
        <f>C11+N72-I73-L73</f>
        <v>250557.47236201214</v>
      </c>
      <c r="O73" s="152">
        <f t="shared" si="11"/>
        <v>2096668.0123620126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3602</v>
      </c>
      <c r="I74" s="152">
        <v>14451.921999999999</v>
      </c>
      <c r="J74" s="154" t="s">
        <v>3514</v>
      </c>
      <c r="K74" s="157">
        <v>5800362597</v>
      </c>
      <c r="L74" s="227">
        <v>15531.275</v>
      </c>
      <c r="M74" s="154" t="s">
        <v>3514</v>
      </c>
      <c r="N74" s="152">
        <f t="shared" si="10"/>
        <v>220574.27536201215</v>
      </c>
      <c r="O74" s="152">
        <f t="shared" si="11"/>
        <v>2066684.8153620127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3602</v>
      </c>
      <c r="I75" s="152"/>
      <c r="J75" s="157"/>
      <c r="K75" s="157">
        <v>5800362597</v>
      </c>
      <c r="L75" s="227">
        <v>13545.879000000001</v>
      </c>
      <c r="M75" s="154" t="s">
        <v>3514</v>
      </c>
      <c r="N75" s="152">
        <f t="shared" si="10"/>
        <v>207028.39636201214</v>
      </c>
      <c r="O75" s="152">
        <f t="shared" si="11"/>
        <v>2053138.9363620128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3602</v>
      </c>
      <c r="I76" s="152"/>
      <c r="J76" s="157"/>
      <c r="K76" s="157">
        <v>5800362597</v>
      </c>
      <c r="L76" s="227">
        <v>12385.232</v>
      </c>
      <c r="M76" s="154" t="s">
        <v>3514</v>
      </c>
      <c r="N76" s="152">
        <f t="shared" si="10"/>
        <v>194643.16436201215</v>
      </c>
      <c r="O76" s="152">
        <f t="shared" si="11"/>
        <v>2040753.7043620127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3602</v>
      </c>
      <c r="I77" s="152"/>
      <c r="J77" s="157"/>
      <c r="K77" s="157">
        <v>5800362597</v>
      </c>
      <c r="L77" s="227">
        <v>18543.359</v>
      </c>
      <c r="M77" s="154" t="s">
        <v>3514</v>
      </c>
      <c r="N77" s="152">
        <f t="shared" si="2"/>
        <v>176099.80536201215</v>
      </c>
      <c r="O77" s="152">
        <f t="shared" si="3"/>
        <v>2022210.3453620127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3602</v>
      </c>
      <c r="I78" s="152"/>
      <c r="J78" s="157"/>
      <c r="K78" s="157">
        <v>5800362597</v>
      </c>
      <c r="L78" s="227">
        <v>14581.564</v>
      </c>
      <c r="M78" s="154" t="s">
        <v>3514</v>
      </c>
      <c r="N78" s="152">
        <f t="shared" ref="N78:N144" si="12">+N77-I78-L78</f>
        <v>161518.24136201214</v>
      </c>
      <c r="O78" s="152">
        <f t="shared" ref="O78:O144" si="13">O77+G78-I78-L78</f>
        <v>2007628.7813620127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3602</v>
      </c>
      <c r="I79" s="152"/>
      <c r="J79" s="157"/>
      <c r="K79" s="157">
        <v>5800362597</v>
      </c>
      <c r="L79" s="227">
        <v>62823.887000000002</v>
      </c>
      <c r="M79" s="154" t="s">
        <v>3514</v>
      </c>
      <c r="N79" s="152">
        <f t="shared" si="12"/>
        <v>98694.354362012135</v>
      </c>
      <c r="O79" s="152">
        <f t="shared" si="13"/>
        <v>1944804.8943620126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3602</v>
      </c>
      <c r="I80" s="152"/>
      <c r="J80" s="154"/>
      <c r="K80" s="157">
        <v>5800362597</v>
      </c>
      <c r="L80" s="227">
        <v>31937.044000000002</v>
      </c>
      <c r="M80" s="154" t="s">
        <v>3514</v>
      </c>
      <c r="N80" s="152">
        <f t="shared" si="12"/>
        <v>66757.310362012126</v>
      </c>
      <c r="O80" s="152">
        <f t="shared" si="13"/>
        <v>1912867.8503620126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3602</v>
      </c>
      <c r="I81" s="152"/>
      <c r="J81" s="157"/>
      <c r="K81" s="157">
        <v>5800362597</v>
      </c>
      <c r="L81" s="227">
        <v>12757.824000000001</v>
      </c>
      <c r="M81" s="154" t="s">
        <v>3514</v>
      </c>
      <c r="N81" s="152">
        <f t="shared" si="12"/>
        <v>53999.486362012125</v>
      </c>
      <c r="O81" s="152">
        <f t="shared" si="13"/>
        <v>1900110.0263620126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3602</v>
      </c>
      <c r="I82" s="152"/>
      <c r="J82" s="157"/>
      <c r="K82" s="157">
        <v>5800362597</v>
      </c>
      <c r="L82" s="227">
        <v>3900.4180000000001</v>
      </c>
      <c r="M82" s="154" t="s">
        <v>3514</v>
      </c>
      <c r="N82" s="152">
        <f t="shared" si="12"/>
        <v>50099.068362012127</v>
      </c>
      <c r="O82" s="152">
        <f t="shared" si="13"/>
        <v>1896209.6083620125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3602</v>
      </c>
      <c r="I83" s="152"/>
      <c r="J83" s="157"/>
      <c r="K83" s="157">
        <v>5800362597</v>
      </c>
      <c r="L83" s="227">
        <v>14822.986999999999</v>
      </c>
      <c r="M83" s="154" t="s">
        <v>3514</v>
      </c>
      <c r="N83" s="152">
        <f t="shared" si="12"/>
        <v>35276.081362012126</v>
      </c>
      <c r="O83" s="152">
        <f t="shared" si="13"/>
        <v>1881386.6213620126</v>
      </c>
    </row>
    <row r="84" spans="1:15" x14ac:dyDescent="0.15">
      <c r="A84" s="154"/>
      <c r="B84" s="151"/>
      <c r="C84" s="152"/>
      <c r="D84" s="323" t="s">
        <v>3616</v>
      </c>
      <c r="E84" s="154" t="s">
        <v>72</v>
      </c>
      <c r="F84" s="157" t="s">
        <v>4083</v>
      </c>
      <c r="G84" s="152">
        <v>175888.66099999999</v>
      </c>
      <c r="H84" s="323" t="s">
        <v>3616</v>
      </c>
      <c r="I84" s="152">
        <v>11123.257000000001</v>
      </c>
      <c r="J84" s="154" t="s">
        <v>3514</v>
      </c>
      <c r="K84" s="157">
        <v>5800362597</v>
      </c>
      <c r="L84" s="227">
        <v>14308.45</v>
      </c>
      <c r="M84" s="154" t="s">
        <v>3514</v>
      </c>
      <c r="N84" s="152">
        <f t="shared" ref="N84:N89" si="14">+N83-I84-L84</f>
        <v>9844.374362012124</v>
      </c>
      <c r="O84" s="152">
        <f t="shared" ref="O84:O89" si="15">O83+G84-I84-L84</f>
        <v>2031843.5753620127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3616</v>
      </c>
      <c r="I85" s="152"/>
      <c r="J85" s="157"/>
      <c r="K85" s="157">
        <v>5800362597</v>
      </c>
      <c r="L85" s="227">
        <v>9844.374362012124</v>
      </c>
      <c r="M85" s="154" t="s">
        <v>3514</v>
      </c>
      <c r="N85" s="152">
        <f t="shared" si="14"/>
        <v>0</v>
      </c>
      <c r="O85" s="152">
        <f t="shared" si="15"/>
        <v>2021999.2010000006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3616</v>
      </c>
      <c r="I86" s="152"/>
      <c r="J86" s="157"/>
      <c r="K86" s="157">
        <v>5800362597</v>
      </c>
      <c r="L86" s="227">
        <v>3537.9816379878798</v>
      </c>
      <c r="M86" s="154" t="s">
        <v>3515</v>
      </c>
      <c r="N86" s="152">
        <f>C12+N85-I86-L86</f>
        <v>436173.79536201211</v>
      </c>
      <c r="O86" s="152">
        <f t="shared" si="15"/>
        <v>2018461.2193620128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3616</v>
      </c>
      <c r="I87" s="152"/>
      <c r="J87" s="157"/>
      <c r="K87" s="157">
        <v>5800362597</v>
      </c>
      <c r="L87" s="227">
        <v>12525.27</v>
      </c>
      <c r="M87" s="154" t="s">
        <v>3515</v>
      </c>
      <c r="N87" s="152">
        <f t="shared" si="14"/>
        <v>423648.52536201209</v>
      </c>
      <c r="O87" s="152">
        <f t="shared" si="15"/>
        <v>2005935.9493620128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3616</v>
      </c>
      <c r="I88" s="152"/>
      <c r="J88" s="157"/>
      <c r="K88" s="157">
        <v>5800362597</v>
      </c>
      <c r="L88" s="227">
        <v>12608.278</v>
      </c>
      <c r="M88" s="154" t="s">
        <v>3515</v>
      </c>
      <c r="N88" s="152">
        <f t="shared" si="14"/>
        <v>411040.2473620121</v>
      </c>
      <c r="O88" s="152">
        <f t="shared" si="15"/>
        <v>1993327.6713620129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3616</v>
      </c>
      <c r="I89" s="152"/>
      <c r="J89" s="157"/>
      <c r="K89" s="157">
        <v>5800362597</v>
      </c>
      <c r="L89" s="227">
        <v>12223.239</v>
      </c>
      <c r="M89" s="154" t="s">
        <v>3515</v>
      </c>
      <c r="N89" s="152">
        <f t="shared" si="14"/>
        <v>398817.0083620121</v>
      </c>
      <c r="O89" s="152">
        <f t="shared" si="15"/>
        <v>1981104.4323620128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3616</v>
      </c>
      <c r="I90" s="152"/>
      <c r="J90" s="157"/>
      <c r="K90" s="157">
        <v>5800362597</v>
      </c>
      <c r="L90" s="227">
        <v>5101.4129999999996</v>
      </c>
      <c r="M90" s="154" t="s">
        <v>3515</v>
      </c>
      <c r="N90" s="152">
        <f t="shared" si="12"/>
        <v>393715.5953620121</v>
      </c>
      <c r="O90" s="152">
        <f t="shared" si="13"/>
        <v>1976003.0193620129</v>
      </c>
    </row>
    <row r="91" spans="1:15" x14ac:dyDescent="0.15">
      <c r="A91" s="154"/>
      <c r="B91" s="151"/>
      <c r="C91" s="152"/>
      <c r="D91" s="323" t="s">
        <v>3626</v>
      </c>
      <c r="E91" s="154" t="s">
        <v>72</v>
      </c>
      <c r="F91" s="157" t="s">
        <v>4084</v>
      </c>
      <c r="G91" s="152">
        <v>175833.89199999999</v>
      </c>
      <c r="H91" s="323" t="s">
        <v>3626</v>
      </c>
      <c r="I91" s="152">
        <v>13439.124</v>
      </c>
      <c r="J91" s="154" t="s">
        <v>3515</v>
      </c>
      <c r="K91" s="157">
        <v>5800362597</v>
      </c>
      <c r="L91" s="227">
        <v>13100.026</v>
      </c>
      <c r="M91" s="154" t="s">
        <v>3515</v>
      </c>
      <c r="N91" s="152">
        <f t="shared" si="12"/>
        <v>367176.44536201208</v>
      </c>
      <c r="O91" s="152">
        <f t="shared" si="13"/>
        <v>2125297.7613620129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3626</v>
      </c>
      <c r="I92" s="152"/>
      <c r="J92" s="157"/>
      <c r="K92" s="157">
        <v>5800362597</v>
      </c>
      <c r="L92" s="227">
        <v>13355.87</v>
      </c>
      <c r="M92" s="154" t="s">
        <v>3515</v>
      </c>
      <c r="N92" s="152">
        <f t="shared" si="12"/>
        <v>353820.57536201208</v>
      </c>
      <c r="O92" s="152">
        <f t="shared" si="13"/>
        <v>2111941.8913620128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3626</v>
      </c>
      <c r="I93" s="152"/>
      <c r="J93" s="157"/>
      <c r="K93" s="157">
        <v>5800362597</v>
      </c>
      <c r="L93" s="227">
        <v>17373.424999999999</v>
      </c>
      <c r="M93" s="154" t="s">
        <v>3515</v>
      </c>
      <c r="N93" s="152">
        <f t="shared" si="12"/>
        <v>336447.15036201209</v>
      </c>
      <c r="O93" s="152">
        <f t="shared" si="13"/>
        <v>2094568.4663620128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3626</v>
      </c>
      <c r="I94" s="152"/>
      <c r="J94" s="154"/>
      <c r="K94" s="157">
        <v>5800362597</v>
      </c>
      <c r="L94" s="227">
        <v>15347.657999999999</v>
      </c>
      <c r="M94" s="154" t="s">
        <v>3515</v>
      </c>
      <c r="N94" s="152">
        <f t="shared" si="12"/>
        <v>321099.4923620121</v>
      </c>
      <c r="O94" s="152">
        <f t="shared" si="13"/>
        <v>2079220.8083620127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3626</v>
      </c>
      <c r="I95" s="152"/>
      <c r="J95" s="157"/>
      <c r="K95" s="157">
        <v>5800362597</v>
      </c>
      <c r="L95" s="227">
        <v>11027.288</v>
      </c>
      <c r="M95" s="154" t="s">
        <v>3515</v>
      </c>
      <c r="N95" s="152">
        <f t="shared" si="12"/>
        <v>310072.2043620121</v>
      </c>
      <c r="O95" s="152">
        <f t="shared" si="13"/>
        <v>2068193.5203620128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3626</v>
      </c>
      <c r="I96" s="152"/>
      <c r="J96" s="157"/>
      <c r="K96" s="157">
        <v>5800362597</v>
      </c>
      <c r="L96" s="227">
        <v>3950.1950000000002</v>
      </c>
      <c r="M96" s="154" t="s">
        <v>3515</v>
      </c>
      <c r="N96" s="152">
        <f t="shared" si="12"/>
        <v>306122.00936201209</v>
      </c>
      <c r="O96" s="152">
        <f t="shared" si="13"/>
        <v>2064243.3253620127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3626</v>
      </c>
      <c r="I97" s="152"/>
      <c r="J97" s="154"/>
      <c r="K97" s="157">
        <v>5800362597</v>
      </c>
      <c r="L97" s="227">
        <v>14163.94</v>
      </c>
      <c r="M97" s="154" t="s">
        <v>3515</v>
      </c>
      <c r="N97" s="152">
        <f t="shared" si="12"/>
        <v>291958.06936201209</v>
      </c>
      <c r="O97" s="152">
        <f t="shared" si="13"/>
        <v>2050079.3853620128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3626</v>
      </c>
      <c r="I98" s="152"/>
      <c r="J98" s="157"/>
      <c r="K98" s="157">
        <v>5800362597</v>
      </c>
      <c r="L98" s="227">
        <v>31211.832999999999</v>
      </c>
      <c r="M98" s="154" t="s">
        <v>3515</v>
      </c>
      <c r="N98" s="152">
        <f t="shared" si="12"/>
        <v>260746.2363620121</v>
      </c>
      <c r="O98" s="152">
        <f t="shared" si="13"/>
        <v>2018867.5523620127</v>
      </c>
    </row>
    <row r="99" spans="1:15" x14ac:dyDescent="0.15">
      <c r="A99" s="154"/>
      <c r="B99" s="151"/>
      <c r="C99" s="152"/>
      <c r="D99" s="323" t="s">
        <v>3637</v>
      </c>
      <c r="E99" s="154" t="s">
        <v>72</v>
      </c>
      <c r="F99" s="157" t="s">
        <v>4085</v>
      </c>
      <c r="G99" s="152">
        <v>263781.46500000003</v>
      </c>
      <c r="H99" s="323" t="s">
        <v>3637</v>
      </c>
      <c r="I99" s="152">
        <v>12608.16</v>
      </c>
      <c r="J99" s="154" t="s">
        <v>3515</v>
      </c>
      <c r="K99" s="157">
        <v>5800362597</v>
      </c>
      <c r="L99" s="227">
        <v>12810.895</v>
      </c>
      <c r="M99" s="154" t="s">
        <v>3515</v>
      </c>
      <c r="N99" s="152">
        <f t="shared" si="12"/>
        <v>235327.18136201211</v>
      </c>
      <c r="O99" s="152">
        <f t="shared" si="13"/>
        <v>2257229.9623620124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3637</v>
      </c>
      <c r="I100" s="152"/>
      <c r="J100" s="157"/>
      <c r="K100" s="157">
        <v>5800362597</v>
      </c>
      <c r="L100" s="227">
        <v>17728.39</v>
      </c>
      <c r="M100" s="154" t="s">
        <v>3515</v>
      </c>
      <c r="N100" s="152">
        <f t="shared" si="12"/>
        <v>217598.7913620121</v>
      </c>
      <c r="O100" s="152">
        <f t="shared" si="13"/>
        <v>2239501.5723620122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3637</v>
      </c>
      <c r="I101" s="152"/>
      <c r="J101" s="157"/>
      <c r="K101" s="157">
        <v>5800362597</v>
      </c>
      <c r="L101" s="227">
        <v>11787.584000000001</v>
      </c>
      <c r="M101" s="154" t="s">
        <v>3515</v>
      </c>
      <c r="N101" s="152">
        <f t="shared" si="12"/>
        <v>205811.20736201209</v>
      </c>
      <c r="O101" s="152">
        <f t="shared" si="13"/>
        <v>2227713.9883620124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3637</v>
      </c>
      <c r="I102" s="152"/>
      <c r="J102" s="157"/>
      <c r="K102" s="157">
        <v>5800362597</v>
      </c>
      <c r="L102" s="227">
        <v>15478.706</v>
      </c>
      <c r="M102" s="154" t="s">
        <v>3515</v>
      </c>
      <c r="N102" s="152">
        <f t="shared" si="12"/>
        <v>190332.50136201209</v>
      </c>
      <c r="O102" s="152">
        <f t="shared" si="13"/>
        <v>2212235.2823620127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3637</v>
      </c>
      <c r="I103" s="152"/>
      <c r="J103" s="157"/>
      <c r="K103" s="157">
        <v>5800362597</v>
      </c>
      <c r="L103" s="227">
        <v>13103.984</v>
      </c>
      <c r="M103" s="154" t="s">
        <v>3515</v>
      </c>
      <c r="N103" s="152">
        <f t="shared" si="12"/>
        <v>177228.51736201209</v>
      </c>
      <c r="O103" s="152">
        <f t="shared" si="13"/>
        <v>2199131.2983620125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3637</v>
      </c>
      <c r="I104" s="152"/>
      <c r="J104" s="157"/>
      <c r="K104" s="157">
        <v>5800362597</v>
      </c>
      <c r="L104" s="227">
        <v>58716.851000000002</v>
      </c>
      <c r="M104" s="154" t="s">
        <v>3515</v>
      </c>
      <c r="N104" s="152">
        <f t="shared" si="12"/>
        <v>118511.6663620121</v>
      </c>
      <c r="O104" s="152">
        <f t="shared" si="13"/>
        <v>2140414.4473620127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3637</v>
      </c>
      <c r="I105" s="152"/>
      <c r="J105" s="157"/>
      <c r="K105" s="157">
        <v>5800362597</v>
      </c>
      <c r="L105" s="227">
        <v>9064.7559999999994</v>
      </c>
      <c r="M105" s="154" t="s">
        <v>3515</v>
      </c>
      <c r="N105" s="152">
        <f t="shared" si="12"/>
        <v>109446.9103620121</v>
      </c>
      <c r="O105" s="152">
        <f t="shared" si="13"/>
        <v>2131349.6913620126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3637</v>
      </c>
      <c r="I106" s="152"/>
      <c r="J106" s="157"/>
      <c r="K106" s="157">
        <v>5800362597</v>
      </c>
      <c r="L106" s="227">
        <v>12108.86</v>
      </c>
      <c r="M106" s="154" t="s">
        <v>3515</v>
      </c>
      <c r="N106" s="152">
        <f t="shared" si="12"/>
        <v>97338.050362012102</v>
      </c>
      <c r="O106" s="152">
        <f t="shared" si="13"/>
        <v>2119240.8313620128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3637</v>
      </c>
      <c r="I107" s="152"/>
      <c r="J107" s="157"/>
      <c r="K107" s="157">
        <v>5800362597</v>
      </c>
      <c r="L107" s="227">
        <v>2965.4960000000001</v>
      </c>
      <c r="M107" s="154" t="s">
        <v>3515</v>
      </c>
      <c r="N107" s="152">
        <f t="shared" si="12"/>
        <v>94372.554362012103</v>
      </c>
      <c r="O107" s="152">
        <f t="shared" si="13"/>
        <v>2116275.335362013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3637</v>
      </c>
      <c r="I108" s="152"/>
      <c r="J108" s="154"/>
      <c r="K108" s="157">
        <v>5800362597</v>
      </c>
      <c r="L108" s="227">
        <v>11294.272999999999</v>
      </c>
      <c r="M108" s="154" t="s">
        <v>3515</v>
      </c>
      <c r="N108" s="152">
        <f t="shared" si="12"/>
        <v>83078.281362012101</v>
      </c>
      <c r="O108" s="152">
        <f t="shared" si="13"/>
        <v>2104981.0623620129</v>
      </c>
    </row>
    <row r="109" spans="1:15" x14ac:dyDescent="0.15">
      <c r="A109" s="154"/>
      <c r="B109" s="151"/>
      <c r="C109" s="152"/>
      <c r="D109" s="323" t="s">
        <v>3648</v>
      </c>
      <c r="E109" s="154" t="s">
        <v>72</v>
      </c>
      <c r="F109" s="157" t="s">
        <v>4085</v>
      </c>
      <c r="G109" s="152">
        <v>87948.966</v>
      </c>
      <c r="H109" s="323" t="s">
        <v>3648</v>
      </c>
      <c r="I109" s="152">
        <v>13279.922999999999</v>
      </c>
      <c r="J109" s="154" t="s">
        <v>3515</v>
      </c>
      <c r="K109" s="157">
        <v>5800362597</v>
      </c>
      <c r="L109" s="227">
        <v>12672.567999999999</v>
      </c>
      <c r="M109" s="154" t="s">
        <v>3515</v>
      </c>
      <c r="N109" s="152">
        <f t="shared" si="12"/>
        <v>57125.790362012107</v>
      </c>
      <c r="O109" s="152">
        <f t="shared" si="13"/>
        <v>2166977.537362013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3648</v>
      </c>
      <c r="I110" s="152"/>
      <c r="J110" s="154"/>
      <c r="K110" s="157">
        <v>5800362597</v>
      </c>
      <c r="L110" s="227">
        <v>13362.708000000001</v>
      </c>
      <c r="M110" s="154" t="s">
        <v>3515</v>
      </c>
      <c r="N110" s="152">
        <f t="shared" si="12"/>
        <v>43763.082362012108</v>
      </c>
      <c r="O110" s="152">
        <f t="shared" si="13"/>
        <v>2153614.8293620129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3648</v>
      </c>
      <c r="I111" s="152"/>
      <c r="J111" s="157"/>
      <c r="K111" s="157">
        <v>5800362597</v>
      </c>
      <c r="L111" s="227">
        <v>14511.941000000001</v>
      </c>
      <c r="M111" s="154" t="s">
        <v>3515</v>
      </c>
      <c r="N111" s="152">
        <f t="shared" si="12"/>
        <v>29251.141362012109</v>
      </c>
      <c r="O111" s="152">
        <f t="shared" si="13"/>
        <v>2139102.8883620128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3648</v>
      </c>
      <c r="I112" s="152"/>
      <c r="J112" s="157"/>
      <c r="K112" s="157">
        <v>5800362597</v>
      </c>
      <c r="L112" s="227">
        <v>9934.0130000000008</v>
      </c>
      <c r="M112" s="154" t="s">
        <v>3515</v>
      </c>
      <c r="N112" s="152">
        <f t="shared" si="12"/>
        <v>19317.12836201211</v>
      </c>
      <c r="O112" s="152">
        <f t="shared" si="13"/>
        <v>2129168.875362013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3648</v>
      </c>
      <c r="I113" s="152"/>
      <c r="J113" s="157"/>
      <c r="K113" s="157">
        <v>5800362597</v>
      </c>
      <c r="L113" s="227">
        <v>19317.12836201211</v>
      </c>
      <c r="M113" s="154" t="s">
        <v>3515</v>
      </c>
      <c r="N113" s="152">
        <f t="shared" ref="N113:N118" si="16">+N112-I113-L113</f>
        <v>0</v>
      </c>
      <c r="O113" s="152">
        <f t="shared" ref="O113:O118" si="17">O112+G113-I113-L113</f>
        <v>2109851.7470000009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3648</v>
      </c>
      <c r="I114" s="152"/>
      <c r="J114" s="157"/>
      <c r="K114" s="157">
        <v>5800362597</v>
      </c>
      <c r="L114" s="227">
        <v>60663.541637987903</v>
      </c>
      <c r="M114" s="154" t="s">
        <v>3516</v>
      </c>
      <c r="N114" s="152">
        <f>C13+N113-I114-L114</f>
        <v>290476.55136201211</v>
      </c>
      <c r="O114" s="152">
        <f t="shared" si="17"/>
        <v>2049188.2053620131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3648</v>
      </c>
      <c r="I115" s="152"/>
      <c r="J115" s="154"/>
      <c r="K115" s="157">
        <v>5800362597</v>
      </c>
      <c r="L115" s="227">
        <v>13406.922</v>
      </c>
      <c r="M115" s="154" t="s">
        <v>3516</v>
      </c>
      <c r="N115" s="152">
        <f t="shared" si="16"/>
        <v>277069.62936201209</v>
      </c>
      <c r="O115" s="152">
        <f t="shared" si="17"/>
        <v>2035781.2833620131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3648</v>
      </c>
      <c r="I116" s="152"/>
      <c r="J116" s="154"/>
      <c r="K116" s="157">
        <v>5800362597</v>
      </c>
      <c r="L116" s="227">
        <v>1799.453</v>
      </c>
      <c r="M116" s="154" t="s">
        <v>3516</v>
      </c>
      <c r="N116" s="152">
        <f t="shared" si="16"/>
        <v>275270.17636201211</v>
      </c>
      <c r="O116" s="152">
        <f t="shared" si="17"/>
        <v>2033981.8303620131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3648</v>
      </c>
      <c r="I117" s="152"/>
      <c r="J117" s="154"/>
      <c r="K117" s="157">
        <v>5800362597</v>
      </c>
      <c r="L117" s="227">
        <v>3719.8679999999999</v>
      </c>
      <c r="M117" s="154" t="s">
        <v>3516</v>
      </c>
      <c r="N117" s="152">
        <f t="shared" si="16"/>
        <v>271550.30836201209</v>
      </c>
      <c r="O117" s="152">
        <f t="shared" si="17"/>
        <v>2030261.9623620131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3648</v>
      </c>
      <c r="I118" s="152"/>
      <c r="J118" s="157"/>
      <c r="K118" s="157">
        <v>5800362597</v>
      </c>
      <c r="L118" s="227">
        <v>33582.784</v>
      </c>
      <c r="M118" s="154" t="s">
        <v>3516</v>
      </c>
      <c r="N118" s="152">
        <f t="shared" si="16"/>
        <v>237967.5243620121</v>
      </c>
      <c r="O118" s="152">
        <f t="shared" si="17"/>
        <v>1996679.1783620131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3648</v>
      </c>
      <c r="I119" s="152"/>
      <c r="J119" s="154"/>
      <c r="K119" s="157">
        <v>5800362597</v>
      </c>
      <c r="L119" s="227">
        <v>11063.635</v>
      </c>
      <c r="M119" s="154" t="s">
        <v>3516</v>
      </c>
      <c r="N119" s="152">
        <f t="shared" si="12"/>
        <v>226903.88936201209</v>
      </c>
      <c r="O119" s="152">
        <f t="shared" si="13"/>
        <v>1985615.5433620131</v>
      </c>
    </row>
    <row r="120" spans="1:15" x14ac:dyDescent="0.15">
      <c r="A120" s="154"/>
      <c r="B120" s="151"/>
      <c r="C120" s="152"/>
      <c r="D120" s="323" t="s">
        <v>3664</v>
      </c>
      <c r="E120" s="154" t="s">
        <v>72</v>
      </c>
      <c r="F120" s="157" t="s">
        <v>4099</v>
      </c>
      <c r="G120" s="152">
        <v>131962.989</v>
      </c>
      <c r="H120" s="323" t="s">
        <v>3664</v>
      </c>
      <c r="I120" s="152">
        <v>19219.403000000002</v>
      </c>
      <c r="J120" s="154" t="s">
        <v>3516</v>
      </c>
      <c r="K120" s="157">
        <v>5800362597</v>
      </c>
      <c r="L120" s="227">
        <v>12413.445</v>
      </c>
      <c r="M120" s="154" t="s">
        <v>3516</v>
      </c>
      <c r="N120" s="152">
        <f t="shared" si="12"/>
        <v>195271.0413620121</v>
      </c>
      <c r="O120" s="152">
        <f t="shared" si="13"/>
        <v>2085945.6843620131</v>
      </c>
    </row>
    <row r="121" spans="1:15" x14ac:dyDescent="0.15">
      <c r="A121" s="154"/>
      <c r="B121" s="151"/>
      <c r="C121" s="152"/>
      <c r="D121" s="323" t="s">
        <v>3664</v>
      </c>
      <c r="E121" s="154" t="s">
        <v>72</v>
      </c>
      <c r="F121" s="157" t="s">
        <v>4086</v>
      </c>
      <c r="G121" s="152">
        <v>44004.663999999502</v>
      </c>
      <c r="H121" s="323" t="s">
        <v>3664</v>
      </c>
      <c r="I121" s="152"/>
      <c r="J121" s="157"/>
      <c r="K121" s="157">
        <v>5800362597</v>
      </c>
      <c r="L121" s="227">
        <v>13272.922</v>
      </c>
      <c r="M121" s="154" t="s">
        <v>3516</v>
      </c>
      <c r="N121" s="152">
        <f t="shared" si="12"/>
        <v>181998.1193620121</v>
      </c>
      <c r="O121" s="152">
        <f t="shared" si="13"/>
        <v>2116677.426362013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3664</v>
      </c>
      <c r="I122" s="152"/>
      <c r="J122" s="154"/>
      <c r="K122" s="157">
        <v>5800362597</v>
      </c>
      <c r="L122" s="227">
        <v>13253.933999999999</v>
      </c>
      <c r="M122" s="154" t="s">
        <v>3516</v>
      </c>
      <c r="N122" s="152">
        <f t="shared" si="12"/>
        <v>168744.1853620121</v>
      </c>
      <c r="O122" s="152">
        <f t="shared" si="13"/>
        <v>2103423.4923620131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3664</v>
      </c>
      <c r="I123" s="152"/>
      <c r="J123" s="154"/>
      <c r="K123" s="157">
        <v>5800362597</v>
      </c>
      <c r="L123" s="227">
        <v>18032.026000000002</v>
      </c>
      <c r="M123" s="154" t="s">
        <v>3516</v>
      </c>
      <c r="N123" s="152">
        <f t="shared" si="12"/>
        <v>150712.15936201208</v>
      </c>
      <c r="O123" s="152">
        <f t="shared" si="13"/>
        <v>2085391.466362013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3664</v>
      </c>
      <c r="I124" s="152"/>
      <c r="J124" s="154"/>
      <c r="K124" s="157">
        <v>5800362597</v>
      </c>
      <c r="L124" s="227">
        <v>11057.271000000001</v>
      </c>
      <c r="M124" s="154" t="s">
        <v>3516</v>
      </c>
      <c r="N124" s="152">
        <f t="shared" si="12"/>
        <v>139654.88836201208</v>
      </c>
      <c r="O124" s="152">
        <f t="shared" si="13"/>
        <v>2074334.1953620131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3664</v>
      </c>
      <c r="I125" s="152"/>
      <c r="J125" s="154"/>
      <c r="K125" s="157">
        <v>5800362597</v>
      </c>
      <c r="L125" s="227">
        <v>9827.02</v>
      </c>
      <c r="M125" s="154" t="s">
        <v>3516</v>
      </c>
      <c r="N125" s="152">
        <f t="shared" si="12"/>
        <v>129827.86836201207</v>
      </c>
      <c r="O125" s="152">
        <f t="shared" si="13"/>
        <v>2064507.175362013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3664</v>
      </c>
      <c r="I126" s="152"/>
      <c r="J126" s="154"/>
      <c r="K126" s="157">
        <v>5800362597</v>
      </c>
      <c r="L126" s="227">
        <v>15196.752</v>
      </c>
      <c r="M126" s="154" t="s">
        <v>3516</v>
      </c>
      <c r="N126" s="152">
        <f t="shared" si="12"/>
        <v>114631.11636201208</v>
      </c>
      <c r="O126" s="152">
        <f t="shared" si="13"/>
        <v>2049310.423362013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3664</v>
      </c>
      <c r="I127" s="152"/>
      <c r="J127" s="154"/>
      <c r="K127" s="157">
        <v>5800362597</v>
      </c>
      <c r="L127" s="227">
        <v>13994.483</v>
      </c>
      <c r="M127" s="154" t="s">
        <v>3516</v>
      </c>
      <c r="N127" s="152">
        <f t="shared" si="12"/>
        <v>100636.63336201207</v>
      </c>
      <c r="O127" s="152">
        <f t="shared" si="13"/>
        <v>2035315.9403620129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3664</v>
      </c>
      <c r="I128" s="152"/>
      <c r="J128" s="157"/>
      <c r="K128" s="157">
        <v>5800362597</v>
      </c>
      <c r="L128" s="227">
        <v>13444.088</v>
      </c>
      <c r="M128" s="154" t="s">
        <v>3516</v>
      </c>
      <c r="N128" s="152">
        <f t="shared" si="12"/>
        <v>87192.545362012068</v>
      </c>
      <c r="O128" s="152">
        <f t="shared" si="13"/>
        <v>2021871.852362013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3664</v>
      </c>
      <c r="I129" s="152"/>
      <c r="J129" s="157"/>
      <c r="K129" s="157">
        <v>5800362597</v>
      </c>
      <c r="L129" s="227">
        <v>2296.136</v>
      </c>
      <c r="M129" s="154" t="s">
        <v>3516</v>
      </c>
      <c r="N129" s="152">
        <f t="shared" si="12"/>
        <v>84896.409362012069</v>
      </c>
      <c r="O129" s="152">
        <f t="shared" si="13"/>
        <v>2019575.716362013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3664</v>
      </c>
      <c r="I130" s="152"/>
      <c r="J130" s="154"/>
      <c r="K130" s="157">
        <v>5800362597</v>
      </c>
      <c r="L130" s="227">
        <v>11150.949000000001</v>
      </c>
      <c r="M130" s="154" t="s">
        <v>3516</v>
      </c>
      <c r="N130" s="152">
        <f t="shared" si="12"/>
        <v>73745.460362012062</v>
      </c>
      <c r="O130" s="152">
        <f t="shared" si="13"/>
        <v>2008424.767362013</v>
      </c>
    </row>
    <row r="131" spans="1:15" x14ac:dyDescent="0.15">
      <c r="A131" s="154"/>
      <c r="B131" s="151"/>
      <c r="C131" s="152"/>
      <c r="D131" s="323" t="s">
        <v>3679</v>
      </c>
      <c r="E131" s="154" t="s">
        <v>72</v>
      </c>
      <c r="F131" s="157" t="s">
        <v>4086</v>
      </c>
      <c r="G131" s="152">
        <v>175918.35800000001</v>
      </c>
      <c r="H131" s="323" t="s">
        <v>3679</v>
      </c>
      <c r="I131" s="152">
        <v>15504.034</v>
      </c>
      <c r="J131" s="154" t="s">
        <v>3516</v>
      </c>
      <c r="K131" s="157">
        <v>5800362597</v>
      </c>
      <c r="L131" s="227">
        <v>11217.546</v>
      </c>
      <c r="M131" s="154" t="s">
        <v>3516</v>
      </c>
      <c r="N131" s="152">
        <f t="shared" si="12"/>
        <v>47023.88036201206</v>
      </c>
      <c r="O131" s="152">
        <f t="shared" si="13"/>
        <v>2157621.5453620129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3679</v>
      </c>
      <c r="I132" s="152"/>
      <c r="J132" s="154"/>
      <c r="K132" s="157">
        <v>5800362597</v>
      </c>
      <c r="L132" s="227">
        <v>11930.834999999999</v>
      </c>
      <c r="M132" s="154" t="s">
        <v>3516</v>
      </c>
      <c r="N132" s="152">
        <f t="shared" si="12"/>
        <v>35093.045362012061</v>
      </c>
      <c r="O132" s="152">
        <f t="shared" si="13"/>
        <v>2145690.710362013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3679</v>
      </c>
      <c r="I133" s="152"/>
      <c r="J133" s="154"/>
      <c r="K133" s="157">
        <v>5800362597</v>
      </c>
      <c r="L133" s="227">
        <v>13367.416999999999</v>
      </c>
      <c r="M133" s="154" t="s">
        <v>3516</v>
      </c>
      <c r="N133" s="152">
        <f t="shared" si="12"/>
        <v>21725.628362012059</v>
      </c>
      <c r="O133" s="152">
        <f t="shared" si="13"/>
        <v>2132323.2933620131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3679</v>
      </c>
      <c r="I134" s="152"/>
      <c r="J134" s="157"/>
      <c r="K134" s="157">
        <v>5800362597</v>
      </c>
      <c r="L134" s="227">
        <v>14512.882</v>
      </c>
      <c r="M134" s="154" t="s">
        <v>3516</v>
      </c>
      <c r="N134" s="152">
        <f t="shared" si="12"/>
        <v>7212.7463620120598</v>
      </c>
      <c r="O134" s="152">
        <f t="shared" si="13"/>
        <v>2117810.4113620128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3679</v>
      </c>
      <c r="I135" s="152"/>
      <c r="J135" s="154"/>
      <c r="K135" s="157">
        <v>5800362597</v>
      </c>
      <c r="L135" s="227">
        <v>7212.7463620120598</v>
      </c>
      <c r="M135" s="154" t="s">
        <v>3516</v>
      </c>
      <c r="N135" s="152">
        <f t="shared" si="12"/>
        <v>0</v>
      </c>
      <c r="O135" s="152">
        <f t="shared" si="13"/>
        <v>2110597.665000001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3679</v>
      </c>
      <c r="I136" s="152"/>
      <c r="J136" s="154"/>
      <c r="K136" s="157">
        <v>5800361507</v>
      </c>
      <c r="L136" s="227">
        <v>1819.9146379879401</v>
      </c>
      <c r="M136" s="157" t="s">
        <v>4080</v>
      </c>
      <c r="N136" s="152">
        <f>G26+G32+G41+G50+N135-I136-L136</f>
        <v>546773.68336201156</v>
      </c>
      <c r="O136" s="152">
        <f t="shared" ref="O136:O140" si="18">O135+G136-I136-L136</f>
        <v>2108777.750362013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3679</v>
      </c>
      <c r="I137" s="152"/>
      <c r="J137" s="154"/>
      <c r="K137" s="157">
        <v>5800361507</v>
      </c>
      <c r="L137" s="227">
        <v>1931.413</v>
      </c>
      <c r="M137" s="157" t="s">
        <v>4080</v>
      </c>
      <c r="N137" s="152">
        <f t="shared" ref="N137:N140" si="19">+N136-I137-L137</f>
        <v>544842.27036201162</v>
      </c>
      <c r="O137" s="152">
        <f t="shared" si="18"/>
        <v>2106846.3373620128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3679</v>
      </c>
      <c r="I138" s="152"/>
      <c r="J138" s="154"/>
      <c r="K138" s="157">
        <v>5800361507</v>
      </c>
      <c r="L138" s="227">
        <v>12102.319</v>
      </c>
      <c r="M138" s="157" t="s">
        <v>4080</v>
      </c>
      <c r="N138" s="152">
        <f t="shared" si="19"/>
        <v>532739.9513620116</v>
      </c>
      <c r="O138" s="152">
        <f t="shared" si="18"/>
        <v>2094744.0183620129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3679</v>
      </c>
      <c r="I139" s="152"/>
      <c r="J139" s="154"/>
      <c r="K139" s="157">
        <v>5800361507</v>
      </c>
      <c r="L139" s="227">
        <v>38290.351999999999</v>
      </c>
      <c r="M139" s="157" t="s">
        <v>4080</v>
      </c>
      <c r="N139" s="152">
        <f t="shared" si="19"/>
        <v>494449.59936201159</v>
      </c>
      <c r="O139" s="152">
        <f t="shared" si="18"/>
        <v>2056453.666362013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3689</v>
      </c>
      <c r="I140" s="152">
        <v>17693.027000000002</v>
      </c>
      <c r="J140" s="157" t="s">
        <v>4080</v>
      </c>
      <c r="K140" s="157">
        <v>5800361507</v>
      </c>
      <c r="L140" s="227">
        <v>11956.934999999999</v>
      </c>
      <c r="M140" s="157" t="s">
        <v>4080</v>
      </c>
      <c r="N140" s="152">
        <f t="shared" si="19"/>
        <v>464799.63736201159</v>
      </c>
      <c r="O140" s="152">
        <f t="shared" si="18"/>
        <v>2026803.7043620129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3689</v>
      </c>
      <c r="I141" s="152"/>
      <c r="J141" s="157"/>
      <c r="K141" s="157">
        <v>5800361507</v>
      </c>
      <c r="L141" s="227">
        <v>17902.919999999998</v>
      </c>
      <c r="M141" s="157" t="s">
        <v>4080</v>
      </c>
      <c r="N141" s="152">
        <f t="shared" si="12"/>
        <v>446896.71736201161</v>
      </c>
      <c r="O141" s="152">
        <f t="shared" si="13"/>
        <v>2008900.784362013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3689</v>
      </c>
      <c r="I142" s="152"/>
      <c r="J142" s="157"/>
      <c r="K142" s="157">
        <v>5800361507</v>
      </c>
      <c r="L142" s="227">
        <v>12061.882</v>
      </c>
      <c r="M142" s="157" t="s">
        <v>4080</v>
      </c>
      <c r="N142" s="152">
        <f t="shared" si="12"/>
        <v>434834.83536201162</v>
      </c>
      <c r="O142" s="152">
        <f t="shared" si="13"/>
        <v>1996838.902362013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3689</v>
      </c>
      <c r="I143" s="152"/>
      <c r="J143" s="157"/>
      <c r="K143" s="157">
        <v>5800361507</v>
      </c>
      <c r="L143" s="227">
        <v>8239.8209999999999</v>
      </c>
      <c r="M143" s="157" t="s">
        <v>4080</v>
      </c>
      <c r="N143" s="152">
        <f t="shared" si="12"/>
        <v>426595.01436201163</v>
      </c>
      <c r="O143" s="152">
        <f t="shared" si="13"/>
        <v>1988599.081362013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3689</v>
      </c>
      <c r="I144" s="152"/>
      <c r="J144" s="157"/>
      <c r="K144" s="157">
        <v>5800361507</v>
      </c>
      <c r="L144" s="227">
        <v>16778.490000000002</v>
      </c>
      <c r="M144" s="157" t="s">
        <v>4080</v>
      </c>
      <c r="N144" s="152">
        <f t="shared" si="12"/>
        <v>409816.52436201164</v>
      </c>
      <c r="O144" s="152">
        <f t="shared" si="13"/>
        <v>1971820.591362013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3689</v>
      </c>
      <c r="I145" s="152"/>
      <c r="J145" s="157"/>
      <c r="K145" s="157">
        <v>5800361507</v>
      </c>
      <c r="L145" s="227">
        <v>9464.2000000000007</v>
      </c>
      <c r="M145" s="157" t="s">
        <v>4080</v>
      </c>
      <c r="N145" s="152">
        <f t="shared" ref="N145:N211" si="20">+N144-I145-L145</f>
        <v>400352.32436201163</v>
      </c>
      <c r="O145" s="152">
        <f t="shared" ref="O145:O211" si="21">O144+G145-I145-L145</f>
        <v>1962356.3913620131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3689</v>
      </c>
      <c r="I146" s="152"/>
      <c r="J146" s="157"/>
      <c r="K146" s="157">
        <v>5800361507</v>
      </c>
      <c r="L146" s="227">
        <v>11898.965</v>
      </c>
      <c r="M146" s="157" t="s">
        <v>4080</v>
      </c>
      <c r="N146" s="152">
        <f t="shared" si="20"/>
        <v>388453.3593620116</v>
      </c>
      <c r="O146" s="152">
        <f t="shared" si="21"/>
        <v>1950457.426362013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3689</v>
      </c>
      <c r="I147" s="152"/>
      <c r="J147" s="157"/>
      <c r="K147" s="157">
        <v>5800361507</v>
      </c>
      <c r="L147" s="227">
        <v>2680.64</v>
      </c>
      <c r="M147" s="157" t="s">
        <v>4080</v>
      </c>
      <c r="N147" s="152">
        <f t="shared" si="20"/>
        <v>385772.71936201159</v>
      </c>
      <c r="O147" s="152">
        <f t="shared" si="21"/>
        <v>1947776.7863620131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3689</v>
      </c>
      <c r="I148" s="152"/>
      <c r="J148" s="154"/>
      <c r="K148" s="157">
        <v>5800361507</v>
      </c>
      <c r="L148" s="227">
        <v>11983.922</v>
      </c>
      <c r="M148" s="157" t="s">
        <v>4080</v>
      </c>
      <c r="N148" s="152">
        <f t="shared" si="20"/>
        <v>373788.79736201157</v>
      </c>
      <c r="O148" s="152">
        <f t="shared" si="21"/>
        <v>1935792.8643620131</v>
      </c>
    </row>
    <row r="149" spans="1:15" x14ac:dyDescent="0.15">
      <c r="A149" s="154"/>
      <c r="B149" s="151"/>
      <c r="C149" s="152"/>
      <c r="D149" s="323" t="s">
        <v>3699</v>
      </c>
      <c r="E149" s="154" t="s">
        <v>72</v>
      </c>
      <c r="F149" s="157" t="s">
        <v>4087</v>
      </c>
      <c r="G149" s="152">
        <v>175749.52499999999</v>
      </c>
      <c r="H149" s="323" t="s">
        <v>3699</v>
      </c>
      <c r="I149" s="152">
        <v>13950.23</v>
      </c>
      <c r="J149" s="157" t="s">
        <v>4080</v>
      </c>
      <c r="K149" s="157">
        <v>5800361507</v>
      </c>
      <c r="L149" s="227">
        <v>79165.072</v>
      </c>
      <c r="M149" s="157" t="s">
        <v>4080</v>
      </c>
      <c r="N149" s="152">
        <f t="shared" si="20"/>
        <v>280673.4953620116</v>
      </c>
      <c r="O149" s="152">
        <f t="shared" si="21"/>
        <v>2018427.0873620131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3699</v>
      </c>
      <c r="I150" s="152"/>
      <c r="J150" s="157"/>
      <c r="K150" s="157">
        <v>5800361507</v>
      </c>
      <c r="L150" s="227">
        <v>13335.055</v>
      </c>
      <c r="M150" s="157" t="s">
        <v>4080</v>
      </c>
      <c r="N150" s="152">
        <f t="shared" si="20"/>
        <v>267338.44036201161</v>
      </c>
      <c r="O150" s="152">
        <f t="shared" si="21"/>
        <v>2005092.0323620131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3699</v>
      </c>
      <c r="I151" s="152"/>
      <c r="J151" s="157"/>
      <c r="K151" s="157">
        <v>5800361507</v>
      </c>
      <c r="L151" s="227">
        <v>13157.001</v>
      </c>
      <c r="M151" s="157" t="s">
        <v>4080</v>
      </c>
      <c r="N151" s="152">
        <f t="shared" si="20"/>
        <v>254181.43936201162</v>
      </c>
      <c r="O151" s="152">
        <f t="shared" si="21"/>
        <v>1991935.0313620132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3699</v>
      </c>
      <c r="I152" s="152"/>
      <c r="J152" s="154"/>
      <c r="K152" s="157">
        <v>5800361507</v>
      </c>
      <c r="L152" s="227">
        <v>13174.005999999999</v>
      </c>
      <c r="M152" s="157" t="s">
        <v>4080</v>
      </c>
      <c r="N152" s="152">
        <f t="shared" si="20"/>
        <v>241007.43336201162</v>
      </c>
      <c r="O152" s="152">
        <f t="shared" si="21"/>
        <v>1978761.0253620131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3699</v>
      </c>
      <c r="I153" s="152"/>
      <c r="J153" s="157"/>
      <c r="K153" s="157">
        <v>5800361507</v>
      </c>
      <c r="L153" s="227">
        <v>8429.5630000000001</v>
      </c>
      <c r="M153" s="157" t="s">
        <v>4080</v>
      </c>
      <c r="N153" s="152">
        <f t="shared" si="20"/>
        <v>232577.87036201163</v>
      </c>
      <c r="O153" s="152">
        <f t="shared" si="21"/>
        <v>1970331.4623620131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3699</v>
      </c>
      <c r="I154" s="152"/>
      <c r="J154" s="157"/>
      <c r="K154" s="157">
        <v>5800361507</v>
      </c>
      <c r="L154" s="227">
        <v>13549.12</v>
      </c>
      <c r="M154" s="157" t="s">
        <v>4080</v>
      </c>
      <c r="N154" s="152">
        <f t="shared" si="20"/>
        <v>219028.75036201163</v>
      </c>
      <c r="O154" s="152">
        <f t="shared" si="21"/>
        <v>1956782.3423620129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3699</v>
      </c>
      <c r="I155" s="152"/>
      <c r="J155" s="154"/>
      <c r="K155" s="157">
        <v>5800361507</v>
      </c>
      <c r="L155" s="227">
        <v>2493.241</v>
      </c>
      <c r="M155" s="157" t="s">
        <v>4080</v>
      </c>
      <c r="N155" s="152">
        <f t="shared" si="20"/>
        <v>216535.50936201162</v>
      </c>
      <c r="O155" s="152">
        <f t="shared" si="21"/>
        <v>1954289.101362013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3699</v>
      </c>
      <c r="I156" s="152"/>
      <c r="J156" s="157"/>
      <c r="K156" s="157">
        <v>5800361507</v>
      </c>
      <c r="L156" s="227">
        <v>13235.973</v>
      </c>
      <c r="M156" s="157" t="s">
        <v>4080</v>
      </c>
      <c r="N156" s="152">
        <f t="shared" si="20"/>
        <v>203299.53636201163</v>
      </c>
      <c r="O156" s="152">
        <f t="shared" si="21"/>
        <v>1941053.128362013</v>
      </c>
    </row>
    <row r="157" spans="1:15" x14ac:dyDescent="0.15">
      <c r="A157" s="154"/>
      <c r="B157" s="151"/>
      <c r="C157" s="152"/>
      <c r="D157" s="323" t="s">
        <v>3709</v>
      </c>
      <c r="E157" s="154" t="s">
        <v>72</v>
      </c>
      <c r="F157" s="157" t="s">
        <v>4087</v>
      </c>
      <c r="G157" s="152">
        <v>175686.576</v>
      </c>
      <c r="H157" s="323" t="s">
        <v>3709</v>
      </c>
      <c r="I157" s="152">
        <v>12763.100999999999</v>
      </c>
      <c r="J157" s="157" t="s">
        <v>4080</v>
      </c>
      <c r="K157" s="157">
        <v>5800361507</v>
      </c>
      <c r="L157" s="227">
        <v>17249.98</v>
      </c>
      <c r="M157" s="157" t="s">
        <v>4080</v>
      </c>
      <c r="N157" s="152">
        <f t="shared" si="20"/>
        <v>173286.45536201162</v>
      </c>
      <c r="O157" s="152">
        <f t="shared" si="21"/>
        <v>2086726.6233620131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3709</v>
      </c>
      <c r="I158" s="152"/>
      <c r="J158" s="157"/>
      <c r="K158" s="157">
        <v>5800361507</v>
      </c>
      <c r="L158" s="227">
        <v>14667.888000000001</v>
      </c>
      <c r="M158" s="157" t="s">
        <v>4080</v>
      </c>
      <c r="N158" s="152">
        <f t="shared" si="20"/>
        <v>158618.56736201161</v>
      </c>
      <c r="O158" s="152">
        <f t="shared" si="21"/>
        <v>2072058.7353620131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3709</v>
      </c>
      <c r="I159" s="152"/>
      <c r="J159" s="157"/>
      <c r="K159" s="157">
        <v>5800361507</v>
      </c>
      <c r="L159" s="227">
        <v>15917.901</v>
      </c>
      <c r="M159" s="157" t="s">
        <v>4080</v>
      </c>
      <c r="N159" s="152">
        <f t="shared" si="20"/>
        <v>142700.6663620116</v>
      </c>
      <c r="O159" s="152">
        <f t="shared" si="21"/>
        <v>2056140.834362013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3709</v>
      </c>
      <c r="I160" s="152"/>
      <c r="J160" s="157"/>
      <c r="K160" s="157">
        <v>5800361507</v>
      </c>
      <c r="L160" s="227">
        <v>13382.846</v>
      </c>
      <c r="M160" s="157" t="s">
        <v>4080</v>
      </c>
      <c r="N160" s="152">
        <f t="shared" si="20"/>
        <v>129317.8203620116</v>
      </c>
      <c r="O160" s="152">
        <f t="shared" si="21"/>
        <v>2042757.9883620131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3709</v>
      </c>
      <c r="I161" s="152"/>
      <c r="J161" s="157"/>
      <c r="K161" s="157">
        <v>5800361507</v>
      </c>
      <c r="L161" s="227">
        <v>12636.241</v>
      </c>
      <c r="M161" s="157" t="s">
        <v>4080</v>
      </c>
      <c r="N161" s="152">
        <f t="shared" si="20"/>
        <v>116681.5793620116</v>
      </c>
      <c r="O161" s="152">
        <f t="shared" si="21"/>
        <v>2030121.7473620132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3709</v>
      </c>
      <c r="I162" s="152"/>
      <c r="J162" s="157"/>
      <c r="K162" s="157">
        <v>5800361507</v>
      </c>
      <c r="L162" s="227">
        <v>8196.643</v>
      </c>
      <c r="M162" s="157" t="s">
        <v>4080</v>
      </c>
      <c r="N162" s="152">
        <f t="shared" si="20"/>
        <v>108484.93636201161</v>
      </c>
      <c r="O162" s="152">
        <f t="shared" si="21"/>
        <v>2021925.1043620133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3709</v>
      </c>
      <c r="I163" s="152"/>
      <c r="J163" s="157"/>
      <c r="K163" s="157">
        <v>5800361507</v>
      </c>
      <c r="L163" s="227">
        <v>9835.9719999999998</v>
      </c>
      <c r="M163" s="157" t="s">
        <v>4080</v>
      </c>
      <c r="N163" s="152">
        <f t="shared" si="20"/>
        <v>98648.964362011611</v>
      </c>
      <c r="O163" s="152">
        <f t="shared" si="21"/>
        <v>2012089.1323620132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3709</v>
      </c>
      <c r="I164" s="152"/>
      <c r="J164" s="157"/>
      <c r="K164" s="157">
        <v>5800361507</v>
      </c>
      <c r="L164" s="227">
        <v>14296.65</v>
      </c>
      <c r="M164" s="157" t="s">
        <v>4080</v>
      </c>
      <c r="N164" s="152">
        <f t="shared" si="20"/>
        <v>84352.314362011617</v>
      </c>
      <c r="O164" s="152">
        <f t="shared" si="21"/>
        <v>1997792.4823620133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3709</v>
      </c>
      <c r="I165" s="152"/>
      <c r="J165" s="157"/>
      <c r="K165" s="157">
        <v>5800361507</v>
      </c>
      <c r="L165" s="227">
        <v>13583.867</v>
      </c>
      <c r="M165" s="157" t="s">
        <v>4080</v>
      </c>
      <c r="N165" s="152">
        <f t="shared" si="20"/>
        <v>70768.447362011619</v>
      </c>
      <c r="O165" s="152">
        <f t="shared" si="21"/>
        <v>1984208.6153620132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3709</v>
      </c>
      <c r="I166" s="152"/>
      <c r="J166" s="157"/>
      <c r="K166" s="157">
        <v>5800361507</v>
      </c>
      <c r="L166" s="227">
        <v>297.90899999999999</v>
      </c>
      <c r="M166" s="157" t="s">
        <v>4080</v>
      </c>
      <c r="N166" s="152">
        <f t="shared" si="20"/>
        <v>70470.538362011619</v>
      </c>
      <c r="O166" s="152">
        <f t="shared" si="21"/>
        <v>1983910.7063620132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3709</v>
      </c>
      <c r="I167" s="152"/>
      <c r="J167" s="157"/>
      <c r="K167" s="157">
        <v>5800361507</v>
      </c>
      <c r="L167" s="227">
        <v>13452.906999999999</v>
      </c>
      <c r="M167" s="157" t="s">
        <v>4080</v>
      </c>
      <c r="N167" s="152">
        <f t="shared" si="20"/>
        <v>57017.63136201162</v>
      </c>
      <c r="O167" s="152">
        <f t="shared" si="21"/>
        <v>1970457.7993620133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3709</v>
      </c>
      <c r="I168" s="152"/>
      <c r="J168" s="157"/>
      <c r="K168" s="157">
        <v>5800361507</v>
      </c>
      <c r="L168" s="227">
        <v>33754.730000000003</v>
      </c>
      <c r="M168" s="157" t="s">
        <v>4080</v>
      </c>
      <c r="N168" s="152">
        <f t="shared" si="20"/>
        <v>23262.901362011617</v>
      </c>
      <c r="O168" s="152">
        <f t="shared" si="21"/>
        <v>1936703.0693620134</v>
      </c>
    </row>
    <row r="169" spans="1:15" x14ac:dyDescent="0.15">
      <c r="A169" s="154"/>
      <c r="B169" s="151"/>
      <c r="C169" s="152"/>
      <c r="D169" s="323" t="s">
        <v>3729</v>
      </c>
      <c r="E169" s="154" t="s">
        <v>72</v>
      </c>
      <c r="F169" s="157" t="s">
        <v>4088</v>
      </c>
      <c r="G169" s="152">
        <v>131754.85800000001</v>
      </c>
      <c r="H169" s="323" t="s">
        <v>3729</v>
      </c>
      <c r="I169" s="152">
        <v>15338.921999999999</v>
      </c>
      <c r="J169" s="157" t="s">
        <v>4080</v>
      </c>
      <c r="K169" s="157">
        <v>5800361507</v>
      </c>
      <c r="L169" s="227">
        <v>7923.9793620116179</v>
      </c>
      <c r="M169" s="157" t="s">
        <v>4080</v>
      </c>
      <c r="N169" s="152">
        <f t="shared" ref="N169:N174" si="22">+N168-I169-L169</f>
        <v>0</v>
      </c>
      <c r="O169" s="152">
        <f t="shared" ref="O169:O174" si="23">O168+G169-I169-L169</f>
        <v>2045195.0260000017</v>
      </c>
    </row>
    <row r="170" spans="1:15" x14ac:dyDescent="0.15">
      <c r="A170" s="154"/>
      <c r="B170" s="151"/>
      <c r="C170" s="152"/>
      <c r="D170" s="323" t="s">
        <v>3729</v>
      </c>
      <c r="E170" s="154" t="s">
        <v>72</v>
      </c>
      <c r="F170" s="157" t="s">
        <v>4089</v>
      </c>
      <c r="G170" s="152">
        <v>43958.834999999002</v>
      </c>
      <c r="H170" s="323" t="s">
        <v>3729</v>
      </c>
      <c r="I170" s="152"/>
      <c r="J170" s="157"/>
      <c r="K170" s="157">
        <v>5800362597</v>
      </c>
      <c r="L170" s="227">
        <v>6650.4976379883801</v>
      </c>
      <c r="M170" s="157" t="s">
        <v>4081</v>
      </c>
      <c r="N170" s="152">
        <f>G51+G57+N169-I170-L170</f>
        <v>236080.38536201211</v>
      </c>
      <c r="O170" s="152">
        <f t="shared" si="23"/>
        <v>2082503.3633620124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3729</v>
      </c>
      <c r="I171" s="152"/>
      <c r="J171" s="157"/>
      <c r="K171" s="157">
        <v>5800362597</v>
      </c>
      <c r="L171" s="227">
        <v>12807.298000000001</v>
      </c>
      <c r="M171" s="157" t="s">
        <v>4081</v>
      </c>
      <c r="N171" s="152">
        <f t="shared" si="22"/>
        <v>223273.0873620121</v>
      </c>
      <c r="O171" s="152">
        <f t="shared" si="23"/>
        <v>2069696.0653620125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3729</v>
      </c>
      <c r="I172" s="152"/>
      <c r="J172" s="157"/>
      <c r="K172" s="157">
        <v>5800362597</v>
      </c>
      <c r="L172" s="227">
        <v>13349.352999999999</v>
      </c>
      <c r="M172" s="157" t="s">
        <v>4081</v>
      </c>
      <c r="N172" s="152">
        <f t="shared" si="22"/>
        <v>209923.7343620121</v>
      </c>
      <c r="O172" s="152">
        <f t="shared" si="23"/>
        <v>2056346.7123620126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3729</v>
      </c>
      <c r="I173" s="152"/>
      <c r="J173" s="157"/>
      <c r="K173" s="157">
        <v>5800362597</v>
      </c>
      <c r="L173" s="227">
        <v>17576.780999999999</v>
      </c>
      <c r="M173" s="157" t="s">
        <v>4081</v>
      </c>
      <c r="N173" s="152">
        <f t="shared" si="22"/>
        <v>192346.95336201211</v>
      </c>
      <c r="O173" s="152">
        <f t="shared" si="23"/>
        <v>2038769.9313620126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3729</v>
      </c>
      <c r="I174" s="152"/>
      <c r="J174" s="157"/>
      <c r="K174" s="157">
        <v>5800362597</v>
      </c>
      <c r="L174" s="227">
        <v>11297.145</v>
      </c>
      <c r="M174" s="157" t="s">
        <v>4081</v>
      </c>
      <c r="N174" s="152">
        <f t="shared" si="22"/>
        <v>181049.80836201212</v>
      </c>
      <c r="O174" s="152">
        <f t="shared" si="23"/>
        <v>2027472.7863620126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3729</v>
      </c>
      <c r="I175" s="152"/>
      <c r="J175" s="157"/>
      <c r="K175" s="157">
        <v>5800362597</v>
      </c>
      <c r="L175" s="227">
        <v>10378.052</v>
      </c>
      <c r="M175" s="157" t="s">
        <v>4081</v>
      </c>
      <c r="N175" s="152">
        <f t="shared" si="20"/>
        <v>170671.75636201212</v>
      </c>
      <c r="O175" s="152">
        <f t="shared" si="21"/>
        <v>2017094.7343620127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3729</v>
      </c>
      <c r="I176" s="152"/>
      <c r="J176" s="157"/>
      <c r="K176" s="157">
        <v>5800362597</v>
      </c>
      <c r="L176" s="227">
        <v>15881.61</v>
      </c>
      <c r="M176" s="157" t="s">
        <v>4081</v>
      </c>
      <c r="N176" s="152">
        <f t="shared" si="20"/>
        <v>154790.14636201214</v>
      </c>
      <c r="O176" s="152">
        <f t="shared" si="21"/>
        <v>2001213.1243620126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3729</v>
      </c>
      <c r="I177" s="152"/>
      <c r="J177" s="157"/>
      <c r="K177" s="157">
        <v>5800362597</v>
      </c>
      <c r="L177" s="227">
        <v>9158.9279999999999</v>
      </c>
      <c r="M177" s="157" t="s">
        <v>4081</v>
      </c>
      <c r="N177" s="152">
        <f t="shared" si="20"/>
        <v>145631.21836201212</v>
      </c>
      <c r="O177" s="152">
        <f t="shared" si="21"/>
        <v>1992054.1963620125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3729</v>
      </c>
      <c r="I178" s="152"/>
      <c r="J178" s="157"/>
      <c r="K178" s="157">
        <v>5800362597</v>
      </c>
      <c r="L178" s="227">
        <v>67962.432000000001</v>
      </c>
      <c r="M178" s="157" t="s">
        <v>4081</v>
      </c>
      <c r="N178" s="152">
        <f t="shared" si="20"/>
        <v>77668.786362012121</v>
      </c>
      <c r="O178" s="152">
        <f t="shared" si="21"/>
        <v>1924091.7643620125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3729</v>
      </c>
      <c r="I179" s="152"/>
      <c r="J179" s="157"/>
      <c r="K179" s="157">
        <v>5800362597</v>
      </c>
      <c r="L179" s="227">
        <v>17851.758999999998</v>
      </c>
      <c r="M179" s="157" t="s">
        <v>4081</v>
      </c>
      <c r="N179" s="152">
        <f t="shared" si="20"/>
        <v>59817.027362012122</v>
      </c>
      <c r="O179" s="152">
        <f t="shared" si="21"/>
        <v>1906240.0053620124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3729</v>
      </c>
      <c r="I180" s="152"/>
      <c r="J180" s="157"/>
      <c r="K180" s="157">
        <v>5800362597</v>
      </c>
      <c r="L180" s="227">
        <v>2762.8789999999999</v>
      </c>
      <c r="M180" s="157" t="s">
        <v>4081</v>
      </c>
      <c r="N180" s="152">
        <f t="shared" si="20"/>
        <v>57054.148362012122</v>
      </c>
      <c r="O180" s="152">
        <f t="shared" si="21"/>
        <v>1903477.1263620125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3729</v>
      </c>
      <c r="I181" s="152"/>
      <c r="J181" s="157"/>
      <c r="K181" s="157">
        <v>5800362597</v>
      </c>
      <c r="L181" s="227">
        <v>12697.849</v>
      </c>
      <c r="M181" s="157" t="s">
        <v>4081</v>
      </c>
      <c r="N181" s="152">
        <f t="shared" si="20"/>
        <v>44356.29936201212</v>
      </c>
      <c r="O181" s="152">
        <f t="shared" si="21"/>
        <v>1890779.2773620125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3729</v>
      </c>
      <c r="I182" s="152"/>
      <c r="J182" s="157"/>
      <c r="K182" s="157">
        <v>5800362597</v>
      </c>
      <c r="L182" s="227">
        <v>2455.0039999999999</v>
      </c>
      <c r="M182" s="157" t="s">
        <v>4081</v>
      </c>
      <c r="N182" s="152">
        <f t="shared" si="20"/>
        <v>41901.295362012119</v>
      </c>
      <c r="O182" s="152">
        <f t="shared" si="21"/>
        <v>1888324.2733620126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3729</v>
      </c>
      <c r="I183" s="152"/>
      <c r="J183" s="157"/>
      <c r="K183" s="157">
        <v>5800362597</v>
      </c>
      <c r="L183" s="227">
        <v>13175.655000000001</v>
      </c>
      <c r="M183" s="157" t="s">
        <v>4081</v>
      </c>
      <c r="N183" s="152">
        <f t="shared" si="20"/>
        <v>28725.64036201212</v>
      </c>
      <c r="O183" s="152">
        <f t="shared" si="21"/>
        <v>1875148.6183620126</v>
      </c>
    </row>
    <row r="184" spans="1:15" x14ac:dyDescent="0.15">
      <c r="A184" s="154"/>
      <c r="B184" s="151"/>
      <c r="C184" s="152"/>
      <c r="D184" s="323" t="s">
        <v>3749</v>
      </c>
      <c r="E184" s="154" t="s">
        <v>72</v>
      </c>
      <c r="F184" s="157" t="s">
        <v>4089</v>
      </c>
      <c r="G184" s="152">
        <v>175768.86900000001</v>
      </c>
      <c r="H184" s="323" t="s">
        <v>3749</v>
      </c>
      <c r="I184" s="152">
        <v>18997.869000000002</v>
      </c>
      <c r="J184" s="157" t="s">
        <v>4081</v>
      </c>
      <c r="K184" s="157">
        <v>5800362597</v>
      </c>
      <c r="L184" s="227">
        <v>1641.501</v>
      </c>
      <c r="M184" s="157" t="s">
        <v>4081</v>
      </c>
      <c r="N184" s="152">
        <f t="shared" si="20"/>
        <v>8086.2703620121174</v>
      </c>
      <c r="O184" s="152">
        <f t="shared" si="21"/>
        <v>2030278.1173620126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3749</v>
      </c>
      <c r="I185" s="152"/>
      <c r="J185" s="157"/>
      <c r="K185" s="157">
        <v>5800362597</v>
      </c>
      <c r="L185" s="227">
        <v>8086.2703620121174</v>
      </c>
      <c r="M185" s="157" t="s">
        <v>4081</v>
      </c>
      <c r="N185" s="152">
        <f t="shared" ref="N185:N189" si="24">+N184-I185-L185</f>
        <v>0</v>
      </c>
      <c r="O185" s="152">
        <f t="shared" ref="O185:O189" si="25">O184+G185-I185-L185</f>
        <v>2022191.8470000005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3749</v>
      </c>
      <c r="I186" s="152"/>
      <c r="J186" s="157"/>
      <c r="K186" s="157">
        <v>5800361507</v>
      </c>
      <c r="L186" s="227">
        <v>5986.4476379878797</v>
      </c>
      <c r="M186" s="157" t="s">
        <v>4082</v>
      </c>
      <c r="N186" s="152">
        <f>G58+G67+N185-I186-L186</f>
        <v>257947.74136201161</v>
      </c>
      <c r="O186" s="152">
        <f t="shared" si="25"/>
        <v>2016205.3993620127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3749</v>
      </c>
      <c r="I187" s="152"/>
      <c r="J187" s="157"/>
      <c r="K187" s="157">
        <v>5800361507</v>
      </c>
      <c r="L187" s="227">
        <v>31333.467000000001</v>
      </c>
      <c r="M187" s="157" t="s">
        <v>4082</v>
      </c>
      <c r="N187" s="152">
        <f t="shared" si="24"/>
        <v>226614.27436201161</v>
      </c>
      <c r="O187" s="152">
        <f t="shared" si="25"/>
        <v>1984871.9323620128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3749</v>
      </c>
      <c r="I188" s="152"/>
      <c r="J188" s="157"/>
      <c r="K188" s="157">
        <v>5800361507</v>
      </c>
      <c r="L188" s="227">
        <v>13141.995999999999</v>
      </c>
      <c r="M188" s="157" t="s">
        <v>4082</v>
      </c>
      <c r="N188" s="152">
        <f t="shared" si="24"/>
        <v>213472.2783620116</v>
      </c>
      <c r="O188" s="152">
        <f t="shared" si="25"/>
        <v>1971729.9363620128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3749</v>
      </c>
      <c r="I189" s="152"/>
      <c r="J189" s="157"/>
      <c r="K189" s="157">
        <v>5800361507</v>
      </c>
      <c r="L189" s="227">
        <v>13214.018</v>
      </c>
      <c r="M189" s="157" t="s">
        <v>4082</v>
      </c>
      <c r="N189" s="152">
        <f t="shared" si="24"/>
        <v>200258.26036201158</v>
      </c>
      <c r="O189" s="152">
        <f t="shared" si="25"/>
        <v>1958515.9183620128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3749</v>
      </c>
      <c r="I190" s="152"/>
      <c r="J190" s="157"/>
      <c r="K190" s="157">
        <v>5800361507</v>
      </c>
      <c r="L190" s="227">
        <v>14940.543</v>
      </c>
      <c r="M190" s="157" t="s">
        <v>4082</v>
      </c>
      <c r="N190" s="152">
        <f t="shared" si="20"/>
        <v>185317.71736201158</v>
      </c>
      <c r="O190" s="152">
        <f t="shared" si="21"/>
        <v>1943575.3753620128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3749</v>
      </c>
      <c r="I191" s="152"/>
      <c r="J191" s="157"/>
      <c r="K191" s="157">
        <v>5800361507</v>
      </c>
      <c r="L191" s="227">
        <v>11938.63</v>
      </c>
      <c r="M191" s="157" t="s">
        <v>4082</v>
      </c>
      <c r="N191" s="152">
        <f t="shared" si="20"/>
        <v>173379.08736201157</v>
      </c>
      <c r="O191" s="152">
        <f t="shared" si="21"/>
        <v>1931636.7453620129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3749</v>
      </c>
      <c r="I192" s="152"/>
      <c r="J192" s="157"/>
      <c r="K192" s="157">
        <v>5800361507</v>
      </c>
      <c r="L192" s="227">
        <v>8361.5429999999997</v>
      </c>
      <c r="M192" s="157" t="s">
        <v>4082</v>
      </c>
      <c r="N192" s="152">
        <f t="shared" si="20"/>
        <v>165017.54436201157</v>
      </c>
      <c r="O192" s="152">
        <f t="shared" si="21"/>
        <v>1923275.2023620128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3749</v>
      </c>
      <c r="I193" s="152"/>
      <c r="J193" s="157"/>
      <c r="K193" s="157">
        <v>5800361507</v>
      </c>
      <c r="L193" s="227">
        <v>15904.835999999999</v>
      </c>
      <c r="M193" s="157" t="s">
        <v>4082</v>
      </c>
      <c r="N193" s="152">
        <f t="shared" si="20"/>
        <v>149112.70836201156</v>
      </c>
      <c r="O193" s="152">
        <f t="shared" si="21"/>
        <v>1907370.3663620129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3749</v>
      </c>
      <c r="I194" s="152"/>
      <c r="J194" s="157"/>
      <c r="K194" s="157">
        <v>5800361507</v>
      </c>
      <c r="L194" s="227">
        <v>1578.48</v>
      </c>
      <c r="M194" s="157" t="s">
        <v>4082</v>
      </c>
      <c r="N194" s="152">
        <f t="shared" si="20"/>
        <v>147534.22836201155</v>
      </c>
      <c r="O194" s="152">
        <f t="shared" si="21"/>
        <v>1905791.8863620129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3749</v>
      </c>
      <c r="I195" s="152"/>
      <c r="J195" s="157"/>
      <c r="K195" s="157">
        <v>5800361507</v>
      </c>
      <c r="L195" s="227">
        <v>9311.8320000000003</v>
      </c>
      <c r="M195" s="157" t="s">
        <v>4082</v>
      </c>
      <c r="N195" s="152">
        <f t="shared" si="20"/>
        <v>138222.39636201155</v>
      </c>
      <c r="O195" s="152">
        <f t="shared" si="21"/>
        <v>1896480.054362013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3749</v>
      </c>
      <c r="I196" s="152"/>
      <c r="J196" s="157"/>
      <c r="K196" s="157">
        <v>5800361507</v>
      </c>
      <c r="L196" s="227">
        <v>79641.217000000004</v>
      </c>
      <c r="M196" s="157" t="s">
        <v>4082</v>
      </c>
      <c r="N196" s="152">
        <f t="shared" si="20"/>
        <v>58581.17936201155</v>
      </c>
      <c r="O196" s="152">
        <f t="shared" si="21"/>
        <v>1816838.8373620131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3749</v>
      </c>
      <c r="I197" s="152"/>
      <c r="J197" s="157"/>
      <c r="K197" s="157">
        <v>5800361507</v>
      </c>
      <c r="L197" s="227">
        <v>12181.294</v>
      </c>
      <c r="M197" s="157" t="s">
        <v>4082</v>
      </c>
      <c r="N197" s="152">
        <f t="shared" si="20"/>
        <v>46399.885362011548</v>
      </c>
      <c r="O197" s="152">
        <f t="shared" si="21"/>
        <v>1804657.5433620131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3749</v>
      </c>
      <c r="I198" s="152"/>
      <c r="J198" s="157"/>
      <c r="K198" s="157">
        <v>5800361507</v>
      </c>
      <c r="L198" s="227">
        <v>15127.397000000001</v>
      </c>
      <c r="M198" s="157" t="s">
        <v>4082</v>
      </c>
      <c r="N198" s="152">
        <f t="shared" si="20"/>
        <v>31272.488362011547</v>
      </c>
      <c r="O198" s="152">
        <f t="shared" si="21"/>
        <v>1789530.146362013</v>
      </c>
    </row>
    <row r="199" spans="1:15" x14ac:dyDescent="0.15">
      <c r="A199" s="154"/>
      <c r="B199" s="151"/>
      <c r="C199" s="152"/>
      <c r="D199" s="323" t="s">
        <v>3768</v>
      </c>
      <c r="E199" s="154" t="s">
        <v>72</v>
      </c>
      <c r="F199" s="157" t="s">
        <v>4089</v>
      </c>
      <c r="G199" s="152">
        <v>131880.66600000189</v>
      </c>
      <c r="H199" s="323" t="s">
        <v>3768</v>
      </c>
      <c r="I199" s="152">
        <v>17704.208999999999</v>
      </c>
      <c r="J199" s="157" t="s">
        <v>4082</v>
      </c>
      <c r="K199" s="157">
        <v>5800361507</v>
      </c>
      <c r="L199" s="227">
        <v>13568.279362011548</v>
      </c>
      <c r="M199" s="157" t="s">
        <v>4082</v>
      </c>
      <c r="N199" s="152">
        <f t="shared" si="20"/>
        <v>0</v>
      </c>
      <c r="O199" s="152">
        <f t="shared" si="21"/>
        <v>1890138.3240000033</v>
      </c>
    </row>
    <row r="200" spans="1:15" x14ac:dyDescent="0.15">
      <c r="A200" s="154"/>
      <c r="B200" s="151"/>
      <c r="C200" s="152"/>
      <c r="D200" s="323" t="s">
        <v>3768</v>
      </c>
      <c r="E200" s="154" t="s">
        <v>72</v>
      </c>
      <c r="F200" s="157" t="s">
        <v>4090</v>
      </c>
      <c r="G200" s="152">
        <v>43941.998999998097</v>
      </c>
      <c r="H200" s="323" t="s">
        <v>3768</v>
      </c>
      <c r="I200" s="152"/>
      <c r="J200" s="157"/>
      <c r="K200" s="157">
        <v>5800361507</v>
      </c>
      <c r="L200" s="227">
        <v>791.99663798845199</v>
      </c>
      <c r="M200" s="157" t="s">
        <v>4083</v>
      </c>
      <c r="N200" s="152">
        <f>G84+N199-I200-L200</f>
        <v>175096.66436201154</v>
      </c>
      <c r="O200" s="152">
        <f t="shared" ref="O200:O204" si="26">O199+G200-I200-L200</f>
        <v>1933288.3263620131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3768</v>
      </c>
      <c r="I201" s="152"/>
      <c r="J201" s="157"/>
      <c r="K201" s="157">
        <v>5800361507</v>
      </c>
      <c r="L201" s="227">
        <v>17684.960999999999</v>
      </c>
      <c r="M201" s="157" t="s">
        <v>4083</v>
      </c>
      <c r="N201" s="152">
        <f t="shared" ref="N201:N204" si="27">+N200-I201-L201</f>
        <v>157411.70336201153</v>
      </c>
      <c r="O201" s="152">
        <f t="shared" si="26"/>
        <v>1915603.3653620132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3768</v>
      </c>
      <c r="I202" s="152"/>
      <c r="J202" s="157"/>
      <c r="K202" s="157">
        <v>5800361507</v>
      </c>
      <c r="L202" s="227">
        <v>6308.1959999999999</v>
      </c>
      <c r="M202" s="157" t="s">
        <v>4083</v>
      </c>
      <c r="N202" s="152">
        <f t="shared" si="27"/>
        <v>151103.50736201153</v>
      </c>
      <c r="O202" s="152">
        <f t="shared" si="26"/>
        <v>1909295.1693620132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3768</v>
      </c>
      <c r="I203" s="152"/>
      <c r="J203" s="157"/>
      <c r="K203" s="157">
        <v>5800361507</v>
      </c>
      <c r="L203" s="227">
        <v>11916.038</v>
      </c>
      <c r="M203" s="157" t="s">
        <v>4083</v>
      </c>
      <c r="N203" s="152">
        <f t="shared" si="27"/>
        <v>139187.46936201153</v>
      </c>
      <c r="O203" s="152">
        <f t="shared" si="26"/>
        <v>1897379.1313620133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3768</v>
      </c>
      <c r="I204" s="152"/>
      <c r="J204" s="157"/>
      <c r="K204" s="157">
        <v>5800361507</v>
      </c>
      <c r="L204" s="227">
        <v>15748.98</v>
      </c>
      <c r="M204" s="157" t="s">
        <v>4083</v>
      </c>
      <c r="N204" s="152">
        <f t="shared" si="27"/>
        <v>123438.48936201153</v>
      </c>
      <c r="O204" s="152">
        <f t="shared" si="26"/>
        <v>1881630.1513620133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3768</v>
      </c>
      <c r="I205" s="152"/>
      <c r="J205" s="157"/>
      <c r="K205" s="157">
        <v>5800361507</v>
      </c>
      <c r="L205" s="227">
        <v>13470.825999999999</v>
      </c>
      <c r="M205" s="157" t="s">
        <v>4083</v>
      </c>
      <c r="N205" s="152">
        <f t="shared" si="20"/>
        <v>109967.66336201153</v>
      </c>
      <c r="O205" s="152">
        <f t="shared" si="21"/>
        <v>1868159.3253620134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3768</v>
      </c>
      <c r="I206" s="152"/>
      <c r="J206" s="157"/>
      <c r="K206" s="157">
        <v>5800361507</v>
      </c>
      <c r="L206" s="227">
        <v>9785.0229999999992</v>
      </c>
      <c r="M206" s="157" t="s">
        <v>4083</v>
      </c>
      <c r="N206" s="152">
        <f t="shared" si="20"/>
        <v>100182.64036201153</v>
      </c>
      <c r="O206" s="152">
        <f t="shared" si="21"/>
        <v>1858374.3023620134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3768</v>
      </c>
      <c r="I207" s="152"/>
      <c r="J207" s="157"/>
      <c r="K207" s="157">
        <v>5800361507</v>
      </c>
      <c r="L207" s="227">
        <v>12332.248</v>
      </c>
      <c r="M207" s="157" t="s">
        <v>4083</v>
      </c>
      <c r="N207" s="152">
        <f t="shared" si="20"/>
        <v>87850.392362011538</v>
      </c>
      <c r="O207" s="152">
        <f t="shared" si="21"/>
        <v>1846042.0543620135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3768</v>
      </c>
      <c r="I208" s="152"/>
      <c r="J208" s="157"/>
      <c r="K208" s="157">
        <v>5800361507</v>
      </c>
      <c r="L208" s="227">
        <v>4526.6229999999996</v>
      </c>
      <c r="M208" s="157" t="s">
        <v>4083</v>
      </c>
      <c r="N208" s="152">
        <f t="shared" si="20"/>
        <v>83323.769362011546</v>
      </c>
      <c r="O208" s="152">
        <f t="shared" si="21"/>
        <v>1841515.4313620136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3768</v>
      </c>
      <c r="I209" s="152"/>
      <c r="J209" s="157"/>
      <c r="K209" s="157">
        <v>5800361507</v>
      </c>
      <c r="L209" s="227">
        <v>11300.562</v>
      </c>
      <c r="M209" s="157" t="s">
        <v>4083</v>
      </c>
      <c r="N209" s="152">
        <f t="shared" si="20"/>
        <v>72023.207362011541</v>
      </c>
      <c r="O209" s="152">
        <f t="shared" si="21"/>
        <v>1830214.8693620136</v>
      </c>
    </row>
    <row r="210" spans="1:15" x14ac:dyDescent="0.15">
      <c r="A210" s="154"/>
      <c r="B210" s="151"/>
      <c r="C210" s="152"/>
      <c r="D210" s="323" t="s">
        <v>3782</v>
      </c>
      <c r="E210" s="154" t="s">
        <v>72</v>
      </c>
      <c r="F210" s="157" t="s">
        <v>4090</v>
      </c>
      <c r="G210" s="152">
        <v>131833.3690000019</v>
      </c>
      <c r="H210" s="323" t="s">
        <v>3782</v>
      </c>
      <c r="I210" s="152">
        <v>15893.325000000001</v>
      </c>
      <c r="J210" s="157" t="s">
        <v>4083</v>
      </c>
      <c r="K210" s="157">
        <v>5800361507</v>
      </c>
      <c r="L210" s="227">
        <v>15165.683999999999</v>
      </c>
      <c r="M210" s="157" t="s">
        <v>4083</v>
      </c>
      <c r="N210" s="152">
        <f t="shared" si="20"/>
        <v>40964.198362011542</v>
      </c>
      <c r="O210" s="152">
        <f t="shared" si="21"/>
        <v>1930989.2293620156</v>
      </c>
    </row>
    <row r="211" spans="1:15" x14ac:dyDescent="0.15">
      <c r="A211" s="154"/>
      <c r="B211" s="151"/>
      <c r="C211" s="152"/>
      <c r="D211" s="323" t="s">
        <v>3782</v>
      </c>
      <c r="E211" s="154" t="s">
        <v>72</v>
      </c>
      <c r="F211" s="157" t="s">
        <v>4091</v>
      </c>
      <c r="G211" s="152">
        <v>43957.006999998099</v>
      </c>
      <c r="H211" s="323" t="s">
        <v>3782</v>
      </c>
      <c r="I211" s="152"/>
      <c r="J211" s="157"/>
      <c r="K211" s="157">
        <v>5800361507</v>
      </c>
      <c r="L211" s="227">
        <v>16194.205</v>
      </c>
      <c r="M211" s="157" t="s">
        <v>4083</v>
      </c>
      <c r="N211" s="152">
        <f t="shared" si="20"/>
        <v>24769.993362011541</v>
      </c>
      <c r="O211" s="152">
        <f t="shared" si="21"/>
        <v>1958752.0313620137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3782</v>
      </c>
      <c r="I212" s="152"/>
      <c r="J212" s="157"/>
      <c r="K212" s="157">
        <v>5800361507</v>
      </c>
      <c r="L212" s="227">
        <v>14055.121999999999</v>
      </c>
      <c r="M212" s="157" t="s">
        <v>4083</v>
      </c>
      <c r="N212" s="152">
        <f t="shared" ref="N212:N280" si="28">+N211-I212-L212</f>
        <v>10714.871362011541</v>
      </c>
      <c r="O212" s="152">
        <f t="shared" ref="O212:O280" si="29">O211+G212-I212-L212</f>
        <v>1944696.9093620137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3782</v>
      </c>
      <c r="I213" s="152"/>
      <c r="J213" s="157"/>
      <c r="K213" s="157">
        <v>5800361507</v>
      </c>
      <c r="L213" s="227">
        <v>7092.5940000000001</v>
      </c>
      <c r="M213" s="157" t="s">
        <v>4083</v>
      </c>
      <c r="N213" s="152">
        <f t="shared" si="28"/>
        <v>3622.2773620115413</v>
      </c>
      <c r="O213" s="152">
        <f t="shared" si="29"/>
        <v>1937604.3153620136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3782</v>
      </c>
      <c r="I214" s="152"/>
      <c r="J214" s="157"/>
      <c r="K214" s="157">
        <v>5800361507</v>
      </c>
      <c r="L214" s="227">
        <v>3622.2773620115413</v>
      </c>
      <c r="M214" s="157" t="s">
        <v>4083</v>
      </c>
      <c r="N214" s="152">
        <f t="shared" si="28"/>
        <v>0</v>
      </c>
      <c r="O214" s="152">
        <f t="shared" si="29"/>
        <v>1933982.038000002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3782</v>
      </c>
      <c r="I215" s="152"/>
      <c r="J215" s="157"/>
      <c r="K215" s="157">
        <v>5800362597</v>
      </c>
      <c r="L215" s="227">
        <v>11356.3126379885</v>
      </c>
      <c r="M215" s="157" t="s">
        <v>4084</v>
      </c>
      <c r="N215" s="152">
        <f>G91+N214-I215-L215</f>
        <v>164477.57936201149</v>
      </c>
      <c r="O215" s="152">
        <f t="shared" ref="O215:O218" si="30">O214+G215-I215-L215</f>
        <v>1922625.7253620136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3782</v>
      </c>
      <c r="I216" s="152"/>
      <c r="J216" s="157"/>
      <c r="K216" s="157">
        <v>5800362597</v>
      </c>
      <c r="L216" s="227">
        <v>9313.7189999999991</v>
      </c>
      <c r="M216" s="157" t="s">
        <v>4084</v>
      </c>
      <c r="N216" s="152">
        <f t="shared" ref="N216:N218" si="31">+N215-I216-L216</f>
        <v>155163.86036201147</v>
      </c>
      <c r="O216" s="152">
        <f t="shared" si="30"/>
        <v>1913312.0063620135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3782</v>
      </c>
      <c r="I217" s="152"/>
      <c r="J217" s="157"/>
      <c r="K217" s="157">
        <v>5800362597</v>
      </c>
      <c r="L217" s="227">
        <v>13919.527</v>
      </c>
      <c r="M217" s="157" t="s">
        <v>4084</v>
      </c>
      <c r="N217" s="152">
        <f t="shared" si="31"/>
        <v>141244.33336201147</v>
      </c>
      <c r="O217" s="152">
        <f t="shared" si="30"/>
        <v>1899392.4793620135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3782</v>
      </c>
      <c r="I218" s="152"/>
      <c r="J218" s="157"/>
      <c r="K218" s="157">
        <v>5800362597</v>
      </c>
      <c r="L218" s="227">
        <v>591.64</v>
      </c>
      <c r="M218" s="157" t="s">
        <v>4084</v>
      </c>
      <c r="N218" s="152">
        <f t="shared" si="31"/>
        <v>140652.69336201146</v>
      </c>
      <c r="O218" s="152">
        <f t="shared" si="30"/>
        <v>1898800.8393620136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3782</v>
      </c>
      <c r="I219" s="152"/>
      <c r="J219" s="157"/>
      <c r="K219" s="157">
        <v>5800362597</v>
      </c>
      <c r="L219" s="227">
        <v>15001.868</v>
      </c>
      <c r="M219" s="157" t="s">
        <v>4084</v>
      </c>
      <c r="N219" s="152">
        <f t="shared" si="28"/>
        <v>125650.82536201146</v>
      </c>
      <c r="O219" s="152">
        <f t="shared" si="29"/>
        <v>1883798.9713620136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3782</v>
      </c>
      <c r="I220" s="152"/>
      <c r="J220" s="157"/>
      <c r="K220" s="157">
        <v>5800362597</v>
      </c>
      <c r="L220" s="227">
        <v>4467.2809999999999</v>
      </c>
      <c r="M220" s="157" t="s">
        <v>4084</v>
      </c>
      <c r="N220" s="152">
        <f t="shared" si="28"/>
        <v>121183.54436201145</v>
      </c>
      <c r="O220" s="152">
        <f t="shared" si="29"/>
        <v>1879331.6903620136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3782</v>
      </c>
      <c r="I221" s="152"/>
      <c r="J221" s="157"/>
      <c r="K221" s="157">
        <v>5800362597</v>
      </c>
      <c r="L221" s="227">
        <v>12225.558000000001</v>
      </c>
      <c r="M221" s="157" t="s">
        <v>4084</v>
      </c>
      <c r="N221" s="152">
        <f t="shared" si="28"/>
        <v>108957.98636201145</v>
      </c>
      <c r="O221" s="152">
        <f t="shared" si="29"/>
        <v>1867106.1323620137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3797</v>
      </c>
      <c r="I222" s="152">
        <v>19983.902999999998</v>
      </c>
      <c r="J222" s="157" t="s">
        <v>4084</v>
      </c>
      <c r="K222" s="157">
        <v>5800362597</v>
      </c>
      <c r="L222" s="227">
        <v>39099.963000000003</v>
      </c>
      <c r="M222" s="157" t="s">
        <v>4084</v>
      </c>
      <c r="N222" s="152">
        <f t="shared" si="28"/>
        <v>49874.120362011439</v>
      </c>
      <c r="O222" s="152">
        <f t="shared" si="29"/>
        <v>1808022.2663620138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3797</v>
      </c>
      <c r="I223" s="152"/>
      <c r="J223" s="157"/>
      <c r="K223" s="157">
        <v>5800362597</v>
      </c>
      <c r="L223" s="227">
        <v>14100.429</v>
      </c>
      <c r="M223" s="157" t="s">
        <v>4084</v>
      </c>
      <c r="N223" s="152">
        <f t="shared" si="28"/>
        <v>35773.691362011436</v>
      </c>
      <c r="O223" s="152">
        <f t="shared" si="29"/>
        <v>1793921.8373620138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3797</v>
      </c>
      <c r="I224" s="152"/>
      <c r="J224" s="157"/>
      <c r="K224" s="157">
        <v>5800362597</v>
      </c>
      <c r="L224" s="227">
        <v>12281.245000000001</v>
      </c>
      <c r="M224" s="157" t="s">
        <v>4084</v>
      </c>
      <c r="N224" s="152">
        <f t="shared" si="28"/>
        <v>23492.446362011433</v>
      </c>
      <c r="O224" s="152">
        <f t="shared" si="29"/>
        <v>1781640.5923620136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3797</v>
      </c>
      <c r="I225" s="152"/>
      <c r="J225" s="157"/>
      <c r="K225" s="157">
        <v>5800362597</v>
      </c>
      <c r="L225" s="227">
        <v>17701.794000000002</v>
      </c>
      <c r="M225" s="157" t="s">
        <v>4084</v>
      </c>
      <c r="N225" s="152">
        <f t="shared" ref="N225:N232" si="32">+N224-I225-L225</f>
        <v>5790.6523620114313</v>
      </c>
      <c r="O225" s="152">
        <f t="shared" ref="O225:O232" si="33">O224+G225-I225-L225</f>
        <v>1763938.7983620137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3797</v>
      </c>
      <c r="I226" s="152"/>
      <c r="J226" s="157"/>
      <c r="K226" s="157">
        <v>5800362597</v>
      </c>
      <c r="L226" s="227">
        <v>5790.6523620114313</v>
      </c>
      <c r="M226" s="157" t="s">
        <v>4084</v>
      </c>
      <c r="N226" s="152">
        <f t="shared" si="32"/>
        <v>0</v>
      </c>
      <c r="O226" s="152">
        <f t="shared" si="33"/>
        <v>1758148.1460000023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3797</v>
      </c>
      <c r="I227" s="152"/>
      <c r="J227" s="157"/>
      <c r="K227" s="157">
        <v>5800362597</v>
      </c>
      <c r="L227" s="227">
        <v>881.02363798856902</v>
      </c>
      <c r="M227" s="157" t="s">
        <v>4085</v>
      </c>
      <c r="N227" s="152">
        <f>G99+G109+N226-I227-L227</f>
        <v>350849.40736201149</v>
      </c>
      <c r="O227" s="152">
        <f t="shared" si="33"/>
        <v>1757267.1223620137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3797</v>
      </c>
      <c r="I228" s="152"/>
      <c r="J228" s="157"/>
      <c r="K228" s="157">
        <v>5800362597</v>
      </c>
      <c r="L228" s="227">
        <v>15806.602000000001</v>
      </c>
      <c r="M228" s="157" t="s">
        <v>4085</v>
      </c>
      <c r="N228" s="152">
        <f t="shared" si="32"/>
        <v>335042.80536201148</v>
      </c>
      <c r="O228" s="152">
        <f t="shared" si="33"/>
        <v>1741460.5203620137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3797</v>
      </c>
      <c r="I229" s="152"/>
      <c r="J229" s="157"/>
      <c r="K229" s="157">
        <v>5800362597</v>
      </c>
      <c r="L229" s="227">
        <v>64058.493000000002</v>
      </c>
      <c r="M229" s="157" t="s">
        <v>4085</v>
      </c>
      <c r="N229" s="152">
        <f t="shared" si="32"/>
        <v>270984.31236201146</v>
      </c>
      <c r="O229" s="152">
        <f t="shared" si="33"/>
        <v>1677402.0273620137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3797</v>
      </c>
      <c r="I230" s="152"/>
      <c r="J230" s="157"/>
      <c r="K230" s="157">
        <v>5800362597</v>
      </c>
      <c r="L230" s="227">
        <v>71909.289000000004</v>
      </c>
      <c r="M230" s="157" t="s">
        <v>4085</v>
      </c>
      <c r="N230" s="152">
        <f t="shared" si="32"/>
        <v>199075.02336201147</v>
      </c>
      <c r="O230" s="152">
        <f t="shared" si="33"/>
        <v>1605492.7383620136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3797</v>
      </c>
      <c r="I231" s="152"/>
      <c r="J231" s="157"/>
      <c r="K231" s="157">
        <v>5800362597</v>
      </c>
      <c r="L231" s="227">
        <v>1873.24</v>
      </c>
      <c r="M231" s="157" t="s">
        <v>4085</v>
      </c>
      <c r="N231" s="152">
        <f t="shared" si="32"/>
        <v>197201.78336201148</v>
      </c>
      <c r="O231" s="152">
        <f t="shared" si="33"/>
        <v>1603619.4983620136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3797</v>
      </c>
      <c r="I232" s="152"/>
      <c r="J232" s="157"/>
      <c r="K232" s="157">
        <v>5800362597</v>
      </c>
      <c r="L232" s="227">
        <v>6184.491</v>
      </c>
      <c r="M232" s="157" t="s">
        <v>4085</v>
      </c>
      <c r="N232" s="152">
        <f t="shared" si="32"/>
        <v>191017.29236201147</v>
      </c>
      <c r="O232" s="152">
        <f t="shared" si="33"/>
        <v>1597435.0073620137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3797</v>
      </c>
      <c r="I233" s="152"/>
      <c r="J233" s="157"/>
      <c r="K233" s="157">
        <v>5800362597</v>
      </c>
      <c r="L233" s="227">
        <v>13941.343999999999</v>
      </c>
      <c r="M233" s="157" t="s">
        <v>4085</v>
      </c>
      <c r="N233" s="152">
        <f t="shared" si="28"/>
        <v>177075.94836201146</v>
      </c>
      <c r="O233" s="152">
        <f t="shared" si="29"/>
        <v>1583493.6633620136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3797</v>
      </c>
      <c r="I234" s="152"/>
      <c r="J234" s="157"/>
      <c r="K234" s="157">
        <v>5800362597</v>
      </c>
      <c r="L234" s="227">
        <v>5827.6360000000004</v>
      </c>
      <c r="M234" s="157" t="s">
        <v>4085</v>
      </c>
      <c r="N234" s="152">
        <f t="shared" si="28"/>
        <v>171248.31236201146</v>
      </c>
      <c r="O234" s="152">
        <f t="shared" si="29"/>
        <v>1577666.0273620137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3797</v>
      </c>
      <c r="I235" s="152"/>
      <c r="J235" s="157"/>
      <c r="K235" s="157">
        <v>5800362597</v>
      </c>
      <c r="L235" s="227">
        <v>14296.2</v>
      </c>
      <c r="M235" s="157" t="s">
        <v>4085</v>
      </c>
      <c r="N235" s="152">
        <f t="shared" si="28"/>
        <v>156952.11236201145</v>
      </c>
      <c r="O235" s="152">
        <f t="shared" si="29"/>
        <v>1563369.8273620137</v>
      </c>
    </row>
    <row r="236" spans="1:15" x14ac:dyDescent="0.15">
      <c r="A236" s="154"/>
      <c r="B236" s="151"/>
      <c r="C236" s="152"/>
      <c r="D236" s="323" t="s">
        <v>3813</v>
      </c>
      <c r="E236" s="154" t="s">
        <v>72</v>
      </c>
      <c r="F236" s="157" t="s">
        <v>4091</v>
      </c>
      <c r="G236" s="152">
        <v>175753.81</v>
      </c>
      <c r="H236" s="323" t="s">
        <v>3813</v>
      </c>
      <c r="I236" s="152">
        <v>14373.71</v>
      </c>
      <c r="J236" s="157" t="s">
        <v>4085</v>
      </c>
      <c r="K236" s="157">
        <v>5800362597</v>
      </c>
      <c r="L236" s="227">
        <v>15737.018</v>
      </c>
      <c r="M236" s="157" t="s">
        <v>4085</v>
      </c>
      <c r="N236" s="152">
        <f t="shared" si="28"/>
        <v>126841.38436201146</v>
      </c>
      <c r="O236" s="152">
        <f t="shared" si="29"/>
        <v>1709012.9093620139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3813</v>
      </c>
      <c r="I237" s="152"/>
      <c r="J237" s="157"/>
      <c r="K237" s="157">
        <v>5800362597</v>
      </c>
      <c r="L237" s="227">
        <v>14846.47</v>
      </c>
      <c r="M237" s="157" t="s">
        <v>4085</v>
      </c>
      <c r="N237" s="152">
        <f t="shared" si="28"/>
        <v>111994.91436201146</v>
      </c>
      <c r="O237" s="152">
        <f t="shared" si="29"/>
        <v>1694166.4393620139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3813</v>
      </c>
      <c r="I238" s="152"/>
      <c r="J238" s="157"/>
      <c r="K238" s="157">
        <v>5800362597</v>
      </c>
      <c r="L238" s="227">
        <v>12840.486999999999</v>
      </c>
      <c r="M238" s="157" t="s">
        <v>4085</v>
      </c>
      <c r="N238" s="152">
        <f t="shared" si="28"/>
        <v>99154.427362011469</v>
      </c>
      <c r="O238" s="152">
        <f t="shared" si="29"/>
        <v>1681325.952362014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3813</v>
      </c>
      <c r="I239" s="152"/>
      <c r="J239" s="157"/>
      <c r="K239" s="157">
        <v>5800362597</v>
      </c>
      <c r="L239" s="227">
        <v>12786.514999999999</v>
      </c>
      <c r="M239" s="157" t="s">
        <v>4085</v>
      </c>
      <c r="N239" s="152">
        <f t="shared" si="28"/>
        <v>86367.91236201147</v>
      </c>
      <c r="O239" s="152">
        <f t="shared" si="29"/>
        <v>1668539.4373620141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3813</v>
      </c>
      <c r="I240" s="152"/>
      <c r="J240" s="157"/>
      <c r="K240" s="157">
        <v>5800362597</v>
      </c>
      <c r="L240" s="227">
        <v>6800.5510000000004</v>
      </c>
      <c r="M240" s="157" t="s">
        <v>4085</v>
      </c>
      <c r="N240" s="152">
        <f t="shared" si="28"/>
        <v>79567.361362011463</v>
      </c>
      <c r="O240" s="152">
        <f t="shared" si="29"/>
        <v>1661738.8863620141</v>
      </c>
    </row>
    <row r="241" spans="1:15" x14ac:dyDescent="0.15">
      <c r="A241" s="154"/>
      <c r="B241" s="151"/>
      <c r="C241" s="152"/>
      <c r="D241" s="323"/>
      <c r="E241" s="154"/>
      <c r="F241" s="157"/>
      <c r="G241" s="152"/>
      <c r="H241" s="323" t="s">
        <v>3813</v>
      </c>
      <c r="I241" s="152"/>
      <c r="J241" s="157"/>
      <c r="K241" s="157">
        <v>5800362597</v>
      </c>
      <c r="L241" s="227">
        <v>927.53</v>
      </c>
      <c r="M241" s="157" t="s">
        <v>4085</v>
      </c>
      <c r="N241" s="152">
        <f t="shared" si="28"/>
        <v>78639.831362011464</v>
      </c>
      <c r="O241" s="152">
        <f t="shared" si="29"/>
        <v>1660811.3563620141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3813</v>
      </c>
      <c r="I242" s="152"/>
      <c r="J242" s="157"/>
      <c r="K242" s="157">
        <v>5800362597</v>
      </c>
      <c r="L242" s="227">
        <v>12090.868</v>
      </c>
      <c r="M242" s="157" t="s">
        <v>4085</v>
      </c>
      <c r="N242" s="152">
        <f t="shared" si="28"/>
        <v>66548.963362011462</v>
      </c>
      <c r="O242" s="152">
        <f t="shared" si="29"/>
        <v>1648720.4883620141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3813</v>
      </c>
      <c r="I243" s="152"/>
      <c r="J243" s="157"/>
      <c r="K243" s="157">
        <v>5800362597</v>
      </c>
      <c r="L243" s="227">
        <v>17864.938999999998</v>
      </c>
      <c r="M243" s="157" t="s">
        <v>4085</v>
      </c>
      <c r="N243" s="152">
        <f t="shared" si="28"/>
        <v>48684.024362011463</v>
      </c>
      <c r="O243" s="152">
        <f t="shared" si="29"/>
        <v>1630855.549362014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3813</v>
      </c>
      <c r="I244" s="152"/>
      <c r="J244" s="157"/>
      <c r="K244" s="157">
        <v>5800362597</v>
      </c>
      <c r="L244" s="227">
        <v>4920.5039999999999</v>
      </c>
      <c r="M244" s="157" t="s">
        <v>4085</v>
      </c>
      <c r="N244" s="152">
        <f t="shared" si="28"/>
        <v>43763.520362011463</v>
      </c>
      <c r="O244" s="152">
        <f t="shared" si="29"/>
        <v>1625935.0453620141</v>
      </c>
    </row>
    <row r="245" spans="1:15" x14ac:dyDescent="0.15">
      <c r="A245" s="154"/>
      <c r="B245" s="151"/>
      <c r="C245" s="152"/>
      <c r="D245" s="323" t="s">
        <v>3826</v>
      </c>
      <c r="E245" s="154" t="s">
        <v>72</v>
      </c>
      <c r="F245" s="157" t="s">
        <v>4092</v>
      </c>
      <c r="G245" s="152">
        <v>131852.285</v>
      </c>
      <c r="H245" s="323" t="s">
        <v>3826</v>
      </c>
      <c r="I245" s="152">
        <v>8379.244999999999</v>
      </c>
      <c r="J245" s="157" t="s">
        <v>4085</v>
      </c>
      <c r="K245" s="157">
        <v>5800362597</v>
      </c>
      <c r="L245" s="227">
        <v>14021.102999999999</v>
      </c>
      <c r="M245" s="157" t="s">
        <v>4085</v>
      </c>
      <c r="N245" s="152">
        <f t="shared" si="28"/>
        <v>21363.172362011468</v>
      </c>
      <c r="O245" s="152">
        <f t="shared" si="29"/>
        <v>1735386.982362014</v>
      </c>
    </row>
    <row r="246" spans="1:15" x14ac:dyDescent="0.15">
      <c r="A246" s="154"/>
      <c r="B246" s="151"/>
      <c r="C246" s="152"/>
      <c r="D246" s="323" t="s">
        <v>3826</v>
      </c>
      <c r="E246" s="154" t="s">
        <v>72</v>
      </c>
      <c r="F246" s="157" t="s">
        <v>4093</v>
      </c>
      <c r="G246" s="152">
        <v>44002.290999998098</v>
      </c>
      <c r="H246" s="323" t="s">
        <v>3826</v>
      </c>
      <c r="I246" s="152"/>
      <c r="J246" s="157"/>
      <c r="K246" s="157">
        <v>5800362597</v>
      </c>
      <c r="L246" s="227">
        <v>13163.669</v>
      </c>
      <c r="M246" s="157" t="s">
        <v>4085</v>
      </c>
      <c r="N246" s="152">
        <f t="shared" si="28"/>
        <v>8199.5033620114682</v>
      </c>
      <c r="O246" s="152">
        <f t="shared" si="29"/>
        <v>1766225.6043620121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3826</v>
      </c>
      <c r="I247" s="152"/>
      <c r="J247" s="157"/>
      <c r="K247" s="157">
        <v>5800362597</v>
      </c>
      <c r="L247" s="227">
        <v>8199.5033620114682</v>
      </c>
      <c r="M247" s="157" t="s">
        <v>4085</v>
      </c>
      <c r="N247" s="152">
        <f t="shared" si="28"/>
        <v>0</v>
      </c>
      <c r="O247" s="152">
        <f t="shared" si="29"/>
        <v>1758026.1010000007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3826</v>
      </c>
      <c r="I248" s="152"/>
      <c r="J248" s="157"/>
      <c r="K248" s="157">
        <v>5800361507</v>
      </c>
      <c r="L248" s="227">
        <v>4741.0526379885296</v>
      </c>
      <c r="M248" s="157" t="s">
        <v>4099</v>
      </c>
      <c r="N248" s="152">
        <f>G120+N247-I248-L248</f>
        <v>127221.93636201147</v>
      </c>
      <c r="O248" s="152">
        <f t="shared" ref="O248:O251" si="34">O247+G248-I248-L248</f>
        <v>1753285.0483620123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3826</v>
      </c>
      <c r="I249" s="152"/>
      <c r="J249" s="157"/>
      <c r="K249" s="157">
        <v>5800361507</v>
      </c>
      <c r="L249" s="227">
        <v>13922.053</v>
      </c>
      <c r="M249" s="157" t="s">
        <v>4099</v>
      </c>
      <c r="N249" s="152">
        <f t="shared" ref="N249:N251" si="35">+N248-I249-L249</f>
        <v>113299.88336201147</v>
      </c>
      <c r="O249" s="152">
        <f t="shared" si="34"/>
        <v>1739362.9953620122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3826</v>
      </c>
      <c r="I250" s="152"/>
      <c r="J250" s="157"/>
      <c r="K250" s="157">
        <v>5800361507</v>
      </c>
      <c r="L250" s="227">
        <v>17093.659</v>
      </c>
      <c r="M250" s="157" t="s">
        <v>4099</v>
      </c>
      <c r="N250" s="152">
        <f t="shared" si="35"/>
        <v>96206.224362011475</v>
      </c>
      <c r="O250" s="152">
        <f t="shared" si="34"/>
        <v>1722269.3363620122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3826</v>
      </c>
      <c r="I251" s="152"/>
      <c r="J251" s="157"/>
      <c r="K251" s="157">
        <v>5800361507</v>
      </c>
      <c r="L251" s="227">
        <v>6036.058</v>
      </c>
      <c r="M251" s="157" t="s">
        <v>4099</v>
      </c>
      <c r="N251" s="152">
        <f t="shared" si="35"/>
        <v>90170.16636201147</v>
      </c>
      <c r="O251" s="152">
        <f t="shared" si="34"/>
        <v>1716233.2783620122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3826</v>
      </c>
      <c r="I252" s="152"/>
      <c r="J252" s="157"/>
      <c r="K252" s="157">
        <v>5800361507</v>
      </c>
      <c r="L252" s="227">
        <v>11335.743</v>
      </c>
      <c r="M252" s="157" t="s">
        <v>4099</v>
      </c>
      <c r="N252" s="152">
        <f t="shared" si="28"/>
        <v>78834.423362011468</v>
      </c>
      <c r="O252" s="152">
        <f t="shared" si="29"/>
        <v>1704897.5353620122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3826</v>
      </c>
      <c r="I253" s="152"/>
      <c r="J253" s="157"/>
      <c r="K253" s="157">
        <v>5800361507</v>
      </c>
      <c r="L253" s="227">
        <v>15703.955</v>
      </c>
      <c r="M253" s="157" t="s">
        <v>4099</v>
      </c>
      <c r="N253" s="152">
        <f t="shared" si="28"/>
        <v>63130.468362011467</v>
      </c>
      <c r="O253" s="152">
        <f t="shared" si="29"/>
        <v>1689193.5803620121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3826</v>
      </c>
      <c r="I254" s="152"/>
      <c r="J254" s="154"/>
      <c r="K254" s="157">
        <v>5800361507</v>
      </c>
      <c r="L254" s="227">
        <v>15246.09</v>
      </c>
      <c r="M254" s="157" t="s">
        <v>4099</v>
      </c>
      <c r="N254" s="152">
        <f t="shared" ref="N254:N263" si="36">+N253-I254-L254</f>
        <v>47884.37836201147</v>
      </c>
      <c r="O254" s="152">
        <f t="shared" ref="O254:O263" si="37">O253+G254-I254-L254</f>
        <v>1673947.4903620121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3826</v>
      </c>
      <c r="I255" s="152"/>
      <c r="J255" s="157"/>
      <c r="K255" s="157">
        <v>5800361507</v>
      </c>
      <c r="L255" s="227">
        <v>16514.347000000002</v>
      </c>
      <c r="M255" s="157" t="s">
        <v>4099</v>
      </c>
      <c r="N255" s="152">
        <f t="shared" si="36"/>
        <v>31370.031362011468</v>
      </c>
      <c r="O255" s="152">
        <f t="shared" si="37"/>
        <v>1657433.143362012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3826</v>
      </c>
      <c r="I256" s="152"/>
      <c r="J256" s="157"/>
      <c r="K256" s="157">
        <v>5800361507</v>
      </c>
      <c r="L256" s="227">
        <v>2254.4569999999999</v>
      </c>
      <c r="M256" s="157" t="s">
        <v>4099</v>
      </c>
      <c r="N256" s="152">
        <f t="shared" si="36"/>
        <v>29115.57436201147</v>
      </c>
      <c r="O256" s="152">
        <f t="shared" si="37"/>
        <v>1655178.6863620121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3826</v>
      </c>
      <c r="I257" s="152"/>
      <c r="J257" s="157"/>
      <c r="K257" s="157">
        <v>5800361507</v>
      </c>
      <c r="L257" s="227">
        <v>29115.57436201147</v>
      </c>
      <c r="M257" s="157" t="s">
        <v>4099</v>
      </c>
      <c r="N257" s="152">
        <f t="shared" si="36"/>
        <v>0</v>
      </c>
      <c r="O257" s="152">
        <f t="shared" si="37"/>
        <v>1626063.1120000007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3826</v>
      </c>
      <c r="I258" s="152"/>
      <c r="J258" s="157"/>
      <c r="K258" s="157">
        <v>5800362597</v>
      </c>
      <c r="L258" s="227">
        <v>6402.6246379885297</v>
      </c>
      <c r="M258" s="157" t="s">
        <v>4086</v>
      </c>
      <c r="N258" s="152">
        <f>G121+G131+N257-I258-L258</f>
        <v>213520.39736201096</v>
      </c>
      <c r="O258" s="152">
        <f t="shared" si="37"/>
        <v>1619660.487362012</v>
      </c>
    </row>
    <row r="259" spans="1:15" x14ac:dyDescent="0.15">
      <c r="A259" s="154"/>
      <c r="B259" s="151"/>
      <c r="C259" s="152"/>
      <c r="D259" s="323" t="s">
        <v>3841</v>
      </c>
      <c r="E259" s="154" t="s">
        <v>72</v>
      </c>
      <c r="F259" s="157" t="s">
        <v>4093</v>
      </c>
      <c r="G259" s="152">
        <v>131771.72000000378</v>
      </c>
      <c r="H259" s="323" t="s">
        <v>3841</v>
      </c>
      <c r="I259" s="152">
        <v>6970.991</v>
      </c>
      <c r="J259" s="157" t="s">
        <v>4086</v>
      </c>
      <c r="K259" s="157">
        <v>5800362597</v>
      </c>
      <c r="L259" s="227">
        <v>14586.391</v>
      </c>
      <c r="M259" s="157" t="s">
        <v>4086</v>
      </c>
      <c r="N259" s="152">
        <f t="shared" si="36"/>
        <v>191963.01536201095</v>
      </c>
      <c r="O259" s="152">
        <f t="shared" si="37"/>
        <v>1729874.8253620157</v>
      </c>
    </row>
    <row r="260" spans="1:15" x14ac:dyDescent="0.15">
      <c r="A260" s="154"/>
      <c r="B260" s="151"/>
      <c r="C260" s="152"/>
      <c r="D260" s="323" t="s">
        <v>3841</v>
      </c>
      <c r="E260" s="154" t="s">
        <v>72</v>
      </c>
      <c r="F260" s="157" t="s">
        <v>4094</v>
      </c>
      <c r="G260" s="152">
        <v>43936.539999996203</v>
      </c>
      <c r="H260" s="323" t="s">
        <v>3841</v>
      </c>
      <c r="I260" s="152"/>
      <c r="J260" s="157"/>
      <c r="K260" s="157">
        <v>5800362597</v>
      </c>
      <c r="L260" s="227">
        <v>18092.167000000001</v>
      </c>
      <c r="M260" s="157" t="s">
        <v>4086</v>
      </c>
      <c r="N260" s="152">
        <f t="shared" si="36"/>
        <v>173870.84836201096</v>
      </c>
      <c r="O260" s="152">
        <f t="shared" si="37"/>
        <v>1755719.1983620122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3841</v>
      </c>
      <c r="I261" s="152"/>
      <c r="J261" s="157"/>
      <c r="K261" s="157">
        <v>5800362597</v>
      </c>
      <c r="L261" s="227">
        <v>12121.142</v>
      </c>
      <c r="M261" s="157" t="s">
        <v>4086</v>
      </c>
      <c r="N261" s="152">
        <f t="shared" si="36"/>
        <v>161749.70636201097</v>
      </c>
      <c r="O261" s="152">
        <f t="shared" si="37"/>
        <v>1743598.0563620122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3841</v>
      </c>
      <c r="I262" s="152"/>
      <c r="J262" s="157"/>
      <c r="K262" s="157">
        <v>5800362597</v>
      </c>
      <c r="L262" s="227">
        <v>4953.51</v>
      </c>
      <c r="M262" s="157" t="s">
        <v>4086</v>
      </c>
      <c r="N262" s="152">
        <f t="shared" si="36"/>
        <v>156796.19636201096</v>
      </c>
      <c r="O262" s="152">
        <f t="shared" si="37"/>
        <v>1738644.5463620122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3841</v>
      </c>
      <c r="I263" s="152"/>
      <c r="J263" s="157"/>
      <c r="K263" s="157">
        <v>5800362597</v>
      </c>
      <c r="L263" s="227">
        <v>12406.286</v>
      </c>
      <c r="M263" s="157" t="s">
        <v>4086</v>
      </c>
      <c r="N263" s="152">
        <f t="shared" si="36"/>
        <v>144389.91036201097</v>
      </c>
      <c r="O263" s="152">
        <f t="shared" si="37"/>
        <v>1726238.2603620121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3841</v>
      </c>
      <c r="I264" s="152"/>
      <c r="J264" s="157"/>
      <c r="K264" s="157">
        <v>5800362597</v>
      </c>
      <c r="L264" s="227">
        <v>75228.116999999998</v>
      </c>
      <c r="M264" s="157" t="s">
        <v>4086</v>
      </c>
      <c r="N264" s="152">
        <f t="shared" ref="N264:N270" si="38">+N263-I264-L264</f>
        <v>69161.793362010969</v>
      </c>
      <c r="O264" s="152">
        <f t="shared" ref="O264:O270" si="39">O263+G264-I264-L264</f>
        <v>1651010.143362012</v>
      </c>
    </row>
    <row r="265" spans="1:15" x14ac:dyDescent="0.15">
      <c r="A265" s="154"/>
      <c r="B265" s="151"/>
      <c r="C265" s="152"/>
      <c r="D265" s="323"/>
      <c r="E265" s="154"/>
      <c r="F265" s="157"/>
      <c r="G265" s="152"/>
      <c r="H265" s="323" t="s">
        <v>3841</v>
      </c>
      <c r="I265" s="152"/>
      <c r="J265" s="157"/>
      <c r="K265" s="157">
        <v>5800362597</v>
      </c>
      <c r="L265" s="227">
        <v>69161.793362010969</v>
      </c>
      <c r="M265" s="157" t="s">
        <v>4086</v>
      </c>
      <c r="N265" s="152">
        <f t="shared" si="38"/>
        <v>0</v>
      </c>
      <c r="O265" s="152">
        <f t="shared" si="39"/>
        <v>1581848.350000001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3841</v>
      </c>
      <c r="I266" s="152"/>
      <c r="J266" s="157"/>
      <c r="K266" s="157">
        <v>5800361507</v>
      </c>
      <c r="L266" s="227">
        <v>11972.316637989001</v>
      </c>
      <c r="M266" s="157" t="s">
        <v>4087</v>
      </c>
      <c r="N266" s="152">
        <f>G149+G157+N265-I266-L266</f>
        <v>339463.78436201101</v>
      </c>
      <c r="O266" s="152">
        <f t="shared" si="39"/>
        <v>1569876.0333620121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3841</v>
      </c>
      <c r="I267" s="152"/>
      <c r="J267" s="157"/>
      <c r="K267" s="157">
        <v>5800361507</v>
      </c>
      <c r="L267" s="227">
        <v>9720.9259999999995</v>
      </c>
      <c r="M267" s="157" t="s">
        <v>4087</v>
      </c>
      <c r="N267" s="152">
        <f t="shared" si="38"/>
        <v>329742.85836201103</v>
      </c>
      <c r="O267" s="152">
        <f t="shared" si="39"/>
        <v>1560155.1073620121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3841</v>
      </c>
      <c r="I268" s="152"/>
      <c r="J268" s="157"/>
      <c r="K268" s="157">
        <v>5800361507</v>
      </c>
      <c r="L268" s="227">
        <v>12982.05</v>
      </c>
      <c r="M268" s="157" t="s">
        <v>4087</v>
      </c>
      <c r="N268" s="152">
        <f t="shared" si="38"/>
        <v>316760.80836201104</v>
      </c>
      <c r="O268" s="152">
        <f t="shared" si="39"/>
        <v>1547173.0573620121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3841</v>
      </c>
      <c r="I269" s="152"/>
      <c r="J269" s="157"/>
      <c r="K269" s="157">
        <v>5800361507</v>
      </c>
      <c r="L269" s="227">
        <v>38768.203999999998</v>
      </c>
      <c r="M269" s="157" t="s">
        <v>4087</v>
      </c>
      <c r="N269" s="152">
        <f t="shared" si="38"/>
        <v>277992.60436201107</v>
      </c>
      <c r="O269" s="152">
        <f t="shared" si="39"/>
        <v>1508404.8533620122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3841</v>
      </c>
      <c r="I270" s="152"/>
      <c r="J270" s="157"/>
      <c r="K270" s="157">
        <v>5800361507</v>
      </c>
      <c r="L270" s="227">
        <v>2441.2570000000001</v>
      </c>
      <c r="M270" s="157" t="s">
        <v>4087</v>
      </c>
      <c r="N270" s="152">
        <f t="shared" si="38"/>
        <v>275551.34736201109</v>
      </c>
      <c r="O270" s="152">
        <f t="shared" si="39"/>
        <v>1505963.5963620122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3841</v>
      </c>
      <c r="I271" s="152"/>
      <c r="J271" s="157"/>
      <c r="K271" s="157">
        <v>5800361507</v>
      </c>
      <c r="L271" s="227">
        <v>12361.239</v>
      </c>
      <c r="M271" s="157" t="s">
        <v>4087</v>
      </c>
      <c r="N271" s="152">
        <f t="shared" si="28"/>
        <v>263190.10836201109</v>
      </c>
      <c r="O271" s="152">
        <f t="shared" si="29"/>
        <v>1493602.3573620121</v>
      </c>
    </row>
    <row r="272" spans="1:15" x14ac:dyDescent="0.15">
      <c r="A272" s="154"/>
      <c r="B272" s="151"/>
      <c r="C272" s="152"/>
      <c r="D272" s="323" t="s">
        <v>3859</v>
      </c>
      <c r="E272" s="154" t="s">
        <v>72</v>
      </c>
      <c r="F272" s="157" t="s">
        <v>4094</v>
      </c>
      <c r="G272" s="152">
        <v>36248.333000003906</v>
      </c>
      <c r="H272" s="323" t="s">
        <v>3859</v>
      </c>
      <c r="I272" s="152">
        <v>11509.601000000001</v>
      </c>
      <c r="J272" s="157" t="s">
        <v>4087</v>
      </c>
      <c r="K272" s="157">
        <v>5800361507</v>
      </c>
      <c r="L272" s="227">
        <v>14228.441999999999</v>
      </c>
      <c r="M272" s="157" t="s">
        <v>4087</v>
      </c>
      <c r="N272" s="152">
        <f t="shared" si="28"/>
        <v>237452.06536201108</v>
      </c>
      <c r="O272" s="152">
        <f t="shared" si="29"/>
        <v>1504112.6473620159</v>
      </c>
    </row>
    <row r="273" spans="1:15" x14ac:dyDescent="0.15">
      <c r="A273" s="154"/>
      <c r="B273" s="151"/>
      <c r="C273" s="152"/>
      <c r="D273" s="323" t="s">
        <v>3859</v>
      </c>
      <c r="E273" s="154" t="s">
        <v>72</v>
      </c>
      <c r="F273" s="157" t="s">
        <v>4095</v>
      </c>
      <c r="G273" s="152">
        <v>139612.80499999601</v>
      </c>
      <c r="H273" s="323" t="s">
        <v>3859</v>
      </c>
      <c r="I273" s="152"/>
      <c r="J273" s="157"/>
      <c r="K273" s="157">
        <v>5800361507</v>
      </c>
      <c r="L273" s="227">
        <v>13337.352000000001</v>
      </c>
      <c r="M273" s="157" t="s">
        <v>4087</v>
      </c>
      <c r="N273" s="152">
        <f t="shared" si="28"/>
        <v>224114.71336201107</v>
      </c>
      <c r="O273" s="152">
        <f t="shared" si="29"/>
        <v>1630388.1003620119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3859</v>
      </c>
      <c r="I274" s="152"/>
      <c r="J274" s="157"/>
      <c r="K274" s="157">
        <v>5800361507</v>
      </c>
      <c r="L274" s="227">
        <v>14982.518</v>
      </c>
      <c r="M274" s="157" t="s">
        <v>4087</v>
      </c>
      <c r="N274" s="152">
        <f t="shared" si="28"/>
        <v>209132.19536201106</v>
      </c>
      <c r="O274" s="152">
        <f t="shared" si="29"/>
        <v>1615405.582362012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3859</v>
      </c>
      <c r="I275" s="152"/>
      <c r="J275" s="157"/>
      <c r="K275" s="157">
        <v>5800361507</v>
      </c>
      <c r="L275" s="227">
        <v>8042.8149999999996</v>
      </c>
      <c r="M275" s="157" t="s">
        <v>4087</v>
      </c>
      <c r="N275" s="152">
        <f t="shared" si="28"/>
        <v>201089.38036201106</v>
      </c>
      <c r="O275" s="152">
        <f t="shared" si="29"/>
        <v>1607362.7673620121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3859</v>
      </c>
      <c r="I276" s="152"/>
      <c r="J276" s="157"/>
      <c r="K276" s="157">
        <v>5800361507</v>
      </c>
      <c r="L276" s="227">
        <v>16605.683000000001</v>
      </c>
      <c r="M276" s="157" t="s">
        <v>4087</v>
      </c>
      <c r="N276" s="152">
        <f t="shared" si="28"/>
        <v>184483.69736201107</v>
      </c>
      <c r="O276" s="152">
        <f t="shared" si="29"/>
        <v>1590757.0843620121</v>
      </c>
    </row>
    <row r="277" spans="1:15" x14ac:dyDescent="0.15">
      <c r="A277" s="154"/>
      <c r="B277" s="151"/>
      <c r="C277" s="152"/>
      <c r="D277" s="323"/>
      <c r="E277" s="154"/>
      <c r="F277" s="157"/>
      <c r="G277" s="152"/>
      <c r="H277" s="323" t="s">
        <v>3859</v>
      </c>
      <c r="I277" s="152"/>
      <c r="J277" s="157"/>
      <c r="K277" s="157">
        <v>5800361507</v>
      </c>
      <c r="L277" s="227">
        <v>9039.9159999999993</v>
      </c>
      <c r="M277" s="157" t="s">
        <v>4087</v>
      </c>
      <c r="N277" s="152">
        <f t="shared" si="28"/>
        <v>175443.78136201107</v>
      </c>
      <c r="O277" s="152">
        <f t="shared" si="29"/>
        <v>1581717.1683620121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3859</v>
      </c>
      <c r="I278" s="152"/>
      <c r="J278" s="157"/>
      <c r="K278" s="157">
        <v>5800361507</v>
      </c>
      <c r="L278" s="227">
        <v>83547.467000000004</v>
      </c>
      <c r="M278" s="157" t="s">
        <v>4087</v>
      </c>
      <c r="N278" s="152">
        <f t="shared" si="28"/>
        <v>91896.314362011064</v>
      </c>
      <c r="O278" s="152">
        <f t="shared" si="29"/>
        <v>1498169.7013620122</v>
      </c>
    </row>
    <row r="279" spans="1:15" x14ac:dyDescent="0.15">
      <c r="A279" s="154"/>
      <c r="B279" s="151"/>
      <c r="C279" s="152"/>
      <c r="D279" s="323"/>
      <c r="E279" s="154"/>
      <c r="F279" s="157"/>
      <c r="G279" s="152"/>
      <c r="H279" s="323" t="s">
        <v>3859</v>
      </c>
      <c r="I279" s="152"/>
      <c r="J279" s="157"/>
      <c r="K279" s="157">
        <v>5800361507</v>
      </c>
      <c r="L279" s="227">
        <v>15303.24</v>
      </c>
      <c r="M279" s="157" t="s">
        <v>4087</v>
      </c>
      <c r="N279" s="152">
        <f t="shared" si="28"/>
        <v>76593.074362011059</v>
      </c>
      <c r="O279" s="152">
        <f t="shared" si="29"/>
        <v>1482866.4613620122</v>
      </c>
    </row>
    <row r="280" spans="1:15" x14ac:dyDescent="0.15">
      <c r="A280" s="154"/>
      <c r="B280" s="151"/>
      <c r="C280" s="152"/>
      <c r="D280" s="323"/>
      <c r="E280" s="154"/>
      <c r="F280" s="157"/>
      <c r="G280" s="152"/>
      <c r="H280" s="323" t="s">
        <v>3859</v>
      </c>
      <c r="I280" s="152"/>
      <c r="J280" s="157"/>
      <c r="K280" s="157">
        <v>5800361507</v>
      </c>
      <c r="L280" s="227">
        <v>15887.942999999999</v>
      </c>
      <c r="M280" s="157" t="s">
        <v>4087</v>
      </c>
      <c r="N280" s="152">
        <f t="shared" si="28"/>
        <v>60705.13136201106</v>
      </c>
      <c r="O280" s="152">
        <f t="shared" si="29"/>
        <v>1466978.5183620122</v>
      </c>
    </row>
    <row r="281" spans="1:15" x14ac:dyDescent="0.15">
      <c r="A281" s="154"/>
      <c r="B281" s="151"/>
      <c r="C281" s="152"/>
      <c r="D281" s="323"/>
      <c r="E281" s="154"/>
      <c r="F281" s="157"/>
      <c r="G281" s="152"/>
      <c r="H281" s="323" t="s">
        <v>3859</v>
      </c>
      <c r="I281" s="152"/>
      <c r="J281" s="157"/>
      <c r="K281" s="157">
        <v>5800361507</v>
      </c>
      <c r="L281" s="227">
        <v>6488.71</v>
      </c>
      <c r="M281" s="157" t="s">
        <v>4087</v>
      </c>
      <c r="N281" s="152">
        <f t="shared" ref="N281:N346" si="40">+N280-I281-L281</f>
        <v>54216.42136201106</v>
      </c>
      <c r="O281" s="152">
        <f t="shared" ref="O281:O346" si="41">O280+G281-I281-L281</f>
        <v>1460489.8083620123</v>
      </c>
    </row>
    <row r="282" spans="1:15" x14ac:dyDescent="0.15">
      <c r="A282" s="154"/>
      <c r="B282" s="151"/>
      <c r="C282" s="152"/>
      <c r="D282" s="323"/>
      <c r="E282" s="154"/>
      <c r="F282" s="157"/>
      <c r="G282" s="152"/>
      <c r="H282" s="323" t="s">
        <v>3859</v>
      </c>
      <c r="I282" s="152"/>
      <c r="J282" s="157"/>
      <c r="K282" s="157">
        <v>5800361507</v>
      </c>
      <c r="L282" s="227">
        <v>3710.1190000000001</v>
      </c>
      <c r="M282" s="157" t="s">
        <v>4087</v>
      </c>
      <c r="N282" s="152">
        <f t="shared" si="40"/>
        <v>50506.302362011062</v>
      </c>
      <c r="O282" s="152">
        <f t="shared" si="41"/>
        <v>1456779.6893620123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3859</v>
      </c>
      <c r="I283" s="152"/>
      <c r="J283" s="157"/>
      <c r="K283" s="157">
        <v>5800361507</v>
      </c>
      <c r="L283" s="227">
        <v>37230.120999999999</v>
      </c>
      <c r="M283" s="157" t="s">
        <v>4087</v>
      </c>
      <c r="N283" s="152">
        <f t="shared" si="40"/>
        <v>13276.181362011062</v>
      </c>
      <c r="O283" s="152">
        <f t="shared" si="41"/>
        <v>1419549.5683620123</v>
      </c>
    </row>
    <row r="284" spans="1:15" x14ac:dyDescent="0.15">
      <c r="A284" s="154"/>
      <c r="B284" s="151"/>
      <c r="C284" s="152"/>
      <c r="D284" s="323" t="s">
        <v>3877</v>
      </c>
      <c r="E284" s="154" t="s">
        <v>72</v>
      </c>
      <c r="F284" s="157" t="s">
        <v>4095</v>
      </c>
      <c r="G284" s="152">
        <v>263346.49599999998</v>
      </c>
      <c r="H284" s="323" t="s">
        <v>3877</v>
      </c>
      <c r="I284" s="152">
        <v>13276.181362011062</v>
      </c>
      <c r="J284" s="157" t="s">
        <v>4087</v>
      </c>
      <c r="K284" s="157"/>
      <c r="L284" s="227"/>
      <c r="M284" s="157"/>
      <c r="N284" s="152">
        <f t="shared" ref="N284:N287" si="42">+N283-I284-L284</f>
        <v>0</v>
      </c>
      <c r="O284" s="152">
        <f t="shared" ref="O284:O287" si="43">O283+G284-I284-L284</f>
        <v>1669619.8830000013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3877</v>
      </c>
      <c r="I285" s="152">
        <v>451.81163798893601</v>
      </c>
      <c r="J285" s="157" t="s">
        <v>4088</v>
      </c>
      <c r="K285" s="157">
        <v>5800362597</v>
      </c>
      <c r="L285" s="227">
        <v>14422.222</v>
      </c>
      <c r="M285" s="157" t="s">
        <v>4088</v>
      </c>
      <c r="N285" s="152">
        <f>G169+N284-I285-L285</f>
        <v>116880.82436201109</v>
      </c>
      <c r="O285" s="152">
        <f t="shared" si="43"/>
        <v>1654745.8493620122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3877</v>
      </c>
      <c r="I286" s="152"/>
      <c r="J286" s="157"/>
      <c r="K286" s="157">
        <v>5800362597</v>
      </c>
      <c r="L286" s="227">
        <v>17645.259999999998</v>
      </c>
      <c r="M286" s="157" t="s">
        <v>4088</v>
      </c>
      <c r="N286" s="152">
        <f t="shared" si="42"/>
        <v>99235.564362011093</v>
      </c>
      <c r="O286" s="152">
        <f t="shared" si="43"/>
        <v>1637100.5893620122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3877</v>
      </c>
      <c r="I287" s="152"/>
      <c r="J287" s="157"/>
      <c r="K287" s="157">
        <v>5800362597</v>
      </c>
      <c r="L287" s="227">
        <v>12815.2</v>
      </c>
      <c r="M287" s="157" t="s">
        <v>4088</v>
      </c>
      <c r="N287" s="152">
        <f t="shared" si="42"/>
        <v>86420.364362011096</v>
      </c>
      <c r="O287" s="152">
        <f t="shared" si="43"/>
        <v>1624285.3893620123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3877</v>
      </c>
      <c r="I288" s="152"/>
      <c r="J288" s="157"/>
      <c r="K288" s="157">
        <v>5800362597</v>
      </c>
      <c r="L288" s="227">
        <v>710.56799999999998</v>
      </c>
      <c r="M288" s="157" t="s">
        <v>4088</v>
      </c>
      <c r="N288" s="152">
        <f t="shared" si="40"/>
        <v>85709.796362011097</v>
      </c>
      <c r="O288" s="152">
        <f t="shared" si="41"/>
        <v>1623574.8213620123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3877</v>
      </c>
      <c r="I289" s="152"/>
      <c r="J289" s="157"/>
      <c r="K289" s="157">
        <v>5800362597</v>
      </c>
      <c r="L289" s="227">
        <v>11591.945</v>
      </c>
      <c r="M289" s="157" t="s">
        <v>4088</v>
      </c>
      <c r="N289" s="152">
        <f t="shared" si="40"/>
        <v>74117.851362011104</v>
      </c>
      <c r="O289" s="152">
        <f t="shared" si="41"/>
        <v>1611982.8763620122</v>
      </c>
    </row>
    <row r="290" spans="1:15" x14ac:dyDescent="0.15">
      <c r="A290" s="154"/>
      <c r="B290" s="151"/>
      <c r="C290" s="152"/>
      <c r="D290" s="323"/>
      <c r="E290" s="154"/>
      <c r="F290" s="157"/>
      <c r="G290" s="152"/>
      <c r="H290" s="323" t="s">
        <v>3877</v>
      </c>
      <c r="I290" s="152"/>
      <c r="J290" s="157"/>
      <c r="K290" s="157">
        <v>5800362597</v>
      </c>
      <c r="L290" s="227">
        <v>13968.08</v>
      </c>
      <c r="M290" s="157" t="s">
        <v>4088</v>
      </c>
      <c r="N290" s="152">
        <f t="shared" si="40"/>
        <v>60149.771362011103</v>
      </c>
      <c r="O290" s="152">
        <f t="shared" si="41"/>
        <v>1598014.7963620122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3877</v>
      </c>
      <c r="I291" s="152"/>
      <c r="J291" s="157"/>
      <c r="K291" s="157">
        <v>5800362597</v>
      </c>
      <c r="L291" s="227">
        <v>17625.482</v>
      </c>
      <c r="M291" s="157" t="s">
        <v>4088</v>
      </c>
      <c r="N291" s="152">
        <f t="shared" si="40"/>
        <v>42524.289362011099</v>
      </c>
      <c r="O291" s="152">
        <f t="shared" si="41"/>
        <v>1580389.3143620121</v>
      </c>
    </row>
    <row r="292" spans="1:15" x14ac:dyDescent="0.15">
      <c r="A292" s="154"/>
      <c r="B292" s="151"/>
      <c r="C292" s="152"/>
      <c r="D292" s="323"/>
      <c r="E292" s="154"/>
      <c r="F292" s="157"/>
      <c r="G292" s="152"/>
      <c r="H292" s="323" t="s">
        <v>3877</v>
      </c>
      <c r="I292" s="152"/>
      <c r="J292" s="157"/>
      <c r="K292" s="157">
        <v>5800362597</v>
      </c>
      <c r="L292" s="227">
        <v>5461.1210000000001</v>
      </c>
      <c r="M292" s="157" t="s">
        <v>4088</v>
      </c>
      <c r="N292" s="152">
        <f t="shared" si="40"/>
        <v>37063.1683620111</v>
      </c>
      <c r="O292" s="152">
        <f t="shared" si="41"/>
        <v>1574928.193362012</v>
      </c>
    </row>
    <row r="293" spans="1:15" x14ac:dyDescent="0.15">
      <c r="A293" s="154"/>
      <c r="B293" s="151"/>
      <c r="C293" s="152"/>
      <c r="D293" s="323"/>
      <c r="E293" s="154"/>
      <c r="F293" s="157"/>
      <c r="G293" s="152"/>
      <c r="H293" s="323" t="s">
        <v>3877</v>
      </c>
      <c r="I293" s="152"/>
      <c r="J293" s="157"/>
      <c r="K293" s="157">
        <v>5800362597</v>
      </c>
      <c r="L293" s="227">
        <v>12746.947</v>
      </c>
      <c r="M293" s="157" t="s">
        <v>4088</v>
      </c>
      <c r="N293" s="152">
        <f t="shared" si="40"/>
        <v>24316.2213620111</v>
      </c>
      <c r="O293" s="152">
        <f t="shared" si="41"/>
        <v>1562181.2463620121</v>
      </c>
    </row>
    <row r="294" spans="1:15" x14ac:dyDescent="0.15">
      <c r="A294" s="154"/>
      <c r="B294" s="151"/>
      <c r="C294" s="152"/>
      <c r="D294" s="323" t="s">
        <v>3889</v>
      </c>
      <c r="E294" s="154" t="s">
        <v>72</v>
      </c>
      <c r="F294" s="157" t="s">
        <v>4095</v>
      </c>
      <c r="G294" s="152">
        <v>87694.060000003956</v>
      </c>
      <c r="H294" s="323" t="s">
        <v>3889</v>
      </c>
      <c r="I294" s="152">
        <v>11903.271000000001</v>
      </c>
      <c r="J294" s="157" t="s">
        <v>4088</v>
      </c>
      <c r="K294" s="157">
        <v>5800362597</v>
      </c>
      <c r="L294" s="227">
        <v>12162.698</v>
      </c>
      <c r="M294" s="157" t="s">
        <v>4088</v>
      </c>
      <c r="N294" s="152">
        <f t="shared" si="40"/>
        <v>250.25236201109874</v>
      </c>
      <c r="O294" s="152">
        <f t="shared" si="41"/>
        <v>1625809.3373620161</v>
      </c>
    </row>
    <row r="295" spans="1:15" x14ac:dyDescent="0.15">
      <c r="A295" s="154"/>
      <c r="B295" s="151"/>
      <c r="C295" s="152"/>
      <c r="D295" s="323" t="s">
        <v>3889</v>
      </c>
      <c r="E295" s="154" t="s">
        <v>72</v>
      </c>
      <c r="F295" s="157" t="s">
        <v>4096</v>
      </c>
      <c r="G295" s="152">
        <v>175531.114999996</v>
      </c>
      <c r="H295" s="323" t="s">
        <v>3889</v>
      </c>
      <c r="I295" s="152"/>
      <c r="J295" s="157"/>
      <c r="K295" s="157">
        <v>5800362597</v>
      </c>
      <c r="L295" s="227">
        <v>250.25236201109874</v>
      </c>
      <c r="M295" s="157" t="s">
        <v>4088</v>
      </c>
      <c r="N295" s="152">
        <f t="shared" si="40"/>
        <v>0</v>
      </c>
      <c r="O295" s="152">
        <f t="shared" si="41"/>
        <v>1801090.2000000011</v>
      </c>
    </row>
    <row r="296" spans="1:15" x14ac:dyDescent="0.15">
      <c r="A296" s="154"/>
      <c r="B296" s="151"/>
      <c r="C296" s="152"/>
      <c r="D296" s="323"/>
      <c r="E296" s="154"/>
      <c r="F296" s="157"/>
      <c r="G296" s="152"/>
      <c r="H296" s="323" t="s">
        <v>3889</v>
      </c>
      <c r="I296" s="152"/>
      <c r="J296" s="157"/>
      <c r="K296" s="157">
        <v>5800361507</v>
      </c>
      <c r="L296" s="227">
        <v>12032.4826379889</v>
      </c>
      <c r="M296" s="157" t="s">
        <v>4089</v>
      </c>
      <c r="N296" s="152">
        <f>G170+G184+G199+N295-I296-L296</f>
        <v>339575.887362012</v>
      </c>
      <c r="O296" s="152">
        <f t="shared" ref="O296:O300" si="44">O295+G296-I296-L296</f>
        <v>1789057.7173620122</v>
      </c>
    </row>
    <row r="297" spans="1:15" x14ac:dyDescent="0.15">
      <c r="A297" s="154"/>
      <c r="B297" s="151"/>
      <c r="C297" s="152"/>
      <c r="D297" s="323"/>
      <c r="E297" s="154"/>
      <c r="F297" s="157"/>
      <c r="G297" s="152"/>
      <c r="H297" s="323" t="s">
        <v>3889</v>
      </c>
      <c r="I297" s="152"/>
      <c r="J297" s="157"/>
      <c r="K297" s="157">
        <v>5800361507</v>
      </c>
      <c r="L297" s="227">
        <v>14359.366</v>
      </c>
      <c r="M297" s="157" t="s">
        <v>4089</v>
      </c>
      <c r="N297" s="152">
        <f t="shared" ref="N297:N300" si="45">+N296-I297-L297</f>
        <v>325216.52136201202</v>
      </c>
      <c r="O297" s="152">
        <f t="shared" si="44"/>
        <v>1774698.3513620123</v>
      </c>
    </row>
    <row r="298" spans="1:15" x14ac:dyDescent="0.15">
      <c r="A298" s="154"/>
      <c r="B298" s="151"/>
      <c r="C298" s="152"/>
      <c r="D298" s="323"/>
      <c r="E298" s="154"/>
      <c r="F298" s="157"/>
      <c r="G298" s="152"/>
      <c r="H298" s="323" t="s">
        <v>3889</v>
      </c>
      <c r="I298" s="152"/>
      <c r="J298" s="157"/>
      <c r="K298" s="157">
        <v>5800361507</v>
      </c>
      <c r="L298" s="227">
        <v>11624.535</v>
      </c>
      <c r="M298" s="157" t="s">
        <v>4089</v>
      </c>
      <c r="N298" s="152">
        <f t="shared" si="45"/>
        <v>313591.98636201204</v>
      </c>
      <c r="O298" s="152">
        <f t="shared" si="44"/>
        <v>1763073.8163620124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3889</v>
      </c>
      <c r="I299" s="152"/>
      <c r="J299" s="157"/>
      <c r="K299" s="157">
        <v>5800361507</v>
      </c>
      <c r="L299" s="227">
        <v>7364.2389999999996</v>
      </c>
      <c r="M299" s="157" t="s">
        <v>4089</v>
      </c>
      <c r="N299" s="152">
        <f t="shared" si="45"/>
        <v>306227.74736201204</v>
      </c>
      <c r="O299" s="152">
        <f t="shared" si="44"/>
        <v>1755709.5773620124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3889</v>
      </c>
      <c r="I300" s="152"/>
      <c r="J300" s="157"/>
      <c r="K300" s="157">
        <v>5800361507</v>
      </c>
      <c r="L300" s="227">
        <v>14892.528</v>
      </c>
      <c r="M300" s="157" t="s">
        <v>4089</v>
      </c>
      <c r="N300" s="152">
        <f t="shared" si="45"/>
        <v>291335.21936201205</v>
      </c>
      <c r="O300" s="152">
        <f t="shared" si="44"/>
        <v>1740817.0493620124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3889</v>
      </c>
      <c r="I301" s="152"/>
      <c r="J301" s="157"/>
      <c r="K301" s="157">
        <v>5800361507</v>
      </c>
      <c r="L301" s="227">
        <v>9428.8670000000002</v>
      </c>
      <c r="M301" s="157" t="s">
        <v>4089</v>
      </c>
      <c r="N301" s="152">
        <f t="shared" si="40"/>
        <v>281906.35236201202</v>
      </c>
      <c r="O301" s="152">
        <f t="shared" si="41"/>
        <v>1731388.1823620123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3889</v>
      </c>
      <c r="I302" s="152"/>
      <c r="J302" s="157"/>
      <c r="K302" s="157">
        <v>5800361507</v>
      </c>
      <c r="L302" s="227">
        <v>864.73699999999997</v>
      </c>
      <c r="M302" s="157" t="s">
        <v>4089</v>
      </c>
      <c r="N302" s="152">
        <f t="shared" si="40"/>
        <v>281041.615362012</v>
      </c>
      <c r="O302" s="152">
        <f t="shared" si="41"/>
        <v>1730523.4453620124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3889</v>
      </c>
      <c r="I303" s="152"/>
      <c r="J303" s="157"/>
      <c r="K303" s="157">
        <v>5800361507</v>
      </c>
      <c r="L303" s="227">
        <v>12773.114</v>
      </c>
      <c r="M303" s="157" t="s">
        <v>4089</v>
      </c>
      <c r="N303" s="152">
        <f t="shared" si="40"/>
        <v>268268.501362012</v>
      </c>
      <c r="O303" s="152">
        <f t="shared" si="41"/>
        <v>1717750.3313620123</v>
      </c>
    </row>
    <row r="304" spans="1:15" x14ac:dyDescent="0.15">
      <c r="A304" s="154"/>
      <c r="B304" s="151"/>
      <c r="C304" s="152"/>
      <c r="D304" s="323"/>
      <c r="E304" s="154"/>
      <c r="F304" s="157"/>
      <c r="G304" s="152"/>
      <c r="H304" s="323" t="s">
        <v>3889</v>
      </c>
      <c r="I304" s="152"/>
      <c r="J304" s="157"/>
      <c r="K304" s="157">
        <v>5800361507</v>
      </c>
      <c r="L304" s="227">
        <v>14883.472</v>
      </c>
      <c r="M304" s="157" t="s">
        <v>4089</v>
      </c>
      <c r="N304" s="152">
        <f t="shared" si="40"/>
        <v>253385.02936201199</v>
      </c>
      <c r="O304" s="152">
        <f t="shared" si="41"/>
        <v>1702866.8593620122</v>
      </c>
    </row>
    <row r="305" spans="1:15" x14ac:dyDescent="0.15">
      <c r="A305" s="154"/>
      <c r="B305" s="151"/>
      <c r="C305" s="152"/>
      <c r="D305" s="323"/>
      <c r="E305" s="154"/>
      <c r="F305" s="157"/>
      <c r="G305" s="152"/>
      <c r="H305" s="323" t="s">
        <v>3889</v>
      </c>
      <c r="I305" s="152"/>
      <c r="J305" s="157"/>
      <c r="K305" s="157">
        <v>5800361507</v>
      </c>
      <c r="L305" s="227">
        <v>4303.6909999999998</v>
      </c>
      <c r="M305" s="157" t="s">
        <v>4089</v>
      </c>
      <c r="N305" s="152">
        <f t="shared" si="40"/>
        <v>249081.338362012</v>
      </c>
      <c r="O305" s="152">
        <f t="shared" si="41"/>
        <v>1698563.1683620121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3889</v>
      </c>
      <c r="I306" s="152"/>
      <c r="J306" s="157"/>
      <c r="K306" s="157">
        <v>5800361507</v>
      </c>
      <c r="L306" s="227">
        <v>35530.19</v>
      </c>
      <c r="M306" s="157" t="s">
        <v>4089</v>
      </c>
      <c r="N306" s="152">
        <f t="shared" si="40"/>
        <v>213551.148362012</v>
      </c>
      <c r="O306" s="152">
        <f t="shared" si="41"/>
        <v>1663032.9783620122</v>
      </c>
    </row>
    <row r="307" spans="1:15" x14ac:dyDescent="0.15">
      <c r="A307" s="154"/>
      <c r="B307" s="151"/>
      <c r="C307" s="152"/>
      <c r="D307" s="323" t="s">
        <v>3905</v>
      </c>
      <c r="E307" s="154" t="s">
        <v>72</v>
      </c>
      <c r="F307" s="157" t="s">
        <v>4097</v>
      </c>
      <c r="G307" s="152">
        <v>131937.54</v>
      </c>
      <c r="H307" s="323" t="s">
        <v>3905</v>
      </c>
      <c r="I307" s="152">
        <v>11843</v>
      </c>
      <c r="J307" s="157" t="s">
        <v>4089</v>
      </c>
      <c r="K307" s="157">
        <v>5800361507</v>
      </c>
      <c r="L307" s="227">
        <v>14153</v>
      </c>
      <c r="M307" s="157" t="s">
        <v>4089</v>
      </c>
      <c r="N307" s="152">
        <f t="shared" si="40"/>
        <v>187555.148362012</v>
      </c>
      <c r="O307" s="152">
        <f t="shared" si="41"/>
        <v>1768974.5183620122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3905</v>
      </c>
      <c r="I308" s="152"/>
      <c r="J308" s="157"/>
      <c r="K308" s="157">
        <v>5800361507</v>
      </c>
      <c r="L308" s="227">
        <v>13963</v>
      </c>
      <c r="M308" s="157" t="s">
        <v>4089</v>
      </c>
      <c r="N308" s="152">
        <f t="shared" si="40"/>
        <v>173592.148362012</v>
      </c>
      <c r="O308" s="152">
        <f t="shared" si="41"/>
        <v>1755011.5183620122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3905</v>
      </c>
      <c r="I309" s="152"/>
      <c r="J309" s="157"/>
      <c r="K309" s="157">
        <v>5800361507</v>
      </c>
      <c r="L309" s="227">
        <v>18637</v>
      </c>
      <c r="M309" s="157" t="s">
        <v>4089</v>
      </c>
      <c r="N309" s="152">
        <f t="shared" si="40"/>
        <v>154955.148362012</v>
      </c>
      <c r="O309" s="152">
        <f t="shared" si="41"/>
        <v>1736374.5183620122</v>
      </c>
    </row>
    <row r="310" spans="1:15" x14ac:dyDescent="0.15">
      <c r="A310" s="154"/>
      <c r="B310" s="151"/>
      <c r="C310" s="152"/>
      <c r="D310" s="323"/>
      <c r="E310" s="154"/>
      <c r="F310" s="157"/>
      <c r="G310" s="152"/>
      <c r="H310" s="323" t="s">
        <v>3905</v>
      </c>
      <c r="I310" s="152"/>
      <c r="J310" s="157"/>
      <c r="K310" s="157">
        <v>5800361507</v>
      </c>
      <c r="L310" s="227">
        <v>10928</v>
      </c>
      <c r="M310" s="157" t="s">
        <v>4089</v>
      </c>
      <c r="N310" s="152">
        <f t="shared" si="40"/>
        <v>144027.148362012</v>
      </c>
      <c r="O310" s="152">
        <f t="shared" si="41"/>
        <v>1725446.5183620122</v>
      </c>
    </row>
    <row r="311" spans="1:15" x14ac:dyDescent="0.15">
      <c r="A311" s="154"/>
      <c r="B311" s="151"/>
      <c r="C311" s="152"/>
      <c r="D311" s="323"/>
      <c r="E311" s="154"/>
      <c r="F311" s="157"/>
      <c r="G311" s="152"/>
      <c r="H311" s="323" t="s">
        <v>3905</v>
      </c>
      <c r="I311" s="152"/>
      <c r="J311" s="157"/>
      <c r="K311" s="157">
        <v>5800361507</v>
      </c>
      <c r="L311" s="227">
        <v>8365</v>
      </c>
      <c r="M311" s="157" t="s">
        <v>4089</v>
      </c>
      <c r="N311" s="152">
        <f t="shared" si="40"/>
        <v>135662.148362012</v>
      </c>
      <c r="O311" s="152">
        <f t="shared" si="41"/>
        <v>1717081.5183620122</v>
      </c>
    </row>
    <row r="312" spans="1:15" x14ac:dyDescent="0.15">
      <c r="A312" s="154"/>
      <c r="B312" s="151"/>
      <c r="C312" s="152"/>
      <c r="D312" s="323"/>
      <c r="E312" s="154"/>
      <c r="F312" s="157"/>
      <c r="G312" s="152"/>
      <c r="H312" s="323" t="s">
        <v>3905</v>
      </c>
      <c r="I312" s="152"/>
      <c r="J312" s="157"/>
      <c r="K312" s="157">
        <v>5800361507</v>
      </c>
      <c r="L312" s="227">
        <v>8834</v>
      </c>
      <c r="M312" s="157" t="s">
        <v>4089</v>
      </c>
      <c r="N312" s="152">
        <f t="shared" si="40"/>
        <v>126828.148362012</v>
      </c>
      <c r="O312" s="152">
        <f t="shared" si="41"/>
        <v>1708247.5183620122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3905</v>
      </c>
      <c r="I313" s="152"/>
      <c r="J313" s="157"/>
      <c r="K313" s="157">
        <v>5800361507</v>
      </c>
      <c r="L313" s="227">
        <v>69900</v>
      </c>
      <c r="M313" s="157" t="s">
        <v>4089</v>
      </c>
      <c r="N313" s="152">
        <f t="shared" si="40"/>
        <v>56928.148362011998</v>
      </c>
      <c r="O313" s="152">
        <f t="shared" si="41"/>
        <v>1638347.5183620122</v>
      </c>
    </row>
    <row r="314" spans="1:15" x14ac:dyDescent="0.15">
      <c r="A314" s="154"/>
      <c r="B314" s="151"/>
      <c r="C314" s="152"/>
      <c r="D314" s="323"/>
      <c r="E314" s="154"/>
      <c r="F314" s="157"/>
      <c r="G314" s="152"/>
      <c r="H314" s="323" t="s">
        <v>3905</v>
      </c>
      <c r="I314" s="152"/>
      <c r="J314" s="157"/>
      <c r="K314" s="157">
        <v>5800361507</v>
      </c>
      <c r="L314" s="227">
        <v>11956</v>
      </c>
      <c r="M314" s="157" t="s">
        <v>4089</v>
      </c>
      <c r="N314" s="152">
        <f t="shared" si="40"/>
        <v>44972.148362011998</v>
      </c>
      <c r="O314" s="152">
        <f t="shared" si="41"/>
        <v>1626391.5183620122</v>
      </c>
    </row>
    <row r="315" spans="1:15" ht="12" customHeight="1" x14ac:dyDescent="0.15">
      <c r="A315" s="154"/>
      <c r="B315" s="151"/>
      <c r="C315" s="152"/>
      <c r="D315" s="323"/>
      <c r="E315" s="154"/>
      <c r="F315" s="157"/>
      <c r="G315" s="152"/>
      <c r="H315" s="323" t="s">
        <v>3905</v>
      </c>
      <c r="I315" s="152"/>
      <c r="J315" s="157"/>
      <c r="K315" s="157">
        <v>5800361507</v>
      </c>
      <c r="L315" s="227">
        <v>6226</v>
      </c>
      <c r="M315" s="157" t="s">
        <v>4089</v>
      </c>
      <c r="N315" s="152">
        <f t="shared" si="40"/>
        <v>38746.148362011998</v>
      </c>
      <c r="O315" s="152">
        <f t="shared" si="41"/>
        <v>1620165.5183620122</v>
      </c>
    </row>
    <row r="316" spans="1:15" x14ac:dyDescent="0.15">
      <c r="A316" s="154"/>
      <c r="B316" s="151"/>
      <c r="C316" s="152"/>
      <c r="D316" s="323" t="s">
        <v>3918</v>
      </c>
      <c r="E316" s="154" t="s">
        <v>72</v>
      </c>
      <c r="F316" s="157" t="s">
        <v>4097</v>
      </c>
      <c r="G316" s="152">
        <v>131893.14200000398</v>
      </c>
      <c r="H316" s="323" t="s">
        <v>3918</v>
      </c>
      <c r="I316" s="152">
        <v>9150.8700000000008</v>
      </c>
      <c r="J316" s="157" t="s">
        <v>4089</v>
      </c>
      <c r="K316" s="157">
        <v>5800361507</v>
      </c>
      <c r="L316" s="227">
        <v>16096.153</v>
      </c>
      <c r="M316" s="157" t="s">
        <v>4089</v>
      </c>
      <c r="N316" s="152">
        <f t="shared" si="40"/>
        <v>13499.125362011995</v>
      </c>
      <c r="O316" s="152">
        <f t="shared" si="41"/>
        <v>1726811.6373620161</v>
      </c>
    </row>
    <row r="317" spans="1:15" x14ac:dyDescent="0.15">
      <c r="A317" s="154"/>
      <c r="B317" s="151"/>
      <c r="C317" s="152"/>
      <c r="D317" s="323" t="s">
        <v>3918</v>
      </c>
      <c r="E317" s="154" t="s">
        <v>72</v>
      </c>
      <c r="F317" s="157" t="s">
        <v>4098</v>
      </c>
      <c r="G317" s="152">
        <v>131766.98599999599</v>
      </c>
      <c r="H317" s="323" t="s">
        <v>3918</v>
      </c>
      <c r="I317" s="152"/>
      <c r="J317" s="157"/>
      <c r="K317" s="157">
        <v>5800361507</v>
      </c>
      <c r="L317" s="227">
        <v>13499.125362011995</v>
      </c>
      <c r="M317" s="157" t="s">
        <v>4089</v>
      </c>
      <c r="N317" s="152">
        <f t="shared" si="40"/>
        <v>0</v>
      </c>
      <c r="O317" s="152">
        <f t="shared" si="41"/>
        <v>1845079.4980000001</v>
      </c>
    </row>
    <row r="318" spans="1:15" x14ac:dyDescent="0.15">
      <c r="A318" s="154"/>
      <c r="B318" s="151"/>
      <c r="C318" s="152"/>
      <c r="D318" s="323"/>
      <c r="E318" s="154"/>
      <c r="F318" s="157"/>
      <c r="G318" s="152"/>
      <c r="H318" s="323" t="s">
        <v>3918</v>
      </c>
      <c r="I318" s="152"/>
      <c r="J318" s="157"/>
      <c r="K318" s="157">
        <v>5800362597</v>
      </c>
      <c r="L318" s="227">
        <v>1205.32263798801</v>
      </c>
      <c r="M318" s="157" t="s">
        <v>4090</v>
      </c>
      <c r="N318" s="152">
        <f>G200+G210+N317-I318-L318</f>
        <v>174570.04536201197</v>
      </c>
      <c r="O318" s="152">
        <f t="shared" si="41"/>
        <v>1843874.1753620121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3918</v>
      </c>
      <c r="I319" s="152"/>
      <c r="J319" s="157"/>
      <c r="K319" s="157">
        <v>5800362597</v>
      </c>
      <c r="L319" s="227">
        <v>12222.191000000001</v>
      </c>
      <c r="M319" s="157" t="s">
        <v>4090</v>
      </c>
      <c r="N319" s="152">
        <f t="shared" si="40"/>
        <v>162347.85436201197</v>
      </c>
      <c r="O319" s="152">
        <f t="shared" si="41"/>
        <v>1831651.984362012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3918</v>
      </c>
      <c r="I320" s="152"/>
      <c r="J320" s="157"/>
      <c r="K320" s="157">
        <v>5800362597</v>
      </c>
      <c r="L320" s="227">
        <v>6986.5389999999998</v>
      </c>
      <c r="M320" s="157" t="s">
        <v>4090</v>
      </c>
      <c r="N320" s="152">
        <f t="shared" si="40"/>
        <v>155361.31536201198</v>
      </c>
      <c r="O320" s="152">
        <f t="shared" si="41"/>
        <v>1824665.4453620119</v>
      </c>
    </row>
    <row r="321" spans="1:15" x14ac:dyDescent="0.15">
      <c r="A321" s="154"/>
      <c r="B321" s="151"/>
      <c r="C321" s="152"/>
      <c r="D321" s="323"/>
      <c r="E321" s="154"/>
      <c r="F321" s="157"/>
      <c r="G321" s="152"/>
      <c r="H321" s="323" t="s">
        <v>3918</v>
      </c>
      <c r="I321" s="152"/>
      <c r="J321" s="157"/>
      <c r="K321" s="157">
        <v>5800362597</v>
      </c>
      <c r="L321" s="227">
        <v>13208.691000000001</v>
      </c>
      <c r="M321" s="157" t="s">
        <v>4090</v>
      </c>
      <c r="N321" s="152">
        <f t="shared" si="40"/>
        <v>142152.62436201199</v>
      </c>
      <c r="O321" s="152">
        <f t="shared" si="41"/>
        <v>1811456.7543620118</v>
      </c>
    </row>
    <row r="322" spans="1:15" x14ac:dyDescent="0.15">
      <c r="A322" s="154"/>
      <c r="B322" s="151"/>
      <c r="C322" s="152"/>
      <c r="D322" s="323"/>
      <c r="E322" s="154"/>
      <c r="F322" s="157"/>
      <c r="G322" s="152"/>
      <c r="H322" s="323" t="s">
        <v>3918</v>
      </c>
      <c r="I322" s="152"/>
      <c r="J322" s="157"/>
      <c r="K322" s="157">
        <v>5800362597</v>
      </c>
      <c r="L322" s="227">
        <v>4735.4799999999996</v>
      </c>
      <c r="M322" s="157" t="s">
        <v>4090</v>
      </c>
      <c r="N322" s="152">
        <f t="shared" si="40"/>
        <v>137417.14436201198</v>
      </c>
      <c r="O322" s="152">
        <f t="shared" si="41"/>
        <v>1806721.2743620118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3918</v>
      </c>
      <c r="I323" s="152"/>
      <c r="J323" s="157"/>
      <c r="K323" s="157">
        <v>5800362597</v>
      </c>
      <c r="L323" s="227">
        <v>15323.553</v>
      </c>
      <c r="M323" s="157" t="s">
        <v>4090</v>
      </c>
      <c r="N323" s="152">
        <f t="shared" si="40"/>
        <v>122093.59136201198</v>
      </c>
      <c r="O323" s="152">
        <f t="shared" si="41"/>
        <v>1791397.7213620117</v>
      </c>
    </row>
    <row r="324" spans="1:15" hidden="1" x14ac:dyDescent="0.15">
      <c r="A324" s="154"/>
      <c r="B324" s="151"/>
      <c r="C324" s="152"/>
      <c r="D324" s="323"/>
      <c r="E324" s="154"/>
      <c r="F324" s="157"/>
      <c r="G324" s="152"/>
      <c r="H324" s="323"/>
      <c r="I324" s="152"/>
      <c r="J324" s="157"/>
      <c r="K324" s="157"/>
      <c r="L324" s="227"/>
      <c r="M324" s="157"/>
      <c r="N324" s="152">
        <f t="shared" si="40"/>
        <v>122093.59136201198</v>
      </c>
      <c r="O324" s="152">
        <f t="shared" si="41"/>
        <v>1791397.7213620117</v>
      </c>
    </row>
    <row r="325" spans="1:15" hidden="1" x14ac:dyDescent="0.15">
      <c r="A325" s="154"/>
      <c r="B325" s="151"/>
      <c r="C325" s="152"/>
      <c r="D325" s="323"/>
      <c r="E325" s="154"/>
      <c r="F325" s="157"/>
      <c r="G325" s="152"/>
      <c r="H325" s="323"/>
      <c r="I325" s="152"/>
      <c r="J325" s="157"/>
      <c r="K325" s="157"/>
      <c r="L325" s="227"/>
      <c r="M325" s="157"/>
      <c r="N325" s="152">
        <f t="shared" si="40"/>
        <v>122093.59136201198</v>
      </c>
      <c r="O325" s="152">
        <f t="shared" si="41"/>
        <v>1791397.7213620117</v>
      </c>
    </row>
    <row r="326" spans="1:15" hidden="1" x14ac:dyDescent="0.15">
      <c r="A326" s="154"/>
      <c r="B326" s="151"/>
      <c r="C326" s="152"/>
      <c r="D326" s="323"/>
      <c r="E326" s="154"/>
      <c r="F326" s="157"/>
      <c r="G326" s="152"/>
      <c r="H326" s="323"/>
      <c r="I326" s="152"/>
      <c r="J326" s="157"/>
      <c r="K326" s="157"/>
      <c r="L326" s="227"/>
      <c r="M326" s="157"/>
      <c r="N326" s="152">
        <f t="shared" si="40"/>
        <v>122093.59136201198</v>
      </c>
      <c r="O326" s="152">
        <f t="shared" si="41"/>
        <v>1791397.7213620117</v>
      </c>
    </row>
    <row r="327" spans="1:15" hidden="1" x14ac:dyDescent="0.15">
      <c r="A327" s="154"/>
      <c r="B327" s="151"/>
      <c r="C327" s="152"/>
      <c r="D327" s="323"/>
      <c r="E327" s="154"/>
      <c r="F327" s="157"/>
      <c r="G327" s="152"/>
      <c r="H327" s="323"/>
      <c r="I327" s="152"/>
      <c r="J327" s="157"/>
      <c r="K327" s="157"/>
      <c r="L327" s="227"/>
      <c r="M327" s="157"/>
      <c r="N327" s="152">
        <f t="shared" si="40"/>
        <v>122093.59136201198</v>
      </c>
      <c r="O327" s="152">
        <f t="shared" si="41"/>
        <v>1791397.7213620117</v>
      </c>
    </row>
    <row r="328" spans="1:15" hidden="1" x14ac:dyDescent="0.15">
      <c r="A328" s="154"/>
      <c r="B328" s="151"/>
      <c r="C328" s="152"/>
      <c r="D328" s="323"/>
      <c r="E328" s="154"/>
      <c r="F328" s="157"/>
      <c r="G328" s="152"/>
      <c r="H328" s="323"/>
      <c r="I328" s="152"/>
      <c r="J328" s="157"/>
      <c r="K328" s="157"/>
      <c r="L328" s="227"/>
      <c r="M328" s="157"/>
      <c r="N328" s="152">
        <f t="shared" si="40"/>
        <v>122093.59136201198</v>
      </c>
      <c r="O328" s="152">
        <f t="shared" si="41"/>
        <v>1791397.7213620117</v>
      </c>
    </row>
    <row r="329" spans="1:15" hidden="1" x14ac:dyDescent="0.15">
      <c r="A329" s="154"/>
      <c r="B329" s="151"/>
      <c r="C329" s="152"/>
      <c r="D329" s="323"/>
      <c r="E329" s="154"/>
      <c r="F329" s="157"/>
      <c r="G329" s="152"/>
      <c r="H329" s="323"/>
      <c r="I329" s="152"/>
      <c r="J329" s="157"/>
      <c r="K329" s="157"/>
      <c r="L329" s="227"/>
      <c r="M329" s="157"/>
      <c r="N329" s="152">
        <f t="shared" si="40"/>
        <v>122093.59136201198</v>
      </c>
      <c r="O329" s="152">
        <f t="shared" si="41"/>
        <v>1791397.7213620117</v>
      </c>
    </row>
    <row r="330" spans="1:15" hidden="1" x14ac:dyDescent="0.15">
      <c r="A330" s="154"/>
      <c r="B330" s="151"/>
      <c r="C330" s="152"/>
      <c r="D330" s="323"/>
      <c r="E330" s="154"/>
      <c r="F330" s="157"/>
      <c r="G330" s="152"/>
      <c r="H330" s="323"/>
      <c r="I330" s="152"/>
      <c r="J330" s="157"/>
      <c r="K330" s="157"/>
      <c r="L330" s="227"/>
      <c r="M330" s="157"/>
      <c r="N330" s="152">
        <f t="shared" si="40"/>
        <v>122093.59136201198</v>
      </c>
      <c r="O330" s="152">
        <f t="shared" si="41"/>
        <v>1791397.7213620117</v>
      </c>
    </row>
    <row r="331" spans="1:15" hidden="1" x14ac:dyDescent="0.15">
      <c r="A331" s="154"/>
      <c r="B331" s="151"/>
      <c r="C331" s="152"/>
      <c r="D331" s="323"/>
      <c r="E331" s="154"/>
      <c r="F331" s="157"/>
      <c r="G331" s="152"/>
      <c r="H331" s="323"/>
      <c r="I331" s="152"/>
      <c r="J331" s="157"/>
      <c r="K331" s="157"/>
      <c r="L331" s="227"/>
      <c r="M331" s="157"/>
      <c r="N331" s="152">
        <f t="shared" si="40"/>
        <v>122093.59136201198</v>
      </c>
      <c r="O331" s="152">
        <f t="shared" si="41"/>
        <v>1791397.7213620117</v>
      </c>
    </row>
    <row r="332" spans="1:15" hidden="1" x14ac:dyDescent="0.15">
      <c r="A332" s="154"/>
      <c r="B332" s="151"/>
      <c r="C332" s="152"/>
      <c r="D332" s="323"/>
      <c r="E332" s="154"/>
      <c r="F332" s="157"/>
      <c r="G332" s="152"/>
      <c r="H332" s="323"/>
      <c r="I332" s="152"/>
      <c r="J332" s="157"/>
      <c r="K332" s="157"/>
      <c r="L332" s="227"/>
      <c r="M332" s="157"/>
      <c r="N332" s="152">
        <f t="shared" si="40"/>
        <v>122093.59136201198</v>
      </c>
      <c r="O332" s="152">
        <f t="shared" si="41"/>
        <v>1791397.7213620117</v>
      </c>
    </row>
    <row r="333" spans="1:15" hidden="1" x14ac:dyDescent="0.15">
      <c r="A333" s="154"/>
      <c r="B333" s="151"/>
      <c r="C333" s="152"/>
      <c r="D333" s="323"/>
      <c r="E333" s="154"/>
      <c r="F333" s="157"/>
      <c r="G333" s="152"/>
      <c r="H333" s="323"/>
      <c r="I333" s="152"/>
      <c r="J333" s="157"/>
      <c r="K333" s="157"/>
      <c r="L333" s="227"/>
      <c r="M333" s="157"/>
      <c r="N333" s="152">
        <f t="shared" si="40"/>
        <v>122093.59136201198</v>
      </c>
      <c r="O333" s="152">
        <f t="shared" si="41"/>
        <v>1791397.7213620117</v>
      </c>
    </row>
    <row r="334" spans="1:15" hidden="1" x14ac:dyDescent="0.15">
      <c r="A334" s="154"/>
      <c r="B334" s="151"/>
      <c r="C334" s="152"/>
      <c r="D334" s="323"/>
      <c r="E334" s="154"/>
      <c r="F334" s="157"/>
      <c r="G334" s="152"/>
      <c r="H334" s="323"/>
      <c r="I334" s="152"/>
      <c r="J334" s="157"/>
      <c r="K334" s="157"/>
      <c r="L334" s="227"/>
      <c r="M334" s="157"/>
      <c r="N334" s="152">
        <f t="shared" si="40"/>
        <v>122093.59136201198</v>
      </c>
      <c r="O334" s="152">
        <f t="shared" si="41"/>
        <v>1791397.7213620117</v>
      </c>
    </row>
    <row r="335" spans="1:15" hidden="1" x14ac:dyDescent="0.15">
      <c r="A335" s="154"/>
      <c r="B335" s="151"/>
      <c r="C335" s="152"/>
      <c r="D335" s="323"/>
      <c r="E335" s="154"/>
      <c r="F335" s="157"/>
      <c r="G335" s="152"/>
      <c r="H335" s="323"/>
      <c r="I335" s="152"/>
      <c r="J335" s="157"/>
      <c r="K335" s="157"/>
      <c r="L335" s="227"/>
      <c r="M335" s="157"/>
      <c r="N335" s="152">
        <f t="shared" si="40"/>
        <v>122093.59136201198</v>
      </c>
      <c r="O335" s="152">
        <f t="shared" si="41"/>
        <v>1791397.7213620117</v>
      </c>
    </row>
    <row r="336" spans="1:15" hidden="1" x14ac:dyDescent="0.15">
      <c r="A336" s="154"/>
      <c r="B336" s="151"/>
      <c r="C336" s="152"/>
      <c r="D336" s="323"/>
      <c r="E336" s="154"/>
      <c r="F336" s="157"/>
      <c r="G336" s="152"/>
      <c r="H336" s="323"/>
      <c r="I336" s="152"/>
      <c r="J336" s="157"/>
      <c r="K336" s="157"/>
      <c r="L336" s="227"/>
      <c r="M336" s="157"/>
      <c r="N336" s="152">
        <f t="shared" si="40"/>
        <v>122093.59136201198</v>
      </c>
      <c r="O336" s="152">
        <f t="shared" si="41"/>
        <v>1791397.7213620117</v>
      </c>
    </row>
    <row r="337" spans="1:15" hidden="1" x14ac:dyDescent="0.15">
      <c r="A337" s="154"/>
      <c r="B337" s="151"/>
      <c r="C337" s="152"/>
      <c r="D337" s="323"/>
      <c r="E337" s="154"/>
      <c r="F337" s="157"/>
      <c r="G337" s="152"/>
      <c r="H337" s="323"/>
      <c r="I337" s="152"/>
      <c r="J337" s="157"/>
      <c r="K337" s="157"/>
      <c r="L337" s="227"/>
      <c r="M337" s="157"/>
      <c r="N337" s="152">
        <f t="shared" si="40"/>
        <v>122093.59136201198</v>
      </c>
      <c r="O337" s="152">
        <f t="shared" si="41"/>
        <v>1791397.7213620117</v>
      </c>
    </row>
    <row r="338" spans="1:15" hidden="1" x14ac:dyDescent="0.15">
      <c r="A338" s="154"/>
      <c r="B338" s="151"/>
      <c r="C338" s="152"/>
      <c r="D338" s="323"/>
      <c r="E338" s="154"/>
      <c r="F338" s="157"/>
      <c r="G338" s="152"/>
      <c r="H338" s="323"/>
      <c r="I338" s="152"/>
      <c r="J338" s="157"/>
      <c r="K338" s="157"/>
      <c r="L338" s="227"/>
      <c r="M338" s="157"/>
      <c r="N338" s="152">
        <f t="shared" si="40"/>
        <v>122093.59136201198</v>
      </c>
      <c r="O338" s="152">
        <f t="shared" si="41"/>
        <v>1791397.7213620117</v>
      </c>
    </row>
    <row r="339" spans="1:15" hidden="1" x14ac:dyDescent="0.15">
      <c r="A339" s="154"/>
      <c r="B339" s="151"/>
      <c r="C339" s="152"/>
      <c r="D339" s="323"/>
      <c r="E339" s="154"/>
      <c r="F339" s="157"/>
      <c r="G339" s="152"/>
      <c r="H339" s="323"/>
      <c r="I339" s="152"/>
      <c r="J339" s="157"/>
      <c r="K339" s="157"/>
      <c r="L339" s="227"/>
      <c r="M339" s="157"/>
      <c r="N339" s="152">
        <f t="shared" si="40"/>
        <v>122093.59136201198</v>
      </c>
      <c r="O339" s="152">
        <f t="shared" si="41"/>
        <v>1791397.7213620117</v>
      </c>
    </row>
    <row r="340" spans="1:15" hidden="1" x14ac:dyDescent="0.15">
      <c r="A340" s="154"/>
      <c r="B340" s="151"/>
      <c r="C340" s="152"/>
      <c r="D340" s="323"/>
      <c r="E340" s="154"/>
      <c r="F340" s="157"/>
      <c r="G340" s="152"/>
      <c r="H340" s="323"/>
      <c r="I340" s="152"/>
      <c r="J340" s="157"/>
      <c r="K340" s="157"/>
      <c r="L340" s="227"/>
      <c r="M340" s="157"/>
      <c r="N340" s="152">
        <f t="shared" si="40"/>
        <v>122093.59136201198</v>
      </c>
      <c r="O340" s="152">
        <f t="shared" si="41"/>
        <v>1791397.7213620117</v>
      </c>
    </row>
    <row r="341" spans="1:15" hidden="1" x14ac:dyDescent="0.15">
      <c r="A341" s="154"/>
      <c r="B341" s="151"/>
      <c r="C341" s="152"/>
      <c r="D341" s="323"/>
      <c r="E341" s="154"/>
      <c r="F341" s="157"/>
      <c r="G341" s="152"/>
      <c r="H341" s="323"/>
      <c r="I341" s="152"/>
      <c r="J341" s="157"/>
      <c r="K341" s="157"/>
      <c r="L341" s="227"/>
      <c r="M341" s="157"/>
      <c r="N341" s="152">
        <f t="shared" si="40"/>
        <v>122093.59136201198</v>
      </c>
      <c r="O341" s="152">
        <f t="shared" si="41"/>
        <v>1791397.7213620117</v>
      </c>
    </row>
    <row r="342" spans="1:15" hidden="1" x14ac:dyDescent="0.15">
      <c r="A342" s="154"/>
      <c r="B342" s="151"/>
      <c r="C342" s="152"/>
      <c r="D342" s="323"/>
      <c r="E342" s="154"/>
      <c r="F342" s="157"/>
      <c r="G342" s="152"/>
      <c r="H342" s="323"/>
      <c r="I342" s="152"/>
      <c r="J342" s="157"/>
      <c r="K342" s="157"/>
      <c r="L342" s="227"/>
      <c r="M342" s="157"/>
      <c r="N342" s="152">
        <f t="shared" si="40"/>
        <v>122093.59136201198</v>
      </c>
      <c r="O342" s="152">
        <f t="shared" si="41"/>
        <v>1791397.7213620117</v>
      </c>
    </row>
    <row r="343" spans="1:15" hidden="1" x14ac:dyDescent="0.15">
      <c r="A343" s="154"/>
      <c r="B343" s="151"/>
      <c r="C343" s="152"/>
      <c r="D343" s="323"/>
      <c r="E343" s="154"/>
      <c r="F343" s="157"/>
      <c r="G343" s="152"/>
      <c r="H343" s="323"/>
      <c r="I343" s="152"/>
      <c r="J343" s="157"/>
      <c r="K343" s="157"/>
      <c r="L343" s="227"/>
      <c r="M343" s="157"/>
      <c r="N343" s="152">
        <f t="shared" si="40"/>
        <v>122093.59136201198</v>
      </c>
      <c r="O343" s="152">
        <f t="shared" si="41"/>
        <v>1791397.7213620117</v>
      </c>
    </row>
    <row r="344" spans="1:15" hidden="1" x14ac:dyDescent="0.15">
      <c r="A344" s="154"/>
      <c r="B344" s="151"/>
      <c r="C344" s="152"/>
      <c r="D344" s="323"/>
      <c r="E344" s="154"/>
      <c r="F344" s="157"/>
      <c r="G344" s="152"/>
      <c r="H344" s="323"/>
      <c r="I344" s="152"/>
      <c r="J344" s="157"/>
      <c r="K344" s="157"/>
      <c r="L344" s="227"/>
      <c r="M344" s="157"/>
      <c r="N344" s="152">
        <f t="shared" si="40"/>
        <v>122093.59136201198</v>
      </c>
      <c r="O344" s="152">
        <f t="shared" si="41"/>
        <v>1791397.7213620117</v>
      </c>
    </row>
    <row r="345" spans="1:15" hidden="1" x14ac:dyDescent="0.15">
      <c r="A345" s="154"/>
      <c r="B345" s="151"/>
      <c r="C345" s="152"/>
      <c r="D345" s="323"/>
      <c r="E345" s="154"/>
      <c r="F345" s="157"/>
      <c r="G345" s="152"/>
      <c r="H345" s="323"/>
      <c r="I345" s="152"/>
      <c r="J345" s="157"/>
      <c r="K345" s="157"/>
      <c r="L345" s="227"/>
      <c r="M345" s="157"/>
      <c r="N345" s="152">
        <f t="shared" si="40"/>
        <v>122093.59136201198</v>
      </c>
      <c r="O345" s="152">
        <f t="shared" si="41"/>
        <v>1791397.7213620117</v>
      </c>
    </row>
    <row r="346" spans="1:15" hidden="1" x14ac:dyDescent="0.15">
      <c r="A346" s="154"/>
      <c r="B346" s="151"/>
      <c r="C346" s="152"/>
      <c r="D346" s="323"/>
      <c r="E346" s="154"/>
      <c r="F346" s="157"/>
      <c r="G346" s="152"/>
      <c r="H346" s="323"/>
      <c r="I346" s="152"/>
      <c r="J346" s="157"/>
      <c r="K346" s="157"/>
      <c r="L346" s="227"/>
      <c r="M346" s="157"/>
      <c r="N346" s="152">
        <f t="shared" si="40"/>
        <v>122093.59136201198</v>
      </c>
      <c r="O346" s="152">
        <f t="shared" si="41"/>
        <v>1791397.7213620117</v>
      </c>
    </row>
    <row r="347" spans="1:15" hidden="1" x14ac:dyDescent="0.15">
      <c r="A347" s="154"/>
      <c r="B347" s="151"/>
      <c r="C347" s="151"/>
      <c r="D347" s="323"/>
      <c r="E347" s="154"/>
      <c r="F347" s="157"/>
      <c r="G347" s="152"/>
      <c r="H347" s="323"/>
      <c r="I347" s="152"/>
      <c r="J347" s="154"/>
      <c r="K347" s="154"/>
      <c r="L347" s="227"/>
      <c r="M347" s="157"/>
      <c r="N347" s="152">
        <f t="shared" ref="N347:N351" si="46">+N346-I347-L347</f>
        <v>122093.59136201198</v>
      </c>
      <c r="O347" s="152">
        <f t="shared" ref="O347:O351" si="47">O346+G347-I347-L347</f>
        <v>1791397.7213620117</v>
      </c>
    </row>
    <row r="348" spans="1:15" hidden="1" x14ac:dyDescent="0.15">
      <c r="A348" s="154"/>
      <c r="B348" s="151"/>
      <c r="C348" s="151"/>
      <c r="D348" s="323"/>
      <c r="E348" s="155"/>
      <c r="F348" s="157"/>
      <c r="G348" s="152"/>
      <c r="H348" s="323"/>
      <c r="I348" s="152"/>
      <c r="J348" s="154"/>
      <c r="K348" s="154"/>
      <c r="L348" s="227"/>
      <c r="M348" s="157"/>
      <c r="N348" s="152">
        <f t="shared" si="46"/>
        <v>122093.59136201198</v>
      </c>
      <c r="O348" s="152">
        <f t="shared" si="47"/>
        <v>1791397.7213620117</v>
      </c>
    </row>
    <row r="349" spans="1:15" hidden="1" x14ac:dyDescent="0.15">
      <c r="A349" s="154"/>
      <c r="B349" s="151"/>
      <c r="C349" s="151"/>
      <c r="D349" s="323"/>
      <c r="E349" s="154"/>
      <c r="F349" s="160"/>
      <c r="G349" s="152"/>
      <c r="H349" s="323"/>
      <c r="I349" s="152"/>
      <c r="J349" s="157"/>
      <c r="K349" s="154"/>
      <c r="L349" s="227"/>
      <c r="M349" s="157"/>
      <c r="N349" s="152">
        <f t="shared" si="46"/>
        <v>122093.59136201198</v>
      </c>
      <c r="O349" s="152">
        <f t="shared" si="47"/>
        <v>1791397.7213620117</v>
      </c>
    </row>
    <row r="350" spans="1:15" hidden="1" x14ac:dyDescent="0.15">
      <c r="A350" s="154"/>
      <c r="B350" s="151"/>
      <c r="C350" s="151"/>
      <c r="D350" s="323"/>
      <c r="E350" s="154"/>
      <c r="F350" s="160"/>
      <c r="G350" s="152"/>
      <c r="H350" s="323"/>
      <c r="I350" s="152"/>
      <c r="J350" s="150"/>
      <c r="K350" s="154"/>
      <c r="L350" s="227"/>
      <c r="M350" s="157"/>
      <c r="N350" s="152">
        <f t="shared" si="46"/>
        <v>122093.59136201198</v>
      </c>
      <c r="O350" s="152">
        <f t="shared" si="47"/>
        <v>1791397.7213620117</v>
      </c>
    </row>
    <row r="351" spans="1:15" x14ac:dyDescent="0.15">
      <c r="A351" s="173"/>
      <c r="B351" s="173"/>
      <c r="C351" s="174"/>
      <c r="D351" s="323"/>
      <c r="E351" s="173"/>
      <c r="F351" s="173"/>
      <c r="G351" s="174"/>
      <c r="H351" s="323"/>
      <c r="I351" s="174"/>
      <c r="J351" s="173"/>
      <c r="K351" s="154"/>
      <c r="L351" s="228"/>
      <c r="M351" s="173"/>
      <c r="N351" s="152">
        <f t="shared" si="46"/>
        <v>122093.59136201198</v>
      </c>
      <c r="O351" s="152">
        <f t="shared" si="47"/>
        <v>1791397.7213620117</v>
      </c>
    </row>
    <row r="352" spans="1:15" x14ac:dyDescent="0.15">
      <c r="A352" s="177"/>
      <c r="B352" s="177"/>
      <c r="C352" s="178">
        <f>SUM(C7:C350)</f>
        <v>1965914.9503620123</v>
      </c>
      <c r="D352" s="177"/>
      <c r="E352" s="177"/>
      <c r="F352" s="177"/>
      <c r="G352" s="178">
        <f>SUM(G7:G351)</f>
        <v>4790476.491999995</v>
      </c>
      <c r="H352" s="179"/>
      <c r="I352" s="178">
        <f>SUM(I7:I351)</f>
        <v>429385.5230000001</v>
      </c>
      <c r="J352" s="177"/>
      <c r="K352" s="177"/>
      <c r="L352" s="178">
        <f>SUM(L7:L351)</f>
        <v>4535608.1980000008</v>
      </c>
      <c r="M352" s="177"/>
      <c r="N352" s="180"/>
      <c r="O352" s="181">
        <f>C352+G352-I352-L352</f>
        <v>1791397.7213620059</v>
      </c>
    </row>
    <row r="353" spans="1:15" x14ac:dyDescent="0.15">
      <c r="A353" s="182"/>
      <c r="B353" s="465"/>
      <c r="C353" s="465"/>
      <c r="D353" s="465"/>
      <c r="E353" s="183"/>
      <c r="F353" s="284"/>
      <c r="G353" s="185">
        <f>+G352-'[1]รับ 1115'!$D$177</f>
        <v>0</v>
      </c>
      <c r="H353" s="186"/>
      <c r="I353" s="187"/>
      <c r="J353" s="188"/>
      <c r="K353" s="189" t="s">
        <v>139</v>
      </c>
      <c r="L353" s="190">
        <f>+L352+I352</f>
        <v>4964993.7210000008</v>
      </c>
      <c r="M353" s="197">
        <f>+L353-[3]กระบี่!$N$429</f>
        <v>0</v>
      </c>
      <c r="N353" s="230">
        <f>+N351</f>
        <v>122093.59136201198</v>
      </c>
      <c r="O353" s="195" t="s">
        <v>4090</v>
      </c>
    </row>
    <row r="354" spans="1:15" x14ac:dyDescent="0.15">
      <c r="A354" s="188"/>
      <c r="E354" s="183"/>
      <c r="F354" s="449"/>
      <c r="G354" s="219"/>
      <c r="H354" s="186"/>
      <c r="I354" s="187"/>
      <c r="J354" s="210"/>
      <c r="N354" s="230">
        <v>219710.81699999998</v>
      </c>
      <c r="O354" s="334" t="s">
        <v>4091</v>
      </c>
    </row>
    <row r="355" spans="1:15" x14ac:dyDescent="0.15">
      <c r="A355" s="188"/>
      <c r="E355" s="183"/>
      <c r="F355" s="452"/>
      <c r="G355" s="219"/>
      <c r="H355" s="186"/>
      <c r="I355" s="187"/>
      <c r="J355" s="210"/>
      <c r="N355" s="230">
        <v>131852.285</v>
      </c>
      <c r="O355" s="334" t="s">
        <v>4092</v>
      </c>
    </row>
    <row r="356" spans="1:15" x14ac:dyDescent="0.15">
      <c r="A356" s="188"/>
      <c r="E356" s="183"/>
      <c r="F356" s="452"/>
      <c r="G356" s="219"/>
      <c r="H356" s="186"/>
      <c r="I356" s="187"/>
      <c r="J356" s="210"/>
      <c r="N356" s="230">
        <v>175774.011</v>
      </c>
      <c r="O356" s="334" t="s">
        <v>4093</v>
      </c>
    </row>
    <row r="357" spans="1:15" x14ac:dyDescent="0.15">
      <c r="A357" s="188"/>
      <c r="E357" s="183"/>
      <c r="F357" s="452"/>
      <c r="G357" s="219"/>
      <c r="H357" s="186"/>
      <c r="I357" s="187"/>
      <c r="J357" s="210"/>
      <c r="N357" s="230">
        <v>80184.873000000109</v>
      </c>
      <c r="O357" s="334" t="s">
        <v>4094</v>
      </c>
    </row>
    <row r="358" spans="1:15" x14ac:dyDescent="0.15">
      <c r="A358" s="188" t="s">
        <v>3510</v>
      </c>
      <c r="B358" s="131" t="s">
        <v>3522</v>
      </c>
      <c r="E358" s="183" t="s">
        <v>55</v>
      </c>
      <c r="F358" s="452">
        <v>42150241.020000003</v>
      </c>
      <c r="G358" s="219" t="s">
        <v>56</v>
      </c>
      <c r="H358" s="186">
        <v>42298</v>
      </c>
      <c r="I358" s="187" t="s">
        <v>71</v>
      </c>
      <c r="J358" s="210">
        <v>62085.132362012097</v>
      </c>
      <c r="N358" s="230">
        <v>490653.36099999998</v>
      </c>
      <c r="O358" s="334" t="s">
        <v>4095</v>
      </c>
    </row>
    <row r="359" spans="1:15" x14ac:dyDescent="0.15">
      <c r="A359" s="188" t="s">
        <v>3513</v>
      </c>
      <c r="B359" s="131" t="s">
        <v>4100</v>
      </c>
      <c r="E359" s="183" t="s">
        <v>55</v>
      </c>
      <c r="F359" s="452">
        <v>27190912.190000001</v>
      </c>
      <c r="G359" s="219" t="s">
        <v>56</v>
      </c>
      <c r="H359" s="186">
        <v>41209</v>
      </c>
      <c r="I359" s="187" t="s">
        <v>71</v>
      </c>
      <c r="J359" s="210">
        <v>154389.89500000002</v>
      </c>
      <c r="N359" s="230">
        <v>175531.11499999999</v>
      </c>
      <c r="O359" s="195" t="s">
        <v>4096</v>
      </c>
    </row>
    <row r="360" spans="1:15" x14ac:dyDescent="0.15">
      <c r="A360" s="188" t="s">
        <v>4080</v>
      </c>
      <c r="B360" s="131" t="s">
        <v>4101</v>
      </c>
      <c r="E360" s="183" t="s">
        <v>55</v>
      </c>
      <c r="F360" s="452">
        <v>21527243.100000001</v>
      </c>
      <c r="G360" s="219" t="s">
        <v>56</v>
      </c>
      <c r="H360" s="186">
        <v>42318</v>
      </c>
      <c r="I360" s="187" t="s">
        <v>71</v>
      </c>
      <c r="J360" s="210">
        <v>488848.3179999995</v>
      </c>
      <c r="N360" s="230">
        <v>263830.68199999997</v>
      </c>
      <c r="O360" s="195" t="s">
        <v>4097</v>
      </c>
    </row>
    <row r="361" spans="1:15" x14ac:dyDescent="0.15">
      <c r="A361" s="188" t="s">
        <v>4082</v>
      </c>
      <c r="B361" s="131" t="s">
        <v>4102</v>
      </c>
      <c r="E361" s="183" t="s">
        <v>55</v>
      </c>
      <c r="F361" s="452">
        <v>47191825.340000004</v>
      </c>
      <c r="G361" s="219" t="s">
        <v>56</v>
      </c>
      <c r="H361" s="186">
        <v>42320</v>
      </c>
      <c r="I361" s="187" t="s">
        <v>71</v>
      </c>
      <c r="J361" s="210">
        <v>246229.97999999943</v>
      </c>
      <c r="N361" s="230">
        <v>131766.986</v>
      </c>
      <c r="O361" s="195" t="s">
        <v>4098</v>
      </c>
    </row>
    <row r="362" spans="1:15" x14ac:dyDescent="0.15">
      <c r="A362" s="188" t="s">
        <v>4083</v>
      </c>
      <c r="B362" s="131" t="s">
        <v>4103</v>
      </c>
      <c r="E362" s="183" t="s">
        <v>55</v>
      </c>
      <c r="F362" s="452">
        <v>114534335.64</v>
      </c>
      <c r="G362" s="219" t="s">
        <v>56</v>
      </c>
      <c r="H362" s="186">
        <v>42325</v>
      </c>
      <c r="I362" s="187" t="s">
        <v>71</v>
      </c>
      <c r="J362" s="210">
        <v>159995.33600000001</v>
      </c>
      <c r="N362" s="230"/>
      <c r="O362" s="195"/>
    </row>
    <row r="363" spans="1:15" x14ac:dyDescent="0.15">
      <c r="A363" s="188" t="s">
        <v>4099</v>
      </c>
      <c r="B363" s="131" t="s">
        <v>4104</v>
      </c>
      <c r="E363" s="183" t="s">
        <v>55</v>
      </c>
      <c r="F363" s="452">
        <v>89231356.290000007</v>
      </c>
      <c r="G363" s="219" t="s">
        <v>56</v>
      </c>
      <c r="H363" s="186">
        <v>42327</v>
      </c>
      <c r="I363" s="187" t="s">
        <v>71</v>
      </c>
      <c r="J363" s="210">
        <v>131962.989</v>
      </c>
      <c r="K363" s="297"/>
      <c r="N363" s="206" t="s">
        <v>33</v>
      </c>
      <c r="O363" s="207">
        <f>SUM(N353:N362)</f>
        <v>1791397.7213620122</v>
      </c>
    </row>
    <row r="364" spans="1:15" x14ac:dyDescent="0.15">
      <c r="A364" s="188" t="s">
        <v>4087</v>
      </c>
      <c r="B364" s="131" t="s">
        <v>4105</v>
      </c>
      <c r="E364" s="183" t="s">
        <v>55</v>
      </c>
      <c r="F364" s="452">
        <v>30575294.91</v>
      </c>
      <c r="G364" s="219" t="s">
        <v>56</v>
      </c>
      <c r="H364" s="186">
        <v>42328</v>
      </c>
      <c r="I364" s="187" t="s">
        <v>71</v>
      </c>
      <c r="J364" s="210">
        <v>326650.31863798894</v>
      </c>
      <c r="K364" s="333"/>
      <c r="O364" s="190">
        <f>+O352-O363</f>
        <v>-6.28642737865448E-9</v>
      </c>
    </row>
    <row r="365" spans="1:15" s="132" customFormat="1" x14ac:dyDescent="0.15">
      <c r="A365" s="188" t="s">
        <v>4089</v>
      </c>
      <c r="B365" s="131" t="s">
        <v>4106</v>
      </c>
      <c r="D365" s="133"/>
      <c r="E365" s="183" t="s">
        <v>55</v>
      </c>
      <c r="F365" s="452">
        <v>53599232.340000004</v>
      </c>
      <c r="G365" s="219" t="s">
        <v>56</v>
      </c>
      <c r="H365" s="186">
        <v>42332</v>
      </c>
      <c r="I365" s="187" t="s">
        <v>71</v>
      </c>
      <c r="J365" s="210">
        <v>330614.50000000093</v>
      </c>
      <c r="K365" s="333"/>
      <c r="M365" s="134"/>
    </row>
    <row r="366" spans="1:15" s="132" customFormat="1" ht="12" thickBot="1" x14ac:dyDescent="0.2">
      <c r="A366" s="133"/>
      <c r="B366" s="450"/>
      <c r="C366" s="450"/>
      <c r="D366" s="450"/>
      <c r="E366" s="183"/>
      <c r="F366" s="451"/>
      <c r="G366" s="219"/>
      <c r="H366" s="186"/>
      <c r="I366" s="217" t="s">
        <v>856</v>
      </c>
      <c r="J366" s="211">
        <f>SUM(J358:J365)</f>
        <v>1900776.469000001</v>
      </c>
      <c r="K366" s="133"/>
      <c r="M366" s="134"/>
    </row>
    <row r="367" spans="1:15" s="132" customFormat="1" ht="12" thickTop="1" x14ac:dyDescent="0.15">
      <c r="A367" s="193" t="s">
        <v>3511</v>
      </c>
      <c r="B367" s="131" t="s">
        <v>4107</v>
      </c>
      <c r="D367" s="133"/>
      <c r="E367" s="183" t="s">
        <v>55</v>
      </c>
      <c r="F367" s="452">
        <v>120406294.09</v>
      </c>
      <c r="G367" s="219" t="s">
        <v>56</v>
      </c>
      <c r="H367" s="186">
        <v>42298</v>
      </c>
      <c r="I367" s="187" t="s">
        <v>71</v>
      </c>
      <c r="J367" s="210">
        <v>122203.22163798791</v>
      </c>
      <c r="K367" s="133"/>
      <c r="M367" s="134"/>
    </row>
    <row r="368" spans="1:15" s="132" customFormat="1" x14ac:dyDescent="0.15">
      <c r="A368" s="193" t="s">
        <v>3512</v>
      </c>
      <c r="B368" s="131" t="s">
        <v>4108</v>
      </c>
      <c r="D368" s="133"/>
      <c r="E368" s="183" t="s">
        <v>55</v>
      </c>
      <c r="F368" s="452">
        <v>54747194.020000003</v>
      </c>
      <c r="G368" s="219" t="s">
        <v>56</v>
      </c>
      <c r="H368" s="186">
        <v>42303</v>
      </c>
      <c r="I368" s="187" t="s">
        <v>71</v>
      </c>
      <c r="J368" s="210">
        <v>463150.90636201209</v>
      </c>
      <c r="K368" s="333"/>
      <c r="M368" s="134"/>
    </row>
    <row r="369" spans="1:15" s="132" customFormat="1" x14ac:dyDescent="0.15">
      <c r="A369" s="193" t="s">
        <v>3514</v>
      </c>
      <c r="B369" s="131" t="s">
        <v>4109</v>
      </c>
      <c r="D369" s="133"/>
      <c r="E369" s="183" t="s">
        <v>55</v>
      </c>
      <c r="F369" s="452">
        <v>122532208.15000001</v>
      </c>
      <c r="G369" s="219" t="s">
        <v>56</v>
      </c>
      <c r="H369" s="186">
        <v>42306</v>
      </c>
      <c r="I369" s="187" t="s">
        <v>71</v>
      </c>
      <c r="J369" s="210">
        <v>238082.31300000002</v>
      </c>
      <c r="K369" s="133"/>
      <c r="M369" s="134"/>
    </row>
    <row r="370" spans="1:15" s="132" customFormat="1" x14ac:dyDescent="0.15">
      <c r="A370" s="193" t="s">
        <v>3515</v>
      </c>
      <c r="B370" s="131" t="s">
        <v>4110</v>
      </c>
      <c r="D370" s="133"/>
      <c r="E370" s="183" t="s">
        <v>55</v>
      </c>
      <c r="F370" s="452">
        <v>76401825.079999998</v>
      </c>
      <c r="G370" s="219" t="s">
        <v>56</v>
      </c>
      <c r="H370" s="186">
        <v>42307</v>
      </c>
      <c r="I370" s="187" t="s">
        <v>71</v>
      </c>
      <c r="J370" s="210">
        <v>400384.56999999989</v>
      </c>
      <c r="K370" s="193"/>
      <c r="M370" s="134"/>
    </row>
    <row r="371" spans="1:15" s="132" customFormat="1" x14ac:dyDescent="0.15">
      <c r="A371" s="193" t="s">
        <v>3516</v>
      </c>
      <c r="B371" s="131" t="s">
        <v>4111</v>
      </c>
      <c r="D371" s="133"/>
      <c r="E371" s="183" t="s">
        <v>55</v>
      </c>
      <c r="F371" s="452">
        <v>80592449.129999995</v>
      </c>
      <c r="G371" s="219" t="s">
        <v>56</v>
      </c>
      <c r="H371" s="186">
        <v>42311</v>
      </c>
      <c r="I371" s="187" t="s">
        <v>71</v>
      </c>
      <c r="J371" s="210">
        <v>316416.65599999996</v>
      </c>
      <c r="K371" s="193"/>
      <c r="M371" s="134"/>
    </row>
    <row r="372" spans="1:15" s="132" customFormat="1" x14ac:dyDescent="0.15">
      <c r="A372" s="193" t="s">
        <v>4081</v>
      </c>
      <c r="B372" s="131" t="s">
        <v>4112</v>
      </c>
      <c r="D372" s="133"/>
      <c r="E372" s="183" t="s">
        <v>55</v>
      </c>
      <c r="F372" s="452">
        <v>123458788.81999999</v>
      </c>
      <c r="G372" s="219" t="s">
        <v>56</v>
      </c>
      <c r="H372" s="186">
        <v>42317</v>
      </c>
      <c r="I372" s="187" t="s">
        <v>71</v>
      </c>
      <c r="J372" s="210">
        <v>223733.01400000043</v>
      </c>
      <c r="K372" s="133"/>
      <c r="M372" s="134"/>
    </row>
    <row r="373" spans="1:15" s="132" customFormat="1" x14ac:dyDescent="0.15">
      <c r="A373" s="193" t="s">
        <v>4084</v>
      </c>
      <c r="B373" s="131" t="s">
        <v>4113</v>
      </c>
      <c r="D373" s="133"/>
      <c r="E373" s="183" t="s">
        <v>55</v>
      </c>
      <c r="F373" s="452">
        <v>91126818.540000007</v>
      </c>
      <c r="G373" s="219" t="s">
        <v>56</v>
      </c>
      <c r="H373" s="186">
        <v>42324</v>
      </c>
      <c r="I373" s="187" t="s">
        <v>71</v>
      </c>
      <c r="J373" s="210">
        <v>155849.98899999994</v>
      </c>
      <c r="K373" s="333"/>
      <c r="M373" s="134"/>
    </row>
    <row r="374" spans="1:15" s="133" customFormat="1" x14ac:dyDescent="0.15">
      <c r="A374" s="193" t="s">
        <v>4085</v>
      </c>
      <c r="B374" s="131" t="s">
        <v>4114</v>
      </c>
      <c r="C374" s="132"/>
      <c r="E374" s="183" t="s">
        <v>55</v>
      </c>
      <c r="F374" s="452">
        <v>99090337.5</v>
      </c>
      <c r="G374" s="219" t="s">
        <v>56</v>
      </c>
      <c r="H374" s="186">
        <v>42324</v>
      </c>
      <c r="I374" s="187" t="s">
        <v>71</v>
      </c>
      <c r="J374" s="210">
        <v>328977.47600000008</v>
      </c>
      <c r="L374" s="132"/>
      <c r="M374" s="134"/>
      <c r="N374" s="132"/>
      <c r="O374" s="132"/>
    </row>
    <row r="375" spans="1:15" s="132" customFormat="1" x14ac:dyDescent="0.15">
      <c r="A375" s="193" t="s">
        <v>4086</v>
      </c>
      <c r="B375" s="131" t="s">
        <v>4115</v>
      </c>
      <c r="D375" s="133"/>
      <c r="E375" s="183" t="s">
        <v>55</v>
      </c>
      <c r="F375" s="452">
        <v>70015590.930000007</v>
      </c>
      <c r="G375" s="219" t="s">
        <v>56</v>
      </c>
      <c r="H375" s="186">
        <v>42328</v>
      </c>
      <c r="I375" s="187" t="s">
        <v>71</v>
      </c>
      <c r="J375" s="210">
        <v>212952.03099999949</v>
      </c>
      <c r="K375" s="193"/>
      <c r="M375" s="134"/>
    </row>
    <row r="376" spans="1:15" s="132" customFormat="1" x14ac:dyDescent="0.15">
      <c r="A376" s="193" t="s">
        <v>4088</v>
      </c>
      <c r="B376" s="131" t="s">
        <v>4116</v>
      </c>
      <c r="D376" s="133"/>
      <c r="E376" s="183" t="s">
        <v>55</v>
      </c>
      <c r="F376" s="452">
        <v>119830042.95</v>
      </c>
      <c r="G376" s="219" t="s">
        <v>56</v>
      </c>
      <c r="H376" s="186">
        <v>42331</v>
      </c>
      <c r="I376" s="187" t="s">
        <v>71</v>
      </c>
      <c r="J376" s="210">
        <v>119399.7753620111</v>
      </c>
      <c r="K376" s="193"/>
      <c r="M376" s="134"/>
    </row>
    <row r="377" spans="1:15" s="132" customFormat="1" x14ac:dyDescent="0.15">
      <c r="A377" s="193" t="s">
        <v>4090</v>
      </c>
      <c r="B377" s="131" t="s">
        <v>4117</v>
      </c>
      <c r="D377" s="133"/>
      <c r="E377" s="183" t="s">
        <v>55</v>
      </c>
      <c r="F377" s="452">
        <v>70682058.939999998</v>
      </c>
      <c r="G377" s="219" t="s">
        <v>56</v>
      </c>
      <c r="H377" s="186">
        <v>42334</v>
      </c>
      <c r="I377" s="187" t="s">
        <v>71</v>
      </c>
      <c r="J377" s="210">
        <v>53681.776637988005</v>
      </c>
      <c r="K377" s="193"/>
      <c r="M377" s="134"/>
    </row>
    <row r="378" spans="1:15" s="132" customFormat="1" ht="12" thickBot="1" x14ac:dyDescent="0.2">
      <c r="A378" s="133"/>
      <c r="B378" s="450"/>
      <c r="C378" s="450"/>
      <c r="D378" s="450"/>
      <c r="E378" s="183"/>
      <c r="F378" s="451"/>
      <c r="G378" s="219"/>
      <c r="H378" s="186"/>
      <c r="I378" s="217" t="s">
        <v>106</v>
      </c>
      <c r="J378" s="211">
        <f>SUM(J367:J377)</f>
        <v>2634831.7289999994</v>
      </c>
      <c r="K378" s="193"/>
      <c r="M378" s="134"/>
    </row>
    <row r="379" spans="1:15" s="132" customFormat="1" ht="12" thickTop="1" x14ac:dyDescent="0.15">
      <c r="A379" s="133"/>
      <c r="B379" s="450"/>
      <c r="C379" s="450"/>
      <c r="D379" s="450"/>
      <c r="E379" s="183"/>
      <c r="F379" s="451"/>
      <c r="G379" s="219"/>
      <c r="H379" s="186"/>
      <c r="I379" s="187"/>
      <c r="J379" s="210"/>
      <c r="K379" s="193"/>
      <c r="M379" s="134"/>
    </row>
    <row r="380" spans="1:15" s="132" customFormat="1" x14ac:dyDescent="0.15">
      <c r="A380" s="133"/>
      <c r="B380" s="133" t="s">
        <v>9</v>
      </c>
      <c r="C380" s="220" t="s">
        <v>2311</v>
      </c>
      <c r="D380" s="133" t="s">
        <v>570</v>
      </c>
      <c r="E380" s="133" t="s">
        <v>571</v>
      </c>
      <c r="F380" s="133" t="s">
        <v>16</v>
      </c>
      <c r="G380" s="219"/>
      <c r="H380" s="186"/>
      <c r="I380" s="187"/>
      <c r="J380" s="210"/>
      <c r="K380" s="193"/>
      <c r="M380" s="134"/>
    </row>
    <row r="381" spans="1:15" s="132" customFormat="1" x14ac:dyDescent="0.15">
      <c r="A381" s="188" t="s">
        <v>3510</v>
      </c>
      <c r="B381" s="210">
        <v>62085</v>
      </c>
      <c r="C381" s="221">
        <v>0.2</v>
      </c>
      <c r="D381" s="235">
        <f>+B381*C381</f>
        <v>12417</v>
      </c>
      <c r="E381" s="235">
        <f>+D381*0.1</f>
        <v>1241.7</v>
      </c>
      <c r="F381" s="236">
        <f t="shared" ref="F381:F388" si="48">SUM(D381:E381)</f>
        <v>13658.7</v>
      </c>
      <c r="G381" s="134"/>
      <c r="H381" s="134"/>
      <c r="I381" s="187"/>
      <c r="J381" s="210"/>
      <c r="K381" s="193"/>
      <c r="M381" s="134"/>
    </row>
    <row r="382" spans="1:15" s="132" customFormat="1" x14ac:dyDescent="0.15">
      <c r="A382" s="188" t="s">
        <v>3513</v>
      </c>
      <c r="B382" s="210">
        <v>154390</v>
      </c>
      <c r="C382" s="221">
        <v>0.2</v>
      </c>
      <c r="D382" s="235">
        <f>+B382*C382</f>
        <v>30878</v>
      </c>
      <c r="E382" s="235">
        <f t="shared" ref="E382:E388" si="49">+D382*0.1</f>
        <v>3087.8</v>
      </c>
      <c r="F382" s="236">
        <f t="shared" si="48"/>
        <v>33965.800000000003</v>
      </c>
      <c r="G382" s="134"/>
      <c r="H382" s="134"/>
      <c r="J382" s="205"/>
      <c r="K382" s="193"/>
      <c r="M382" s="134"/>
    </row>
    <row r="383" spans="1:15" s="132" customFormat="1" x14ac:dyDescent="0.15">
      <c r="A383" s="188" t="s">
        <v>4080</v>
      </c>
      <c r="B383" s="210">
        <v>488848</v>
      </c>
      <c r="C383" s="221">
        <v>0.2</v>
      </c>
      <c r="D383" s="235">
        <f t="shared" ref="D383:D384" si="50">+B383*C383</f>
        <v>97769.600000000006</v>
      </c>
      <c r="E383" s="235">
        <f t="shared" si="49"/>
        <v>9776.9600000000009</v>
      </c>
      <c r="F383" s="236">
        <f t="shared" si="48"/>
        <v>107546.56000000001</v>
      </c>
      <c r="G383" s="186"/>
      <c r="H383" s="133"/>
      <c r="J383" s="205"/>
      <c r="K383" s="193"/>
      <c r="M383" s="134"/>
    </row>
    <row r="384" spans="1:15" s="132" customFormat="1" x14ac:dyDescent="0.15">
      <c r="A384" s="188" t="s">
        <v>4082</v>
      </c>
      <c r="B384" s="210">
        <v>246230</v>
      </c>
      <c r="C384" s="221">
        <v>0.2</v>
      </c>
      <c r="D384" s="235">
        <f t="shared" si="50"/>
        <v>49246</v>
      </c>
      <c r="E384" s="235">
        <f t="shared" si="49"/>
        <v>4924.6000000000004</v>
      </c>
      <c r="F384" s="236">
        <f t="shared" si="48"/>
        <v>54170.6</v>
      </c>
      <c r="G384" s="133"/>
      <c r="H384" s="133"/>
      <c r="J384" s="205"/>
      <c r="K384" s="193"/>
      <c r="M384" s="134"/>
    </row>
    <row r="385" spans="1:15" s="132" customFormat="1" x14ac:dyDescent="0.15">
      <c r="A385" s="188" t="s">
        <v>4083</v>
      </c>
      <c r="B385" s="210">
        <v>159995</v>
      </c>
      <c r="C385" s="221">
        <v>0.2</v>
      </c>
      <c r="D385" s="235">
        <f>+B385*C385</f>
        <v>31999</v>
      </c>
      <c r="E385" s="235">
        <f t="shared" si="49"/>
        <v>3199.9</v>
      </c>
      <c r="F385" s="236">
        <f t="shared" si="48"/>
        <v>35198.9</v>
      </c>
      <c r="G385" s="134"/>
      <c r="H385" s="134"/>
      <c r="J385" s="205"/>
      <c r="K385" s="193"/>
      <c r="M385" s="134"/>
    </row>
    <row r="386" spans="1:15" s="132" customFormat="1" x14ac:dyDescent="0.15">
      <c r="A386" s="188" t="s">
        <v>4099</v>
      </c>
      <c r="B386" s="210">
        <v>131963</v>
      </c>
      <c r="C386" s="221">
        <v>0.2</v>
      </c>
      <c r="D386" s="235">
        <f t="shared" ref="D386:D388" si="51">+B386*C386</f>
        <v>26392.600000000002</v>
      </c>
      <c r="E386" s="235">
        <f t="shared" si="49"/>
        <v>2639.26</v>
      </c>
      <c r="F386" s="236">
        <f t="shared" si="48"/>
        <v>29031.86</v>
      </c>
      <c r="G386" s="186"/>
      <c r="H386" s="186"/>
      <c r="J386" s="205"/>
      <c r="K386" s="133"/>
      <c r="M386" s="134"/>
    </row>
    <row r="387" spans="1:15" s="132" customFormat="1" x14ac:dyDescent="0.15">
      <c r="A387" s="188" t="s">
        <v>4087</v>
      </c>
      <c r="B387" s="210">
        <v>326650</v>
      </c>
      <c r="C387" s="221">
        <v>0.2</v>
      </c>
      <c r="D387" s="235">
        <f t="shared" si="51"/>
        <v>65330</v>
      </c>
      <c r="E387" s="235">
        <f t="shared" si="49"/>
        <v>6533</v>
      </c>
      <c r="F387" s="236">
        <f t="shared" si="48"/>
        <v>71863</v>
      </c>
      <c r="G387" s="186"/>
      <c r="H387" s="186"/>
      <c r="J387" s="205"/>
      <c r="K387" s="133"/>
      <c r="M387" s="134"/>
    </row>
    <row r="388" spans="1:15" s="132" customFormat="1" x14ac:dyDescent="0.15">
      <c r="A388" s="188" t="s">
        <v>4089</v>
      </c>
      <c r="B388" s="210">
        <v>330615</v>
      </c>
      <c r="C388" s="221">
        <v>0.2</v>
      </c>
      <c r="D388" s="235">
        <f t="shared" si="51"/>
        <v>66123</v>
      </c>
      <c r="E388" s="235">
        <f t="shared" si="49"/>
        <v>6612.3</v>
      </c>
      <c r="F388" s="236">
        <f t="shared" si="48"/>
        <v>72735.3</v>
      </c>
      <c r="G388" s="186"/>
      <c r="H388" s="186"/>
      <c r="J388" s="134"/>
      <c r="K388" s="133"/>
      <c r="M388" s="134"/>
    </row>
    <row r="389" spans="1:15" s="133" customFormat="1" ht="12" thickBot="1" x14ac:dyDescent="0.2">
      <c r="B389" s="211">
        <f>SUM(B381:B388)</f>
        <v>1900776</v>
      </c>
      <c r="C389" s="221"/>
      <c r="D389" s="242">
        <f>SUM(D381:D388)</f>
        <v>380155.2</v>
      </c>
      <c r="E389" s="242">
        <f t="shared" ref="E389" si="52">SUM(E381:E388)</f>
        <v>38015.520000000004</v>
      </c>
      <c r="F389" s="242">
        <f t="shared" ref="F389" si="53">SUM(F381:F388)</f>
        <v>418170.72</v>
      </c>
      <c r="G389" s="186"/>
      <c r="H389" s="186"/>
      <c r="I389" s="132"/>
      <c r="J389" s="134"/>
      <c r="L389" s="132"/>
      <c r="M389" s="134"/>
      <c r="N389" s="132"/>
      <c r="O389" s="132"/>
    </row>
    <row r="390" spans="1:15" s="133" customFormat="1" ht="12" thickTop="1" x14ac:dyDescent="0.15">
      <c r="A390" s="193" t="s">
        <v>3511</v>
      </c>
      <c r="B390" s="210">
        <v>122203</v>
      </c>
      <c r="C390" s="221">
        <v>0.2</v>
      </c>
      <c r="D390" s="235">
        <f t="shared" ref="D390:D400" si="54">+B390*C390</f>
        <v>24440.600000000002</v>
      </c>
      <c r="E390" s="235">
        <f t="shared" ref="E390:E400" si="55">+D390*0.1</f>
        <v>2444.0600000000004</v>
      </c>
      <c r="F390" s="236">
        <f t="shared" ref="F390:F400" si="56">SUM(D390:E390)</f>
        <v>26884.660000000003</v>
      </c>
      <c r="G390" s="186"/>
      <c r="H390" s="186"/>
      <c r="I390" s="132"/>
      <c r="J390" s="134"/>
      <c r="L390" s="132"/>
      <c r="M390" s="134"/>
      <c r="N390" s="132"/>
      <c r="O390" s="132"/>
    </row>
    <row r="391" spans="1:15" x14ac:dyDescent="0.15">
      <c r="A391" s="193" t="s">
        <v>3512</v>
      </c>
      <c r="B391" s="210">
        <v>463151</v>
      </c>
      <c r="C391" s="221">
        <v>0.2</v>
      </c>
      <c r="D391" s="235">
        <f t="shared" si="54"/>
        <v>92630.200000000012</v>
      </c>
      <c r="E391" s="235">
        <f t="shared" si="55"/>
        <v>9263.0200000000023</v>
      </c>
      <c r="F391" s="236">
        <f t="shared" si="56"/>
        <v>101893.22000000002</v>
      </c>
      <c r="G391" s="186"/>
      <c r="H391" s="186"/>
    </row>
    <row r="392" spans="1:15" x14ac:dyDescent="0.15">
      <c r="A392" s="193" t="s">
        <v>3514</v>
      </c>
      <c r="B392" s="210">
        <v>238082</v>
      </c>
      <c r="C392" s="221">
        <v>0.2</v>
      </c>
      <c r="D392" s="235">
        <f t="shared" si="54"/>
        <v>47616.4</v>
      </c>
      <c r="E392" s="235">
        <f t="shared" si="55"/>
        <v>4761.6400000000003</v>
      </c>
      <c r="F392" s="236">
        <f t="shared" si="56"/>
        <v>52378.04</v>
      </c>
      <c r="G392" s="219"/>
      <c r="H392" s="186"/>
      <c r="J392" s="210"/>
    </row>
    <row r="393" spans="1:15" x14ac:dyDescent="0.15">
      <c r="A393" s="193" t="s">
        <v>3515</v>
      </c>
      <c r="B393" s="210">
        <v>400385</v>
      </c>
      <c r="C393" s="221">
        <v>0.2</v>
      </c>
      <c r="D393" s="235">
        <f t="shared" si="54"/>
        <v>80077</v>
      </c>
      <c r="E393" s="235">
        <f t="shared" si="55"/>
        <v>8007.7000000000007</v>
      </c>
      <c r="F393" s="236">
        <f t="shared" si="56"/>
        <v>88084.7</v>
      </c>
      <c r="H393" s="186"/>
    </row>
    <row r="394" spans="1:15" x14ac:dyDescent="0.15">
      <c r="A394" s="193" t="s">
        <v>3516</v>
      </c>
      <c r="B394" s="210">
        <v>316417</v>
      </c>
      <c r="C394" s="221">
        <v>0.2</v>
      </c>
      <c r="D394" s="235">
        <f t="shared" si="54"/>
        <v>63283.4</v>
      </c>
      <c r="E394" s="235">
        <f t="shared" si="55"/>
        <v>6328.34</v>
      </c>
      <c r="F394" s="236">
        <f t="shared" si="56"/>
        <v>69611.740000000005</v>
      </c>
      <c r="H394" s="186"/>
    </row>
    <row r="395" spans="1:15" x14ac:dyDescent="0.15">
      <c r="A395" s="193" t="s">
        <v>4081</v>
      </c>
      <c r="B395" s="210">
        <v>223733</v>
      </c>
      <c r="C395" s="221">
        <v>0.2</v>
      </c>
      <c r="D395" s="235">
        <f t="shared" si="54"/>
        <v>44746.600000000006</v>
      </c>
      <c r="E395" s="235">
        <f t="shared" si="55"/>
        <v>4474.6600000000008</v>
      </c>
      <c r="F395" s="236">
        <f t="shared" si="56"/>
        <v>49221.260000000009</v>
      </c>
      <c r="H395" s="186"/>
    </row>
    <row r="396" spans="1:15" x14ac:dyDescent="0.15">
      <c r="A396" s="193" t="s">
        <v>4084</v>
      </c>
      <c r="B396" s="210">
        <v>155850</v>
      </c>
      <c r="C396" s="221">
        <v>0.2</v>
      </c>
      <c r="D396" s="235">
        <f t="shared" si="54"/>
        <v>31170</v>
      </c>
      <c r="E396" s="235">
        <f t="shared" si="55"/>
        <v>3117</v>
      </c>
      <c r="F396" s="236">
        <f t="shared" si="56"/>
        <v>34287</v>
      </c>
    </row>
    <row r="397" spans="1:15" x14ac:dyDescent="0.15">
      <c r="A397" s="193" t="s">
        <v>4085</v>
      </c>
      <c r="B397" s="210">
        <v>328977</v>
      </c>
      <c r="C397" s="221">
        <v>0.2</v>
      </c>
      <c r="D397" s="235">
        <f t="shared" si="54"/>
        <v>65795.400000000009</v>
      </c>
      <c r="E397" s="235">
        <f t="shared" si="55"/>
        <v>6579.5400000000009</v>
      </c>
      <c r="F397" s="236">
        <f t="shared" si="56"/>
        <v>72374.94</v>
      </c>
    </row>
    <row r="398" spans="1:15" x14ac:dyDescent="0.15">
      <c r="A398" s="193" t="s">
        <v>4086</v>
      </c>
      <c r="B398" s="210">
        <v>212952</v>
      </c>
      <c r="C398" s="221">
        <v>0.2</v>
      </c>
      <c r="D398" s="235">
        <f t="shared" si="54"/>
        <v>42590.400000000001</v>
      </c>
      <c r="E398" s="235">
        <f t="shared" si="55"/>
        <v>4259.04</v>
      </c>
      <c r="F398" s="236">
        <f t="shared" si="56"/>
        <v>46849.440000000002</v>
      </c>
    </row>
    <row r="399" spans="1:15" x14ac:dyDescent="0.15">
      <c r="A399" s="193" t="s">
        <v>4088</v>
      </c>
      <c r="B399" s="210">
        <v>119400</v>
      </c>
      <c r="C399" s="221">
        <v>0.2</v>
      </c>
      <c r="D399" s="235">
        <f t="shared" si="54"/>
        <v>23880</v>
      </c>
      <c r="E399" s="235">
        <f t="shared" si="55"/>
        <v>2388</v>
      </c>
      <c r="F399" s="236">
        <f t="shared" si="56"/>
        <v>26268</v>
      </c>
    </row>
    <row r="400" spans="1:15" x14ac:dyDescent="0.15">
      <c r="A400" s="193" t="s">
        <v>4090</v>
      </c>
      <c r="B400" s="210">
        <v>53682</v>
      </c>
      <c r="C400" s="221">
        <v>0.2</v>
      </c>
      <c r="D400" s="235">
        <f t="shared" si="54"/>
        <v>10736.400000000001</v>
      </c>
      <c r="E400" s="235">
        <f t="shared" si="55"/>
        <v>1073.6400000000001</v>
      </c>
      <c r="F400" s="236">
        <f t="shared" si="56"/>
        <v>11810.04</v>
      </c>
    </row>
    <row r="401" spans="1:6" ht="12" thickBot="1" x14ac:dyDescent="0.2">
      <c r="A401" s="133"/>
      <c r="B401" s="211">
        <f>SUM(B390:B400)</f>
        <v>2634832</v>
      </c>
      <c r="C401" s="221"/>
      <c r="D401" s="242">
        <f>SUM(D390:D400)</f>
        <v>526966.40000000014</v>
      </c>
      <c r="E401" s="242">
        <f t="shared" ref="E401" si="57">SUM(E390:E400)</f>
        <v>52696.640000000007</v>
      </c>
      <c r="F401" s="242">
        <f t="shared" ref="F401" si="58">SUM(F390:F400)</f>
        <v>579663.04</v>
      </c>
    </row>
    <row r="402" spans="1:6" ht="12" thickTop="1" x14ac:dyDescent="0.15"/>
  </sheetData>
  <mergeCells count="7">
    <mergeCell ref="B353:D35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115" zoomScaleNormal="115" workbookViewId="0">
      <pane ySplit="6" topLeftCell="A31" activePane="bottomLeft" state="frozen"/>
      <selection pane="bottomLeft" activeCell="A54" sqref="A54:G55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1131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1110</v>
      </c>
      <c r="B7" s="146"/>
      <c r="C7" s="147">
        <v>112701.12346200959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112701.12346200959</v>
      </c>
      <c r="P7" s="147">
        <f>+C37</f>
        <v>292373.56446200958</v>
      </c>
    </row>
    <row r="8" spans="1:16" x14ac:dyDescent="0.15">
      <c r="A8" s="154" t="s">
        <v>1111</v>
      </c>
      <c r="B8" s="151"/>
      <c r="C8" s="152">
        <v>179672.44099999999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112701.12346200959</v>
      </c>
      <c r="P8" s="152">
        <f t="shared" ref="P8" si="0">P7+H8-J8-M8</f>
        <v>292373.56446200958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112701.12346200959</v>
      </c>
      <c r="P9" s="152">
        <f t="shared" ref="P9" si="2">P8+H9-J9-M9</f>
        <v>292373.56446200958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 t="s">
        <v>1132</v>
      </c>
      <c r="J10" s="152"/>
      <c r="K10" s="150"/>
      <c r="L10" s="154" t="s">
        <v>1159</v>
      </c>
      <c r="M10" s="227">
        <v>75790</v>
      </c>
      <c r="N10" s="154" t="s">
        <v>1110</v>
      </c>
      <c r="O10" s="227">
        <f t="shared" ref="O10:O36" si="3">+O9-J10-M10</f>
        <v>36911.123462009593</v>
      </c>
      <c r="P10" s="152">
        <f t="shared" ref="P10:P36" si="4">P9+H10-J10-M10</f>
        <v>216583.56446200958</v>
      </c>
    </row>
    <row r="11" spans="1:16" x14ac:dyDescent="0.15">
      <c r="A11" s="154"/>
      <c r="B11" s="151"/>
      <c r="C11" s="152"/>
      <c r="D11" s="155" t="s">
        <v>1133</v>
      </c>
      <c r="E11" s="154" t="s">
        <v>72</v>
      </c>
      <c r="F11" s="157" t="s">
        <v>1149</v>
      </c>
      <c r="G11" s="154"/>
      <c r="H11" s="152">
        <v>79859.676999999996</v>
      </c>
      <c r="I11" s="155" t="s">
        <v>1133</v>
      </c>
      <c r="J11" s="152">
        <v>1059.6965</v>
      </c>
      <c r="K11" s="150" t="s">
        <v>1110</v>
      </c>
      <c r="L11" s="154"/>
      <c r="M11" s="227"/>
      <c r="N11" s="154"/>
      <c r="O11" s="227">
        <f t="shared" si="3"/>
        <v>35851.426962009595</v>
      </c>
      <c r="P11" s="152">
        <f t="shared" si="4"/>
        <v>295383.54496200959</v>
      </c>
    </row>
    <row r="12" spans="1:16" x14ac:dyDescent="0.15">
      <c r="A12" s="154"/>
      <c r="B12" s="151"/>
      <c r="C12" s="152"/>
      <c r="D12" s="155" t="s">
        <v>1134</v>
      </c>
      <c r="E12" s="154" t="s">
        <v>72</v>
      </c>
      <c r="F12" s="157" t="s">
        <v>1149</v>
      </c>
      <c r="G12" s="154"/>
      <c r="H12" s="152">
        <v>50263</v>
      </c>
      <c r="I12" s="155" t="s">
        <v>1134</v>
      </c>
      <c r="J12" s="152"/>
      <c r="K12" s="150"/>
      <c r="L12" s="154" t="s">
        <v>1159</v>
      </c>
      <c r="M12" s="227">
        <v>35851.426962009595</v>
      </c>
      <c r="N12" s="154" t="s">
        <v>1110</v>
      </c>
      <c r="O12" s="227">
        <f t="shared" si="3"/>
        <v>0</v>
      </c>
      <c r="P12" s="152">
        <f t="shared" si="4"/>
        <v>309795.11800000002</v>
      </c>
    </row>
    <row r="13" spans="1:16" x14ac:dyDescent="0.15">
      <c r="A13" s="154"/>
      <c r="B13" s="151"/>
      <c r="C13" s="152"/>
      <c r="D13" s="155" t="s">
        <v>1134</v>
      </c>
      <c r="E13" s="154" t="s">
        <v>72</v>
      </c>
      <c r="F13" s="157" t="s">
        <v>1150</v>
      </c>
      <c r="G13" s="154"/>
      <c r="H13" s="152">
        <v>65605.197</v>
      </c>
      <c r="I13" s="155" t="s">
        <v>1134</v>
      </c>
      <c r="J13" s="152"/>
      <c r="K13" s="150"/>
      <c r="L13" s="154" t="s">
        <v>1159</v>
      </c>
      <c r="M13" s="227">
        <v>37613.573037990398</v>
      </c>
      <c r="N13" s="154" t="s">
        <v>1111</v>
      </c>
      <c r="O13" s="227">
        <f>C8+O12-J13-M13</f>
        <v>142058.86796200959</v>
      </c>
      <c r="P13" s="152">
        <f t="shared" si="4"/>
        <v>337786.74196200958</v>
      </c>
    </row>
    <row r="14" spans="1:16" x14ac:dyDescent="0.15">
      <c r="A14" s="154"/>
      <c r="B14" s="151"/>
      <c r="C14" s="152"/>
      <c r="D14" s="155"/>
      <c r="E14" s="155"/>
      <c r="F14" s="157"/>
      <c r="G14" s="154"/>
      <c r="H14" s="152"/>
      <c r="I14" s="155" t="s">
        <v>1135</v>
      </c>
      <c r="J14" s="152"/>
      <c r="K14" s="150"/>
      <c r="L14" s="154" t="s">
        <v>1159</v>
      </c>
      <c r="M14" s="227">
        <v>78960</v>
      </c>
      <c r="N14" s="154" t="s">
        <v>1111</v>
      </c>
      <c r="O14" s="227">
        <f t="shared" si="3"/>
        <v>63098.867962009594</v>
      </c>
      <c r="P14" s="152">
        <f t="shared" si="4"/>
        <v>258826.74196200958</v>
      </c>
    </row>
    <row r="15" spans="1:16" x14ac:dyDescent="0.15">
      <c r="A15" s="154"/>
      <c r="B15" s="151"/>
      <c r="C15" s="152"/>
      <c r="D15" s="155" t="s">
        <v>1136</v>
      </c>
      <c r="E15" s="154" t="s">
        <v>72</v>
      </c>
      <c r="F15" s="157" t="s">
        <v>1151</v>
      </c>
      <c r="G15" s="154"/>
      <c r="H15" s="152">
        <v>235670.58300000001</v>
      </c>
      <c r="I15" s="155" t="s">
        <v>1136</v>
      </c>
      <c r="J15" s="152">
        <v>1000</v>
      </c>
      <c r="K15" s="154" t="s">
        <v>1111</v>
      </c>
      <c r="L15" s="154"/>
      <c r="M15" s="227"/>
      <c r="N15" s="154"/>
      <c r="O15" s="227">
        <f t="shared" si="3"/>
        <v>62098.867962009594</v>
      </c>
      <c r="P15" s="152">
        <f t="shared" si="4"/>
        <v>493497.32496200956</v>
      </c>
    </row>
    <row r="16" spans="1:16" x14ac:dyDescent="0.15">
      <c r="A16" s="154"/>
      <c r="B16" s="151"/>
      <c r="C16" s="152"/>
      <c r="D16" s="155"/>
      <c r="E16" s="155"/>
      <c r="F16" s="157"/>
      <c r="G16" s="154"/>
      <c r="H16" s="152"/>
      <c r="I16" s="155" t="s">
        <v>1137</v>
      </c>
      <c r="J16" s="152"/>
      <c r="K16" s="150"/>
      <c r="L16" s="154" t="s">
        <v>1159</v>
      </c>
      <c r="M16" s="227">
        <v>62098.867962009594</v>
      </c>
      <c r="N16" s="154" t="s">
        <v>1111</v>
      </c>
      <c r="O16" s="227">
        <f t="shared" si="3"/>
        <v>0</v>
      </c>
      <c r="P16" s="152">
        <f t="shared" si="4"/>
        <v>431398.45699999994</v>
      </c>
    </row>
    <row r="17" spans="1:16" x14ac:dyDescent="0.15">
      <c r="A17" s="154"/>
      <c r="B17" s="151"/>
      <c r="C17" s="152"/>
      <c r="D17" s="155"/>
      <c r="E17" s="155"/>
      <c r="F17" s="157"/>
      <c r="G17" s="154"/>
      <c r="H17" s="152"/>
      <c r="I17" s="155" t="s">
        <v>1137</v>
      </c>
      <c r="J17" s="152"/>
      <c r="K17" s="150"/>
      <c r="L17" s="154" t="s">
        <v>1159</v>
      </c>
      <c r="M17" s="227">
        <v>10561.132037990399</v>
      </c>
      <c r="N17" s="157" t="s">
        <v>1149</v>
      </c>
      <c r="O17" s="227">
        <f>H11+H12+O16-J17-M17</f>
        <v>119561.54496200959</v>
      </c>
      <c r="P17" s="152">
        <f t="shared" si="4"/>
        <v>420837.32496200956</v>
      </c>
    </row>
    <row r="18" spans="1:16" x14ac:dyDescent="0.15">
      <c r="A18" s="154"/>
      <c r="B18" s="151"/>
      <c r="C18" s="152"/>
      <c r="D18" s="155"/>
      <c r="E18" s="155"/>
      <c r="F18" s="157"/>
      <c r="G18" s="154"/>
      <c r="H18" s="152"/>
      <c r="I18" s="155" t="s">
        <v>1138</v>
      </c>
      <c r="J18" s="152"/>
      <c r="K18" s="150"/>
      <c r="L18" s="154" t="s">
        <v>1159</v>
      </c>
      <c r="M18" s="227">
        <v>9626</v>
      </c>
      <c r="N18" s="157" t="s">
        <v>1149</v>
      </c>
      <c r="O18" s="227">
        <f t="shared" si="3"/>
        <v>109935.54496200959</v>
      </c>
      <c r="P18" s="152">
        <f t="shared" si="4"/>
        <v>411211.32496200956</v>
      </c>
    </row>
    <row r="19" spans="1:16" x14ac:dyDescent="0.15">
      <c r="A19" s="154"/>
      <c r="B19" s="151"/>
      <c r="C19" s="152"/>
      <c r="D19" s="155"/>
      <c r="E19" s="155"/>
      <c r="F19" s="157"/>
      <c r="G19" s="154"/>
      <c r="H19" s="152"/>
      <c r="I19" s="155" t="s">
        <v>1138</v>
      </c>
      <c r="J19" s="152"/>
      <c r="K19" s="154"/>
      <c r="L19" s="154" t="s">
        <v>1159</v>
      </c>
      <c r="M19" s="227">
        <v>78330</v>
      </c>
      <c r="N19" s="157" t="s">
        <v>1149</v>
      </c>
      <c r="O19" s="227">
        <f t="shared" si="3"/>
        <v>31605.54496200959</v>
      </c>
      <c r="P19" s="152">
        <f t="shared" si="4"/>
        <v>332881.32496200956</v>
      </c>
    </row>
    <row r="20" spans="1:16" x14ac:dyDescent="0.15">
      <c r="A20" s="154"/>
      <c r="B20" s="151"/>
      <c r="C20" s="152"/>
      <c r="D20" s="155"/>
      <c r="E20" s="155"/>
      <c r="F20" s="157"/>
      <c r="G20" s="154"/>
      <c r="H20" s="152"/>
      <c r="I20" s="155" t="s">
        <v>1139</v>
      </c>
      <c r="J20" s="152"/>
      <c r="K20" s="150"/>
      <c r="L20" s="154" t="s">
        <v>1159</v>
      </c>
      <c r="M20" s="227">
        <v>31605.54496200959</v>
      </c>
      <c r="N20" s="157" t="s">
        <v>1149</v>
      </c>
      <c r="O20" s="227">
        <f t="shared" si="3"/>
        <v>0</v>
      </c>
      <c r="P20" s="152">
        <f t="shared" si="4"/>
        <v>301275.77999999997</v>
      </c>
    </row>
    <row r="21" spans="1:16" x14ac:dyDescent="0.15">
      <c r="A21" s="154"/>
      <c r="B21" s="151"/>
      <c r="C21" s="152"/>
      <c r="D21" s="155"/>
      <c r="E21" s="155"/>
      <c r="F21" s="157"/>
      <c r="G21" s="154"/>
      <c r="H21" s="152"/>
      <c r="I21" s="155" t="s">
        <v>1139</v>
      </c>
      <c r="J21" s="152"/>
      <c r="K21" s="150"/>
      <c r="L21" s="154" t="s">
        <v>1159</v>
      </c>
      <c r="M21" s="227">
        <v>15434.455037990399</v>
      </c>
      <c r="N21" s="157" t="s">
        <v>1150</v>
      </c>
      <c r="O21" s="227">
        <f>H13+O20-J21-M21</f>
        <v>50170.741962009604</v>
      </c>
      <c r="P21" s="152">
        <f t="shared" si="4"/>
        <v>285841.32496200956</v>
      </c>
    </row>
    <row r="22" spans="1:16" x14ac:dyDescent="0.15">
      <c r="A22" s="154"/>
      <c r="B22" s="151"/>
      <c r="C22" s="152"/>
      <c r="D22" s="155" t="s">
        <v>1140</v>
      </c>
      <c r="E22" s="154" t="s">
        <v>72</v>
      </c>
      <c r="F22" s="157" t="s">
        <v>1152</v>
      </c>
      <c r="G22" s="154"/>
      <c r="H22" s="152">
        <v>155642</v>
      </c>
      <c r="I22" s="155" t="s">
        <v>1140</v>
      </c>
      <c r="J22" s="152">
        <v>2881</v>
      </c>
      <c r="K22" s="157" t="s">
        <v>1150</v>
      </c>
      <c r="L22" s="154"/>
      <c r="M22" s="227"/>
      <c r="N22" s="154"/>
      <c r="O22" s="227">
        <f t="shared" si="3"/>
        <v>47289.741962009604</v>
      </c>
      <c r="P22" s="152">
        <f t="shared" si="4"/>
        <v>438602.32496200956</v>
      </c>
    </row>
    <row r="23" spans="1:16" x14ac:dyDescent="0.15">
      <c r="A23" s="154"/>
      <c r="B23" s="151"/>
      <c r="C23" s="152"/>
      <c r="D23" s="155" t="s">
        <v>1140</v>
      </c>
      <c r="E23" s="154" t="s">
        <v>72</v>
      </c>
      <c r="F23" s="157" t="s">
        <v>1153</v>
      </c>
      <c r="G23" s="154"/>
      <c r="H23" s="152">
        <f>215609.356-155642</f>
        <v>59967.356</v>
      </c>
      <c r="I23" s="155" t="s">
        <v>1140</v>
      </c>
      <c r="J23" s="152"/>
      <c r="K23" s="150"/>
      <c r="L23" s="154"/>
      <c r="M23" s="227"/>
      <c r="N23" s="154"/>
      <c r="O23" s="227">
        <f t="shared" si="3"/>
        <v>47289.741962009604</v>
      </c>
      <c r="P23" s="152">
        <f t="shared" si="4"/>
        <v>498569.68096200959</v>
      </c>
    </row>
    <row r="24" spans="1:16" x14ac:dyDescent="0.15">
      <c r="A24" s="154"/>
      <c r="B24" s="151"/>
      <c r="C24" s="152"/>
      <c r="D24" s="155"/>
      <c r="E24" s="155"/>
      <c r="F24" s="157"/>
      <c r="G24" s="154"/>
      <c r="H24" s="152"/>
      <c r="I24" s="155" t="s">
        <v>1141</v>
      </c>
      <c r="J24" s="152"/>
      <c r="K24" s="150"/>
      <c r="L24" s="154" t="s">
        <v>1159</v>
      </c>
      <c r="M24" s="227">
        <v>47289.741962009604</v>
      </c>
      <c r="N24" s="157" t="s">
        <v>1150</v>
      </c>
      <c r="O24" s="227">
        <f t="shared" si="3"/>
        <v>0</v>
      </c>
      <c r="P24" s="152">
        <f t="shared" si="4"/>
        <v>451279.93900000001</v>
      </c>
    </row>
    <row r="25" spans="1:16" x14ac:dyDescent="0.15">
      <c r="A25" s="154"/>
      <c r="B25" s="151"/>
      <c r="C25" s="152"/>
      <c r="D25" s="155"/>
      <c r="E25" s="155"/>
      <c r="F25" s="157"/>
      <c r="G25" s="154"/>
      <c r="H25" s="152"/>
      <c r="I25" s="155" t="s">
        <v>1141</v>
      </c>
      <c r="J25" s="152"/>
      <c r="K25" s="150"/>
      <c r="L25" s="154" t="s">
        <v>1159</v>
      </c>
      <c r="M25" s="227">
        <v>27954.998037990401</v>
      </c>
      <c r="N25" s="157" t="s">
        <v>1151</v>
      </c>
      <c r="O25" s="227">
        <f>H15+O24-J25-M25</f>
        <v>207715.58496200963</v>
      </c>
      <c r="P25" s="152">
        <f t="shared" si="4"/>
        <v>423324.9409620096</v>
      </c>
    </row>
    <row r="26" spans="1:16" x14ac:dyDescent="0.15">
      <c r="A26" s="154"/>
      <c r="B26" s="151"/>
      <c r="C26" s="152"/>
      <c r="D26" s="155"/>
      <c r="E26" s="155"/>
      <c r="F26" s="157"/>
      <c r="G26" s="154"/>
      <c r="H26" s="152"/>
      <c r="I26" s="155" t="s">
        <v>1142</v>
      </c>
      <c r="J26" s="152">
        <v>1101.55</v>
      </c>
      <c r="K26" s="157" t="s">
        <v>1151</v>
      </c>
      <c r="L26" s="154" t="s">
        <v>1159</v>
      </c>
      <c r="M26" s="227">
        <v>79783.820000000007</v>
      </c>
      <c r="N26" s="157" t="s">
        <v>1151</v>
      </c>
      <c r="O26" s="227">
        <f t="shared" si="3"/>
        <v>126830.21496200963</v>
      </c>
      <c r="P26" s="152">
        <f t="shared" si="4"/>
        <v>342439.5709620096</v>
      </c>
    </row>
    <row r="27" spans="1:16" x14ac:dyDescent="0.15">
      <c r="A27" s="154"/>
      <c r="B27" s="151"/>
      <c r="C27" s="152"/>
      <c r="D27" s="155"/>
      <c r="E27" s="155"/>
      <c r="F27" s="157"/>
      <c r="G27" s="154"/>
      <c r="H27" s="152"/>
      <c r="I27" s="155" t="s">
        <v>1143</v>
      </c>
      <c r="J27" s="152"/>
      <c r="K27" s="154"/>
      <c r="L27" s="154" t="s">
        <v>1159</v>
      </c>
      <c r="M27" s="227">
        <v>69630</v>
      </c>
      <c r="N27" s="157" t="s">
        <v>1151</v>
      </c>
      <c r="O27" s="227">
        <f t="shared" si="3"/>
        <v>57200.214962009632</v>
      </c>
      <c r="P27" s="152">
        <f t="shared" si="4"/>
        <v>272809.5709620096</v>
      </c>
    </row>
    <row r="28" spans="1:16" x14ac:dyDescent="0.15">
      <c r="A28" s="154"/>
      <c r="B28" s="151"/>
      <c r="C28" s="152"/>
      <c r="D28" s="155"/>
      <c r="E28" s="155"/>
      <c r="F28" s="157"/>
      <c r="G28" s="154"/>
      <c r="H28" s="152"/>
      <c r="I28" s="155" t="s">
        <v>1144</v>
      </c>
      <c r="J28" s="152">
        <v>526</v>
      </c>
      <c r="K28" s="157" t="s">
        <v>1151</v>
      </c>
      <c r="L28" s="154" t="s">
        <v>1159</v>
      </c>
      <c r="M28" s="227">
        <v>56674.214962009632</v>
      </c>
      <c r="N28" s="157" t="s">
        <v>1151</v>
      </c>
      <c r="O28" s="227">
        <f t="shared" si="3"/>
        <v>0</v>
      </c>
      <c r="P28" s="152">
        <f t="shared" si="4"/>
        <v>215609.35599999997</v>
      </c>
    </row>
    <row r="29" spans="1:16" x14ac:dyDescent="0.15">
      <c r="A29" s="154"/>
      <c r="B29" s="151"/>
      <c r="C29" s="152"/>
      <c r="D29" s="155"/>
      <c r="E29" s="155"/>
      <c r="F29" s="157"/>
      <c r="G29" s="154"/>
      <c r="H29" s="152"/>
      <c r="I29" s="155" t="s">
        <v>1144</v>
      </c>
      <c r="J29" s="152"/>
      <c r="K29" s="150"/>
      <c r="L29" s="154" t="s">
        <v>1159</v>
      </c>
      <c r="M29" s="227">
        <v>21025.785037990401</v>
      </c>
      <c r="N29" s="157" t="s">
        <v>1152</v>
      </c>
      <c r="O29" s="227">
        <f>H22+O28-J29-M29</f>
        <v>134616.2149620096</v>
      </c>
      <c r="P29" s="152">
        <f t="shared" si="4"/>
        <v>194583.57096200957</v>
      </c>
    </row>
    <row r="30" spans="1:16" x14ac:dyDescent="0.15">
      <c r="A30" s="154"/>
      <c r="B30" s="151"/>
      <c r="C30" s="152"/>
      <c r="D30" s="155"/>
      <c r="E30" s="155"/>
      <c r="F30" s="157"/>
      <c r="G30" s="154"/>
      <c r="H30" s="152"/>
      <c r="I30" s="155" t="s">
        <v>1144</v>
      </c>
      <c r="J30" s="152"/>
      <c r="K30" s="150"/>
      <c r="L30" s="154" t="s">
        <v>1159</v>
      </c>
      <c r="M30" s="227">
        <v>17440</v>
      </c>
      <c r="N30" s="157" t="s">
        <v>1152</v>
      </c>
      <c r="O30" s="227">
        <f t="shared" si="3"/>
        <v>117176.2149620096</v>
      </c>
      <c r="P30" s="152">
        <f t="shared" si="4"/>
        <v>177143.57096200957</v>
      </c>
    </row>
    <row r="31" spans="1:16" x14ac:dyDescent="0.15">
      <c r="A31" s="154"/>
      <c r="B31" s="151"/>
      <c r="C31" s="152"/>
      <c r="D31" s="155"/>
      <c r="E31" s="155"/>
      <c r="F31" s="157"/>
      <c r="G31" s="154"/>
      <c r="H31" s="152"/>
      <c r="I31" s="155" t="s">
        <v>1145</v>
      </c>
      <c r="J31" s="152">
        <v>1017</v>
      </c>
      <c r="K31" s="157" t="s">
        <v>1152</v>
      </c>
      <c r="L31" s="154"/>
      <c r="M31" s="227"/>
      <c r="N31" s="154"/>
      <c r="O31" s="227">
        <f t="shared" si="3"/>
        <v>116159.2149620096</v>
      </c>
      <c r="P31" s="152">
        <f t="shared" si="4"/>
        <v>176126.57096200957</v>
      </c>
    </row>
    <row r="32" spans="1:16" x14ac:dyDescent="0.15">
      <c r="A32" s="154"/>
      <c r="B32" s="151"/>
      <c r="C32" s="152"/>
      <c r="D32" s="155"/>
      <c r="E32" s="155"/>
      <c r="F32" s="157"/>
      <c r="G32" s="154"/>
      <c r="H32" s="152"/>
      <c r="I32" s="155" t="s">
        <v>1146</v>
      </c>
      <c r="J32" s="152">
        <v>251</v>
      </c>
      <c r="K32" s="157" t="s">
        <v>1152</v>
      </c>
      <c r="L32" s="154"/>
      <c r="M32" s="227"/>
      <c r="N32" s="154"/>
      <c r="O32" s="227">
        <f t="shared" si="3"/>
        <v>115908.2149620096</v>
      </c>
      <c r="P32" s="152">
        <f t="shared" si="4"/>
        <v>175875.57096200957</v>
      </c>
    </row>
    <row r="33" spans="1:16" x14ac:dyDescent="0.15">
      <c r="A33" s="154"/>
      <c r="B33" s="151"/>
      <c r="C33" s="152"/>
      <c r="D33" s="155"/>
      <c r="E33" s="155"/>
      <c r="F33" s="157"/>
      <c r="G33" s="154"/>
      <c r="H33" s="152"/>
      <c r="I33" s="155" t="s">
        <v>1147</v>
      </c>
      <c r="J33" s="152"/>
      <c r="K33" s="154"/>
      <c r="L33" s="154" t="s">
        <v>1159</v>
      </c>
      <c r="M33" s="227">
        <v>10300</v>
      </c>
      <c r="N33" s="157" t="s">
        <v>1152</v>
      </c>
      <c r="O33" s="227">
        <f t="shared" si="3"/>
        <v>105608.2149620096</v>
      </c>
      <c r="P33" s="152">
        <f t="shared" si="4"/>
        <v>165575.57096200957</v>
      </c>
    </row>
    <row r="34" spans="1:16" x14ac:dyDescent="0.15">
      <c r="A34" s="154"/>
      <c r="B34" s="151"/>
      <c r="C34" s="152"/>
      <c r="D34" s="155"/>
      <c r="E34" s="155"/>
      <c r="F34" s="157"/>
      <c r="G34" s="154"/>
      <c r="H34" s="152"/>
      <c r="I34" s="155" t="s">
        <v>1148</v>
      </c>
      <c r="J34" s="152">
        <v>456</v>
      </c>
      <c r="K34" s="157" t="s">
        <v>1152</v>
      </c>
      <c r="L34" s="154"/>
      <c r="M34" s="227"/>
      <c r="N34" s="154"/>
      <c r="O34" s="227">
        <f t="shared" si="3"/>
        <v>105152.2149620096</v>
      </c>
      <c r="P34" s="152">
        <f t="shared" si="4"/>
        <v>165119.57096200957</v>
      </c>
    </row>
    <row r="35" spans="1:16" hidden="1" x14ac:dyDescent="0.15">
      <c r="A35" s="154"/>
      <c r="B35" s="151"/>
      <c r="C35" s="152"/>
      <c r="D35" s="155"/>
      <c r="E35" s="154"/>
      <c r="F35" s="160"/>
      <c r="G35" s="151"/>
      <c r="H35" s="152"/>
      <c r="I35" s="155"/>
      <c r="J35" s="152"/>
      <c r="K35" s="150"/>
      <c r="L35" s="154"/>
      <c r="M35" s="227"/>
      <c r="N35" s="157"/>
      <c r="O35" s="227">
        <f t="shared" si="3"/>
        <v>105152.2149620096</v>
      </c>
      <c r="P35" s="152">
        <f t="shared" si="4"/>
        <v>165119.57096200957</v>
      </c>
    </row>
    <row r="36" spans="1:16" x14ac:dyDescent="0.15">
      <c r="A36" s="173"/>
      <c r="B36" s="173"/>
      <c r="C36" s="174"/>
      <c r="D36" s="175"/>
      <c r="E36" s="173"/>
      <c r="F36" s="173"/>
      <c r="G36" s="176"/>
      <c r="H36" s="174"/>
      <c r="I36" s="175"/>
      <c r="J36" s="174"/>
      <c r="K36" s="173"/>
      <c r="L36" s="154"/>
      <c r="M36" s="228"/>
      <c r="N36" s="173"/>
      <c r="O36" s="227">
        <f t="shared" si="3"/>
        <v>105152.2149620096</v>
      </c>
      <c r="P36" s="152">
        <f t="shared" si="4"/>
        <v>165119.57096200957</v>
      </c>
    </row>
    <row r="37" spans="1:16" x14ac:dyDescent="0.15">
      <c r="A37" s="177"/>
      <c r="B37" s="177"/>
      <c r="C37" s="178">
        <f>SUM(C7:C35)</f>
        <v>292373.56446200958</v>
      </c>
      <c r="D37" s="177"/>
      <c r="E37" s="177"/>
      <c r="F37" s="177"/>
      <c r="G37" s="177"/>
      <c r="H37" s="178">
        <f>SUM(H7:H35)</f>
        <v>647007.81300000008</v>
      </c>
      <c r="I37" s="179"/>
      <c r="J37" s="178">
        <f>SUM(J7:J35)</f>
        <v>8292.2465000000011</v>
      </c>
      <c r="K37" s="177"/>
      <c r="L37" s="177"/>
      <c r="M37" s="229">
        <f>SUM(M9:M35)</f>
        <v>765969.56</v>
      </c>
      <c r="N37" s="177"/>
      <c r="O37" s="180"/>
      <c r="P37" s="181">
        <f>C37+H37-J37-M37</f>
        <v>165119.5709620096</v>
      </c>
    </row>
    <row r="38" spans="1:16" x14ac:dyDescent="0.15">
      <c r="A38" s="182"/>
      <c r="B38" s="465"/>
      <c r="C38" s="465"/>
      <c r="D38" s="465"/>
      <c r="E38" s="183"/>
      <c r="F38" s="472"/>
      <c r="G38" s="472"/>
      <c r="H38" s="185"/>
      <c r="I38" s="186"/>
      <c r="J38" s="187"/>
      <c r="K38" s="188"/>
      <c r="L38" s="189" t="s">
        <v>139</v>
      </c>
      <c r="M38" s="190">
        <f>+M37+J37</f>
        <v>774261.80650000006</v>
      </c>
      <c r="N38" s="197"/>
      <c r="O38" s="230">
        <f>+O36</f>
        <v>105152.2149620096</v>
      </c>
      <c r="P38" s="195" t="s">
        <v>1152</v>
      </c>
    </row>
    <row r="39" spans="1:16" x14ac:dyDescent="0.15">
      <c r="A39" s="193"/>
      <c r="B39" s="470"/>
      <c r="C39" s="470"/>
      <c r="D39" s="470"/>
      <c r="E39" s="183"/>
      <c r="F39" s="472"/>
      <c r="G39" s="472"/>
      <c r="H39" s="219"/>
      <c r="I39" s="186"/>
      <c r="J39" s="187"/>
      <c r="K39" s="210"/>
      <c r="L39" s="210"/>
      <c r="O39" s="230">
        <f>+H23</f>
        <v>59967.356</v>
      </c>
      <c r="P39" s="195" t="s">
        <v>1153</v>
      </c>
    </row>
    <row r="40" spans="1:16" x14ac:dyDescent="0.15">
      <c r="A40" s="193" t="s">
        <v>1110</v>
      </c>
      <c r="B40" s="264" t="s">
        <v>1124</v>
      </c>
      <c r="C40" s="263"/>
      <c r="D40" s="263"/>
      <c r="E40" s="183" t="s">
        <v>55</v>
      </c>
      <c r="F40" s="471">
        <v>4047886.72</v>
      </c>
      <c r="G40" s="471"/>
      <c r="H40" s="219" t="s">
        <v>56</v>
      </c>
      <c r="I40" s="186">
        <v>41001</v>
      </c>
      <c r="J40" s="187" t="s">
        <v>71</v>
      </c>
      <c r="K40" s="210">
        <v>111641.4269620096</v>
      </c>
      <c r="L40" s="210"/>
      <c r="O40" s="230"/>
      <c r="P40" s="195"/>
    </row>
    <row r="41" spans="1:16" x14ac:dyDescent="0.15">
      <c r="A41" s="193" t="s">
        <v>1111</v>
      </c>
      <c r="B41" s="264" t="s">
        <v>1154</v>
      </c>
      <c r="C41" s="263"/>
      <c r="D41" s="263"/>
      <c r="E41" s="183" t="s">
        <v>55</v>
      </c>
      <c r="F41" s="471">
        <v>2023465.51</v>
      </c>
      <c r="G41" s="471"/>
      <c r="H41" s="219" t="s">
        <v>56</v>
      </c>
      <c r="I41" s="186">
        <v>41003</v>
      </c>
      <c r="J41" s="187" t="s">
        <v>71</v>
      </c>
      <c r="K41" s="210">
        <v>178672.44099999999</v>
      </c>
      <c r="L41" s="210"/>
      <c r="O41" s="230"/>
      <c r="P41" s="195"/>
    </row>
    <row r="42" spans="1:16" x14ac:dyDescent="0.15">
      <c r="A42" s="193" t="s">
        <v>1149</v>
      </c>
      <c r="B42" s="264" t="s">
        <v>1155</v>
      </c>
      <c r="C42" s="263"/>
      <c r="D42" s="263"/>
      <c r="E42" s="183" t="s">
        <v>55</v>
      </c>
      <c r="F42" s="471">
        <v>2264754.73</v>
      </c>
      <c r="G42" s="471"/>
      <c r="H42" s="219" t="s">
        <v>56</v>
      </c>
      <c r="I42" s="186">
        <v>41009</v>
      </c>
      <c r="J42" s="187" t="s">
        <v>71</v>
      </c>
      <c r="K42" s="210">
        <v>130122.677</v>
      </c>
      <c r="L42" s="210"/>
      <c r="O42" s="230"/>
      <c r="P42" s="195"/>
    </row>
    <row r="43" spans="1:16" x14ac:dyDescent="0.15">
      <c r="A43" s="193" t="s">
        <v>1150</v>
      </c>
      <c r="B43" s="264" t="s">
        <v>1156</v>
      </c>
      <c r="C43" s="263"/>
      <c r="D43" s="263"/>
      <c r="E43" s="183" t="s">
        <v>55</v>
      </c>
      <c r="F43" s="471">
        <v>722602.68</v>
      </c>
      <c r="G43" s="471"/>
      <c r="H43" s="219" t="s">
        <v>56</v>
      </c>
      <c r="I43" s="186">
        <v>41009</v>
      </c>
      <c r="J43" s="187" t="s">
        <v>71</v>
      </c>
      <c r="K43" s="210">
        <v>62724.197</v>
      </c>
      <c r="L43" s="210"/>
      <c r="O43" s="230"/>
      <c r="P43" s="195"/>
    </row>
    <row r="44" spans="1:16" x14ac:dyDescent="0.15">
      <c r="A44" s="193" t="s">
        <v>1151</v>
      </c>
      <c r="B44" s="264" t="s">
        <v>1157</v>
      </c>
      <c r="C44" s="263"/>
      <c r="D44" s="263"/>
      <c r="E44" s="183" t="s">
        <v>55</v>
      </c>
      <c r="F44" s="471">
        <v>1853354.84</v>
      </c>
      <c r="G44" s="471"/>
      <c r="H44" s="219" t="s">
        <v>56</v>
      </c>
      <c r="I44" s="186">
        <v>41010</v>
      </c>
      <c r="J44" s="187" t="s">
        <v>71</v>
      </c>
      <c r="K44" s="210">
        <v>234043.03300000005</v>
      </c>
      <c r="L44" s="210"/>
      <c r="O44" s="230"/>
      <c r="P44" s="195"/>
    </row>
    <row r="45" spans="1:16" x14ac:dyDescent="0.15">
      <c r="A45" s="133" t="s">
        <v>1152</v>
      </c>
      <c r="B45" s="264" t="s">
        <v>1158</v>
      </c>
      <c r="C45" s="263"/>
      <c r="D45" s="263"/>
      <c r="E45" s="183" t="s">
        <v>55</v>
      </c>
      <c r="F45" s="471">
        <v>4797650.51</v>
      </c>
      <c r="G45" s="471"/>
      <c r="H45" s="219" t="s">
        <v>56</v>
      </c>
      <c r="I45" s="186">
        <v>41016</v>
      </c>
      <c r="J45" s="187" t="s">
        <v>71</v>
      </c>
      <c r="K45" s="210">
        <v>48765.785037990398</v>
      </c>
      <c r="L45" s="210"/>
      <c r="O45" s="206" t="s">
        <v>33</v>
      </c>
      <c r="P45" s="207">
        <f>SUM(O38:O44)</f>
        <v>165119.5709620096</v>
      </c>
    </row>
    <row r="46" spans="1:16" ht="12" thickBot="1" x14ac:dyDescent="0.2">
      <c r="A46" s="133"/>
      <c r="B46" s="263"/>
      <c r="C46" s="263"/>
      <c r="D46" s="263"/>
      <c r="E46" s="183"/>
      <c r="F46" s="471"/>
      <c r="G46" s="471"/>
      <c r="H46" s="219"/>
      <c r="I46" s="186"/>
      <c r="J46" s="217" t="s">
        <v>856</v>
      </c>
      <c r="K46" s="211">
        <f>SUM(K40:K45)</f>
        <v>765969.56</v>
      </c>
      <c r="L46" s="210"/>
      <c r="P46" s="132">
        <f>+P37-P45</f>
        <v>0</v>
      </c>
    </row>
    <row r="47" spans="1:16" s="132" customFormat="1" ht="12" thickTop="1" x14ac:dyDescent="0.15">
      <c r="A47" s="193"/>
      <c r="B47" s="210"/>
      <c r="C47" s="221"/>
      <c r="D47" s="237"/>
      <c r="E47" s="235"/>
      <c r="F47" s="235"/>
      <c r="G47" s="236"/>
      <c r="I47" s="133"/>
      <c r="K47" s="205"/>
      <c r="L47" s="133"/>
      <c r="N47" s="134"/>
    </row>
    <row r="48" spans="1:16" s="132" customFormat="1" x14ac:dyDescent="0.15">
      <c r="A48" s="133"/>
      <c r="B48" s="133" t="s">
        <v>9</v>
      </c>
      <c r="C48" s="220" t="s">
        <v>729</v>
      </c>
      <c r="D48" s="220" t="s">
        <v>850</v>
      </c>
      <c r="E48" s="133" t="s">
        <v>570</v>
      </c>
      <c r="F48" s="133" t="s">
        <v>571</v>
      </c>
      <c r="G48" s="133" t="s">
        <v>16</v>
      </c>
      <c r="I48" s="134"/>
      <c r="J48" s="134"/>
      <c r="K48" s="205"/>
      <c r="L48" s="133"/>
      <c r="N48" s="134"/>
    </row>
    <row r="49" spans="1:14" s="132" customFormat="1" x14ac:dyDescent="0.15">
      <c r="A49" s="193" t="s">
        <v>1110</v>
      </c>
      <c r="B49" s="210">
        <v>111641</v>
      </c>
      <c r="C49" s="221">
        <v>26.554500000000001</v>
      </c>
      <c r="D49" s="237">
        <f t="shared" ref="D49:D54" si="5">+B49*C49</f>
        <v>2964570.9345</v>
      </c>
      <c r="E49" s="235">
        <f t="shared" ref="E49:E54" si="6">+D49*0.01</f>
        <v>29645.709344999999</v>
      </c>
      <c r="F49" s="235">
        <f t="shared" ref="F49:F54" si="7">+E49*0.1</f>
        <v>2964.5709345</v>
      </c>
      <c r="G49" s="236">
        <f t="shared" ref="G49:G54" si="8">+E49+F49</f>
        <v>32610.280279499999</v>
      </c>
      <c r="I49" s="134"/>
      <c r="J49" s="134"/>
      <c r="K49" s="134"/>
      <c r="L49" s="133"/>
      <c r="N49" s="134"/>
    </row>
    <row r="50" spans="1:14" s="132" customFormat="1" x14ac:dyDescent="0.15">
      <c r="A50" s="193" t="s">
        <v>1111</v>
      </c>
      <c r="B50" s="210">
        <v>178672</v>
      </c>
      <c r="C50" s="221">
        <v>26.615600000000001</v>
      </c>
      <c r="D50" s="237">
        <f t="shared" si="5"/>
        <v>4755462.4831999997</v>
      </c>
      <c r="E50" s="235">
        <f t="shared" si="6"/>
        <v>47554.624831999994</v>
      </c>
      <c r="F50" s="235">
        <f t="shared" si="7"/>
        <v>4755.4624832</v>
      </c>
      <c r="G50" s="236">
        <f t="shared" si="8"/>
        <v>52310.087315199991</v>
      </c>
      <c r="I50" s="133"/>
      <c r="K50" s="134"/>
      <c r="L50" s="133"/>
      <c r="N50" s="134"/>
    </row>
    <row r="51" spans="1:14" s="132" customFormat="1" x14ac:dyDescent="0.15">
      <c r="A51" s="193" t="s">
        <v>1149</v>
      </c>
      <c r="B51" s="210">
        <v>130123</v>
      </c>
      <c r="C51" s="221">
        <v>26.680800000000001</v>
      </c>
      <c r="D51" s="237">
        <f t="shared" si="5"/>
        <v>3471785.7384000001</v>
      </c>
      <c r="E51" s="235">
        <f t="shared" si="6"/>
        <v>34717.857384000003</v>
      </c>
      <c r="F51" s="235">
        <f t="shared" si="7"/>
        <v>3471.7857384000004</v>
      </c>
      <c r="G51" s="236">
        <f t="shared" si="8"/>
        <v>38189.643122400004</v>
      </c>
      <c r="I51" s="134"/>
      <c r="J51" s="134"/>
      <c r="K51" s="134"/>
      <c r="L51" s="133"/>
      <c r="N51" s="134"/>
    </row>
    <row r="52" spans="1:14" s="132" customFormat="1" x14ac:dyDescent="0.15">
      <c r="A52" s="193" t="s">
        <v>1150</v>
      </c>
      <c r="B52" s="210">
        <v>62724</v>
      </c>
      <c r="C52" s="221">
        <v>26.5306</v>
      </c>
      <c r="D52" s="237">
        <f t="shared" si="5"/>
        <v>1664105.3544000001</v>
      </c>
      <c r="E52" s="235">
        <f t="shared" si="6"/>
        <v>16641.053544000002</v>
      </c>
      <c r="F52" s="235">
        <f t="shared" si="7"/>
        <v>1664.1053544000004</v>
      </c>
      <c r="G52" s="236">
        <f t="shared" si="8"/>
        <v>18305.158898400001</v>
      </c>
      <c r="I52" s="133"/>
      <c r="K52" s="134"/>
      <c r="L52" s="133"/>
      <c r="N52" s="134"/>
    </row>
    <row r="53" spans="1:14" s="132" customFormat="1" x14ac:dyDescent="0.15">
      <c r="A53" s="193" t="s">
        <v>1151</v>
      </c>
      <c r="B53" s="210">
        <v>234043</v>
      </c>
      <c r="C53" s="221">
        <v>26.494800000000001</v>
      </c>
      <c r="D53" s="237">
        <f t="shared" si="5"/>
        <v>6200922.4764</v>
      </c>
      <c r="E53" s="235">
        <f t="shared" si="6"/>
        <v>62009.224763999999</v>
      </c>
      <c r="F53" s="235">
        <f t="shared" si="7"/>
        <v>6200.9224764000001</v>
      </c>
      <c r="G53" s="236">
        <f t="shared" si="8"/>
        <v>68210.147240399994</v>
      </c>
      <c r="I53" s="133"/>
      <c r="K53" s="134"/>
      <c r="L53" s="133"/>
      <c r="N53" s="134"/>
    </row>
    <row r="54" spans="1:14" s="132" customFormat="1" x14ac:dyDescent="0.15">
      <c r="A54" s="133" t="s">
        <v>1152</v>
      </c>
      <c r="B54" s="210">
        <v>48766</v>
      </c>
      <c r="C54" s="221">
        <v>26.610600000000002</v>
      </c>
      <c r="D54" s="237">
        <f t="shared" si="5"/>
        <v>1297692.5196</v>
      </c>
      <c r="E54" s="235">
        <f t="shared" si="6"/>
        <v>12976.925196</v>
      </c>
      <c r="F54" s="235">
        <f t="shared" si="7"/>
        <v>1297.6925196000002</v>
      </c>
      <c r="G54" s="236">
        <f t="shared" si="8"/>
        <v>14274.617715600001</v>
      </c>
      <c r="I54" s="133"/>
      <c r="K54" s="134"/>
      <c r="L54" s="133"/>
      <c r="N54" s="134"/>
    </row>
    <row r="55" spans="1:14" s="132" customFormat="1" ht="12" thickBot="1" x14ac:dyDescent="0.2">
      <c r="A55" s="133"/>
      <c r="B55" s="211">
        <f>SUM(B49:B54)</f>
        <v>765969</v>
      </c>
      <c r="C55" s="221"/>
      <c r="D55" s="237"/>
      <c r="E55" s="242">
        <f>SUM(E49:E54)</f>
        <v>203545.39506500002</v>
      </c>
      <c r="F55" s="242">
        <f t="shared" ref="F55:G55" si="9">SUM(F49:F54)</f>
        <v>20354.539506500001</v>
      </c>
      <c r="G55" s="242">
        <f t="shared" si="9"/>
        <v>223899.93457149999</v>
      </c>
      <c r="I55" s="244"/>
      <c r="K55" s="134"/>
      <c r="L55" s="133"/>
      <c r="N55" s="134"/>
    </row>
    <row r="56" spans="1:14" ht="12" thickTop="1" x14ac:dyDescent="0.15"/>
  </sheetData>
  <mergeCells count="17">
    <mergeCell ref="F42:G42"/>
    <mergeCell ref="F43:G43"/>
    <mergeCell ref="F44:G44"/>
    <mergeCell ref="F45:G45"/>
    <mergeCell ref="F46:G46"/>
    <mergeCell ref="F41:G41"/>
    <mergeCell ref="J3:L3"/>
    <mergeCell ref="A4:C4"/>
    <mergeCell ref="D4:H4"/>
    <mergeCell ref="I4:N4"/>
    <mergeCell ref="J5:K5"/>
    <mergeCell ref="L5:N5"/>
    <mergeCell ref="B38:D38"/>
    <mergeCell ref="F38:G38"/>
    <mergeCell ref="B39:D39"/>
    <mergeCell ref="F39:G39"/>
    <mergeCell ref="F40:G40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opLeftCell="D1" zoomScale="115" zoomScaleNormal="115" workbookViewId="0">
      <pane ySplit="6" topLeftCell="A97" activePane="bottomLeft" state="frozen"/>
      <selection pane="bottomLeft" activeCell="D99" sqref="A99:XFD129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1094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1047</v>
      </c>
      <c r="B7" s="146"/>
      <c r="C7" s="147">
        <v>158026.04696200954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158026.04696200954</v>
      </c>
      <c r="P7" s="147">
        <f>+C83</f>
        <v>609861.99096200953</v>
      </c>
    </row>
    <row r="8" spans="1:16" x14ac:dyDescent="0.15">
      <c r="A8" s="154" t="s">
        <v>1046</v>
      </c>
      <c r="B8" s="151"/>
      <c r="C8" s="152">
        <v>371882.38799999998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158026.04696200954</v>
      </c>
      <c r="P8" s="152">
        <f t="shared" ref="P8:P9" si="0">P7+H8-J8-M8</f>
        <v>609861.99096200953</v>
      </c>
    </row>
    <row r="9" spans="1:16" x14ac:dyDescent="0.15">
      <c r="A9" s="154" t="s">
        <v>1048</v>
      </c>
      <c r="B9" s="151"/>
      <c r="C9" s="152">
        <v>79953.555999999997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158026.04696200954</v>
      </c>
      <c r="P9" s="152">
        <f t="shared" si="0"/>
        <v>609861.99096200953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/>
      <c r="J10" s="152"/>
      <c r="K10" s="150"/>
      <c r="L10" s="154"/>
      <c r="M10" s="227"/>
      <c r="N10" s="154"/>
      <c r="O10" s="227">
        <f t="shared" ref="O10:O73" si="2">+O9-J10-M10</f>
        <v>158026.04696200954</v>
      </c>
      <c r="P10" s="152">
        <f t="shared" ref="P10:P73" si="3">P9+H10-J10-M10</f>
        <v>609861.99096200953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 t="s">
        <v>1067</v>
      </c>
      <c r="J11" s="152"/>
      <c r="K11" s="150"/>
      <c r="L11" s="154" t="s">
        <v>1113</v>
      </c>
      <c r="M11" s="227">
        <v>86746.69</v>
      </c>
      <c r="N11" s="154" t="s">
        <v>1047</v>
      </c>
      <c r="O11" s="227">
        <f t="shared" si="2"/>
        <v>71279.356962009537</v>
      </c>
      <c r="P11" s="152">
        <f t="shared" si="3"/>
        <v>523115.30096200953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1067</v>
      </c>
      <c r="J12" s="152"/>
      <c r="K12" s="150"/>
      <c r="L12" s="154" t="s">
        <v>1113</v>
      </c>
      <c r="M12" s="227">
        <v>71279.356962009537</v>
      </c>
      <c r="N12" s="154" t="s">
        <v>1047</v>
      </c>
      <c r="O12" s="227">
        <f t="shared" ref="O12:O17" si="4">+O11-J12-M12</f>
        <v>0</v>
      </c>
      <c r="P12" s="152">
        <f t="shared" ref="P12:P17" si="5">P11+H12-J12-M12</f>
        <v>451835.94400000002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1067</v>
      </c>
      <c r="J13" s="152"/>
      <c r="K13" s="150"/>
      <c r="L13" s="154" t="s">
        <v>1113</v>
      </c>
      <c r="M13" s="227">
        <v>17932.543037990501</v>
      </c>
      <c r="N13" s="154" t="s">
        <v>1046</v>
      </c>
      <c r="O13" s="227">
        <f>C8+O12-J13-M13</f>
        <v>353949.84496200946</v>
      </c>
      <c r="P13" s="152">
        <f t="shared" si="5"/>
        <v>433903.4009620095</v>
      </c>
    </row>
    <row r="14" spans="1:16" x14ac:dyDescent="0.15">
      <c r="A14" s="154"/>
      <c r="B14" s="151"/>
      <c r="C14" s="152"/>
      <c r="D14" s="155"/>
      <c r="E14" s="155" t="s">
        <v>1068</v>
      </c>
      <c r="F14" s="157" t="s">
        <v>72</v>
      </c>
      <c r="G14" s="154" t="s">
        <v>1112</v>
      </c>
      <c r="H14" s="152">
        <v>155901.465</v>
      </c>
      <c r="I14" s="155" t="s">
        <v>1068</v>
      </c>
      <c r="J14" s="152"/>
      <c r="K14" s="150"/>
      <c r="L14" s="154" t="s">
        <v>1113</v>
      </c>
      <c r="M14" s="227">
        <v>1333.41</v>
      </c>
      <c r="N14" s="154" t="s">
        <v>1046</v>
      </c>
      <c r="O14" s="227">
        <f t="shared" si="4"/>
        <v>352616.43496200949</v>
      </c>
      <c r="P14" s="152">
        <f t="shared" si="5"/>
        <v>588471.4559620095</v>
      </c>
    </row>
    <row r="15" spans="1:16" x14ac:dyDescent="0.15">
      <c r="A15" s="154"/>
      <c r="B15" s="151"/>
      <c r="C15" s="152"/>
      <c r="D15" s="155"/>
      <c r="E15" s="155" t="s">
        <v>1069</v>
      </c>
      <c r="F15" s="157" t="s">
        <v>72</v>
      </c>
      <c r="G15" s="154" t="s">
        <v>1112</v>
      </c>
      <c r="H15" s="152">
        <v>115895.77499999999</v>
      </c>
      <c r="I15" s="155" t="s">
        <v>1069</v>
      </c>
      <c r="J15" s="152"/>
      <c r="K15" s="150"/>
      <c r="L15" s="154" t="s">
        <v>1113</v>
      </c>
      <c r="M15" s="227">
        <v>75110.67</v>
      </c>
      <c r="N15" s="154" t="s">
        <v>1046</v>
      </c>
      <c r="O15" s="227">
        <f t="shared" si="4"/>
        <v>277505.7649620095</v>
      </c>
      <c r="P15" s="152">
        <f t="shared" si="5"/>
        <v>629256.56096200948</v>
      </c>
    </row>
    <row r="16" spans="1:16" x14ac:dyDescent="0.15">
      <c r="A16" s="154"/>
      <c r="B16" s="151"/>
      <c r="C16" s="152"/>
      <c r="D16" s="155"/>
      <c r="E16" s="155" t="s">
        <v>1069</v>
      </c>
      <c r="F16" s="157" t="s">
        <v>72</v>
      </c>
      <c r="G16" s="154" t="s">
        <v>1098</v>
      </c>
      <c r="H16" s="152">
        <v>44113.451000000001</v>
      </c>
      <c r="I16" s="155" t="s">
        <v>1069</v>
      </c>
      <c r="J16" s="152"/>
      <c r="K16" s="150"/>
      <c r="L16" s="154" t="s">
        <v>1113</v>
      </c>
      <c r="M16" s="227">
        <v>80218.78</v>
      </c>
      <c r="N16" s="154" t="s">
        <v>1046</v>
      </c>
      <c r="O16" s="227">
        <f t="shared" si="4"/>
        <v>197286.9849620095</v>
      </c>
      <c r="P16" s="152">
        <f t="shared" si="5"/>
        <v>593151.23196200945</v>
      </c>
    </row>
    <row r="17" spans="1:16" x14ac:dyDescent="0.15">
      <c r="A17" s="154"/>
      <c r="B17" s="151"/>
      <c r="C17" s="152"/>
      <c r="D17" s="155"/>
      <c r="E17" s="155"/>
      <c r="F17" s="157"/>
      <c r="G17" s="154"/>
      <c r="H17" s="152"/>
      <c r="I17" s="155" t="s">
        <v>1069</v>
      </c>
      <c r="J17" s="152"/>
      <c r="K17" s="154"/>
      <c r="L17" s="154" t="s">
        <v>1113</v>
      </c>
      <c r="M17" s="227">
        <v>865.3</v>
      </c>
      <c r="N17" s="154" t="s">
        <v>1046</v>
      </c>
      <c r="O17" s="227">
        <f t="shared" si="4"/>
        <v>196421.68496200952</v>
      </c>
      <c r="P17" s="152">
        <f t="shared" si="5"/>
        <v>592285.9319620094</v>
      </c>
    </row>
    <row r="18" spans="1:16" x14ac:dyDescent="0.15">
      <c r="A18" s="154"/>
      <c r="B18" s="151"/>
      <c r="C18" s="152"/>
      <c r="D18" s="155"/>
      <c r="E18" s="155" t="s">
        <v>1070</v>
      </c>
      <c r="F18" s="157" t="s">
        <v>72</v>
      </c>
      <c r="G18" s="154" t="s">
        <v>1098</v>
      </c>
      <c r="H18" s="152">
        <v>35967.15</v>
      </c>
      <c r="I18" s="155" t="s">
        <v>1070</v>
      </c>
      <c r="J18" s="152"/>
      <c r="K18" s="150"/>
      <c r="L18" s="154" t="s">
        <v>1113</v>
      </c>
      <c r="M18" s="227">
        <v>76855.63</v>
      </c>
      <c r="N18" s="154" t="s">
        <v>1046</v>
      </c>
      <c r="O18" s="227">
        <f t="shared" si="2"/>
        <v>119566.05496200951</v>
      </c>
      <c r="P18" s="152">
        <f t="shared" si="3"/>
        <v>551397.45196200942</v>
      </c>
    </row>
    <row r="19" spans="1:16" x14ac:dyDescent="0.15">
      <c r="A19" s="154"/>
      <c r="B19" s="151"/>
      <c r="C19" s="152"/>
      <c r="D19" s="155"/>
      <c r="E19" s="155"/>
      <c r="F19" s="157"/>
      <c r="G19" s="154"/>
      <c r="H19" s="152"/>
      <c r="I19" s="155" t="s">
        <v>1070</v>
      </c>
      <c r="J19" s="152"/>
      <c r="K19" s="150"/>
      <c r="L19" s="154" t="s">
        <v>1113</v>
      </c>
      <c r="M19" s="227">
        <v>69759.72</v>
      </c>
      <c r="N19" s="154" t="s">
        <v>1046</v>
      </c>
      <c r="O19" s="227">
        <f t="shared" si="2"/>
        <v>49806.33496200951</v>
      </c>
      <c r="P19" s="152">
        <f t="shared" si="3"/>
        <v>481637.73196200945</v>
      </c>
    </row>
    <row r="20" spans="1:16" x14ac:dyDescent="0.15">
      <c r="A20" s="154"/>
      <c r="B20" s="151"/>
      <c r="C20" s="152"/>
      <c r="D20" s="155"/>
      <c r="E20" s="155" t="s">
        <v>1071</v>
      </c>
      <c r="F20" s="157" t="s">
        <v>72</v>
      </c>
      <c r="G20" s="154" t="s">
        <v>1098</v>
      </c>
      <c r="H20" s="152">
        <v>39928.629000000001</v>
      </c>
      <c r="I20" s="155" t="s">
        <v>1071</v>
      </c>
      <c r="J20" s="152"/>
      <c r="K20" s="150"/>
      <c r="L20" s="154" t="s">
        <v>1113</v>
      </c>
      <c r="M20" s="227">
        <v>44833.26</v>
      </c>
      <c r="N20" s="154" t="s">
        <v>1046</v>
      </c>
      <c r="O20" s="227">
        <f t="shared" si="2"/>
        <v>4973.0749620095085</v>
      </c>
      <c r="P20" s="152">
        <f t="shared" si="3"/>
        <v>476733.10096200946</v>
      </c>
    </row>
    <row r="21" spans="1:16" x14ac:dyDescent="0.15">
      <c r="A21" s="154"/>
      <c r="B21" s="151"/>
      <c r="C21" s="152"/>
      <c r="D21" s="155"/>
      <c r="E21" s="155" t="s">
        <v>1071</v>
      </c>
      <c r="F21" s="157" t="s">
        <v>72</v>
      </c>
      <c r="G21" s="154" t="s">
        <v>1099</v>
      </c>
      <c r="H21" s="152">
        <v>79923.95</v>
      </c>
      <c r="I21" s="155" t="s">
        <v>1071</v>
      </c>
      <c r="J21" s="152"/>
      <c r="K21" s="154"/>
      <c r="L21" s="154" t="s">
        <v>1113</v>
      </c>
      <c r="M21" s="227">
        <v>4973.0749620095085</v>
      </c>
      <c r="N21" s="154" t="s">
        <v>1046</v>
      </c>
      <c r="O21" s="227">
        <f t="shared" si="2"/>
        <v>0</v>
      </c>
      <c r="P21" s="152">
        <f t="shared" si="3"/>
        <v>551683.97599999991</v>
      </c>
    </row>
    <row r="22" spans="1:16" x14ac:dyDescent="0.15">
      <c r="A22" s="154"/>
      <c r="B22" s="151"/>
      <c r="C22" s="152"/>
      <c r="D22" s="155"/>
      <c r="E22" s="155"/>
      <c r="F22" s="157"/>
      <c r="G22" s="154"/>
      <c r="H22" s="152"/>
      <c r="I22" s="155" t="s">
        <v>1071</v>
      </c>
      <c r="J22" s="152"/>
      <c r="K22" s="154"/>
      <c r="L22" s="154" t="s">
        <v>1113</v>
      </c>
      <c r="M22" s="227">
        <v>68639.585037990502</v>
      </c>
      <c r="N22" s="154" t="s">
        <v>1048</v>
      </c>
      <c r="O22" s="227">
        <f>C9+O21-J22-M22</f>
        <v>11313.970962009495</v>
      </c>
      <c r="P22" s="152">
        <f t="shared" ref="P22:P23" si="6">P21+H22-J22-M22</f>
        <v>483044.39096200943</v>
      </c>
    </row>
    <row r="23" spans="1:16" x14ac:dyDescent="0.15">
      <c r="A23" s="154"/>
      <c r="B23" s="151"/>
      <c r="C23" s="152"/>
      <c r="D23" s="155"/>
      <c r="E23" s="155"/>
      <c r="F23" s="157"/>
      <c r="G23" s="154"/>
      <c r="H23" s="152"/>
      <c r="I23" s="155" t="s">
        <v>1071</v>
      </c>
      <c r="J23" s="152"/>
      <c r="K23" s="150"/>
      <c r="L23" s="154" t="s">
        <v>1113</v>
      </c>
      <c r="M23" s="227">
        <v>11313.970962009495</v>
      </c>
      <c r="N23" s="154" t="s">
        <v>1048</v>
      </c>
      <c r="O23" s="227">
        <f t="shared" ref="O23" si="7">+O22-J23-M23</f>
        <v>0</v>
      </c>
      <c r="P23" s="152">
        <f t="shared" si="6"/>
        <v>471730.41999999993</v>
      </c>
    </row>
    <row r="24" spans="1:16" x14ac:dyDescent="0.15">
      <c r="A24" s="154"/>
      <c r="B24" s="151"/>
      <c r="C24" s="152"/>
      <c r="D24" s="155"/>
      <c r="E24" s="155"/>
      <c r="F24" s="157"/>
      <c r="G24" s="154"/>
      <c r="H24" s="152"/>
      <c r="I24" s="155" t="s">
        <v>1071</v>
      </c>
      <c r="J24" s="152"/>
      <c r="K24" s="150"/>
      <c r="L24" s="154" t="s">
        <v>1113</v>
      </c>
      <c r="M24" s="227">
        <v>73560.199037990504</v>
      </c>
      <c r="N24" s="154" t="s">
        <v>1112</v>
      </c>
      <c r="O24" s="227">
        <f>H14+H15+O23-J24-M24</f>
        <v>198237.04096200949</v>
      </c>
      <c r="P24" s="152">
        <f t="shared" ref="P24:P26" si="8">P23+H24-J24-M24</f>
        <v>398170.22096200939</v>
      </c>
    </row>
    <row r="25" spans="1:16" x14ac:dyDescent="0.15">
      <c r="A25" s="154"/>
      <c r="B25" s="151"/>
      <c r="C25" s="152"/>
      <c r="D25" s="155"/>
      <c r="E25" s="155" t="s">
        <v>1072</v>
      </c>
      <c r="F25" s="157" t="s">
        <v>72</v>
      </c>
      <c r="G25" s="154" t="s">
        <v>1099</v>
      </c>
      <c r="H25" s="152">
        <v>155961.47099999999</v>
      </c>
      <c r="I25" s="155" t="s">
        <v>1072</v>
      </c>
      <c r="J25" s="152">
        <v>4743.8500000000004</v>
      </c>
      <c r="K25" s="154" t="s">
        <v>1112</v>
      </c>
      <c r="L25" s="154" t="s">
        <v>1113</v>
      </c>
      <c r="M25" s="227">
        <v>6412.2</v>
      </c>
      <c r="N25" s="154" t="s">
        <v>1112</v>
      </c>
      <c r="O25" s="227">
        <f t="shared" ref="O25:O26" si="9">+O24-J25-M25</f>
        <v>187080.99096200947</v>
      </c>
      <c r="P25" s="152">
        <f t="shared" si="8"/>
        <v>542975.64196200948</v>
      </c>
    </row>
    <row r="26" spans="1:16" x14ac:dyDescent="0.15">
      <c r="A26" s="154"/>
      <c r="B26" s="151"/>
      <c r="C26" s="152"/>
      <c r="D26" s="155"/>
      <c r="E26" s="155" t="s">
        <v>1073</v>
      </c>
      <c r="F26" s="157" t="s">
        <v>72</v>
      </c>
      <c r="G26" s="154" t="s">
        <v>1100</v>
      </c>
      <c r="H26" s="152">
        <v>79928.622000000003</v>
      </c>
      <c r="I26" s="155" t="s">
        <v>1073</v>
      </c>
      <c r="J26" s="152"/>
      <c r="K26" s="150"/>
      <c r="L26" s="154" t="s">
        <v>1113</v>
      </c>
      <c r="M26" s="227">
        <v>75421.13</v>
      </c>
      <c r="N26" s="154" t="s">
        <v>1112</v>
      </c>
      <c r="O26" s="227">
        <f t="shared" si="9"/>
        <v>111659.86096200946</v>
      </c>
      <c r="P26" s="152">
        <f t="shared" si="8"/>
        <v>547483.13396200945</v>
      </c>
    </row>
    <row r="27" spans="1:16" x14ac:dyDescent="0.15">
      <c r="A27" s="154"/>
      <c r="B27" s="151"/>
      <c r="C27" s="152"/>
      <c r="D27" s="155"/>
      <c r="E27" s="155" t="s">
        <v>1074</v>
      </c>
      <c r="F27" s="157" t="s">
        <v>72</v>
      </c>
      <c r="G27" s="154" t="s">
        <v>1101</v>
      </c>
      <c r="H27" s="152">
        <v>79978.913</v>
      </c>
      <c r="I27" s="155" t="s">
        <v>1074</v>
      </c>
      <c r="J27" s="152">
        <v>907.54</v>
      </c>
      <c r="K27" s="154" t="s">
        <v>1112</v>
      </c>
      <c r="L27" s="154" t="s">
        <v>1113</v>
      </c>
      <c r="M27" s="227">
        <v>82391.8</v>
      </c>
      <c r="N27" s="154" t="s">
        <v>1112</v>
      </c>
      <c r="O27" s="227">
        <f t="shared" si="2"/>
        <v>28360.520962009468</v>
      </c>
      <c r="P27" s="152">
        <f t="shared" si="3"/>
        <v>544162.70696200943</v>
      </c>
    </row>
    <row r="28" spans="1:16" x14ac:dyDescent="0.15">
      <c r="A28" s="154"/>
      <c r="B28" s="151"/>
      <c r="C28" s="152"/>
      <c r="D28" s="155"/>
      <c r="E28" s="155"/>
      <c r="F28" s="157"/>
      <c r="G28" s="154"/>
      <c r="H28" s="152"/>
      <c r="I28" s="155" t="s">
        <v>1074</v>
      </c>
      <c r="J28" s="152"/>
      <c r="K28" s="157"/>
      <c r="L28" s="154" t="s">
        <v>1113</v>
      </c>
      <c r="M28" s="227">
        <v>1146.42</v>
      </c>
      <c r="N28" s="154" t="s">
        <v>1112</v>
      </c>
      <c r="O28" s="227">
        <f t="shared" si="2"/>
        <v>27214.10096200947</v>
      </c>
      <c r="P28" s="152">
        <f t="shared" si="3"/>
        <v>543016.28696200938</v>
      </c>
    </row>
    <row r="29" spans="1:16" x14ac:dyDescent="0.15">
      <c r="A29" s="154"/>
      <c r="B29" s="151"/>
      <c r="C29" s="152"/>
      <c r="D29" s="155"/>
      <c r="E29" s="155"/>
      <c r="F29" s="157"/>
      <c r="G29" s="154"/>
      <c r="H29" s="152"/>
      <c r="I29" s="155" t="s">
        <v>1074</v>
      </c>
      <c r="J29" s="152"/>
      <c r="K29" s="154"/>
      <c r="L29" s="154" t="s">
        <v>1113</v>
      </c>
      <c r="M29" s="227">
        <v>27214.10096200947</v>
      </c>
      <c r="N29" s="154" t="s">
        <v>1112</v>
      </c>
      <c r="O29" s="227">
        <f t="shared" si="2"/>
        <v>0</v>
      </c>
      <c r="P29" s="152">
        <f t="shared" si="3"/>
        <v>515802.18599999993</v>
      </c>
    </row>
    <row r="30" spans="1:16" x14ac:dyDescent="0.15">
      <c r="A30" s="154"/>
      <c r="B30" s="151"/>
      <c r="C30" s="152"/>
      <c r="D30" s="155"/>
      <c r="E30" s="155"/>
      <c r="F30" s="157"/>
      <c r="G30" s="154"/>
      <c r="H30" s="152"/>
      <c r="I30" s="155" t="s">
        <v>1074</v>
      </c>
      <c r="J30" s="152"/>
      <c r="K30" s="154"/>
      <c r="L30" s="154" t="s">
        <v>1114</v>
      </c>
      <c r="M30" s="227">
        <v>59501.909037990503</v>
      </c>
      <c r="N30" s="154" t="s">
        <v>1098</v>
      </c>
      <c r="O30" s="227">
        <f>H16+H18+H20+O29-J30-M30</f>
        <v>60507.320962009493</v>
      </c>
      <c r="P30" s="152">
        <f t="shared" ref="P30:P32" si="10">P29+H30-J30-M30</f>
        <v>456300.27696200943</v>
      </c>
    </row>
    <row r="31" spans="1:16" x14ac:dyDescent="0.15">
      <c r="A31" s="154"/>
      <c r="B31" s="151"/>
      <c r="C31" s="152"/>
      <c r="D31" s="155"/>
      <c r="E31" s="155" t="s">
        <v>1075</v>
      </c>
      <c r="F31" s="157" t="s">
        <v>72</v>
      </c>
      <c r="G31" s="154" t="s">
        <v>1101</v>
      </c>
      <c r="H31" s="152">
        <v>99974.656000000003</v>
      </c>
      <c r="I31" s="155" t="s">
        <v>1075</v>
      </c>
      <c r="J31" s="152"/>
      <c r="K31" s="154"/>
      <c r="L31" s="154" t="s">
        <v>1114</v>
      </c>
      <c r="M31" s="227">
        <v>823.33</v>
      </c>
      <c r="N31" s="154" t="s">
        <v>1098</v>
      </c>
      <c r="O31" s="227">
        <f t="shared" ref="O31:O32" si="11">+O30-J31-M31</f>
        <v>59683.990962009491</v>
      </c>
      <c r="P31" s="152">
        <f t="shared" si="10"/>
        <v>555451.60296200949</v>
      </c>
    </row>
    <row r="32" spans="1:16" x14ac:dyDescent="0.15">
      <c r="A32" s="154"/>
      <c r="B32" s="151"/>
      <c r="C32" s="152"/>
      <c r="D32" s="155"/>
      <c r="E32" s="155" t="s">
        <v>1076</v>
      </c>
      <c r="F32" s="157" t="s">
        <v>72</v>
      </c>
      <c r="G32" s="154" t="s">
        <v>1101</v>
      </c>
      <c r="H32" s="152">
        <v>58448.288999999997</v>
      </c>
      <c r="I32" s="155" t="s">
        <v>1076</v>
      </c>
      <c r="J32" s="152"/>
      <c r="K32" s="154"/>
      <c r="L32" s="154" t="s">
        <v>1114</v>
      </c>
      <c r="M32" s="227">
        <v>59683.990962009491</v>
      </c>
      <c r="N32" s="154" t="s">
        <v>1098</v>
      </c>
      <c r="O32" s="227">
        <f t="shared" si="11"/>
        <v>0</v>
      </c>
      <c r="P32" s="152">
        <f t="shared" si="10"/>
        <v>554215.90099999995</v>
      </c>
    </row>
    <row r="33" spans="1:16" x14ac:dyDescent="0.15">
      <c r="A33" s="154"/>
      <c r="B33" s="151"/>
      <c r="C33" s="152"/>
      <c r="D33" s="155"/>
      <c r="E33" s="155" t="s">
        <v>1076</v>
      </c>
      <c r="F33" s="157" t="s">
        <v>72</v>
      </c>
      <c r="G33" s="154" t="s">
        <v>1102</v>
      </c>
      <c r="H33" s="152">
        <v>137398.92000000001</v>
      </c>
      <c r="I33" s="155" t="s">
        <v>1076</v>
      </c>
      <c r="J33" s="152"/>
      <c r="K33" s="154"/>
      <c r="L33" s="154" t="s">
        <v>1113</v>
      </c>
      <c r="M33" s="227">
        <v>14798.899037990501</v>
      </c>
      <c r="N33" s="154" t="s">
        <v>1099</v>
      </c>
      <c r="O33" s="227">
        <f>H21+H25+O32-J33-M33</f>
        <v>221086.52196200949</v>
      </c>
      <c r="P33" s="152">
        <f t="shared" ref="P33:P35" si="12">P32+H33-J33-M33</f>
        <v>676815.92196200951</v>
      </c>
    </row>
    <row r="34" spans="1:16" x14ac:dyDescent="0.15">
      <c r="A34" s="154"/>
      <c r="B34" s="151"/>
      <c r="C34" s="152"/>
      <c r="D34" s="155"/>
      <c r="E34" s="155"/>
      <c r="F34" s="157"/>
      <c r="G34" s="154"/>
      <c r="H34" s="152"/>
      <c r="I34" s="155" t="s">
        <v>1076</v>
      </c>
      <c r="J34" s="152"/>
      <c r="K34" s="154"/>
      <c r="L34" s="154" t="s">
        <v>1113</v>
      </c>
      <c r="M34" s="227">
        <v>71936.509999999995</v>
      </c>
      <c r="N34" s="154" t="s">
        <v>1099</v>
      </c>
      <c r="O34" s="227">
        <f t="shared" ref="O34:O35" si="13">+O33-J34-M34</f>
        <v>149150.01196200948</v>
      </c>
      <c r="P34" s="152">
        <f t="shared" si="12"/>
        <v>604879.4119620095</v>
      </c>
    </row>
    <row r="35" spans="1:16" x14ac:dyDescent="0.15">
      <c r="A35" s="154"/>
      <c r="B35" s="151"/>
      <c r="C35" s="152"/>
      <c r="D35" s="155"/>
      <c r="E35" s="155"/>
      <c r="F35" s="157"/>
      <c r="G35" s="154"/>
      <c r="H35" s="152"/>
      <c r="I35" s="155" t="s">
        <v>1076</v>
      </c>
      <c r="J35" s="152"/>
      <c r="K35" s="157"/>
      <c r="L35" s="154" t="s">
        <v>1113</v>
      </c>
      <c r="M35" s="227">
        <v>670.66</v>
      </c>
      <c r="N35" s="154" t="s">
        <v>1099</v>
      </c>
      <c r="O35" s="227">
        <f t="shared" si="13"/>
        <v>148479.35196200947</v>
      </c>
      <c r="P35" s="152">
        <f t="shared" si="12"/>
        <v>604208.75196200947</v>
      </c>
    </row>
    <row r="36" spans="1:16" x14ac:dyDescent="0.15">
      <c r="A36" s="154"/>
      <c r="B36" s="151"/>
      <c r="C36" s="152"/>
      <c r="D36" s="155"/>
      <c r="E36" s="155"/>
      <c r="F36" s="157"/>
      <c r="G36" s="154"/>
      <c r="H36" s="152"/>
      <c r="I36" s="155" t="s">
        <v>1076</v>
      </c>
      <c r="J36" s="152"/>
      <c r="K36" s="154"/>
      <c r="L36" s="154" t="s">
        <v>1113</v>
      </c>
      <c r="M36" s="227">
        <v>1013.49</v>
      </c>
      <c r="N36" s="154" t="s">
        <v>1099</v>
      </c>
      <c r="O36" s="227">
        <f t="shared" si="2"/>
        <v>147465.86196200948</v>
      </c>
      <c r="P36" s="152">
        <f t="shared" si="3"/>
        <v>603195.26196200948</v>
      </c>
    </row>
    <row r="37" spans="1:16" x14ac:dyDescent="0.15">
      <c r="A37" s="154"/>
      <c r="B37" s="151"/>
      <c r="C37" s="152"/>
      <c r="D37" s="155"/>
      <c r="E37" s="155"/>
      <c r="F37" s="157"/>
      <c r="G37" s="154"/>
      <c r="H37" s="152"/>
      <c r="I37" s="155" t="s">
        <v>1077</v>
      </c>
      <c r="J37" s="152"/>
      <c r="K37" s="154"/>
      <c r="L37" s="154" t="s">
        <v>1113</v>
      </c>
      <c r="M37" s="227">
        <v>77165.350000000006</v>
      </c>
      <c r="N37" s="154" t="s">
        <v>1099</v>
      </c>
      <c r="O37" s="227">
        <f t="shared" si="2"/>
        <v>70300.511962009477</v>
      </c>
      <c r="P37" s="152">
        <f t="shared" si="3"/>
        <v>526029.9119620095</v>
      </c>
    </row>
    <row r="38" spans="1:16" x14ac:dyDescent="0.15">
      <c r="A38" s="154"/>
      <c r="B38" s="151"/>
      <c r="C38" s="152"/>
      <c r="D38" s="155"/>
      <c r="E38" s="155" t="s">
        <v>1078</v>
      </c>
      <c r="F38" s="157" t="s">
        <v>72</v>
      </c>
      <c r="G38" s="154" t="s">
        <v>1103</v>
      </c>
      <c r="H38" s="152">
        <v>115861.071</v>
      </c>
      <c r="I38" s="155" t="s">
        <v>1078</v>
      </c>
      <c r="J38" s="152">
        <v>1414.71</v>
      </c>
      <c r="K38" s="154" t="s">
        <v>1099</v>
      </c>
      <c r="L38" s="154" t="s">
        <v>1113</v>
      </c>
      <c r="M38" s="227">
        <v>68885.801962009471</v>
      </c>
      <c r="N38" s="154" t="s">
        <v>1099</v>
      </c>
      <c r="O38" s="227">
        <f t="shared" si="2"/>
        <v>0</v>
      </c>
      <c r="P38" s="152">
        <f t="shared" si="3"/>
        <v>571590.47100000002</v>
      </c>
    </row>
    <row r="39" spans="1:16" x14ac:dyDescent="0.15">
      <c r="A39" s="154"/>
      <c r="B39" s="151"/>
      <c r="C39" s="152"/>
      <c r="D39" s="155"/>
      <c r="E39" s="155"/>
      <c r="F39" s="157"/>
      <c r="G39" s="154"/>
      <c r="H39" s="152"/>
      <c r="I39" s="155" t="s">
        <v>1078</v>
      </c>
      <c r="J39" s="152"/>
      <c r="K39" s="154"/>
      <c r="L39" s="154" t="s">
        <v>1113</v>
      </c>
      <c r="M39" s="227">
        <v>3953.2380379905198</v>
      </c>
      <c r="N39" s="154" t="s">
        <v>1100</v>
      </c>
      <c r="O39" s="227">
        <f>H26+O38-J39-M39</f>
        <v>75975.38396200948</v>
      </c>
      <c r="P39" s="152">
        <f t="shared" ref="P39:P40" si="14">P38+H39-J39-M39</f>
        <v>567637.2329620095</v>
      </c>
    </row>
    <row r="40" spans="1:16" x14ac:dyDescent="0.15">
      <c r="A40" s="154"/>
      <c r="B40" s="151"/>
      <c r="C40" s="152"/>
      <c r="D40" s="155"/>
      <c r="E40" s="155"/>
      <c r="F40" s="157"/>
      <c r="G40" s="154"/>
      <c r="H40" s="152"/>
      <c r="I40" s="155" t="s">
        <v>1078</v>
      </c>
      <c r="J40" s="152"/>
      <c r="K40" s="154"/>
      <c r="L40" s="154" t="s">
        <v>1113</v>
      </c>
      <c r="M40" s="227">
        <v>75975.38396200948</v>
      </c>
      <c r="N40" s="154" t="s">
        <v>1100</v>
      </c>
      <c r="O40" s="227">
        <f t="shared" ref="O40" si="15">+O39-J40-M40</f>
        <v>0</v>
      </c>
      <c r="P40" s="152">
        <f t="shared" si="14"/>
        <v>491661.84900000005</v>
      </c>
    </row>
    <row r="41" spans="1:16" x14ac:dyDescent="0.15">
      <c r="A41" s="154"/>
      <c r="B41" s="151"/>
      <c r="C41" s="152"/>
      <c r="D41" s="155"/>
      <c r="E41" s="155"/>
      <c r="F41" s="157"/>
      <c r="G41" s="154"/>
      <c r="H41" s="152"/>
      <c r="I41" s="155" t="s">
        <v>1078</v>
      </c>
      <c r="J41" s="152"/>
      <c r="K41" s="154"/>
      <c r="L41" s="154" t="s">
        <v>1113</v>
      </c>
      <c r="M41" s="227">
        <v>9927.1960379905195</v>
      </c>
      <c r="N41" s="154" t="s">
        <v>1101</v>
      </c>
      <c r="O41" s="227">
        <f>H27+H31+H32+O40-J41-M41</f>
        <v>228474.6619620095</v>
      </c>
      <c r="P41" s="152">
        <f t="shared" ref="P41:P42" si="16">P40+H41-J41-M41</f>
        <v>481734.65296200954</v>
      </c>
    </row>
    <row r="42" spans="1:16" x14ac:dyDescent="0.15">
      <c r="A42" s="154"/>
      <c r="B42" s="151"/>
      <c r="C42" s="152"/>
      <c r="D42" s="155"/>
      <c r="E42" s="155"/>
      <c r="F42" s="157"/>
      <c r="G42" s="154"/>
      <c r="H42" s="152"/>
      <c r="I42" s="155" t="s">
        <v>1078</v>
      </c>
      <c r="J42" s="152"/>
      <c r="K42" s="154"/>
      <c r="L42" s="154" t="s">
        <v>1113</v>
      </c>
      <c r="M42" s="227">
        <v>50334.79</v>
      </c>
      <c r="N42" s="154" t="s">
        <v>1101</v>
      </c>
      <c r="O42" s="227">
        <f t="shared" ref="O42" si="17">+O41-J42-M42</f>
        <v>178139.87196200949</v>
      </c>
      <c r="P42" s="152">
        <f t="shared" si="16"/>
        <v>431399.86296200956</v>
      </c>
    </row>
    <row r="43" spans="1:16" x14ac:dyDescent="0.15">
      <c r="A43" s="154"/>
      <c r="B43" s="151"/>
      <c r="C43" s="152"/>
      <c r="D43" s="155"/>
      <c r="E43" s="155" t="s">
        <v>1079</v>
      </c>
      <c r="F43" s="157" t="s">
        <v>72</v>
      </c>
      <c r="G43" s="154" t="s">
        <v>1103</v>
      </c>
      <c r="H43" s="152">
        <v>155666.99299999999</v>
      </c>
      <c r="I43" s="155" t="s">
        <v>1079</v>
      </c>
      <c r="J43" s="152">
        <v>2188.89</v>
      </c>
      <c r="K43" s="154" t="s">
        <v>1101</v>
      </c>
      <c r="L43" s="154"/>
      <c r="M43" s="227"/>
      <c r="N43" s="157"/>
      <c r="O43" s="227">
        <f t="shared" si="2"/>
        <v>175950.98196200948</v>
      </c>
      <c r="P43" s="152">
        <f t="shared" si="3"/>
        <v>584877.9659620095</v>
      </c>
    </row>
    <row r="44" spans="1:16" x14ac:dyDescent="0.15">
      <c r="A44" s="154"/>
      <c r="B44" s="151"/>
      <c r="C44" s="152"/>
      <c r="D44" s="155"/>
      <c r="E44" s="155" t="s">
        <v>1080</v>
      </c>
      <c r="F44" s="157" t="s">
        <v>72</v>
      </c>
      <c r="G44" s="154" t="s">
        <v>1104</v>
      </c>
      <c r="H44" s="152">
        <v>79905.900999999998</v>
      </c>
      <c r="I44" s="155" t="s">
        <v>1080</v>
      </c>
      <c r="J44" s="152"/>
      <c r="K44" s="154"/>
      <c r="L44" s="154" t="s">
        <v>1113</v>
      </c>
      <c r="M44" s="227">
        <v>78256.47</v>
      </c>
      <c r="N44" s="154" t="s">
        <v>1101</v>
      </c>
      <c r="O44" s="227">
        <f t="shared" si="2"/>
        <v>97694.511962009477</v>
      </c>
      <c r="P44" s="152">
        <f t="shared" si="3"/>
        <v>586527.39696200949</v>
      </c>
    </row>
    <row r="45" spans="1:16" x14ac:dyDescent="0.15">
      <c r="A45" s="154"/>
      <c r="B45" s="151"/>
      <c r="C45" s="152"/>
      <c r="D45" s="155"/>
      <c r="E45" s="155"/>
      <c r="F45" s="157"/>
      <c r="G45" s="154"/>
      <c r="H45" s="152"/>
      <c r="I45" s="155" t="s">
        <v>1081</v>
      </c>
      <c r="J45" s="152"/>
      <c r="K45" s="154"/>
      <c r="L45" s="154" t="s">
        <v>1113</v>
      </c>
      <c r="M45" s="227">
        <v>87858.67</v>
      </c>
      <c r="N45" s="154" t="s">
        <v>1101</v>
      </c>
      <c r="O45" s="227">
        <f t="shared" si="2"/>
        <v>9835.8419620094792</v>
      </c>
      <c r="P45" s="152">
        <f t="shared" si="3"/>
        <v>498668.7269620095</v>
      </c>
    </row>
    <row r="46" spans="1:16" x14ac:dyDescent="0.15">
      <c r="A46" s="154"/>
      <c r="B46" s="151"/>
      <c r="C46" s="152"/>
      <c r="D46" s="155"/>
      <c r="E46" s="155"/>
      <c r="F46" s="157"/>
      <c r="G46" s="154"/>
      <c r="H46" s="152"/>
      <c r="I46" s="155" t="s">
        <v>1081</v>
      </c>
      <c r="J46" s="152"/>
      <c r="K46" s="157"/>
      <c r="L46" s="154" t="s">
        <v>1113</v>
      </c>
      <c r="M46" s="227">
        <v>9835.8419620094792</v>
      </c>
      <c r="N46" s="154" t="s">
        <v>1101</v>
      </c>
      <c r="O46" s="227">
        <f t="shared" si="2"/>
        <v>0</v>
      </c>
      <c r="P46" s="152">
        <f t="shared" si="3"/>
        <v>488832.88500000001</v>
      </c>
    </row>
    <row r="47" spans="1:16" x14ac:dyDescent="0.15">
      <c r="A47" s="154"/>
      <c r="B47" s="151"/>
      <c r="C47" s="152"/>
      <c r="D47" s="155"/>
      <c r="E47" s="155"/>
      <c r="F47" s="157"/>
      <c r="G47" s="154"/>
      <c r="H47" s="152"/>
      <c r="I47" s="155" t="s">
        <v>1081</v>
      </c>
      <c r="J47" s="152"/>
      <c r="K47" s="157"/>
      <c r="L47" s="154" t="s">
        <v>1114</v>
      </c>
      <c r="M47" s="227">
        <v>81527.818037990495</v>
      </c>
      <c r="N47" s="154" t="s">
        <v>1102</v>
      </c>
      <c r="O47" s="227">
        <f>H33+O46-J47-M47</f>
        <v>55871.101962009518</v>
      </c>
      <c r="P47" s="152">
        <f t="shared" ref="P47:P49" si="18">P46+H47-J47-M47</f>
        <v>407305.06696200953</v>
      </c>
    </row>
    <row r="48" spans="1:16" x14ac:dyDescent="0.15">
      <c r="A48" s="154"/>
      <c r="B48" s="151"/>
      <c r="C48" s="152"/>
      <c r="D48" s="155"/>
      <c r="E48" s="155" t="s">
        <v>1082</v>
      </c>
      <c r="F48" s="157" t="s">
        <v>72</v>
      </c>
      <c r="G48" s="154" t="s">
        <v>1105</v>
      </c>
      <c r="H48" s="152">
        <v>79818.698999999993</v>
      </c>
      <c r="I48" s="155" t="s">
        <v>1082</v>
      </c>
      <c r="J48" s="152"/>
      <c r="K48" s="154"/>
      <c r="L48" s="154" t="s">
        <v>1114</v>
      </c>
      <c r="M48" s="227">
        <v>7542.17</v>
      </c>
      <c r="N48" s="154" t="s">
        <v>1102</v>
      </c>
      <c r="O48" s="227">
        <f t="shared" ref="O48:O49" si="19">+O47-J48-M48</f>
        <v>48328.931962009519</v>
      </c>
      <c r="P48" s="152">
        <f t="shared" si="18"/>
        <v>479581.59596200957</v>
      </c>
    </row>
    <row r="49" spans="1:16" x14ac:dyDescent="0.15">
      <c r="A49" s="154"/>
      <c r="B49" s="151"/>
      <c r="C49" s="152"/>
      <c r="D49" s="155"/>
      <c r="E49" s="155" t="s">
        <v>1083</v>
      </c>
      <c r="F49" s="157" t="s">
        <v>72</v>
      </c>
      <c r="G49" s="154" t="s">
        <v>1105</v>
      </c>
      <c r="H49" s="152">
        <v>49474.495999999999</v>
      </c>
      <c r="I49" s="155" t="s">
        <v>1083</v>
      </c>
      <c r="J49" s="152">
        <v>402</v>
      </c>
      <c r="K49" s="154" t="s">
        <v>1102</v>
      </c>
      <c r="L49" s="154" t="s">
        <v>1114</v>
      </c>
      <c r="M49" s="227">
        <v>47926.931962009519</v>
      </c>
      <c r="N49" s="154" t="s">
        <v>1102</v>
      </c>
      <c r="O49" s="227">
        <f t="shared" si="19"/>
        <v>0</v>
      </c>
      <c r="P49" s="152">
        <f t="shared" si="18"/>
        <v>480727.16000000003</v>
      </c>
    </row>
    <row r="50" spans="1:16" x14ac:dyDescent="0.15">
      <c r="A50" s="154"/>
      <c r="B50" s="151"/>
      <c r="C50" s="152"/>
      <c r="D50" s="155"/>
      <c r="E50" s="155" t="s">
        <v>1083</v>
      </c>
      <c r="F50" s="157" t="s">
        <v>72</v>
      </c>
      <c r="G50" s="154" t="s">
        <v>1106</v>
      </c>
      <c r="H50" s="152">
        <v>66310.131999999998</v>
      </c>
      <c r="I50" s="155" t="s">
        <v>1083</v>
      </c>
      <c r="J50" s="152"/>
      <c r="K50" s="157"/>
      <c r="L50" s="154" t="s">
        <v>1113</v>
      </c>
      <c r="M50" s="227">
        <v>29963.068037990401</v>
      </c>
      <c r="N50" s="154" t="s">
        <v>1103</v>
      </c>
      <c r="O50" s="227">
        <f>H38+H43+O49-J50-M50</f>
        <v>241564.99596200962</v>
      </c>
      <c r="P50" s="152">
        <f t="shared" ref="P50:P54" si="20">P49+H50-J50-M50</f>
        <v>517074.22396200959</v>
      </c>
    </row>
    <row r="51" spans="1:16" x14ac:dyDescent="0.15">
      <c r="A51" s="154"/>
      <c r="B51" s="151"/>
      <c r="C51" s="152"/>
      <c r="D51" s="155"/>
      <c r="E51" s="155"/>
      <c r="F51" s="157"/>
      <c r="G51" s="154"/>
      <c r="H51" s="152"/>
      <c r="I51" s="155" t="s">
        <v>1083</v>
      </c>
      <c r="J51" s="152"/>
      <c r="K51" s="154"/>
      <c r="L51" s="154" t="s">
        <v>1113</v>
      </c>
      <c r="M51" s="227">
        <v>81880</v>
      </c>
      <c r="N51" s="154" t="s">
        <v>1103</v>
      </c>
      <c r="O51" s="227">
        <f t="shared" ref="O51:O54" si="21">+O50-J51-M51</f>
        <v>159684.99596200962</v>
      </c>
      <c r="P51" s="152">
        <f t="shared" si="20"/>
        <v>435194.22396200959</v>
      </c>
    </row>
    <row r="52" spans="1:16" x14ac:dyDescent="0.15">
      <c r="A52" s="154"/>
      <c r="B52" s="151"/>
      <c r="C52" s="152"/>
      <c r="D52" s="155"/>
      <c r="E52" s="155" t="s">
        <v>1084</v>
      </c>
      <c r="F52" s="157" t="s">
        <v>72</v>
      </c>
      <c r="G52" s="154" t="s">
        <v>1106</v>
      </c>
      <c r="H52" s="152">
        <v>179846.38099999999</v>
      </c>
      <c r="I52" s="155" t="s">
        <v>1084</v>
      </c>
      <c r="J52" s="152"/>
      <c r="K52" s="154"/>
      <c r="L52" s="154" t="s">
        <v>1113</v>
      </c>
      <c r="M52" s="227">
        <v>73100</v>
      </c>
      <c r="N52" s="154" t="s">
        <v>1103</v>
      </c>
      <c r="O52" s="227">
        <f t="shared" si="21"/>
        <v>86584.99596200962</v>
      </c>
      <c r="P52" s="152">
        <f t="shared" si="20"/>
        <v>541940.60496200959</v>
      </c>
    </row>
    <row r="53" spans="1:16" x14ac:dyDescent="0.15">
      <c r="A53" s="154"/>
      <c r="B53" s="151"/>
      <c r="C53" s="152"/>
      <c r="D53" s="155"/>
      <c r="E53" s="155"/>
      <c r="F53" s="157"/>
      <c r="G53" s="154"/>
      <c r="H53" s="152"/>
      <c r="I53" s="155" t="s">
        <v>1084</v>
      </c>
      <c r="J53" s="152"/>
      <c r="K53" s="157"/>
      <c r="L53" s="154" t="s">
        <v>1113</v>
      </c>
      <c r="M53" s="227">
        <v>77133</v>
      </c>
      <c r="N53" s="154" t="s">
        <v>1103</v>
      </c>
      <c r="O53" s="227">
        <f t="shared" si="21"/>
        <v>9451.9959620096197</v>
      </c>
      <c r="P53" s="152">
        <f t="shared" si="20"/>
        <v>464807.60496200959</v>
      </c>
    </row>
    <row r="54" spans="1:16" x14ac:dyDescent="0.15">
      <c r="A54" s="154"/>
      <c r="B54" s="151"/>
      <c r="C54" s="152"/>
      <c r="D54" s="155"/>
      <c r="E54" s="155" t="s">
        <v>1085</v>
      </c>
      <c r="F54" s="157" t="s">
        <v>72</v>
      </c>
      <c r="G54" s="154" t="s">
        <v>1106</v>
      </c>
      <c r="H54" s="152">
        <v>115839.38499999999</v>
      </c>
      <c r="I54" s="155" t="s">
        <v>1085</v>
      </c>
      <c r="J54" s="152">
        <v>1130</v>
      </c>
      <c r="K54" s="154" t="s">
        <v>1103</v>
      </c>
      <c r="L54" s="154" t="s">
        <v>1113</v>
      </c>
      <c r="M54" s="227">
        <v>8321.9959620096197</v>
      </c>
      <c r="N54" s="154" t="s">
        <v>1103</v>
      </c>
      <c r="O54" s="227">
        <f t="shared" si="21"/>
        <v>0</v>
      </c>
      <c r="P54" s="152">
        <f t="shared" si="20"/>
        <v>571194.99399999995</v>
      </c>
    </row>
    <row r="55" spans="1:16" x14ac:dyDescent="0.15">
      <c r="A55" s="154"/>
      <c r="B55" s="151"/>
      <c r="C55" s="152"/>
      <c r="D55" s="155"/>
      <c r="E55" s="155"/>
      <c r="F55" s="157"/>
      <c r="G55" s="154"/>
      <c r="H55" s="152"/>
      <c r="I55" s="155" t="s">
        <v>1085</v>
      </c>
      <c r="J55" s="152"/>
      <c r="K55" s="157"/>
      <c r="L55" s="154" t="s">
        <v>1114</v>
      </c>
      <c r="M55" s="227">
        <v>37310.004037990402</v>
      </c>
      <c r="N55" s="154" t="s">
        <v>1104</v>
      </c>
      <c r="O55" s="227">
        <f>H44+O54-J55-M55</f>
        <v>42595.896962009596</v>
      </c>
      <c r="P55" s="152">
        <f t="shared" ref="P55:P56" si="22">P54+H55-J55-M55</f>
        <v>533884.9899620096</v>
      </c>
    </row>
    <row r="56" spans="1:16" x14ac:dyDescent="0.15">
      <c r="A56" s="154"/>
      <c r="B56" s="151"/>
      <c r="C56" s="152"/>
      <c r="D56" s="155"/>
      <c r="E56" s="154"/>
      <c r="F56" s="157"/>
      <c r="G56" s="154"/>
      <c r="H56" s="152"/>
      <c r="I56" s="155" t="s">
        <v>1085</v>
      </c>
      <c r="J56" s="152"/>
      <c r="K56" s="154"/>
      <c r="L56" s="154" t="s">
        <v>1114</v>
      </c>
      <c r="M56" s="227">
        <v>42595.896962009596</v>
      </c>
      <c r="N56" s="154" t="s">
        <v>1104</v>
      </c>
      <c r="O56" s="227">
        <f t="shared" ref="O56" si="23">+O55-J56-M56</f>
        <v>0</v>
      </c>
      <c r="P56" s="152">
        <f t="shared" si="22"/>
        <v>491289.09299999999</v>
      </c>
    </row>
    <row r="57" spans="1:16" x14ac:dyDescent="0.15">
      <c r="A57" s="154"/>
      <c r="B57" s="151"/>
      <c r="C57" s="152"/>
      <c r="D57" s="155"/>
      <c r="E57" s="154"/>
      <c r="F57" s="157"/>
      <c r="G57" s="154"/>
      <c r="H57" s="152"/>
      <c r="I57" s="155" t="s">
        <v>1085</v>
      </c>
      <c r="J57" s="152"/>
      <c r="K57" s="154"/>
      <c r="L57" s="154" t="s">
        <v>1113</v>
      </c>
      <c r="M57" s="227">
        <v>34134.103037990397</v>
      </c>
      <c r="N57" s="154" t="s">
        <v>1105</v>
      </c>
      <c r="O57" s="227">
        <f>H48+H49+O56-J57-M57</f>
        <v>95159.091962009596</v>
      </c>
      <c r="P57" s="152">
        <f t="shared" ref="P57:P60" si="24">P56+H57-J57-M57</f>
        <v>457154.9899620096</v>
      </c>
    </row>
    <row r="58" spans="1:16" x14ac:dyDescent="0.15">
      <c r="A58" s="154"/>
      <c r="B58" s="151"/>
      <c r="C58" s="152"/>
      <c r="D58" s="155"/>
      <c r="E58" s="154"/>
      <c r="F58" s="157"/>
      <c r="G58" s="154"/>
      <c r="H58" s="152"/>
      <c r="I58" s="155" t="s">
        <v>1085</v>
      </c>
      <c r="J58" s="152"/>
      <c r="K58" s="154"/>
      <c r="L58" s="154" t="s">
        <v>1113</v>
      </c>
      <c r="M58" s="227">
        <v>1452</v>
      </c>
      <c r="N58" s="154" t="s">
        <v>1105</v>
      </c>
      <c r="O58" s="227">
        <f t="shared" ref="O58:O60" si="25">+O57-J58-M58</f>
        <v>93707.091962009596</v>
      </c>
      <c r="P58" s="152">
        <f t="shared" si="24"/>
        <v>455702.9899620096</v>
      </c>
    </row>
    <row r="59" spans="1:16" x14ac:dyDescent="0.15">
      <c r="A59" s="154"/>
      <c r="B59" s="151"/>
      <c r="C59" s="152"/>
      <c r="D59" s="155"/>
      <c r="E59" s="154"/>
      <c r="F59" s="157"/>
      <c r="G59" s="154"/>
      <c r="H59" s="152"/>
      <c r="I59" s="155" t="s">
        <v>1085</v>
      </c>
      <c r="J59" s="152"/>
      <c r="K59" s="157"/>
      <c r="L59" s="154" t="s">
        <v>1113</v>
      </c>
      <c r="M59" s="227">
        <v>83400</v>
      </c>
      <c r="N59" s="154" t="s">
        <v>1105</v>
      </c>
      <c r="O59" s="227">
        <f t="shared" si="25"/>
        <v>10307.091962009596</v>
      </c>
      <c r="P59" s="152">
        <f t="shared" si="24"/>
        <v>372302.9899620096</v>
      </c>
    </row>
    <row r="60" spans="1:16" x14ac:dyDescent="0.15">
      <c r="A60" s="154"/>
      <c r="B60" s="151"/>
      <c r="C60" s="152"/>
      <c r="D60" s="155"/>
      <c r="E60" s="155" t="s">
        <v>1086</v>
      </c>
      <c r="F60" s="157" t="s">
        <v>72</v>
      </c>
      <c r="G60" s="154" t="s">
        <v>1107</v>
      </c>
      <c r="H60" s="152">
        <v>119801.17200000001</v>
      </c>
      <c r="I60" s="155" t="s">
        <v>1086</v>
      </c>
      <c r="J60" s="152"/>
      <c r="K60" s="154"/>
      <c r="L60" s="154" t="s">
        <v>1113</v>
      </c>
      <c r="M60" s="227">
        <v>1799.09</v>
      </c>
      <c r="N60" s="154" t="s">
        <v>1105</v>
      </c>
      <c r="O60" s="227">
        <f t="shared" si="25"/>
        <v>8508.0019620095954</v>
      </c>
      <c r="P60" s="152">
        <f t="shared" si="24"/>
        <v>490305.07196200959</v>
      </c>
    </row>
    <row r="61" spans="1:16" x14ac:dyDescent="0.15">
      <c r="A61" s="154"/>
      <c r="B61" s="151"/>
      <c r="C61" s="152"/>
      <c r="D61" s="155"/>
      <c r="E61" s="155"/>
      <c r="F61" s="157"/>
      <c r="G61" s="154"/>
      <c r="H61" s="152"/>
      <c r="I61" s="155" t="s">
        <v>1086</v>
      </c>
      <c r="J61" s="152"/>
      <c r="K61" s="154"/>
      <c r="L61" s="154" t="s">
        <v>1113</v>
      </c>
      <c r="M61" s="227">
        <v>8508.0019620095954</v>
      </c>
      <c r="N61" s="154" t="s">
        <v>1105</v>
      </c>
      <c r="O61" s="227">
        <f t="shared" si="2"/>
        <v>0</v>
      </c>
      <c r="P61" s="152">
        <f t="shared" si="3"/>
        <v>481797.07</v>
      </c>
    </row>
    <row r="62" spans="1:16" x14ac:dyDescent="0.15">
      <c r="A62" s="154"/>
      <c r="B62" s="151"/>
      <c r="C62" s="152"/>
      <c r="D62" s="155"/>
      <c r="E62" s="155"/>
      <c r="F62" s="157"/>
      <c r="G62" s="154"/>
      <c r="H62" s="152"/>
      <c r="I62" s="155" t="s">
        <v>1086</v>
      </c>
      <c r="J62" s="152"/>
      <c r="K62" s="154"/>
      <c r="L62" s="154" t="s">
        <v>1114</v>
      </c>
      <c r="M62" s="227">
        <v>66034.188037990403</v>
      </c>
      <c r="N62" s="154" t="s">
        <v>1106</v>
      </c>
      <c r="O62" s="227">
        <f>H50+H52+H54+O61-J62-M62</f>
        <v>295961.70996200957</v>
      </c>
      <c r="P62" s="152">
        <f t="shared" ref="P62:P64" si="26">P61+H62-J62-M62</f>
        <v>415762.88196200959</v>
      </c>
    </row>
    <row r="63" spans="1:16" x14ac:dyDescent="0.15">
      <c r="A63" s="154"/>
      <c r="B63" s="151"/>
      <c r="C63" s="152"/>
      <c r="D63" s="155"/>
      <c r="E63" s="155"/>
      <c r="F63" s="157"/>
      <c r="G63" s="154"/>
      <c r="H63" s="152"/>
      <c r="I63" s="155" t="s">
        <v>1087</v>
      </c>
      <c r="J63" s="152"/>
      <c r="K63" s="154"/>
      <c r="L63" s="154" t="s">
        <v>1114</v>
      </c>
      <c r="M63" s="227">
        <v>80790.820000000007</v>
      </c>
      <c r="N63" s="154" t="s">
        <v>1106</v>
      </c>
      <c r="O63" s="227">
        <f t="shared" ref="O63:O64" si="27">+O62-J63-M63</f>
        <v>215170.88996200956</v>
      </c>
      <c r="P63" s="152">
        <f t="shared" si="26"/>
        <v>334972.06196200958</v>
      </c>
    </row>
    <row r="64" spans="1:16" x14ac:dyDescent="0.15">
      <c r="A64" s="154"/>
      <c r="B64" s="151"/>
      <c r="C64" s="152"/>
      <c r="D64" s="155"/>
      <c r="E64" s="155"/>
      <c r="F64" s="157"/>
      <c r="G64" s="154"/>
      <c r="H64" s="152"/>
      <c r="I64" s="155" t="s">
        <v>1087</v>
      </c>
      <c r="J64" s="152"/>
      <c r="K64" s="157"/>
      <c r="L64" s="154" t="s">
        <v>1114</v>
      </c>
      <c r="M64" s="227">
        <v>84638.48</v>
      </c>
      <c r="N64" s="154" t="s">
        <v>1106</v>
      </c>
      <c r="O64" s="227">
        <f t="shared" si="27"/>
        <v>130532.40996200957</v>
      </c>
      <c r="P64" s="152">
        <f t="shared" si="26"/>
        <v>250333.5819620096</v>
      </c>
    </row>
    <row r="65" spans="1:16" x14ac:dyDescent="0.15">
      <c r="A65" s="154"/>
      <c r="B65" s="151"/>
      <c r="C65" s="152"/>
      <c r="D65" s="155"/>
      <c r="E65" s="155" t="s">
        <v>1095</v>
      </c>
      <c r="F65" s="157" t="s">
        <v>72</v>
      </c>
      <c r="G65" s="154" t="s">
        <v>1108</v>
      </c>
      <c r="H65" s="152">
        <v>54047.631000000001</v>
      </c>
      <c r="I65" s="155" t="s">
        <v>1095</v>
      </c>
      <c r="J65" s="152"/>
      <c r="K65" s="154"/>
      <c r="L65" s="154"/>
      <c r="M65" s="227"/>
      <c r="N65" s="157"/>
      <c r="O65" s="227">
        <f t="shared" si="2"/>
        <v>130532.40996200957</v>
      </c>
      <c r="P65" s="152">
        <f t="shared" si="3"/>
        <v>304381.21296200959</v>
      </c>
    </row>
    <row r="66" spans="1:16" x14ac:dyDescent="0.15">
      <c r="A66" s="154"/>
      <c r="B66" s="151"/>
      <c r="C66" s="152"/>
      <c r="D66" s="155"/>
      <c r="E66" s="155" t="s">
        <v>1095</v>
      </c>
      <c r="F66" s="157" t="s">
        <v>72</v>
      </c>
      <c r="G66" s="154" t="s">
        <v>1109</v>
      </c>
      <c r="H66" s="152">
        <v>61715.127</v>
      </c>
      <c r="I66" s="155" t="s">
        <v>1095</v>
      </c>
      <c r="J66" s="152"/>
      <c r="K66" s="154"/>
      <c r="L66" s="154"/>
      <c r="M66" s="227"/>
      <c r="N66" s="157"/>
      <c r="O66" s="227">
        <f t="shared" si="2"/>
        <v>130532.40996200957</v>
      </c>
      <c r="P66" s="152">
        <f t="shared" si="3"/>
        <v>366096.33996200957</v>
      </c>
    </row>
    <row r="67" spans="1:16" x14ac:dyDescent="0.15">
      <c r="A67" s="154"/>
      <c r="B67" s="151"/>
      <c r="C67" s="152"/>
      <c r="D67" s="155"/>
      <c r="E67" s="155" t="s">
        <v>1088</v>
      </c>
      <c r="F67" s="157" t="s">
        <v>72</v>
      </c>
      <c r="G67" s="154" t="s">
        <v>1109</v>
      </c>
      <c r="H67" s="152">
        <v>139752.81299999999</v>
      </c>
      <c r="I67" s="155" t="s">
        <v>1088</v>
      </c>
      <c r="J67" s="152"/>
      <c r="K67" s="154"/>
      <c r="L67" s="154" t="s">
        <v>1114</v>
      </c>
      <c r="M67" s="227">
        <v>71630</v>
      </c>
      <c r="N67" s="154" t="s">
        <v>1106</v>
      </c>
      <c r="O67" s="227">
        <f t="shared" si="2"/>
        <v>58902.409962009566</v>
      </c>
      <c r="P67" s="152">
        <f t="shared" si="3"/>
        <v>434219.15296200954</v>
      </c>
    </row>
    <row r="68" spans="1:16" x14ac:dyDescent="0.15">
      <c r="A68" s="154"/>
      <c r="B68" s="151"/>
      <c r="C68" s="152"/>
      <c r="D68" s="155"/>
      <c r="E68" s="155"/>
      <c r="F68" s="157"/>
      <c r="G68" s="154"/>
      <c r="H68" s="152"/>
      <c r="I68" s="155" t="s">
        <v>1089</v>
      </c>
      <c r="J68" s="152">
        <v>918</v>
      </c>
      <c r="K68" s="154" t="s">
        <v>1106</v>
      </c>
      <c r="L68" s="154" t="s">
        <v>1114</v>
      </c>
      <c r="M68" s="227">
        <v>57984.409962009566</v>
      </c>
      <c r="N68" s="154" t="s">
        <v>1106</v>
      </c>
      <c r="O68" s="227">
        <f t="shared" si="2"/>
        <v>0</v>
      </c>
      <c r="P68" s="152">
        <f t="shared" si="3"/>
        <v>375316.74299999996</v>
      </c>
    </row>
    <row r="69" spans="1:16" x14ac:dyDescent="0.15">
      <c r="A69" s="154"/>
      <c r="B69" s="151"/>
      <c r="C69" s="152"/>
      <c r="D69" s="155"/>
      <c r="E69" s="155"/>
      <c r="F69" s="157"/>
      <c r="G69" s="154"/>
      <c r="H69" s="152"/>
      <c r="I69" s="155" t="s">
        <v>1089</v>
      </c>
      <c r="J69" s="152"/>
      <c r="K69" s="154"/>
      <c r="L69" s="154" t="s">
        <v>1114</v>
      </c>
      <c r="M69" s="227">
        <v>19885.590037990401</v>
      </c>
      <c r="N69" s="154" t="s">
        <v>1107</v>
      </c>
      <c r="O69" s="227">
        <f>H60+O68-J69-M69</f>
        <v>99915.581962009601</v>
      </c>
      <c r="P69" s="152">
        <f t="shared" ref="P69:P71" si="28">P68+H69-J69-M69</f>
        <v>355431.15296200954</v>
      </c>
    </row>
    <row r="70" spans="1:16" x14ac:dyDescent="0.15">
      <c r="A70" s="154"/>
      <c r="B70" s="151"/>
      <c r="C70" s="152"/>
      <c r="D70" s="155"/>
      <c r="E70" s="155"/>
      <c r="F70" s="157"/>
      <c r="G70" s="154"/>
      <c r="H70" s="152"/>
      <c r="I70" s="155" t="s">
        <v>1090</v>
      </c>
      <c r="J70" s="152">
        <v>484</v>
      </c>
      <c r="K70" s="154" t="s">
        <v>1107</v>
      </c>
      <c r="L70" s="154" t="s">
        <v>1114</v>
      </c>
      <c r="M70" s="227">
        <v>1196</v>
      </c>
      <c r="N70" s="154" t="s">
        <v>1107</v>
      </c>
      <c r="O70" s="227">
        <f t="shared" ref="O70:O71" si="29">+O69-J70-M70</f>
        <v>98235.581962009601</v>
      </c>
      <c r="P70" s="152">
        <f t="shared" si="28"/>
        <v>353751.15296200954</v>
      </c>
    </row>
    <row r="71" spans="1:16" x14ac:dyDescent="0.15">
      <c r="A71" s="154"/>
      <c r="B71" s="151"/>
      <c r="C71" s="152"/>
      <c r="D71" s="155"/>
      <c r="E71" s="155"/>
      <c r="F71" s="157"/>
      <c r="G71" s="154"/>
      <c r="H71" s="152"/>
      <c r="I71" s="155" t="s">
        <v>1090</v>
      </c>
      <c r="J71" s="152"/>
      <c r="K71" s="154"/>
      <c r="L71" s="154" t="s">
        <v>1114</v>
      </c>
      <c r="M71" s="227">
        <v>51080</v>
      </c>
      <c r="N71" s="154" t="s">
        <v>1107</v>
      </c>
      <c r="O71" s="227">
        <f t="shared" si="29"/>
        <v>47155.581962009601</v>
      </c>
      <c r="P71" s="152">
        <f t="shared" si="28"/>
        <v>302671.15296200954</v>
      </c>
    </row>
    <row r="72" spans="1:16" x14ac:dyDescent="0.15">
      <c r="A72" s="154"/>
      <c r="B72" s="151"/>
      <c r="C72" s="152"/>
      <c r="D72" s="155"/>
      <c r="E72" s="155" t="s">
        <v>1096</v>
      </c>
      <c r="F72" s="157" t="s">
        <v>72</v>
      </c>
      <c r="G72" s="154" t="s">
        <v>1110</v>
      </c>
      <c r="H72" s="152">
        <v>115765.792</v>
      </c>
      <c r="I72" s="155" t="s">
        <v>1096</v>
      </c>
      <c r="J72" s="152"/>
      <c r="K72" s="157"/>
      <c r="L72" s="154"/>
      <c r="M72" s="227"/>
      <c r="N72" s="157"/>
      <c r="O72" s="227">
        <f t="shared" si="2"/>
        <v>47155.581962009601</v>
      </c>
      <c r="P72" s="152">
        <f t="shared" si="3"/>
        <v>418436.94496200955</v>
      </c>
    </row>
    <row r="73" spans="1:16" x14ac:dyDescent="0.15">
      <c r="A73" s="154"/>
      <c r="B73" s="151"/>
      <c r="C73" s="152"/>
      <c r="D73" s="155"/>
      <c r="E73" s="155"/>
      <c r="F73" s="157"/>
      <c r="G73" s="154"/>
      <c r="H73" s="152"/>
      <c r="I73" s="155" t="s">
        <v>1091</v>
      </c>
      <c r="J73" s="152">
        <v>430.78149999999999</v>
      </c>
      <c r="K73" s="154" t="s">
        <v>1107</v>
      </c>
      <c r="L73" s="154" t="s">
        <v>1114</v>
      </c>
      <c r="M73" s="227">
        <v>46724.800462009604</v>
      </c>
      <c r="N73" s="154" t="s">
        <v>1107</v>
      </c>
      <c r="O73" s="227">
        <f t="shared" si="2"/>
        <v>0</v>
      </c>
      <c r="P73" s="152">
        <f t="shared" si="3"/>
        <v>371281.36299999995</v>
      </c>
    </row>
    <row r="74" spans="1:16" x14ac:dyDescent="0.15">
      <c r="A74" s="154"/>
      <c r="B74" s="151"/>
      <c r="C74" s="152"/>
      <c r="D74" s="155"/>
      <c r="E74" s="155"/>
      <c r="F74" s="157"/>
      <c r="G74" s="154"/>
      <c r="H74" s="152"/>
      <c r="I74" s="155" t="s">
        <v>1091</v>
      </c>
      <c r="J74" s="152"/>
      <c r="K74" s="157"/>
      <c r="L74" s="154" t="s">
        <v>1113</v>
      </c>
      <c r="M74" s="227">
        <v>25059.7895379904</v>
      </c>
      <c r="N74" s="154" t="s">
        <v>1108</v>
      </c>
      <c r="O74" s="227">
        <f>H65+O73-J74-M74</f>
        <v>28987.841462009601</v>
      </c>
      <c r="P74" s="152">
        <f t="shared" ref="P74:P75" si="30">P73+H74-J74-M74</f>
        <v>346221.57346200955</v>
      </c>
    </row>
    <row r="75" spans="1:16" x14ac:dyDescent="0.15">
      <c r="A75" s="154"/>
      <c r="B75" s="151"/>
      <c r="C75" s="152"/>
      <c r="D75" s="155"/>
      <c r="E75" s="155"/>
      <c r="F75" s="157"/>
      <c r="G75" s="154"/>
      <c r="H75" s="152"/>
      <c r="I75" s="155" t="s">
        <v>1092</v>
      </c>
      <c r="J75" s="152"/>
      <c r="K75" s="157"/>
      <c r="L75" s="154" t="s">
        <v>1113</v>
      </c>
      <c r="M75" s="227">
        <v>28987.841462009601</v>
      </c>
      <c r="N75" s="154" t="s">
        <v>1108</v>
      </c>
      <c r="O75" s="227">
        <f t="shared" ref="O75" si="31">+O74-J75-M75</f>
        <v>0</v>
      </c>
      <c r="P75" s="152">
        <f t="shared" si="30"/>
        <v>317233.73199999996</v>
      </c>
    </row>
    <row r="76" spans="1:16" x14ac:dyDescent="0.15">
      <c r="A76" s="154"/>
      <c r="B76" s="151"/>
      <c r="C76" s="152"/>
      <c r="D76" s="155"/>
      <c r="E76" s="155"/>
      <c r="F76" s="157"/>
      <c r="G76" s="154"/>
      <c r="H76" s="152"/>
      <c r="I76" s="155" t="s">
        <v>1092</v>
      </c>
      <c r="J76" s="152"/>
      <c r="K76" s="157"/>
      <c r="L76" s="154" t="s">
        <v>1114</v>
      </c>
      <c r="M76" s="227">
        <v>50536.028537990402</v>
      </c>
      <c r="N76" s="154" t="s">
        <v>1109</v>
      </c>
      <c r="O76" s="227">
        <f>H66+H67+O75-J76-M76</f>
        <v>150931.91146200959</v>
      </c>
      <c r="P76" s="152">
        <f t="shared" ref="P76:P78" si="32">P75+H76-J76-M76</f>
        <v>266697.70346200955</v>
      </c>
    </row>
    <row r="77" spans="1:16" x14ac:dyDescent="0.15">
      <c r="A77" s="154"/>
      <c r="B77" s="151"/>
      <c r="C77" s="152"/>
      <c r="D77" s="155"/>
      <c r="E77" s="155"/>
      <c r="F77" s="157"/>
      <c r="G77" s="154"/>
      <c r="H77" s="152"/>
      <c r="I77" s="155" t="s">
        <v>1092</v>
      </c>
      <c r="J77" s="152"/>
      <c r="K77" s="154"/>
      <c r="L77" s="154" t="s">
        <v>1114</v>
      </c>
      <c r="M77" s="227">
        <v>87396.58</v>
      </c>
      <c r="N77" s="154" t="s">
        <v>1109</v>
      </c>
      <c r="O77" s="227">
        <f t="shared" ref="O77:O78" si="33">+O76-J77-M77</f>
        <v>63535.331462009592</v>
      </c>
      <c r="P77" s="152">
        <f t="shared" si="32"/>
        <v>179301.12346200953</v>
      </c>
    </row>
    <row r="78" spans="1:16" x14ac:dyDescent="0.15">
      <c r="A78" s="154"/>
      <c r="B78" s="151"/>
      <c r="C78" s="152"/>
      <c r="D78" s="155"/>
      <c r="E78" s="155" t="s">
        <v>1097</v>
      </c>
      <c r="F78" s="157" t="s">
        <v>72</v>
      </c>
      <c r="G78" s="154" t="s">
        <v>1111</v>
      </c>
      <c r="H78" s="152">
        <v>59897.101999999999</v>
      </c>
      <c r="I78" s="155" t="s">
        <v>1097</v>
      </c>
      <c r="J78" s="152"/>
      <c r="K78" s="154"/>
      <c r="L78" s="154"/>
      <c r="M78" s="227"/>
      <c r="N78" s="157"/>
      <c r="O78" s="227">
        <f t="shared" si="33"/>
        <v>63535.331462009592</v>
      </c>
      <c r="P78" s="152">
        <f t="shared" si="32"/>
        <v>239198.22546200955</v>
      </c>
    </row>
    <row r="79" spans="1:16" x14ac:dyDescent="0.15">
      <c r="A79" s="154"/>
      <c r="B79" s="151"/>
      <c r="C79" s="152"/>
      <c r="D79" s="155"/>
      <c r="E79" s="155" t="s">
        <v>1093</v>
      </c>
      <c r="F79" s="157" t="s">
        <v>72</v>
      </c>
      <c r="G79" s="154" t="s">
        <v>1111</v>
      </c>
      <c r="H79" s="152">
        <v>119775.33900000001</v>
      </c>
      <c r="I79" s="155" t="s">
        <v>1093</v>
      </c>
      <c r="J79" s="152">
        <v>500</v>
      </c>
      <c r="K79" s="154" t="s">
        <v>1109</v>
      </c>
      <c r="L79" s="154" t="s">
        <v>1114</v>
      </c>
      <c r="M79" s="227">
        <v>63035.331462009592</v>
      </c>
      <c r="N79" s="154" t="s">
        <v>1109</v>
      </c>
      <c r="O79" s="227">
        <f t="shared" ref="O79:O82" si="34">+O78-J79-M79</f>
        <v>0</v>
      </c>
      <c r="P79" s="152">
        <f t="shared" ref="P79:P82" si="35">P78+H79-J79-M79</f>
        <v>295438.23300000001</v>
      </c>
    </row>
    <row r="80" spans="1:16" x14ac:dyDescent="0.15">
      <c r="A80" s="154"/>
      <c r="B80" s="151"/>
      <c r="C80" s="152"/>
      <c r="D80" s="155"/>
      <c r="E80" s="154"/>
      <c r="F80" s="157"/>
      <c r="G80" s="151"/>
      <c r="H80" s="152"/>
      <c r="I80" s="155" t="s">
        <v>1093</v>
      </c>
      <c r="J80" s="152"/>
      <c r="K80" s="154"/>
      <c r="L80" s="154" t="s">
        <v>1113</v>
      </c>
      <c r="M80" s="227">
        <v>3064.6685379904102</v>
      </c>
      <c r="N80" s="150" t="s">
        <v>1110</v>
      </c>
      <c r="O80" s="227">
        <f>H72+O79-J80-M80</f>
        <v>112701.12346200959</v>
      </c>
      <c r="P80" s="152">
        <f t="shared" si="35"/>
        <v>292373.56446200958</v>
      </c>
    </row>
    <row r="81" spans="1:16" hidden="1" x14ac:dyDescent="0.15">
      <c r="A81" s="154"/>
      <c r="B81" s="151"/>
      <c r="C81" s="152"/>
      <c r="D81" s="155"/>
      <c r="E81" s="154"/>
      <c r="F81" s="160"/>
      <c r="G81" s="151"/>
      <c r="H81" s="152"/>
      <c r="I81" s="155"/>
      <c r="J81" s="152"/>
      <c r="K81" s="150"/>
      <c r="L81" s="154"/>
      <c r="M81" s="227"/>
      <c r="N81" s="157"/>
      <c r="O81" s="227">
        <f t="shared" si="34"/>
        <v>112701.12346200959</v>
      </c>
      <c r="P81" s="152">
        <f t="shared" si="35"/>
        <v>292373.56446200958</v>
      </c>
    </row>
    <row r="82" spans="1:16" x14ac:dyDescent="0.15">
      <c r="A82" s="173"/>
      <c r="B82" s="173"/>
      <c r="C82" s="174"/>
      <c r="D82" s="175"/>
      <c r="E82" s="173"/>
      <c r="F82" s="173"/>
      <c r="G82" s="176"/>
      <c r="H82" s="174"/>
      <c r="I82" s="175"/>
      <c r="J82" s="174"/>
      <c r="K82" s="173"/>
      <c r="L82" s="154"/>
      <c r="M82" s="228"/>
      <c r="N82" s="173"/>
      <c r="O82" s="227">
        <f t="shared" si="34"/>
        <v>112701.12346200959</v>
      </c>
      <c r="P82" s="152">
        <f t="shared" si="35"/>
        <v>292373.56446200958</v>
      </c>
    </row>
    <row r="83" spans="1:16" x14ac:dyDescent="0.15">
      <c r="A83" s="177"/>
      <c r="B83" s="177"/>
      <c r="C83" s="178">
        <f>SUM(C7:C81)</f>
        <v>609861.99096200953</v>
      </c>
      <c r="D83" s="177"/>
      <c r="E83" s="177"/>
      <c r="F83" s="177"/>
      <c r="G83" s="177"/>
      <c r="H83" s="178">
        <f>SUM(H7:H81)</f>
        <v>2596899.3250000002</v>
      </c>
      <c r="I83" s="179"/>
      <c r="J83" s="178">
        <f>SUM(J7:J81)</f>
        <v>13119.771499999999</v>
      </c>
      <c r="K83" s="177"/>
      <c r="L83" s="177"/>
      <c r="M83" s="229">
        <f>SUM(M9:M81)</f>
        <v>2901267.98</v>
      </c>
      <c r="N83" s="177"/>
      <c r="O83" s="180"/>
      <c r="P83" s="181">
        <f>C83+H83-J83-M83</f>
        <v>292373.56446200982</v>
      </c>
    </row>
    <row r="84" spans="1:16" x14ac:dyDescent="0.15">
      <c r="A84" s="182"/>
      <c r="B84" s="465"/>
      <c r="C84" s="465"/>
      <c r="D84" s="465"/>
      <c r="E84" s="183"/>
      <c r="F84" s="472"/>
      <c r="G84" s="472"/>
      <c r="H84" s="185"/>
      <c r="I84" s="186"/>
      <c r="J84" s="187"/>
      <c r="K84" s="188"/>
      <c r="L84" s="189" t="s">
        <v>139</v>
      </c>
      <c r="M84" s="190">
        <f>+M83+J83</f>
        <v>2914387.7514999998</v>
      </c>
      <c r="N84" s="197"/>
      <c r="O84" s="230">
        <f>+O82</f>
        <v>112701.12346200959</v>
      </c>
      <c r="P84" s="195" t="s">
        <v>1110</v>
      </c>
    </row>
    <row r="85" spans="1:16" x14ac:dyDescent="0.15">
      <c r="A85" s="193"/>
      <c r="B85" s="470"/>
      <c r="C85" s="470"/>
      <c r="D85" s="470"/>
      <c r="E85" s="183"/>
      <c r="F85" s="472"/>
      <c r="G85" s="472"/>
      <c r="H85" s="219"/>
      <c r="I85" s="186"/>
      <c r="J85" s="187"/>
      <c r="K85" s="210"/>
      <c r="L85" s="210"/>
      <c r="O85" s="230">
        <f>+H78+H79</f>
        <v>179672.44099999999</v>
      </c>
      <c r="P85" s="195" t="s">
        <v>1111</v>
      </c>
    </row>
    <row r="86" spans="1:16" x14ac:dyDescent="0.15">
      <c r="A86" s="193" t="s">
        <v>1047</v>
      </c>
      <c r="B86" s="262" t="s">
        <v>1054</v>
      </c>
      <c r="C86" s="261"/>
      <c r="D86" s="261"/>
      <c r="E86" s="183" t="s">
        <v>55</v>
      </c>
      <c r="F86" s="471">
        <v>3084561.26</v>
      </c>
      <c r="G86" s="471"/>
      <c r="H86" s="219" t="s">
        <v>56</v>
      </c>
      <c r="I86" s="186">
        <v>40969</v>
      </c>
      <c r="J86" s="187" t="s">
        <v>71</v>
      </c>
      <c r="K86" s="210">
        <v>158026.04696200954</v>
      </c>
      <c r="L86" s="210"/>
      <c r="O86" s="230"/>
      <c r="P86" s="195"/>
    </row>
    <row r="87" spans="1:16" x14ac:dyDescent="0.15">
      <c r="A87" s="193" t="s">
        <v>1046</v>
      </c>
      <c r="B87" s="131" t="s">
        <v>1115</v>
      </c>
      <c r="E87" s="183" t="s">
        <v>55</v>
      </c>
      <c r="F87" s="471">
        <v>7177322.1699999999</v>
      </c>
      <c r="G87" s="471"/>
      <c r="H87" s="219" t="s">
        <v>56</v>
      </c>
      <c r="I87" s="186">
        <v>40973</v>
      </c>
      <c r="J87" s="187" t="s">
        <v>71</v>
      </c>
      <c r="K87" s="210">
        <v>371882.38799999998</v>
      </c>
      <c r="L87" s="210"/>
      <c r="O87" s="230"/>
      <c r="P87" s="195"/>
    </row>
    <row r="88" spans="1:16" x14ac:dyDescent="0.15">
      <c r="A88" s="193" t="s">
        <v>1048</v>
      </c>
      <c r="B88" s="131" t="s">
        <v>1116</v>
      </c>
      <c r="E88" s="183" t="s">
        <v>55</v>
      </c>
      <c r="F88" s="471">
        <v>636049.04</v>
      </c>
      <c r="G88" s="471"/>
      <c r="H88" s="219" t="s">
        <v>56</v>
      </c>
      <c r="I88" s="186">
        <v>40973</v>
      </c>
      <c r="J88" s="187" t="s">
        <v>71</v>
      </c>
      <c r="K88" s="210">
        <v>79953.555999999997</v>
      </c>
      <c r="L88" s="210"/>
      <c r="O88" s="230"/>
      <c r="P88" s="195"/>
    </row>
    <row r="89" spans="1:16" x14ac:dyDescent="0.15">
      <c r="A89" s="193" t="s">
        <v>1112</v>
      </c>
      <c r="B89" s="131" t="s">
        <v>1117</v>
      </c>
      <c r="E89" s="183" t="s">
        <v>55</v>
      </c>
      <c r="F89" s="471">
        <v>2013052.4</v>
      </c>
      <c r="G89" s="471"/>
      <c r="H89" s="219" t="s">
        <v>56</v>
      </c>
      <c r="I89" s="186">
        <v>40976</v>
      </c>
      <c r="J89" s="187" t="s">
        <v>71</v>
      </c>
      <c r="K89" s="210">
        <v>266145.84999999998</v>
      </c>
      <c r="L89" s="210"/>
      <c r="O89" s="230"/>
      <c r="P89" s="195"/>
    </row>
    <row r="90" spans="1:16" x14ac:dyDescent="0.15">
      <c r="A90" s="193" t="s">
        <v>1099</v>
      </c>
      <c r="B90" s="131" t="s">
        <v>1118</v>
      </c>
      <c r="E90" s="183" t="s">
        <v>55</v>
      </c>
      <c r="F90" s="471">
        <v>3264449.03</v>
      </c>
      <c r="G90" s="471"/>
      <c r="H90" s="219" t="s">
        <v>56</v>
      </c>
      <c r="I90" s="186">
        <v>40980</v>
      </c>
      <c r="J90" s="187" t="s">
        <v>71</v>
      </c>
      <c r="K90" s="210">
        <v>234470.71099999995</v>
      </c>
      <c r="L90" s="210"/>
      <c r="O90" s="230"/>
      <c r="P90" s="195"/>
    </row>
    <row r="91" spans="1:16" x14ac:dyDescent="0.15">
      <c r="A91" s="133" t="s">
        <v>1100</v>
      </c>
      <c r="B91" s="131" t="s">
        <v>1119</v>
      </c>
      <c r="E91" s="183" t="s">
        <v>55</v>
      </c>
      <c r="F91" s="471">
        <v>4549156.88</v>
      </c>
      <c r="G91" s="471"/>
      <c r="H91" s="219" t="s">
        <v>56</v>
      </c>
      <c r="I91" s="186">
        <v>40981</v>
      </c>
      <c r="J91" s="187" t="s">
        <v>71</v>
      </c>
      <c r="K91" s="210">
        <v>79928.622000000003</v>
      </c>
      <c r="L91" s="210"/>
      <c r="O91" s="206" t="s">
        <v>33</v>
      </c>
      <c r="P91" s="207">
        <f>SUM(O84:O90)</f>
        <v>292373.56446200958</v>
      </c>
    </row>
    <row r="92" spans="1:16" x14ac:dyDescent="0.15">
      <c r="A92" s="193" t="s">
        <v>1101</v>
      </c>
      <c r="B92" s="131" t="s">
        <v>1120</v>
      </c>
      <c r="E92" s="183" t="s">
        <v>55</v>
      </c>
      <c r="F92" s="471">
        <v>2099686.96</v>
      </c>
      <c r="G92" s="471"/>
      <c r="H92" s="219" t="s">
        <v>56</v>
      </c>
      <c r="I92" s="186">
        <v>40982</v>
      </c>
      <c r="J92" s="187" t="s">
        <v>71</v>
      </c>
      <c r="K92" s="210">
        <v>236212.96799999999</v>
      </c>
      <c r="L92" s="210"/>
      <c r="P92" s="132">
        <f>+P83-P91</f>
        <v>0</v>
      </c>
    </row>
    <row r="93" spans="1:16" x14ac:dyDescent="0.15">
      <c r="A93" s="193" t="s">
        <v>1103</v>
      </c>
      <c r="B93" s="131" t="s">
        <v>1121</v>
      </c>
      <c r="E93" s="183" t="s">
        <v>55</v>
      </c>
      <c r="F93" s="471">
        <v>2193591.5299999998</v>
      </c>
      <c r="G93" s="471"/>
      <c r="H93" s="219" t="s">
        <v>56</v>
      </c>
      <c r="I93" s="186">
        <v>40984</v>
      </c>
      <c r="J93" s="187" t="s">
        <v>71</v>
      </c>
      <c r="K93" s="210">
        <v>270398.06400000001</v>
      </c>
      <c r="L93" s="210"/>
    </row>
    <row r="94" spans="1:16" x14ac:dyDescent="0.15">
      <c r="A94" s="193" t="s">
        <v>1105</v>
      </c>
      <c r="B94" s="131" t="s">
        <v>1122</v>
      </c>
      <c r="E94" s="183" t="s">
        <v>55</v>
      </c>
      <c r="F94" s="471">
        <v>711533.26</v>
      </c>
      <c r="G94" s="471"/>
      <c r="H94" s="219" t="s">
        <v>56</v>
      </c>
      <c r="I94" s="186">
        <v>40989</v>
      </c>
      <c r="J94" s="187" t="s">
        <v>71</v>
      </c>
      <c r="K94" s="210">
        <v>129293.19499999999</v>
      </c>
      <c r="L94" s="210"/>
    </row>
    <row r="95" spans="1:16" x14ac:dyDescent="0.15">
      <c r="A95" s="193" t="s">
        <v>1108</v>
      </c>
      <c r="B95" s="131" t="s">
        <v>1123</v>
      </c>
      <c r="E95" s="183" t="s">
        <v>55</v>
      </c>
      <c r="F95" s="471">
        <v>2058971.53</v>
      </c>
      <c r="G95" s="471"/>
      <c r="H95" s="219" t="s">
        <v>56</v>
      </c>
      <c r="I95" s="186">
        <v>40996</v>
      </c>
      <c r="J95" s="187" t="s">
        <v>71</v>
      </c>
      <c r="K95" s="210">
        <v>54047.631000000001</v>
      </c>
      <c r="L95" s="210"/>
    </row>
    <row r="96" spans="1:16" x14ac:dyDescent="0.15">
      <c r="A96" s="133" t="s">
        <v>1110</v>
      </c>
      <c r="B96" s="131" t="s">
        <v>1124</v>
      </c>
      <c r="E96" s="183" t="s">
        <v>55</v>
      </c>
      <c r="F96" s="471">
        <v>4047886.72</v>
      </c>
      <c r="G96" s="471"/>
      <c r="H96" s="219" t="s">
        <v>56</v>
      </c>
      <c r="I96" s="186">
        <v>41092</v>
      </c>
      <c r="J96" s="187" t="s">
        <v>71</v>
      </c>
      <c r="K96" s="210">
        <v>3064.6685379904102</v>
      </c>
      <c r="L96" s="210"/>
    </row>
    <row r="97" spans="1:14" s="132" customFormat="1" ht="12" thickBot="1" x14ac:dyDescent="0.2">
      <c r="A97" s="133"/>
      <c r="B97" s="261"/>
      <c r="C97" s="261"/>
      <c r="D97" s="261"/>
      <c r="E97" s="183"/>
      <c r="F97" s="471"/>
      <c r="G97" s="471"/>
      <c r="H97" s="219"/>
      <c r="I97" s="186"/>
      <c r="J97" s="217" t="s">
        <v>856</v>
      </c>
      <c r="K97" s="211">
        <f>SUM(K86:K96)</f>
        <v>1883423.7005</v>
      </c>
      <c r="L97" s="210"/>
      <c r="N97" s="134"/>
    </row>
    <row r="98" spans="1:14" s="132" customFormat="1" ht="12" thickTop="1" x14ac:dyDescent="0.15">
      <c r="A98" s="133" t="s">
        <v>1098</v>
      </c>
      <c r="B98" s="131" t="s">
        <v>1125</v>
      </c>
      <c r="C98" s="131"/>
      <c r="D98" s="131"/>
      <c r="E98" s="183" t="s">
        <v>55</v>
      </c>
      <c r="F98" s="471">
        <v>46735430.049999997</v>
      </c>
      <c r="G98" s="471"/>
      <c r="H98" s="219" t="s">
        <v>56</v>
      </c>
      <c r="I98" s="186">
        <v>40980</v>
      </c>
      <c r="J98" s="187" t="s">
        <v>71</v>
      </c>
      <c r="K98" s="210">
        <v>120009.23</v>
      </c>
      <c r="L98" s="210"/>
      <c r="N98" s="134"/>
    </row>
    <row r="99" spans="1:14" s="132" customFormat="1" x14ac:dyDescent="0.15">
      <c r="A99" s="133" t="s">
        <v>1102</v>
      </c>
      <c r="B99" s="131" t="s">
        <v>1126</v>
      </c>
      <c r="C99" s="131"/>
      <c r="D99" s="131"/>
      <c r="E99" s="183" t="s">
        <v>55</v>
      </c>
      <c r="F99" s="471">
        <v>52674952.640000001</v>
      </c>
      <c r="G99" s="471"/>
      <c r="H99" s="219" t="s">
        <v>56</v>
      </c>
      <c r="I99" s="186">
        <v>40984</v>
      </c>
      <c r="J99" s="187" t="s">
        <v>71</v>
      </c>
      <c r="K99" s="210">
        <v>136996.92000000001</v>
      </c>
      <c r="L99" s="210"/>
      <c r="N99" s="134"/>
    </row>
    <row r="100" spans="1:14" s="132" customFormat="1" x14ac:dyDescent="0.15">
      <c r="A100" s="133" t="s">
        <v>1104</v>
      </c>
      <c r="B100" s="131" t="s">
        <v>1127</v>
      </c>
      <c r="C100" s="131"/>
      <c r="D100" s="131"/>
      <c r="E100" s="183" t="s">
        <v>55</v>
      </c>
      <c r="F100" s="471">
        <v>84278836.769999996</v>
      </c>
      <c r="G100" s="471"/>
      <c r="H100" s="219" t="s">
        <v>56</v>
      </c>
      <c r="I100" s="186">
        <v>40987</v>
      </c>
      <c r="J100" s="187" t="s">
        <v>71</v>
      </c>
      <c r="K100" s="210">
        <v>79905.900999999998</v>
      </c>
      <c r="L100" s="210"/>
      <c r="N100" s="134"/>
    </row>
    <row r="101" spans="1:14" s="132" customFormat="1" x14ac:dyDescent="0.15">
      <c r="A101" s="133" t="s">
        <v>1106</v>
      </c>
      <c r="B101" s="131" t="s">
        <v>1128</v>
      </c>
      <c r="C101" s="131"/>
      <c r="D101" s="131"/>
      <c r="E101" s="183" t="s">
        <v>55</v>
      </c>
      <c r="F101" s="471">
        <v>36200910.759999998</v>
      </c>
      <c r="G101" s="471"/>
      <c r="H101" s="219" t="s">
        <v>56</v>
      </c>
      <c r="I101" s="186">
        <v>40991</v>
      </c>
      <c r="J101" s="187" t="s">
        <v>71</v>
      </c>
      <c r="K101" s="210">
        <v>361077.89799999999</v>
      </c>
      <c r="L101" s="210"/>
      <c r="N101" s="134"/>
    </row>
    <row r="102" spans="1:14" s="132" customFormat="1" x14ac:dyDescent="0.15">
      <c r="A102" s="133" t="s">
        <v>1107</v>
      </c>
      <c r="B102" s="131" t="s">
        <v>1129</v>
      </c>
      <c r="C102" s="131"/>
      <c r="D102" s="131"/>
      <c r="E102" s="183" t="s">
        <v>55</v>
      </c>
      <c r="F102" s="471">
        <v>34319436.210000001</v>
      </c>
      <c r="G102" s="471"/>
      <c r="H102" s="219" t="s">
        <v>56</v>
      </c>
      <c r="I102" s="186">
        <v>40994</v>
      </c>
      <c r="J102" s="187" t="s">
        <v>71</v>
      </c>
      <c r="K102" s="210">
        <v>118886.39050000001</v>
      </c>
      <c r="L102" s="210"/>
      <c r="N102" s="134"/>
    </row>
    <row r="103" spans="1:14" s="132" customFormat="1" x14ac:dyDescent="0.15">
      <c r="A103" s="193" t="s">
        <v>1109</v>
      </c>
      <c r="B103" s="131" t="s">
        <v>1130</v>
      </c>
      <c r="C103" s="131"/>
      <c r="D103" s="131"/>
      <c r="E103" s="183" t="s">
        <v>55</v>
      </c>
      <c r="F103" s="471">
        <v>65273316.189999998</v>
      </c>
      <c r="G103" s="471"/>
      <c r="H103" s="219" t="s">
        <v>56</v>
      </c>
      <c r="I103" s="186">
        <v>40998</v>
      </c>
      <c r="J103" s="187" t="s">
        <v>71</v>
      </c>
      <c r="K103" s="210">
        <v>200967.94</v>
      </c>
      <c r="L103" s="133"/>
      <c r="N103" s="134"/>
    </row>
    <row r="104" spans="1:14" s="132" customFormat="1" ht="12" thickBot="1" x14ac:dyDescent="0.2">
      <c r="A104" s="193"/>
      <c r="B104" s="210"/>
      <c r="C104" s="221"/>
      <c r="D104" s="237"/>
      <c r="E104" s="235"/>
      <c r="F104" s="235"/>
      <c r="G104" s="236"/>
      <c r="I104" s="133"/>
      <c r="J104" s="218" t="s">
        <v>106</v>
      </c>
      <c r="K104" s="212">
        <f>SUM(K98:K103)</f>
        <v>1017844.2794999999</v>
      </c>
      <c r="L104" s="133"/>
      <c r="N104" s="134"/>
    </row>
    <row r="105" spans="1:14" s="132" customFormat="1" ht="12" thickTop="1" x14ac:dyDescent="0.15">
      <c r="A105" s="193"/>
      <c r="B105" s="210"/>
      <c r="C105" s="221"/>
      <c r="D105" s="237"/>
      <c r="E105" s="235"/>
      <c r="F105" s="235"/>
      <c r="G105" s="236"/>
      <c r="I105" s="133"/>
      <c r="K105" s="205"/>
      <c r="L105" s="133"/>
      <c r="N105" s="134"/>
    </row>
    <row r="106" spans="1:14" s="132" customFormat="1" x14ac:dyDescent="0.15">
      <c r="A106" s="133"/>
      <c r="B106" s="133" t="s">
        <v>9</v>
      </c>
      <c r="C106" s="220" t="s">
        <v>729</v>
      </c>
      <c r="D106" s="220" t="s">
        <v>850</v>
      </c>
      <c r="E106" s="133" t="s">
        <v>570</v>
      </c>
      <c r="F106" s="133" t="s">
        <v>571</v>
      </c>
      <c r="G106" s="133" t="s">
        <v>16</v>
      </c>
      <c r="I106" s="134"/>
      <c r="J106" s="134"/>
      <c r="K106" s="205"/>
      <c r="L106" s="133"/>
      <c r="N106" s="134"/>
    </row>
    <row r="107" spans="1:14" s="132" customFormat="1" x14ac:dyDescent="0.15">
      <c r="A107" s="193" t="s">
        <v>1047</v>
      </c>
      <c r="B107" s="210">
        <v>158026</v>
      </c>
      <c r="C107" s="221">
        <v>25.990600000000001</v>
      </c>
      <c r="D107" s="237">
        <f t="shared" ref="D107:D108" si="36">+B107*C107</f>
        <v>4107190.5556000001</v>
      </c>
      <c r="E107" s="235">
        <f t="shared" ref="E107:E108" si="37">+D107*0.01</f>
        <v>41071.905556000005</v>
      </c>
      <c r="F107" s="235">
        <f t="shared" ref="F107:F108" si="38">+E107*0.1</f>
        <v>4107.1905556000011</v>
      </c>
      <c r="G107" s="236">
        <f t="shared" ref="G107:G108" si="39">+E107+F107</f>
        <v>45179.096111600003</v>
      </c>
      <c r="I107" s="134"/>
      <c r="J107" s="134"/>
      <c r="K107" s="134"/>
      <c r="L107" s="133"/>
      <c r="N107" s="134"/>
    </row>
    <row r="108" spans="1:14" s="132" customFormat="1" x14ac:dyDescent="0.15">
      <c r="A108" s="193" t="s">
        <v>1046</v>
      </c>
      <c r="B108" s="210">
        <v>371882</v>
      </c>
      <c r="C108" s="221">
        <v>26.316199999999998</v>
      </c>
      <c r="D108" s="237">
        <f t="shared" si="36"/>
        <v>9786521.0883999988</v>
      </c>
      <c r="E108" s="235">
        <f t="shared" si="37"/>
        <v>97865.210883999986</v>
      </c>
      <c r="F108" s="235">
        <f t="shared" si="38"/>
        <v>9786.5210883999989</v>
      </c>
      <c r="G108" s="236">
        <f t="shared" si="39"/>
        <v>107651.73197239998</v>
      </c>
      <c r="I108" s="133"/>
      <c r="K108" s="134"/>
      <c r="L108" s="133"/>
      <c r="N108" s="134"/>
    </row>
    <row r="109" spans="1:14" s="132" customFormat="1" x14ac:dyDescent="0.15">
      <c r="A109" s="193" t="s">
        <v>1048</v>
      </c>
      <c r="B109" s="210">
        <v>79954</v>
      </c>
      <c r="C109" s="221">
        <v>26.2883</v>
      </c>
      <c r="D109" s="237">
        <f t="shared" ref="D109:D124" si="40">+B109*C109</f>
        <v>2101854.7382</v>
      </c>
      <c r="E109" s="235">
        <f t="shared" ref="E109:E124" si="41">+D109*0.01</f>
        <v>21018.547382000001</v>
      </c>
      <c r="F109" s="235">
        <f t="shared" ref="F109:F124" si="42">+E109*0.1</f>
        <v>2101.8547382000002</v>
      </c>
      <c r="G109" s="236">
        <f t="shared" ref="G109:G124" si="43">+E109+F109</f>
        <v>23120.4021202</v>
      </c>
      <c r="I109" s="134"/>
      <c r="J109" s="134"/>
      <c r="K109" s="134"/>
      <c r="L109" s="133"/>
      <c r="N109" s="134"/>
    </row>
    <row r="110" spans="1:14" s="132" customFormat="1" x14ac:dyDescent="0.15">
      <c r="A110" s="193" t="s">
        <v>1112</v>
      </c>
      <c r="B110" s="210">
        <v>266146</v>
      </c>
      <c r="C110" s="221">
        <v>26.389399999999998</v>
      </c>
      <c r="D110" s="237">
        <f t="shared" si="40"/>
        <v>7023433.2523999996</v>
      </c>
      <c r="E110" s="235">
        <f t="shared" si="41"/>
        <v>70234.332523999998</v>
      </c>
      <c r="F110" s="235">
        <f t="shared" si="42"/>
        <v>7023.4332524000001</v>
      </c>
      <c r="G110" s="236">
        <f t="shared" si="43"/>
        <v>77257.765776400003</v>
      </c>
      <c r="I110" s="133"/>
      <c r="K110" s="134"/>
      <c r="L110" s="133"/>
      <c r="N110" s="134"/>
    </row>
    <row r="111" spans="1:14" s="132" customFormat="1" x14ac:dyDescent="0.15">
      <c r="A111" s="193" t="s">
        <v>1099</v>
      </c>
      <c r="B111" s="210">
        <v>234471</v>
      </c>
      <c r="C111" s="221">
        <v>26.023900000000001</v>
      </c>
      <c r="D111" s="237">
        <f t="shared" si="40"/>
        <v>6101849.8569</v>
      </c>
      <c r="E111" s="235">
        <f t="shared" si="41"/>
        <v>61018.498569000003</v>
      </c>
      <c r="F111" s="235">
        <f t="shared" si="42"/>
        <v>6101.8498569000003</v>
      </c>
      <c r="G111" s="236">
        <f t="shared" si="43"/>
        <v>67120.348425900011</v>
      </c>
      <c r="I111" s="133"/>
      <c r="K111" s="134"/>
      <c r="L111" s="133"/>
      <c r="N111" s="134"/>
    </row>
    <row r="112" spans="1:14" s="132" customFormat="1" x14ac:dyDescent="0.15">
      <c r="A112" s="133" t="s">
        <v>1100</v>
      </c>
      <c r="B112" s="210">
        <v>79929</v>
      </c>
      <c r="C112" s="221">
        <v>25.937000000000001</v>
      </c>
      <c r="D112" s="237">
        <f t="shared" si="40"/>
        <v>2073118.473</v>
      </c>
      <c r="E112" s="235">
        <f t="shared" si="41"/>
        <v>20731.184730000001</v>
      </c>
      <c r="F112" s="235">
        <f t="shared" si="42"/>
        <v>2073.118473</v>
      </c>
      <c r="G112" s="236">
        <f t="shared" si="43"/>
        <v>22804.303202999999</v>
      </c>
      <c r="I112" s="133"/>
      <c r="K112" s="134"/>
      <c r="L112" s="133"/>
      <c r="N112" s="134"/>
    </row>
    <row r="113" spans="1:14" s="132" customFormat="1" x14ac:dyDescent="0.15">
      <c r="A113" s="193" t="s">
        <v>1101</v>
      </c>
      <c r="B113" s="210">
        <v>236213</v>
      </c>
      <c r="C113" s="221">
        <v>26.142700000000001</v>
      </c>
      <c r="D113" s="237">
        <f t="shared" si="40"/>
        <v>6175245.5951000005</v>
      </c>
      <c r="E113" s="235">
        <f t="shared" si="41"/>
        <v>61752.455951000004</v>
      </c>
      <c r="F113" s="235">
        <f t="shared" si="42"/>
        <v>6175.2455951000011</v>
      </c>
      <c r="G113" s="236">
        <f t="shared" si="43"/>
        <v>67927.701546099997</v>
      </c>
      <c r="I113" s="133"/>
      <c r="K113" s="134"/>
      <c r="L113" s="133"/>
      <c r="N113" s="134"/>
    </row>
    <row r="114" spans="1:14" s="132" customFormat="1" x14ac:dyDescent="0.15">
      <c r="A114" s="193" t="s">
        <v>1103</v>
      </c>
      <c r="B114" s="210">
        <v>270398</v>
      </c>
      <c r="C114" s="221">
        <v>26.089600000000001</v>
      </c>
      <c r="D114" s="237">
        <f t="shared" si="40"/>
        <v>7054575.6608000007</v>
      </c>
      <c r="E114" s="235">
        <f t="shared" si="41"/>
        <v>70545.756608000011</v>
      </c>
      <c r="F114" s="235">
        <f t="shared" si="42"/>
        <v>7054.5756608000011</v>
      </c>
      <c r="G114" s="236">
        <f t="shared" si="43"/>
        <v>77600.332268800004</v>
      </c>
      <c r="I114" s="133"/>
      <c r="K114" s="134"/>
      <c r="L114" s="133"/>
      <c r="N114" s="134"/>
    </row>
    <row r="115" spans="1:14" s="132" customFormat="1" x14ac:dyDescent="0.15">
      <c r="A115" s="193" t="s">
        <v>1105</v>
      </c>
      <c r="B115" s="210">
        <v>129293</v>
      </c>
      <c r="C115" s="221">
        <v>26.5488</v>
      </c>
      <c r="D115" s="237">
        <f t="shared" si="40"/>
        <v>3432573.9983999999</v>
      </c>
      <c r="E115" s="235">
        <f t="shared" si="41"/>
        <v>34325.739984</v>
      </c>
      <c r="F115" s="235">
        <f t="shared" si="42"/>
        <v>3432.5739984000002</v>
      </c>
      <c r="G115" s="236">
        <f t="shared" si="43"/>
        <v>37758.313982400003</v>
      </c>
      <c r="I115" s="133"/>
      <c r="K115" s="134"/>
      <c r="L115" s="133"/>
      <c r="N115" s="134"/>
    </row>
    <row r="116" spans="1:14" s="132" customFormat="1" x14ac:dyDescent="0.15">
      <c r="A116" s="193" t="s">
        <v>1108</v>
      </c>
      <c r="B116" s="210">
        <v>54048</v>
      </c>
      <c r="C116" s="221">
        <v>26.623699999999999</v>
      </c>
      <c r="D116" s="237">
        <f t="shared" si="40"/>
        <v>1438957.7375999999</v>
      </c>
      <c r="E116" s="235">
        <f t="shared" si="41"/>
        <v>14389.577375999999</v>
      </c>
      <c r="F116" s="235">
        <f t="shared" si="42"/>
        <v>1438.9577376</v>
      </c>
      <c r="G116" s="236">
        <f t="shared" si="43"/>
        <v>15828.535113599999</v>
      </c>
      <c r="I116" s="133"/>
      <c r="K116" s="134"/>
      <c r="L116" s="133"/>
      <c r="N116" s="134"/>
    </row>
    <row r="117" spans="1:14" s="132" customFormat="1" x14ac:dyDescent="0.15">
      <c r="A117" s="133" t="s">
        <v>1110</v>
      </c>
      <c r="B117" s="210">
        <v>3065</v>
      </c>
      <c r="C117" s="221">
        <v>26.554500000000001</v>
      </c>
      <c r="D117" s="237">
        <f t="shared" si="40"/>
        <v>81389.542499999996</v>
      </c>
      <c r="E117" s="235">
        <f t="shared" si="41"/>
        <v>813.89542499999993</v>
      </c>
      <c r="F117" s="235">
        <f t="shared" si="42"/>
        <v>81.389542500000005</v>
      </c>
      <c r="G117" s="236">
        <f t="shared" si="43"/>
        <v>895.28496749999999</v>
      </c>
      <c r="I117" s="244"/>
      <c r="K117" s="134"/>
      <c r="L117" s="133"/>
      <c r="N117" s="134"/>
    </row>
    <row r="118" spans="1:14" s="132" customFormat="1" ht="12" thickBot="1" x14ac:dyDescent="0.2">
      <c r="A118" s="133"/>
      <c r="B118" s="211">
        <f>SUM(B107:B117)</f>
        <v>1883425</v>
      </c>
      <c r="C118" s="221"/>
      <c r="D118" s="237"/>
      <c r="E118" s="242">
        <f>SUM(E107:E117)</f>
        <v>493767.10498899996</v>
      </c>
      <c r="F118" s="242">
        <f t="shared" ref="F118:G118" si="44">SUM(F107:F117)</f>
        <v>49376.710498900007</v>
      </c>
      <c r="G118" s="242">
        <f t="shared" si="44"/>
        <v>543143.81548789993</v>
      </c>
      <c r="I118" s="244"/>
      <c r="K118" s="134"/>
      <c r="L118" s="133"/>
      <c r="N118" s="134"/>
    </row>
    <row r="119" spans="1:14" s="132" customFormat="1" ht="12" thickTop="1" x14ac:dyDescent="0.15">
      <c r="A119" s="133" t="s">
        <v>1098</v>
      </c>
      <c r="B119" s="210">
        <v>120009</v>
      </c>
      <c r="C119" s="221">
        <v>26.266100000000002</v>
      </c>
      <c r="D119" s="237">
        <f t="shared" si="40"/>
        <v>3152168.3949000002</v>
      </c>
      <c r="E119" s="235">
        <f t="shared" si="41"/>
        <v>31521.683949000002</v>
      </c>
      <c r="F119" s="235">
        <f t="shared" si="42"/>
        <v>3152.1683949000003</v>
      </c>
      <c r="G119" s="236">
        <f t="shared" si="43"/>
        <v>34673.852343900006</v>
      </c>
      <c r="I119" s="244"/>
      <c r="K119" s="134"/>
      <c r="L119" s="133"/>
      <c r="N119" s="134"/>
    </row>
    <row r="120" spans="1:14" s="132" customFormat="1" x14ac:dyDescent="0.15">
      <c r="A120" s="133" t="s">
        <v>1102</v>
      </c>
      <c r="B120" s="210">
        <v>136997</v>
      </c>
      <c r="C120" s="221">
        <v>26.3325</v>
      </c>
      <c r="D120" s="237">
        <f t="shared" si="40"/>
        <v>3607473.5024999999</v>
      </c>
      <c r="E120" s="235">
        <f t="shared" si="41"/>
        <v>36074.735025000002</v>
      </c>
      <c r="F120" s="235">
        <f t="shared" si="42"/>
        <v>3607.4735025000004</v>
      </c>
      <c r="G120" s="236">
        <f t="shared" si="43"/>
        <v>39682.208527499999</v>
      </c>
      <c r="I120" s="244"/>
      <c r="K120" s="134"/>
      <c r="L120" s="133"/>
      <c r="N120" s="134"/>
    </row>
    <row r="121" spans="1:14" s="132" customFormat="1" x14ac:dyDescent="0.15">
      <c r="A121" s="133" t="s">
        <v>1104</v>
      </c>
      <c r="B121" s="210">
        <v>79906</v>
      </c>
      <c r="C121" s="221">
        <v>26.610600000000002</v>
      </c>
      <c r="D121" s="237">
        <f t="shared" si="40"/>
        <v>2126346.6036</v>
      </c>
      <c r="E121" s="235">
        <f t="shared" si="41"/>
        <v>21263.466036000002</v>
      </c>
      <c r="F121" s="235">
        <f t="shared" si="42"/>
        <v>2126.3466036000004</v>
      </c>
      <c r="G121" s="236">
        <f t="shared" si="43"/>
        <v>23389.812639600001</v>
      </c>
      <c r="I121" s="244"/>
      <c r="K121" s="134"/>
      <c r="L121" s="133"/>
      <c r="N121" s="134"/>
    </row>
    <row r="122" spans="1:14" s="132" customFormat="1" x14ac:dyDescent="0.15">
      <c r="A122" s="133" t="s">
        <v>1106</v>
      </c>
      <c r="B122" s="210">
        <v>361078</v>
      </c>
      <c r="C122" s="221">
        <v>26.790099999999999</v>
      </c>
      <c r="D122" s="237">
        <f t="shared" si="40"/>
        <v>9673315.7278000005</v>
      </c>
      <c r="E122" s="235">
        <f t="shared" si="41"/>
        <v>96733.157278000013</v>
      </c>
      <c r="F122" s="235">
        <f t="shared" si="42"/>
        <v>9673.3157278000017</v>
      </c>
      <c r="G122" s="236">
        <f t="shared" si="43"/>
        <v>106406.47300580001</v>
      </c>
      <c r="I122" s="244"/>
      <c r="K122" s="134"/>
      <c r="L122" s="133"/>
      <c r="N122" s="134"/>
    </row>
    <row r="123" spans="1:14" s="132" customFormat="1" x14ac:dyDescent="0.15">
      <c r="A123" s="133" t="s">
        <v>1107</v>
      </c>
      <c r="B123" s="210">
        <v>118886</v>
      </c>
      <c r="C123" s="221">
        <v>26.8872</v>
      </c>
      <c r="D123" s="237">
        <f t="shared" si="40"/>
        <v>3196511.6592000001</v>
      </c>
      <c r="E123" s="235">
        <f t="shared" si="41"/>
        <v>31965.116592000002</v>
      </c>
      <c r="F123" s="235">
        <f t="shared" si="42"/>
        <v>3196.5116592000004</v>
      </c>
      <c r="G123" s="236">
        <f t="shared" si="43"/>
        <v>35161.628251200003</v>
      </c>
      <c r="I123" s="244"/>
      <c r="K123" s="134"/>
      <c r="L123" s="133"/>
      <c r="N123" s="134"/>
    </row>
    <row r="124" spans="1:14" s="132" customFormat="1" x14ac:dyDescent="0.15">
      <c r="A124" s="193" t="s">
        <v>1109</v>
      </c>
      <c r="B124" s="210">
        <v>200968</v>
      </c>
      <c r="C124" s="221">
        <v>26.957799999999999</v>
      </c>
      <c r="D124" s="237">
        <f t="shared" si="40"/>
        <v>5417655.1503999997</v>
      </c>
      <c r="E124" s="235">
        <f t="shared" si="41"/>
        <v>54176.551503999995</v>
      </c>
      <c r="F124" s="235">
        <f t="shared" si="42"/>
        <v>5417.6551503999999</v>
      </c>
      <c r="G124" s="236">
        <f t="shared" si="43"/>
        <v>59594.206654399997</v>
      </c>
      <c r="I124" s="244"/>
      <c r="K124" s="134"/>
      <c r="L124" s="133"/>
      <c r="N124" s="134"/>
    </row>
    <row r="125" spans="1:14" s="132" customFormat="1" ht="12" thickBot="1" x14ac:dyDescent="0.2">
      <c r="A125" s="134"/>
      <c r="B125" s="233">
        <f>SUM(B119:B124)</f>
        <v>1017844</v>
      </c>
      <c r="D125" s="133"/>
      <c r="E125" s="234">
        <f>SUM(E119:E124)</f>
        <v>271734.71038399998</v>
      </c>
      <c r="F125" s="234">
        <f t="shared" ref="F125:G125" si="45">SUM(F119:F124)</f>
        <v>27173.471038400006</v>
      </c>
      <c r="G125" s="234">
        <f t="shared" si="45"/>
        <v>298908.1814224</v>
      </c>
      <c r="I125" s="133"/>
      <c r="K125" s="134"/>
      <c r="L125" s="133"/>
      <c r="N125" s="134"/>
    </row>
    <row r="126" spans="1:14" s="132" customFormat="1" ht="12" thickTop="1" x14ac:dyDescent="0.15">
      <c r="A126" s="134"/>
      <c r="B126" s="131"/>
      <c r="D126" s="133"/>
      <c r="E126" s="133"/>
      <c r="F126" s="134"/>
      <c r="G126" s="133"/>
      <c r="I126" s="133"/>
      <c r="K126" s="134"/>
      <c r="L126" s="133"/>
      <c r="N126" s="134"/>
    </row>
    <row r="127" spans="1:14" x14ac:dyDescent="0.15">
      <c r="B127" s="231"/>
    </row>
  </sheetData>
  <mergeCells count="28">
    <mergeCell ref="F103:G103"/>
    <mergeCell ref="F98:G98"/>
    <mergeCell ref="F100:G100"/>
    <mergeCell ref="F101:G101"/>
    <mergeCell ref="F102:G102"/>
    <mergeCell ref="F94:G94"/>
    <mergeCell ref="F95:G95"/>
    <mergeCell ref="F96:G96"/>
    <mergeCell ref="F97:G97"/>
    <mergeCell ref="F99:G99"/>
    <mergeCell ref="F93:G93"/>
    <mergeCell ref="B84:D84"/>
    <mergeCell ref="F84:G84"/>
    <mergeCell ref="B85:D85"/>
    <mergeCell ref="F85:G85"/>
    <mergeCell ref="F86:G86"/>
    <mergeCell ref="F87:G87"/>
    <mergeCell ref="F88:G88"/>
    <mergeCell ref="F89:G89"/>
    <mergeCell ref="F90:G90"/>
    <mergeCell ref="F91:G91"/>
    <mergeCell ref="F92:G92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D1" zoomScale="115" zoomScaleNormal="115" workbookViewId="0">
      <pane ySplit="6" topLeftCell="A70" activePane="bottomLeft" state="frozen"/>
      <selection pane="bottomLeft" activeCell="L77" sqref="L77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1006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963</v>
      </c>
      <c r="B7" s="146"/>
      <c r="C7" s="147">
        <v>119152.02616200957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119152.02616200957</v>
      </c>
      <c r="P7" s="147">
        <f>+C93</f>
        <v>647112.60616200953</v>
      </c>
    </row>
    <row r="8" spans="1:16" x14ac:dyDescent="0.15">
      <c r="A8" s="154" t="s">
        <v>964</v>
      </c>
      <c r="B8" s="151"/>
      <c r="C8" s="152">
        <v>175926.3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119152.02616200957</v>
      </c>
      <c r="P8" s="152">
        <f t="shared" ref="P8:P9" si="0">P7+H8-J8-M8</f>
        <v>647112.60616200953</v>
      </c>
    </row>
    <row r="9" spans="1:16" x14ac:dyDescent="0.15">
      <c r="A9" s="154" t="s">
        <v>965</v>
      </c>
      <c r="B9" s="151"/>
      <c r="C9" s="152">
        <v>155976.478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119152.02616200957</v>
      </c>
      <c r="P9" s="152">
        <f t="shared" si="0"/>
        <v>647112.60616200953</v>
      </c>
    </row>
    <row r="10" spans="1:16" x14ac:dyDescent="0.15">
      <c r="A10" s="154" t="s">
        <v>965</v>
      </c>
      <c r="B10" s="151"/>
      <c r="C10" s="152">
        <v>119996.349</v>
      </c>
      <c r="D10" s="155"/>
      <c r="E10" s="154"/>
      <c r="F10" s="157"/>
      <c r="G10" s="154"/>
      <c r="H10" s="152"/>
      <c r="I10" s="155"/>
      <c r="J10" s="152"/>
      <c r="K10" s="150"/>
      <c r="L10" s="154"/>
      <c r="M10" s="227"/>
      <c r="N10" s="154"/>
      <c r="O10" s="227">
        <f t="shared" ref="O10:O83" si="2">+O9-J10-M10</f>
        <v>119152.02616200957</v>
      </c>
      <c r="P10" s="152">
        <f t="shared" ref="P10:P83" si="3">P9+H10-J10-M10</f>
        <v>647112.60616200953</v>
      </c>
    </row>
    <row r="11" spans="1:16" x14ac:dyDescent="0.15">
      <c r="A11" s="154" t="s">
        <v>966</v>
      </c>
      <c r="B11" s="151"/>
      <c r="C11" s="152">
        <v>76061.452999999994</v>
      </c>
      <c r="D11" s="155"/>
      <c r="E11" s="154"/>
      <c r="F11" s="157"/>
      <c r="G11" s="154"/>
      <c r="H11" s="152"/>
      <c r="I11" s="155"/>
      <c r="J11" s="152"/>
      <c r="K11" s="150"/>
      <c r="L11" s="154"/>
      <c r="M11" s="227"/>
      <c r="N11" s="154"/>
      <c r="O11" s="227">
        <f t="shared" si="2"/>
        <v>119152.02616200957</v>
      </c>
      <c r="P11" s="152">
        <f t="shared" si="3"/>
        <v>647112.60616200953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/>
      <c r="J12" s="152"/>
      <c r="K12" s="150"/>
      <c r="L12" s="154"/>
      <c r="M12" s="227"/>
      <c r="N12" s="154"/>
      <c r="O12" s="227">
        <f t="shared" si="2"/>
        <v>119152.02616200957</v>
      </c>
      <c r="P12" s="152">
        <f t="shared" si="3"/>
        <v>647112.60616200953</v>
      </c>
    </row>
    <row r="13" spans="1:16" x14ac:dyDescent="0.15">
      <c r="A13" s="154"/>
      <c r="B13" s="151"/>
      <c r="C13" s="152"/>
      <c r="D13" s="155" t="s">
        <v>1007</v>
      </c>
      <c r="E13" s="154" t="s">
        <v>72</v>
      </c>
      <c r="F13" s="157" t="s">
        <v>966</v>
      </c>
      <c r="G13" s="154"/>
      <c r="H13" s="152">
        <v>44091.966</v>
      </c>
      <c r="I13" s="155" t="s">
        <v>1007</v>
      </c>
      <c r="J13" s="152">
        <v>395.27839999999998</v>
      </c>
      <c r="K13" s="150" t="s">
        <v>963</v>
      </c>
      <c r="L13" s="154" t="s">
        <v>1059</v>
      </c>
      <c r="M13" s="227">
        <v>71742.03</v>
      </c>
      <c r="N13" s="154" t="s">
        <v>963</v>
      </c>
      <c r="O13" s="227">
        <f t="shared" ref="O13:O18" si="4">+O12-J13-M13</f>
        <v>47014.717762009575</v>
      </c>
      <c r="P13" s="152">
        <f t="shared" ref="P13:P18" si="5">P12+H13-J13-M13</f>
        <v>619067.26376200956</v>
      </c>
    </row>
    <row r="14" spans="1:16" x14ac:dyDescent="0.15">
      <c r="A14" s="154"/>
      <c r="B14" s="151"/>
      <c r="C14" s="152"/>
      <c r="D14" s="155" t="s">
        <v>1007</v>
      </c>
      <c r="E14" s="154" t="s">
        <v>72</v>
      </c>
      <c r="F14" s="157" t="s">
        <v>1036</v>
      </c>
      <c r="G14" s="154"/>
      <c r="H14" s="152">
        <v>36019.989000000001</v>
      </c>
      <c r="I14" s="155" t="s">
        <v>1007</v>
      </c>
      <c r="J14" s="152"/>
      <c r="K14" s="150"/>
      <c r="L14" s="154" t="s">
        <v>1059</v>
      </c>
      <c r="M14" s="227">
        <v>47014.718000000001</v>
      </c>
      <c r="N14" s="154" t="s">
        <v>963</v>
      </c>
      <c r="O14" s="227">
        <f t="shared" si="4"/>
        <v>-2.3799042537575588E-4</v>
      </c>
      <c r="P14" s="152">
        <f t="shared" si="5"/>
        <v>608072.53476200963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1007</v>
      </c>
      <c r="J15" s="152"/>
      <c r="K15" s="150"/>
      <c r="L15" s="154" t="s">
        <v>1060</v>
      </c>
      <c r="M15" s="227">
        <v>35341.392</v>
      </c>
      <c r="N15" s="154" t="s">
        <v>964</v>
      </c>
      <c r="O15" s="227">
        <f>C8+O14-J15-M15</f>
        <v>140584.90776200956</v>
      </c>
      <c r="P15" s="152">
        <f t="shared" si="5"/>
        <v>572731.14276200964</v>
      </c>
    </row>
    <row r="16" spans="1:16" x14ac:dyDescent="0.15">
      <c r="A16" s="154"/>
      <c r="B16" s="151"/>
      <c r="C16" s="152"/>
      <c r="D16" s="155"/>
      <c r="E16" s="154"/>
      <c r="F16" s="157"/>
      <c r="G16" s="154"/>
      <c r="H16" s="152"/>
      <c r="I16" s="155" t="s">
        <v>1008</v>
      </c>
      <c r="J16" s="152">
        <v>9286.35</v>
      </c>
      <c r="K16" s="154" t="s">
        <v>964</v>
      </c>
      <c r="L16" s="154" t="s">
        <v>1060</v>
      </c>
      <c r="M16" s="227">
        <v>81453.08</v>
      </c>
      <c r="N16" s="154" t="s">
        <v>964</v>
      </c>
      <c r="O16" s="227">
        <f t="shared" si="4"/>
        <v>49845.477762009556</v>
      </c>
      <c r="P16" s="152">
        <f t="shared" si="5"/>
        <v>481991.71276200964</v>
      </c>
    </row>
    <row r="17" spans="1:16" x14ac:dyDescent="0.15">
      <c r="A17" s="154"/>
      <c r="B17" s="151"/>
      <c r="C17" s="152"/>
      <c r="D17" s="155"/>
      <c r="E17" s="154"/>
      <c r="F17" s="157"/>
      <c r="G17" s="154"/>
      <c r="H17" s="152"/>
      <c r="I17" s="155" t="s">
        <v>1008</v>
      </c>
      <c r="J17" s="152"/>
      <c r="K17" s="150"/>
      <c r="L17" s="154" t="s">
        <v>1060</v>
      </c>
      <c r="M17" s="227">
        <v>35806.76</v>
      </c>
      <c r="N17" s="154" t="s">
        <v>964</v>
      </c>
      <c r="O17" s="227">
        <f t="shared" si="4"/>
        <v>14038.717762009554</v>
      </c>
      <c r="P17" s="152">
        <f t="shared" si="5"/>
        <v>446184.95276200963</v>
      </c>
    </row>
    <row r="18" spans="1:16" x14ac:dyDescent="0.15">
      <c r="A18" s="154"/>
      <c r="B18" s="151"/>
      <c r="C18" s="152"/>
      <c r="D18" s="155"/>
      <c r="E18" s="154"/>
      <c r="F18" s="157"/>
      <c r="G18" s="154"/>
      <c r="H18" s="152"/>
      <c r="I18" s="155" t="s">
        <v>1008</v>
      </c>
      <c r="J18" s="152"/>
      <c r="K18" s="150"/>
      <c r="L18" s="154" t="s">
        <v>1060</v>
      </c>
      <c r="M18" s="227">
        <v>14038.718000000001</v>
      </c>
      <c r="N18" s="154" t="s">
        <v>964</v>
      </c>
      <c r="O18" s="227">
        <f t="shared" si="4"/>
        <v>-2.3799044720362872E-4</v>
      </c>
      <c r="P18" s="152">
        <f t="shared" si="5"/>
        <v>432146.23476200964</v>
      </c>
    </row>
    <row r="19" spans="1:16" x14ac:dyDescent="0.15">
      <c r="A19" s="154"/>
      <c r="B19" s="151"/>
      <c r="C19" s="152"/>
      <c r="D19" s="155"/>
      <c r="E19" s="154"/>
      <c r="F19" s="157"/>
      <c r="G19" s="154"/>
      <c r="H19" s="152"/>
      <c r="I19" s="155" t="s">
        <v>1008</v>
      </c>
      <c r="J19" s="152"/>
      <c r="K19" s="150"/>
      <c r="L19" s="154" t="s">
        <v>1060</v>
      </c>
      <c r="M19" s="227">
        <v>72738.212</v>
      </c>
      <c r="N19" s="154" t="s">
        <v>965</v>
      </c>
      <c r="O19" s="227">
        <f>C9+C10+O18-J19-M19</f>
        <v>203234.61476200953</v>
      </c>
      <c r="P19" s="152">
        <f t="shared" ref="P19:P23" si="6">P18+H19-J19-M19</f>
        <v>359408.02276200964</v>
      </c>
    </row>
    <row r="20" spans="1:16" x14ac:dyDescent="0.15">
      <c r="A20" s="154"/>
      <c r="B20" s="151"/>
      <c r="C20" s="152"/>
      <c r="D20" s="155" t="s">
        <v>1009</v>
      </c>
      <c r="E20" s="154" t="s">
        <v>72</v>
      </c>
      <c r="F20" s="157" t="s">
        <v>1037</v>
      </c>
      <c r="G20" s="154"/>
      <c r="H20" s="152">
        <v>116070.982</v>
      </c>
      <c r="I20" s="155" t="s">
        <v>1009</v>
      </c>
      <c r="J20" s="152">
        <v>457.4796</v>
      </c>
      <c r="K20" s="154" t="s">
        <v>965</v>
      </c>
      <c r="L20" s="154"/>
      <c r="M20" s="227"/>
      <c r="N20" s="154"/>
      <c r="O20" s="227">
        <f t="shared" ref="O20:O23" si="7">+O19-J20-M20</f>
        <v>202777.13516200954</v>
      </c>
      <c r="P20" s="152">
        <f t="shared" si="6"/>
        <v>475021.52516200964</v>
      </c>
    </row>
    <row r="21" spans="1:16" x14ac:dyDescent="0.15">
      <c r="A21" s="154"/>
      <c r="B21" s="151"/>
      <c r="C21" s="152"/>
      <c r="D21" s="155" t="s">
        <v>1010</v>
      </c>
      <c r="E21" s="154" t="s">
        <v>72</v>
      </c>
      <c r="F21" s="157" t="s">
        <v>1038</v>
      </c>
      <c r="G21" s="154"/>
      <c r="H21" s="152">
        <v>119266.07399999999</v>
      </c>
      <c r="I21" s="155" t="s">
        <v>1010</v>
      </c>
      <c r="J21" s="152"/>
      <c r="K21" s="150"/>
      <c r="L21" s="154" t="s">
        <v>1060</v>
      </c>
      <c r="M21" s="227">
        <v>72199.839999999997</v>
      </c>
      <c r="N21" s="154" t="s">
        <v>965</v>
      </c>
      <c r="O21" s="227">
        <f t="shared" si="7"/>
        <v>130577.29516200954</v>
      </c>
      <c r="P21" s="152">
        <f t="shared" si="6"/>
        <v>522087.75916200969</v>
      </c>
    </row>
    <row r="22" spans="1:16" x14ac:dyDescent="0.15">
      <c r="A22" s="154"/>
      <c r="B22" s="151"/>
      <c r="C22" s="152"/>
      <c r="D22" s="155" t="s">
        <v>1010</v>
      </c>
      <c r="E22" s="154" t="s">
        <v>72</v>
      </c>
      <c r="F22" s="157" t="s">
        <v>1039</v>
      </c>
      <c r="G22" s="154"/>
      <c r="H22" s="152">
        <v>56769.508000000002</v>
      </c>
      <c r="I22" s="155" t="s">
        <v>1010</v>
      </c>
      <c r="J22" s="152"/>
      <c r="K22" s="150"/>
      <c r="L22" s="154" t="s">
        <v>1060</v>
      </c>
      <c r="M22" s="227">
        <v>78493.36</v>
      </c>
      <c r="N22" s="154" t="s">
        <v>965</v>
      </c>
      <c r="O22" s="227">
        <f t="shared" si="7"/>
        <v>52083.93516200954</v>
      </c>
      <c r="P22" s="152">
        <f t="shared" si="6"/>
        <v>500363.90716200974</v>
      </c>
    </row>
    <row r="23" spans="1:16" x14ac:dyDescent="0.15">
      <c r="A23" s="154"/>
      <c r="B23" s="151"/>
      <c r="C23" s="152"/>
      <c r="D23" s="155" t="s">
        <v>1011</v>
      </c>
      <c r="E23" s="154" t="s">
        <v>72</v>
      </c>
      <c r="F23" s="157" t="s">
        <v>1039</v>
      </c>
      <c r="G23" s="154"/>
      <c r="H23" s="152">
        <v>176122.55600000001</v>
      </c>
      <c r="I23" s="155" t="s">
        <v>1011</v>
      </c>
      <c r="J23" s="152"/>
      <c r="K23" s="150"/>
      <c r="L23" s="154" t="s">
        <v>1060</v>
      </c>
      <c r="M23" s="227">
        <v>52083.934999999998</v>
      </c>
      <c r="N23" s="154" t="s">
        <v>965</v>
      </c>
      <c r="O23" s="227">
        <f t="shared" si="7"/>
        <v>1.6200954269152135E-4</v>
      </c>
      <c r="P23" s="152">
        <f t="shared" si="6"/>
        <v>624402.52816200978</v>
      </c>
    </row>
    <row r="24" spans="1:16" x14ac:dyDescent="0.15">
      <c r="A24" s="154"/>
      <c r="B24" s="151"/>
      <c r="C24" s="152"/>
      <c r="D24" s="155"/>
      <c r="E24" s="154"/>
      <c r="F24" s="157"/>
      <c r="G24" s="154"/>
      <c r="H24" s="152"/>
      <c r="I24" s="155" t="s">
        <v>1011</v>
      </c>
      <c r="J24" s="152"/>
      <c r="K24" s="150"/>
      <c r="L24" s="154" t="s">
        <v>1058</v>
      </c>
      <c r="M24" s="227">
        <v>25581.095000000001</v>
      </c>
      <c r="N24" s="157" t="s">
        <v>966</v>
      </c>
      <c r="O24" s="227">
        <f>+C11+H13+O23-J24-M24</f>
        <v>94572.324162009536</v>
      </c>
      <c r="P24" s="152">
        <f t="shared" ref="P24:P26" si="8">P23+H24-J24-M24</f>
        <v>598821.43316200981</v>
      </c>
    </row>
    <row r="25" spans="1:16" x14ac:dyDescent="0.15">
      <c r="A25" s="154"/>
      <c r="B25" s="151"/>
      <c r="C25" s="152"/>
      <c r="D25" s="155"/>
      <c r="E25" s="154"/>
      <c r="F25" s="157"/>
      <c r="G25" s="154"/>
      <c r="H25" s="152"/>
      <c r="I25" s="155" t="s">
        <v>1011</v>
      </c>
      <c r="J25" s="152"/>
      <c r="K25" s="157"/>
      <c r="L25" s="154" t="s">
        <v>1058</v>
      </c>
      <c r="M25" s="227">
        <v>74738.81</v>
      </c>
      <c r="N25" s="157" t="s">
        <v>966</v>
      </c>
      <c r="O25" s="227">
        <f t="shared" ref="O25:O26" si="9">+O24-J25-M25</f>
        <v>19833.514162009538</v>
      </c>
      <c r="P25" s="152">
        <f t="shared" si="8"/>
        <v>524082.62316200981</v>
      </c>
    </row>
    <row r="26" spans="1:16" x14ac:dyDescent="0.15">
      <c r="A26" s="154"/>
      <c r="B26" s="151"/>
      <c r="C26" s="152"/>
      <c r="D26" s="155"/>
      <c r="E26" s="154"/>
      <c r="F26" s="157"/>
      <c r="G26" s="154"/>
      <c r="H26" s="152"/>
      <c r="I26" s="155" t="s">
        <v>1011</v>
      </c>
      <c r="J26" s="152"/>
      <c r="K26" s="154"/>
      <c r="L26" s="154" t="s">
        <v>1058</v>
      </c>
      <c r="M26" s="227">
        <v>19833.513999999999</v>
      </c>
      <c r="N26" s="157" t="s">
        <v>966</v>
      </c>
      <c r="O26" s="227">
        <f t="shared" si="9"/>
        <v>1.6200953905354254E-4</v>
      </c>
      <c r="P26" s="152">
        <f t="shared" si="8"/>
        <v>504249.10916200979</v>
      </c>
    </row>
    <row r="27" spans="1:16" x14ac:dyDescent="0.15">
      <c r="A27" s="154"/>
      <c r="B27" s="151"/>
      <c r="C27" s="152"/>
      <c r="D27" s="155"/>
      <c r="E27" s="154"/>
      <c r="F27" s="157"/>
      <c r="G27" s="154"/>
      <c r="H27" s="152"/>
      <c r="I27" s="155" t="s">
        <v>1011</v>
      </c>
      <c r="J27" s="152"/>
      <c r="K27" s="154"/>
      <c r="L27" s="154" t="s">
        <v>1058</v>
      </c>
      <c r="M27" s="227">
        <v>12148.286</v>
      </c>
      <c r="N27" s="157" t="s">
        <v>1036</v>
      </c>
      <c r="O27" s="227">
        <f>H14+O26-J27-M27</f>
        <v>23871.703162009544</v>
      </c>
      <c r="P27" s="152">
        <f t="shared" ref="P27:P28" si="10">P26+H27-J27-M27</f>
        <v>492100.82316200976</v>
      </c>
    </row>
    <row r="28" spans="1:16" x14ac:dyDescent="0.15">
      <c r="A28" s="154"/>
      <c r="B28" s="151"/>
      <c r="C28" s="152"/>
      <c r="D28" s="155" t="s">
        <v>1012</v>
      </c>
      <c r="E28" s="154" t="s">
        <v>72</v>
      </c>
      <c r="F28" s="157" t="s">
        <v>1039</v>
      </c>
      <c r="G28" s="154"/>
      <c r="H28" s="152">
        <v>75982.850999999995</v>
      </c>
      <c r="I28" s="155" t="s">
        <v>1012</v>
      </c>
      <c r="J28" s="152"/>
      <c r="K28" s="154"/>
      <c r="L28" s="154" t="s">
        <v>1058</v>
      </c>
      <c r="M28" s="227">
        <v>23871.703000000001</v>
      </c>
      <c r="N28" s="157" t="s">
        <v>1036</v>
      </c>
      <c r="O28" s="227">
        <f t="shared" ref="O28" si="11">+O27-J28-M28</f>
        <v>1.6200954269152135E-4</v>
      </c>
      <c r="P28" s="152">
        <f t="shared" si="10"/>
        <v>544211.97116200975</v>
      </c>
    </row>
    <row r="29" spans="1:16" x14ac:dyDescent="0.15">
      <c r="A29" s="154"/>
      <c r="B29" s="151"/>
      <c r="C29" s="152"/>
      <c r="D29" s="155" t="s">
        <v>1012</v>
      </c>
      <c r="E29" s="154" t="s">
        <v>72</v>
      </c>
      <c r="F29" s="157" t="s">
        <v>1040</v>
      </c>
      <c r="G29" s="154"/>
      <c r="H29" s="152">
        <v>40058.747000000003</v>
      </c>
      <c r="I29" s="155" t="s">
        <v>1012</v>
      </c>
      <c r="J29" s="152"/>
      <c r="K29" s="154"/>
      <c r="L29" s="154" t="s">
        <v>1059</v>
      </c>
      <c r="M29" s="227">
        <v>47577.906999999999</v>
      </c>
      <c r="N29" s="157" t="s">
        <v>1037</v>
      </c>
      <c r="O29" s="227">
        <f>H20+O28-J29-M29</f>
        <v>68493.07516200954</v>
      </c>
      <c r="P29" s="152">
        <f t="shared" ref="P29:P31" si="12">P28+H29-J29-M29</f>
        <v>536692.81116200972</v>
      </c>
    </row>
    <row r="30" spans="1:16" x14ac:dyDescent="0.15">
      <c r="A30" s="154"/>
      <c r="B30" s="151"/>
      <c r="C30" s="152"/>
      <c r="D30" s="155"/>
      <c r="E30" s="154"/>
      <c r="F30" s="157"/>
      <c r="G30" s="154"/>
      <c r="H30" s="152"/>
      <c r="I30" s="155" t="s">
        <v>1012</v>
      </c>
      <c r="J30" s="152"/>
      <c r="K30" s="157"/>
      <c r="L30" s="154" t="s">
        <v>1059</v>
      </c>
      <c r="M30" s="227">
        <v>52060</v>
      </c>
      <c r="N30" s="157" t="s">
        <v>1037</v>
      </c>
      <c r="O30" s="227">
        <f t="shared" ref="O30:O31" si="13">+O29-J30-M30</f>
        <v>16433.07516200954</v>
      </c>
      <c r="P30" s="152">
        <f t="shared" si="12"/>
        <v>484632.81116200972</v>
      </c>
    </row>
    <row r="31" spans="1:16" x14ac:dyDescent="0.15">
      <c r="A31" s="154"/>
      <c r="B31" s="151"/>
      <c r="C31" s="152"/>
      <c r="D31" s="155"/>
      <c r="E31" s="154"/>
      <c r="F31" s="157"/>
      <c r="G31" s="154"/>
      <c r="H31" s="152"/>
      <c r="I31" s="155" t="s">
        <v>1012</v>
      </c>
      <c r="J31" s="152"/>
      <c r="K31" s="154"/>
      <c r="L31" s="154" t="s">
        <v>1059</v>
      </c>
      <c r="M31" s="227">
        <v>16433.075000000001</v>
      </c>
      <c r="N31" s="157" t="s">
        <v>1037</v>
      </c>
      <c r="O31" s="227">
        <f t="shared" si="13"/>
        <v>1.6200953905354254E-4</v>
      </c>
      <c r="P31" s="152">
        <f t="shared" si="12"/>
        <v>468199.73616200971</v>
      </c>
    </row>
    <row r="32" spans="1:16" x14ac:dyDescent="0.15">
      <c r="A32" s="154"/>
      <c r="B32" s="151"/>
      <c r="C32" s="152"/>
      <c r="D32" s="155"/>
      <c r="E32" s="154"/>
      <c r="F32" s="157"/>
      <c r="G32" s="154"/>
      <c r="H32" s="152"/>
      <c r="I32" s="155" t="s">
        <v>1012</v>
      </c>
      <c r="J32" s="152"/>
      <c r="K32" s="154"/>
      <c r="L32" s="154" t="s">
        <v>1060</v>
      </c>
      <c r="M32" s="227">
        <v>63376.195</v>
      </c>
      <c r="N32" s="157" t="s">
        <v>1038</v>
      </c>
      <c r="O32" s="227">
        <f>H21+O31-J32-M32</f>
        <v>55889.879162009536</v>
      </c>
      <c r="P32" s="152">
        <f t="shared" ref="P32:P34" si="14">P31+H32-J32-M32</f>
        <v>404823.5411620097</v>
      </c>
    </row>
    <row r="33" spans="1:16" x14ac:dyDescent="0.15">
      <c r="A33" s="154"/>
      <c r="B33" s="151"/>
      <c r="C33" s="152"/>
      <c r="D33" s="155" t="s">
        <v>1033</v>
      </c>
      <c r="E33" s="154" t="s">
        <v>72</v>
      </c>
      <c r="F33" s="157" t="s">
        <v>1040</v>
      </c>
      <c r="G33" s="154"/>
      <c r="H33" s="152">
        <v>136047.06</v>
      </c>
      <c r="I33" s="155" t="s">
        <v>1033</v>
      </c>
      <c r="J33" s="152"/>
      <c r="K33" s="154"/>
      <c r="L33" s="154"/>
      <c r="M33" s="227"/>
      <c r="N33" s="157"/>
      <c r="O33" s="227">
        <f t="shared" ref="O33:O34" si="15">+O32-J33-M33</f>
        <v>55889.879162009536</v>
      </c>
      <c r="P33" s="152">
        <f t="shared" si="14"/>
        <v>540870.60116200964</v>
      </c>
    </row>
    <row r="34" spans="1:16" x14ac:dyDescent="0.15">
      <c r="A34" s="154"/>
      <c r="B34" s="151"/>
      <c r="C34" s="152"/>
      <c r="D34" s="155" t="s">
        <v>1013</v>
      </c>
      <c r="E34" s="154" t="s">
        <v>72</v>
      </c>
      <c r="F34" s="157" t="s">
        <v>1040</v>
      </c>
      <c r="G34" s="154"/>
      <c r="H34" s="152">
        <v>173345.128</v>
      </c>
      <c r="I34" s="155" t="s">
        <v>1013</v>
      </c>
      <c r="J34" s="152"/>
      <c r="K34" s="154"/>
      <c r="L34" s="154" t="s">
        <v>1060</v>
      </c>
      <c r="M34" s="227">
        <v>55889.879000000001</v>
      </c>
      <c r="N34" s="157" t="s">
        <v>1038</v>
      </c>
      <c r="O34" s="227">
        <f t="shared" si="15"/>
        <v>1.6200953541556373E-4</v>
      </c>
      <c r="P34" s="152">
        <f t="shared" si="14"/>
        <v>658325.85016200971</v>
      </c>
    </row>
    <row r="35" spans="1:16" x14ac:dyDescent="0.15">
      <c r="A35" s="154"/>
      <c r="B35" s="151"/>
      <c r="C35" s="152"/>
      <c r="D35" s="155" t="s">
        <v>1013</v>
      </c>
      <c r="E35" s="154" t="s">
        <v>72</v>
      </c>
      <c r="F35" s="157" t="s">
        <v>1041</v>
      </c>
      <c r="G35" s="154"/>
      <c r="H35" s="152">
        <v>22621.106</v>
      </c>
      <c r="I35" s="155" t="s">
        <v>1013</v>
      </c>
      <c r="J35" s="152"/>
      <c r="K35" s="154"/>
      <c r="L35" s="154" t="s">
        <v>1059</v>
      </c>
      <c r="M35" s="227">
        <v>16709.721000000001</v>
      </c>
      <c r="N35" s="157" t="s">
        <v>1039</v>
      </c>
      <c r="O35" s="227">
        <f>H22+H23+H28+O34-J35-M35</f>
        <v>292165.19416200957</v>
      </c>
      <c r="P35" s="152">
        <f t="shared" ref="P35:P39" si="16">P34+H35-J35-M35</f>
        <v>664237.23516200972</v>
      </c>
    </row>
    <row r="36" spans="1:16" x14ac:dyDescent="0.15">
      <c r="A36" s="154"/>
      <c r="B36" s="151"/>
      <c r="C36" s="152"/>
      <c r="D36" s="155"/>
      <c r="E36" s="154"/>
      <c r="F36" s="157"/>
      <c r="G36" s="154"/>
      <c r="H36" s="152"/>
      <c r="I36" s="155" t="s">
        <v>1013</v>
      </c>
      <c r="J36" s="152"/>
      <c r="K36" s="154"/>
      <c r="L36" s="154" t="s">
        <v>1059</v>
      </c>
      <c r="M36" s="227">
        <v>72610.27</v>
      </c>
      <c r="N36" s="157" t="s">
        <v>1039</v>
      </c>
      <c r="O36" s="227">
        <f t="shared" ref="O36:O39" si="17">+O35-J36-M36</f>
        <v>219554.92416200956</v>
      </c>
      <c r="P36" s="152">
        <f t="shared" si="16"/>
        <v>591626.9651620097</v>
      </c>
    </row>
    <row r="37" spans="1:16" x14ac:dyDescent="0.15">
      <c r="A37" s="154"/>
      <c r="B37" s="151"/>
      <c r="C37" s="152"/>
      <c r="D37" s="155" t="s">
        <v>1014</v>
      </c>
      <c r="E37" s="154" t="s">
        <v>72</v>
      </c>
      <c r="F37" s="157" t="s">
        <v>1041</v>
      </c>
      <c r="G37" s="154"/>
      <c r="H37" s="152">
        <v>140086.47500000001</v>
      </c>
      <c r="I37" s="155" t="s">
        <v>1014</v>
      </c>
      <c r="J37" s="152"/>
      <c r="K37" s="154"/>
      <c r="L37" s="154" t="s">
        <v>1059</v>
      </c>
      <c r="M37" s="227">
        <v>85172.72</v>
      </c>
      <c r="N37" s="157" t="s">
        <v>1039</v>
      </c>
      <c r="O37" s="227">
        <f t="shared" si="17"/>
        <v>134382.20416200956</v>
      </c>
      <c r="P37" s="152">
        <f t="shared" si="16"/>
        <v>646540.7201620097</v>
      </c>
    </row>
    <row r="38" spans="1:16" x14ac:dyDescent="0.15">
      <c r="A38" s="154"/>
      <c r="B38" s="151"/>
      <c r="C38" s="152"/>
      <c r="D38" s="155"/>
      <c r="E38" s="154"/>
      <c r="F38" s="157"/>
      <c r="G38" s="154"/>
      <c r="H38" s="152"/>
      <c r="I38" s="155" t="s">
        <v>1014</v>
      </c>
      <c r="J38" s="152"/>
      <c r="K38" s="154"/>
      <c r="L38" s="154" t="s">
        <v>1059</v>
      </c>
      <c r="M38" s="227">
        <v>84417.11</v>
      </c>
      <c r="N38" s="157" t="s">
        <v>1039</v>
      </c>
      <c r="O38" s="227">
        <f t="shared" si="17"/>
        <v>49965.094162009555</v>
      </c>
      <c r="P38" s="152">
        <f t="shared" si="16"/>
        <v>562123.61016200972</v>
      </c>
    </row>
    <row r="39" spans="1:16" x14ac:dyDescent="0.15">
      <c r="A39" s="154"/>
      <c r="B39" s="151"/>
      <c r="C39" s="152"/>
      <c r="D39" s="155" t="s">
        <v>1015</v>
      </c>
      <c r="E39" s="154" t="s">
        <v>72</v>
      </c>
      <c r="F39" s="157" t="s">
        <v>1041</v>
      </c>
      <c r="G39" s="154"/>
      <c r="H39" s="152">
        <v>119940.48299999999</v>
      </c>
      <c r="I39" s="155" t="s">
        <v>1015</v>
      </c>
      <c r="J39" s="152">
        <v>1412.6024</v>
      </c>
      <c r="K39" s="157" t="s">
        <v>1039</v>
      </c>
      <c r="L39" s="154" t="s">
        <v>1059</v>
      </c>
      <c r="M39" s="227">
        <v>26528.07</v>
      </c>
      <c r="N39" s="157" t="s">
        <v>1039</v>
      </c>
      <c r="O39" s="227">
        <f t="shared" si="17"/>
        <v>22024.421762009551</v>
      </c>
      <c r="P39" s="152">
        <f t="shared" si="16"/>
        <v>654123.4207620098</v>
      </c>
    </row>
    <row r="40" spans="1:16" x14ac:dyDescent="0.15">
      <c r="A40" s="154"/>
      <c r="B40" s="151"/>
      <c r="C40" s="152"/>
      <c r="D40" s="155"/>
      <c r="E40" s="154"/>
      <c r="F40" s="157"/>
      <c r="G40" s="154"/>
      <c r="H40" s="152"/>
      <c r="I40" s="155" t="s">
        <v>1015</v>
      </c>
      <c r="J40" s="152"/>
      <c r="K40" s="154"/>
      <c r="L40" s="154" t="s">
        <v>1059</v>
      </c>
      <c r="M40" s="227">
        <v>602.17999999999995</v>
      </c>
      <c r="N40" s="157" t="s">
        <v>1039</v>
      </c>
      <c r="O40" s="227">
        <f t="shared" si="2"/>
        <v>21422.241762009551</v>
      </c>
      <c r="P40" s="152">
        <f t="shared" si="3"/>
        <v>653521.24076200975</v>
      </c>
    </row>
    <row r="41" spans="1:16" x14ac:dyDescent="0.15">
      <c r="A41" s="154"/>
      <c r="B41" s="151"/>
      <c r="C41" s="152"/>
      <c r="D41" s="155" t="s">
        <v>1016</v>
      </c>
      <c r="E41" s="154" t="s">
        <v>72</v>
      </c>
      <c r="F41" s="157" t="s">
        <v>1041</v>
      </c>
      <c r="G41" s="154"/>
      <c r="H41" s="152">
        <v>119916.454</v>
      </c>
      <c r="I41" s="155" t="s">
        <v>1016</v>
      </c>
      <c r="J41" s="152">
        <v>11000.15</v>
      </c>
      <c r="K41" s="157" t="s">
        <v>1039</v>
      </c>
      <c r="L41" s="154" t="s">
        <v>1059</v>
      </c>
      <c r="M41" s="227">
        <v>10422.092000000001</v>
      </c>
      <c r="N41" s="157" t="s">
        <v>1039</v>
      </c>
      <c r="O41" s="227">
        <f t="shared" si="2"/>
        <v>-2.3799044902261812E-4</v>
      </c>
      <c r="P41" s="152">
        <f t="shared" si="3"/>
        <v>752015.45276200981</v>
      </c>
    </row>
    <row r="42" spans="1:16" x14ac:dyDescent="0.15">
      <c r="A42" s="154"/>
      <c r="B42" s="151"/>
      <c r="C42" s="152"/>
      <c r="D42" s="155"/>
      <c r="E42" s="154"/>
      <c r="F42" s="157"/>
      <c r="G42" s="154"/>
      <c r="H42" s="152"/>
      <c r="I42" s="155" t="s">
        <v>1016</v>
      </c>
      <c r="J42" s="152"/>
      <c r="K42" s="154"/>
      <c r="L42" s="154" t="s">
        <v>1058</v>
      </c>
      <c r="M42" s="227">
        <v>64019.048000000003</v>
      </c>
      <c r="N42" s="157" t="s">
        <v>1040</v>
      </c>
      <c r="O42" s="227">
        <f>H29+H33+H34+O41-J42-M42</f>
        <v>285431.88676200953</v>
      </c>
      <c r="P42" s="152">
        <f t="shared" ref="P42:P46" si="18">P41+H42-J42-M42</f>
        <v>687996.40476200986</v>
      </c>
    </row>
    <row r="43" spans="1:16" x14ac:dyDescent="0.15">
      <c r="A43" s="154"/>
      <c r="B43" s="151"/>
      <c r="C43" s="152"/>
      <c r="D43" s="155"/>
      <c r="E43" s="154"/>
      <c r="F43" s="157"/>
      <c r="G43" s="154"/>
      <c r="H43" s="152"/>
      <c r="I43" s="155" t="s">
        <v>1016</v>
      </c>
      <c r="J43" s="152"/>
      <c r="K43" s="154"/>
      <c r="L43" s="154" t="s">
        <v>1058</v>
      </c>
      <c r="M43" s="227">
        <v>78420.789999999994</v>
      </c>
      <c r="N43" s="157" t="s">
        <v>1040</v>
      </c>
      <c r="O43" s="227">
        <f t="shared" ref="O43:O46" si="19">+O42-J43-M43</f>
        <v>207011.09676200955</v>
      </c>
      <c r="P43" s="152">
        <f t="shared" si="18"/>
        <v>609575.61476200982</v>
      </c>
    </row>
    <row r="44" spans="1:16" x14ac:dyDescent="0.15">
      <c r="A44" s="154"/>
      <c r="B44" s="151"/>
      <c r="C44" s="152"/>
      <c r="D44" s="155"/>
      <c r="E44" s="154"/>
      <c r="F44" s="157"/>
      <c r="G44" s="154"/>
      <c r="H44" s="152"/>
      <c r="I44" s="155" t="s">
        <v>1017</v>
      </c>
      <c r="J44" s="152">
        <v>2865.6417999999999</v>
      </c>
      <c r="K44" s="157" t="s">
        <v>1040</v>
      </c>
      <c r="L44" s="154" t="s">
        <v>1058</v>
      </c>
      <c r="M44" s="227">
        <v>77418.87</v>
      </c>
      <c r="N44" s="157" t="s">
        <v>1040</v>
      </c>
      <c r="O44" s="227">
        <f t="shared" si="19"/>
        <v>126726.58496200954</v>
      </c>
      <c r="P44" s="152">
        <f t="shared" si="18"/>
        <v>529291.10296200984</v>
      </c>
    </row>
    <row r="45" spans="1:16" x14ac:dyDescent="0.15">
      <c r="A45" s="154"/>
      <c r="B45" s="151"/>
      <c r="C45" s="152"/>
      <c r="D45" s="155" t="s">
        <v>1018</v>
      </c>
      <c r="E45" s="154" t="s">
        <v>72</v>
      </c>
      <c r="F45" s="157" t="s">
        <v>1042</v>
      </c>
      <c r="G45" s="154"/>
      <c r="H45" s="152">
        <v>215836.15299999999</v>
      </c>
      <c r="I45" s="155" t="s">
        <v>1018</v>
      </c>
      <c r="J45" s="152">
        <v>287.47000000000003</v>
      </c>
      <c r="K45" s="157" t="s">
        <v>1040</v>
      </c>
      <c r="L45" s="154" t="s">
        <v>1058</v>
      </c>
      <c r="M45" s="227">
        <v>77865.789999999994</v>
      </c>
      <c r="N45" s="157" t="s">
        <v>1040</v>
      </c>
      <c r="O45" s="227">
        <f t="shared" si="19"/>
        <v>48573.324962009545</v>
      </c>
      <c r="P45" s="152">
        <f t="shared" si="18"/>
        <v>666973.99596200977</v>
      </c>
    </row>
    <row r="46" spans="1:16" x14ac:dyDescent="0.15">
      <c r="A46" s="154"/>
      <c r="B46" s="151"/>
      <c r="C46" s="152"/>
      <c r="D46" s="155"/>
      <c r="E46" s="154"/>
      <c r="F46" s="157"/>
      <c r="G46" s="154"/>
      <c r="H46" s="152"/>
      <c r="I46" s="155" t="s">
        <v>1018</v>
      </c>
      <c r="J46" s="152"/>
      <c r="K46" s="154"/>
      <c r="L46" s="154" t="s">
        <v>1058</v>
      </c>
      <c r="M46" s="227">
        <v>48573.324999999997</v>
      </c>
      <c r="N46" s="157" t="s">
        <v>1040</v>
      </c>
      <c r="O46" s="227">
        <f t="shared" si="19"/>
        <v>-3.7990452256053686E-5</v>
      </c>
      <c r="P46" s="152">
        <f t="shared" si="18"/>
        <v>618400.67096200981</v>
      </c>
    </row>
    <row r="47" spans="1:16" x14ac:dyDescent="0.15">
      <c r="A47" s="154"/>
      <c r="B47" s="151"/>
      <c r="C47" s="152"/>
      <c r="D47" s="155"/>
      <c r="E47" s="154"/>
      <c r="F47" s="157"/>
      <c r="G47" s="154"/>
      <c r="H47" s="152"/>
      <c r="I47" s="155" t="s">
        <v>1018</v>
      </c>
      <c r="J47" s="152"/>
      <c r="K47" s="154"/>
      <c r="L47" s="154" t="s">
        <v>1059</v>
      </c>
      <c r="M47" s="227">
        <v>37556.184999999998</v>
      </c>
      <c r="N47" s="157" t="s">
        <v>1041</v>
      </c>
      <c r="O47" s="227">
        <f>H35+H37+H39+H41+O46-J47-M47</f>
        <v>365008.33296200959</v>
      </c>
      <c r="P47" s="152">
        <f t="shared" ref="P47:P49" si="20">P46+H47-J47-M47</f>
        <v>580844.48596200976</v>
      </c>
    </row>
    <row r="48" spans="1:16" x14ac:dyDescent="0.15">
      <c r="A48" s="154"/>
      <c r="B48" s="151"/>
      <c r="C48" s="152"/>
      <c r="D48" s="155"/>
      <c r="E48" s="154"/>
      <c r="F48" s="157"/>
      <c r="G48" s="154"/>
      <c r="H48" s="152"/>
      <c r="I48" s="155" t="s">
        <v>1018</v>
      </c>
      <c r="J48" s="152"/>
      <c r="K48" s="157"/>
      <c r="L48" s="154" t="s">
        <v>1059</v>
      </c>
      <c r="M48" s="227">
        <v>50475.76</v>
      </c>
      <c r="N48" s="157" t="s">
        <v>1041</v>
      </c>
      <c r="O48" s="227">
        <f t="shared" ref="O48:O49" si="21">+O47-J48-M48</f>
        <v>314532.57296200958</v>
      </c>
      <c r="P48" s="152">
        <f t="shared" si="20"/>
        <v>530368.72596200975</v>
      </c>
    </row>
    <row r="49" spans="1:16" x14ac:dyDescent="0.15">
      <c r="A49" s="154"/>
      <c r="B49" s="151"/>
      <c r="C49" s="152"/>
      <c r="D49" s="155" t="s">
        <v>1034</v>
      </c>
      <c r="E49" s="154" t="s">
        <v>72</v>
      </c>
      <c r="F49" s="157" t="s">
        <v>1042</v>
      </c>
      <c r="G49" s="154"/>
      <c r="H49" s="152">
        <v>39993.512000000002</v>
      </c>
      <c r="I49" s="155" t="s">
        <v>1034</v>
      </c>
      <c r="J49" s="152"/>
      <c r="K49" s="154"/>
      <c r="L49" s="154"/>
      <c r="M49" s="227"/>
      <c r="N49" s="157"/>
      <c r="O49" s="227">
        <f t="shared" si="21"/>
        <v>314532.57296200958</v>
      </c>
      <c r="P49" s="152">
        <f t="shared" si="20"/>
        <v>570362.23796200973</v>
      </c>
    </row>
    <row r="50" spans="1:16" x14ac:dyDescent="0.15">
      <c r="A50" s="154"/>
      <c r="B50" s="151"/>
      <c r="C50" s="152"/>
      <c r="D50" s="155" t="s">
        <v>1019</v>
      </c>
      <c r="E50" s="154" t="s">
        <v>72</v>
      </c>
      <c r="F50" s="157" t="s">
        <v>1042</v>
      </c>
      <c r="G50" s="154"/>
      <c r="H50" s="152">
        <v>76015.202999999994</v>
      </c>
      <c r="I50" s="155" t="s">
        <v>1019</v>
      </c>
      <c r="J50" s="152"/>
      <c r="K50" s="154"/>
      <c r="L50" s="154" t="s">
        <v>1059</v>
      </c>
      <c r="M50" s="227">
        <v>72474.399999999994</v>
      </c>
      <c r="N50" s="157" t="s">
        <v>1041</v>
      </c>
      <c r="O50" s="227">
        <f t="shared" si="2"/>
        <v>242058.17296200959</v>
      </c>
      <c r="P50" s="152">
        <f t="shared" si="3"/>
        <v>573903.04096200969</v>
      </c>
    </row>
    <row r="51" spans="1:16" x14ac:dyDescent="0.15">
      <c r="A51" s="154"/>
      <c r="B51" s="151"/>
      <c r="C51" s="152"/>
      <c r="D51" s="155"/>
      <c r="E51" s="154"/>
      <c r="F51" s="157"/>
      <c r="G51" s="154"/>
      <c r="H51" s="152"/>
      <c r="I51" s="155" t="s">
        <v>1020</v>
      </c>
      <c r="J51" s="152"/>
      <c r="K51" s="154"/>
      <c r="L51" s="154" t="s">
        <v>1059</v>
      </c>
      <c r="M51" s="227">
        <v>84424.05</v>
      </c>
      <c r="N51" s="157" t="s">
        <v>1041</v>
      </c>
      <c r="O51" s="227">
        <f t="shared" si="2"/>
        <v>157634.12296200957</v>
      </c>
      <c r="P51" s="152">
        <f t="shared" si="3"/>
        <v>489478.9909620097</v>
      </c>
    </row>
    <row r="52" spans="1:16" x14ac:dyDescent="0.15">
      <c r="A52" s="154"/>
      <c r="B52" s="151"/>
      <c r="C52" s="152"/>
      <c r="D52" s="155"/>
      <c r="E52" s="154"/>
      <c r="F52" s="157"/>
      <c r="G52" s="154"/>
      <c r="H52" s="152"/>
      <c r="I52" s="155" t="s">
        <v>1020</v>
      </c>
      <c r="J52" s="152"/>
      <c r="K52" s="157"/>
      <c r="L52" s="154" t="s">
        <v>1059</v>
      </c>
      <c r="M52" s="227">
        <v>80278.14</v>
      </c>
      <c r="N52" s="157" t="s">
        <v>1041</v>
      </c>
      <c r="O52" s="227">
        <f t="shared" si="2"/>
        <v>77355.98296200957</v>
      </c>
      <c r="P52" s="152">
        <f t="shared" si="3"/>
        <v>409200.85096200969</v>
      </c>
    </row>
    <row r="53" spans="1:16" x14ac:dyDescent="0.15">
      <c r="A53" s="154"/>
      <c r="B53" s="151"/>
      <c r="C53" s="152"/>
      <c r="D53" s="155"/>
      <c r="E53" s="154"/>
      <c r="F53" s="157"/>
      <c r="G53" s="154"/>
      <c r="H53" s="152"/>
      <c r="I53" s="155" t="s">
        <v>1020</v>
      </c>
      <c r="J53" s="152"/>
      <c r="K53" s="154"/>
      <c r="L53" s="154" t="s">
        <v>1059</v>
      </c>
      <c r="M53" s="227">
        <v>556.24</v>
      </c>
      <c r="N53" s="157" t="s">
        <v>1041</v>
      </c>
      <c r="O53" s="227">
        <f t="shared" si="2"/>
        <v>76799.742962009565</v>
      </c>
      <c r="P53" s="152">
        <f t="shared" si="3"/>
        <v>408644.6109620097</v>
      </c>
    </row>
    <row r="54" spans="1:16" x14ac:dyDescent="0.15">
      <c r="A54" s="154"/>
      <c r="B54" s="151"/>
      <c r="C54" s="152"/>
      <c r="D54" s="155" t="s">
        <v>1021</v>
      </c>
      <c r="E54" s="154" t="s">
        <v>72</v>
      </c>
      <c r="F54" s="157" t="s">
        <v>1043</v>
      </c>
      <c r="G54" s="154"/>
      <c r="H54" s="152">
        <v>156003.34400000001</v>
      </c>
      <c r="I54" s="155" t="s">
        <v>1021</v>
      </c>
      <c r="J54" s="152"/>
      <c r="K54" s="154"/>
      <c r="L54" s="154" t="s">
        <v>1059</v>
      </c>
      <c r="M54" s="227">
        <v>76799.743000000002</v>
      </c>
      <c r="N54" s="157" t="s">
        <v>1041</v>
      </c>
      <c r="O54" s="227">
        <f t="shared" ref="O54:O59" si="22">+O53-J54-M54</f>
        <v>-3.7990437704138458E-5</v>
      </c>
      <c r="P54" s="152">
        <f t="shared" ref="P54:P59" si="23">P53+H54-J54-M54</f>
        <v>487848.21196200966</v>
      </c>
    </row>
    <row r="55" spans="1:16" x14ac:dyDescent="0.15">
      <c r="A55" s="154"/>
      <c r="B55" s="151"/>
      <c r="C55" s="152"/>
      <c r="D55" s="155"/>
      <c r="E55" s="154"/>
      <c r="F55" s="157"/>
      <c r="G55" s="154"/>
      <c r="H55" s="152"/>
      <c r="I55" s="155" t="s">
        <v>1021</v>
      </c>
      <c r="J55" s="152"/>
      <c r="K55" s="154"/>
      <c r="L55" s="154" t="s">
        <v>1059</v>
      </c>
      <c r="M55" s="227">
        <v>5166.6970000000001</v>
      </c>
      <c r="N55" s="157" t="s">
        <v>1042</v>
      </c>
      <c r="O55" s="227">
        <f>H45+H49+H50+O54-J55-M55</f>
        <v>326678.17096200952</v>
      </c>
      <c r="P55" s="152">
        <f t="shared" si="23"/>
        <v>482681.51496200968</v>
      </c>
    </row>
    <row r="56" spans="1:16" x14ac:dyDescent="0.15">
      <c r="A56" s="154"/>
      <c r="B56" s="151"/>
      <c r="C56" s="152"/>
      <c r="D56" s="155"/>
      <c r="E56" s="154"/>
      <c r="F56" s="157"/>
      <c r="G56" s="154"/>
      <c r="H56" s="152"/>
      <c r="I56" s="155" t="s">
        <v>1021</v>
      </c>
      <c r="J56" s="152"/>
      <c r="K56" s="154"/>
      <c r="L56" s="154" t="s">
        <v>1059</v>
      </c>
      <c r="M56" s="227">
        <v>423.34</v>
      </c>
      <c r="N56" s="157" t="s">
        <v>1042</v>
      </c>
      <c r="O56" s="227">
        <f t="shared" si="22"/>
        <v>326254.8309620095</v>
      </c>
      <c r="P56" s="152">
        <f t="shared" si="23"/>
        <v>482258.17496200965</v>
      </c>
    </row>
    <row r="57" spans="1:16" x14ac:dyDescent="0.15">
      <c r="A57" s="154"/>
      <c r="B57" s="151"/>
      <c r="C57" s="152"/>
      <c r="D57" s="155" t="s">
        <v>1022</v>
      </c>
      <c r="E57" s="154" t="s">
        <v>72</v>
      </c>
      <c r="F57" s="157" t="s">
        <v>1043</v>
      </c>
      <c r="G57" s="154"/>
      <c r="H57" s="152">
        <v>155973.32999999999</v>
      </c>
      <c r="I57" s="155" t="s">
        <v>1022</v>
      </c>
      <c r="J57" s="152">
        <v>336.1</v>
      </c>
      <c r="K57" s="157" t="s">
        <v>1042</v>
      </c>
      <c r="L57" s="154" t="s">
        <v>1059</v>
      </c>
      <c r="M57" s="227">
        <v>71661.789999999994</v>
      </c>
      <c r="N57" s="157" t="s">
        <v>1042</v>
      </c>
      <c r="O57" s="227">
        <f t="shared" si="22"/>
        <v>254256.94096200954</v>
      </c>
      <c r="P57" s="152">
        <f t="shared" si="23"/>
        <v>566233.6149620096</v>
      </c>
    </row>
    <row r="58" spans="1:16" x14ac:dyDescent="0.15">
      <c r="A58" s="154"/>
      <c r="B58" s="151"/>
      <c r="C58" s="152"/>
      <c r="D58" s="155" t="s">
        <v>1022</v>
      </c>
      <c r="E58" s="154" t="s">
        <v>72</v>
      </c>
      <c r="F58" s="157" t="s">
        <v>1044</v>
      </c>
      <c r="G58" s="154"/>
      <c r="H58" s="152">
        <v>80070.864000000001</v>
      </c>
      <c r="I58" s="155" t="s">
        <v>1022</v>
      </c>
      <c r="J58" s="152"/>
      <c r="K58" s="157"/>
      <c r="L58" s="154" t="s">
        <v>1059</v>
      </c>
      <c r="M58" s="227">
        <v>79894.3</v>
      </c>
      <c r="N58" s="157" t="s">
        <v>1042</v>
      </c>
      <c r="O58" s="227">
        <f t="shared" si="22"/>
        <v>174362.64096200955</v>
      </c>
      <c r="P58" s="152">
        <f t="shared" si="23"/>
        <v>566410.17896200949</v>
      </c>
    </row>
    <row r="59" spans="1:16" x14ac:dyDescent="0.15">
      <c r="A59" s="154"/>
      <c r="B59" s="151"/>
      <c r="C59" s="152"/>
      <c r="D59" s="155" t="s">
        <v>1023</v>
      </c>
      <c r="E59" s="154" t="s">
        <v>72</v>
      </c>
      <c r="F59" s="157" t="s">
        <v>1044</v>
      </c>
      <c r="G59" s="154"/>
      <c r="H59" s="152">
        <v>199978.103</v>
      </c>
      <c r="I59" s="155" t="s">
        <v>1023</v>
      </c>
      <c r="J59" s="152"/>
      <c r="K59" s="154"/>
      <c r="L59" s="154" t="s">
        <v>1059</v>
      </c>
      <c r="M59" s="227">
        <v>74582.17</v>
      </c>
      <c r="N59" s="157" t="s">
        <v>1042</v>
      </c>
      <c r="O59" s="227">
        <f t="shared" si="22"/>
        <v>99780.470962009553</v>
      </c>
      <c r="P59" s="152">
        <f t="shared" si="23"/>
        <v>691806.11196200945</v>
      </c>
    </row>
    <row r="60" spans="1:16" x14ac:dyDescent="0.15">
      <c r="A60" s="154"/>
      <c r="B60" s="151"/>
      <c r="C60" s="152"/>
      <c r="D60" s="155"/>
      <c r="E60" s="154"/>
      <c r="F60" s="157"/>
      <c r="G60" s="154"/>
      <c r="H60" s="152"/>
      <c r="I60" s="155" t="s">
        <v>1023</v>
      </c>
      <c r="J60" s="152"/>
      <c r="K60" s="154"/>
      <c r="L60" s="154" t="s">
        <v>1059</v>
      </c>
      <c r="M60" s="227">
        <v>77714.240000000005</v>
      </c>
      <c r="N60" s="157" t="s">
        <v>1042</v>
      </c>
      <c r="O60" s="227">
        <f t="shared" si="2"/>
        <v>22066.230962009548</v>
      </c>
      <c r="P60" s="152">
        <f t="shared" si="3"/>
        <v>614091.87196200946</v>
      </c>
    </row>
    <row r="61" spans="1:16" x14ac:dyDescent="0.15">
      <c r="A61" s="154"/>
      <c r="B61" s="151"/>
      <c r="C61" s="152"/>
      <c r="D61" s="155" t="s">
        <v>1024</v>
      </c>
      <c r="E61" s="154" t="s">
        <v>72</v>
      </c>
      <c r="F61" s="157" t="s">
        <v>1044</v>
      </c>
      <c r="G61" s="154"/>
      <c r="H61" s="152">
        <v>35992.803</v>
      </c>
      <c r="I61" s="155" t="s">
        <v>1024</v>
      </c>
      <c r="J61" s="152">
        <v>1329.65</v>
      </c>
      <c r="K61" s="157" t="s">
        <v>1042</v>
      </c>
      <c r="L61" s="154" t="s">
        <v>1059</v>
      </c>
      <c r="M61" s="227">
        <v>20736.580999999998</v>
      </c>
      <c r="N61" s="157" t="s">
        <v>1042</v>
      </c>
      <c r="O61" s="227">
        <f t="shared" ref="O61:O64" si="24">+O60-J61-M61</f>
        <v>-3.7990452256053686E-5</v>
      </c>
      <c r="P61" s="152">
        <f t="shared" ref="P61:P64" si="25">P60+H61-J61-M61</f>
        <v>628018.44396200939</v>
      </c>
    </row>
    <row r="62" spans="1:16" x14ac:dyDescent="0.15">
      <c r="A62" s="154"/>
      <c r="B62" s="151"/>
      <c r="C62" s="152"/>
      <c r="D62" s="155" t="s">
        <v>1024</v>
      </c>
      <c r="E62" s="154" t="s">
        <v>72</v>
      </c>
      <c r="F62" s="157" t="s">
        <v>1045</v>
      </c>
      <c r="G62" s="154"/>
      <c r="H62" s="152">
        <v>60010.849000000002</v>
      </c>
      <c r="I62" s="155" t="s">
        <v>1024</v>
      </c>
      <c r="J62" s="152"/>
      <c r="K62" s="157"/>
      <c r="L62" s="154" t="s">
        <v>1059</v>
      </c>
      <c r="M62" s="227">
        <v>26712.899000000001</v>
      </c>
      <c r="N62" s="157" t="s">
        <v>1043</v>
      </c>
      <c r="O62" s="227">
        <f>H54+H57+O61-J62-M62</f>
        <v>285263.77496200957</v>
      </c>
      <c r="P62" s="152">
        <f t="shared" si="25"/>
        <v>661316.39396200946</v>
      </c>
    </row>
    <row r="63" spans="1:16" x14ac:dyDescent="0.15">
      <c r="A63" s="154"/>
      <c r="B63" s="151"/>
      <c r="C63" s="152"/>
      <c r="D63" s="155"/>
      <c r="E63" s="154"/>
      <c r="F63" s="157"/>
      <c r="G63" s="154"/>
      <c r="H63" s="152"/>
      <c r="I63" s="155" t="s">
        <v>1024</v>
      </c>
      <c r="J63" s="152"/>
      <c r="K63" s="154"/>
      <c r="L63" s="154" t="s">
        <v>1059</v>
      </c>
      <c r="M63" s="227">
        <v>73630.22</v>
      </c>
      <c r="N63" s="157" t="s">
        <v>1043</v>
      </c>
      <c r="O63" s="227">
        <f t="shared" si="24"/>
        <v>211633.55496200957</v>
      </c>
      <c r="P63" s="152">
        <f t="shared" si="25"/>
        <v>587686.17396200949</v>
      </c>
    </row>
    <row r="64" spans="1:16" x14ac:dyDescent="0.15">
      <c r="A64" s="154"/>
      <c r="B64" s="151"/>
      <c r="C64" s="152"/>
      <c r="D64" s="155"/>
      <c r="E64" s="154"/>
      <c r="F64" s="157"/>
      <c r="G64" s="154"/>
      <c r="H64" s="152"/>
      <c r="I64" s="155" t="s">
        <v>1024</v>
      </c>
      <c r="J64" s="152"/>
      <c r="K64" s="154"/>
      <c r="L64" s="154" t="s">
        <v>1059</v>
      </c>
      <c r="M64" s="227">
        <v>86924.77</v>
      </c>
      <c r="N64" s="157" t="s">
        <v>1043</v>
      </c>
      <c r="O64" s="227">
        <f t="shared" si="24"/>
        <v>124708.78496200957</v>
      </c>
      <c r="P64" s="152">
        <f t="shared" si="25"/>
        <v>500761.40396200947</v>
      </c>
    </row>
    <row r="65" spans="1:16" x14ac:dyDescent="0.15">
      <c r="A65" s="154"/>
      <c r="B65" s="151"/>
      <c r="C65" s="152"/>
      <c r="D65" s="155"/>
      <c r="E65" s="154"/>
      <c r="F65" s="157"/>
      <c r="G65" s="154"/>
      <c r="H65" s="152"/>
      <c r="I65" s="155" t="s">
        <v>1025</v>
      </c>
      <c r="J65" s="152">
        <v>1709.74</v>
      </c>
      <c r="K65" s="157" t="s">
        <v>1043</v>
      </c>
      <c r="L65" s="154"/>
      <c r="M65" s="227"/>
      <c r="N65" s="157"/>
      <c r="O65" s="227">
        <f t="shared" si="2"/>
        <v>122999.04496200956</v>
      </c>
      <c r="P65" s="152">
        <f t="shared" si="3"/>
        <v>499051.66396200948</v>
      </c>
    </row>
    <row r="66" spans="1:16" x14ac:dyDescent="0.15">
      <c r="A66" s="154"/>
      <c r="B66" s="151"/>
      <c r="C66" s="152"/>
      <c r="D66" s="155" t="s">
        <v>1026</v>
      </c>
      <c r="E66" s="154" t="s">
        <v>72</v>
      </c>
      <c r="F66" s="157" t="s">
        <v>1045</v>
      </c>
      <c r="G66" s="154"/>
      <c r="H66" s="152">
        <v>79961.474000000002</v>
      </c>
      <c r="I66" s="155" t="s">
        <v>1026</v>
      </c>
      <c r="J66" s="152"/>
      <c r="K66" s="154"/>
      <c r="L66" s="154" t="s">
        <v>1059</v>
      </c>
      <c r="M66" s="227">
        <v>74869.22</v>
      </c>
      <c r="N66" s="157" t="s">
        <v>1043</v>
      </c>
      <c r="O66" s="227">
        <f t="shared" si="2"/>
        <v>48129.824962009559</v>
      </c>
      <c r="P66" s="152">
        <f t="shared" si="3"/>
        <v>504143.91796200955</v>
      </c>
    </row>
    <row r="67" spans="1:16" x14ac:dyDescent="0.15">
      <c r="A67" s="154"/>
      <c r="B67" s="151"/>
      <c r="C67" s="152"/>
      <c r="D67" s="155" t="s">
        <v>1027</v>
      </c>
      <c r="E67" s="154" t="s">
        <v>72</v>
      </c>
      <c r="F67" s="157" t="s">
        <v>1045</v>
      </c>
      <c r="G67" s="154"/>
      <c r="H67" s="152">
        <v>119991.079</v>
      </c>
      <c r="I67" s="155" t="s">
        <v>1027</v>
      </c>
      <c r="J67" s="152"/>
      <c r="K67" s="154"/>
      <c r="L67" s="154" t="s">
        <v>1059</v>
      </c>
      <c r="M67" s="227">
        <v>48129.824999999997</v>
      </c>
      <c r="N67" s="157" t="s">
        <v>1043</v>
      </c>
      <c r="O67" s="227">
        <f t="shared" ref="O67:O70" si="26">+O66-J67-M67</f>
        <v>-3.7990437704138458E-5</v>
      </c>
      <c r="P67" s="152">
        <f t="shared" ref="P67:P70" si="27">P66+H67-J67-M67</f>
        <v>576005.17196200963</v>
      </c>
    </row>
    <row r="68" spans="1:16" x14ac:dyDescent="0.15">
      <c r="A68" s="154"/>
      <c r="B68" s="151"/>
      <c r="C68" s="152"/>
      <c r="D68" s="155"/>
      <c r="E68" s="154"/>
      <c r="F68" s="157"/>
      <c r="G68" s="154"/>
      <c r="H68" s="152"/>
      <c r="I68" s="155" t="s">
        <v>1027</v>
      </c>
      <c r="J68" s="152"/>
      <c r="K68" s="154"/>
      <c r="L68" s="154" t="s">
        <v>1060</v>
      </c>
      <c r="M68" s="227">
        <v>31726.665000000001</v>
      </c>
      <c r="N68" s="157" t="s">
        <v>1044</v>
      </c>
      <c r="O68" s="227">
        <f>H58+H59+H61+O67-J68-M68</f>
        <v>284315.10496200959</v>
      </c>
      <c r="P68" s="152">
        <f t="shared" si="27"/>
        <v>544278.50696200959</v>
      </c>
    </row>
    <row r="69" spans="1:16" x14ac:dyDescent="0.15">
      <c r="A69" s="154"/>
      <c r="B69" s="151"/>
      <c r="C69" s="152"/>
      <c r="D69" s="155"/>
      <c r="E69" s="154"/>
      <c r="F69" s="157"/>
      <c r="G69" s="154"/>
      <c r="H69" s="152"/>
      <c r="I69" s="155" t="s">
        <v>1027</v>
      </c>
      <c r="J69" s="152"/>
      <c r="K69" s="154"/>
      <c r="L69" s="154" t="s">
        <v>1060</v>
      </c>
      <c r="M69" s="227">
        <v>84881.09</v>
      </c>
      <c r="N69" s="157" t="s">
        <v>1044</v>
      </c>
      <c r="O69" s="227">
        <f t="shared" si="26"/>
        <v>199434.01496200959</v>
      </c>
      <c r="P69" s="152">
        <f t="shared" si="27"/>
        <v>459397.41696200962</v>
      </c>
    </row>
    <row r="70" spans="1:16" x14ac:dyDescent="0.15">
      <c r="A70" s="154"/>
      <c r="B70" s="151"/>
      <c r="C70" s="152"/>
      <c r="D70" s="155" t="s">
        <v>1028</v>
      </c>
      <c r="E70" s="154" t="s">
        <v>72</v>
      </c>
      <c r="F70" s="157" t="s">
        <v>1045</v>
      </c>
      <c r="G70" s="154"/>
      <c r="H70" s="152">
        <v>155858.66399999999</v>
      </c>
      <c r="I70" s="155" t="s">
        <v>1028</v>
      </c>
      <c r="J70" s="152"/>
      <c r="K70" s="154"/>
      <c r="L70" s="154" t="s">
        <v>1060</v>
      </c>
      <c r="M70" s="227">
        <v>1685.63</v>
      </c>
      <c r="N70" s="157" t="s">
        <v>1044</v>
      </c>
      <c r="O70" s="227">
        <f t="shared" si="26"/>
        <v>197748.38496200959</v>
      </c>
      <c r="P70" s="152">
        <f t="shared" si="27"/>
        <v>613570.45096200961</v>
      </c>
    </row>
    <row r="71" spans="1:16" x14ac:dyDescent="0.15">
      <c r="A71" s="154"/>
      <c r="B71" s="151"/>
      <c r="C71" s="152"/>
      <c r="D71" s="155" t="s">
        <v>1029</v>
      </c>
      <c r="E71" s="154" t="s">
        <v>72</v>
      </c>
      <c r="F71" s="157" t="s">
        <v>1047</v>
      </c>
      <c r="G71" s="154"/>
      <c r="H71" s="152">
        <v>159891.71599999999</v>
      </c>
      <c r="I71" s="155" t="s">
        <v>1029</v>
      </c>
      <c r="J71" s="152">
        <v>3657.03</v>
      </c>
      <c r="K71" s="157" t="s">
        <v>1044</v>
      </c>
      <c r="L71" s="154" t="s">
        <v>1060</v>
      </c>
      <c r="M71" s="227">
        <v>70270.11</v>
      </c>
      <c r="N71" s="157" t="s">
        <v>1044</v>
      </c>
      <c r="O71" s="227">
        <f t="shared" si="2"/>
        <v>123821.24496200959</v>
      </c>
      <c r="P71" s="152">
        <f t="shared" si="3"/>
        <v>699535.02696200961</v>
      </c>
    </row>
    <row r="72" spans="1:16" x14ac:dyDescent="0.15">
      <c r="A72" s="154"/>
      <c r="B72" s="151"/>
      <c r="C72" s="152"/>
      <c r="D72" s="155"/>
      <c r="E72" s="154"/>
      <c r="F72" s="157"/>
      <c r="G72" s="154"/>
      <c r="H72" s="152"/>
      <c r="I72" s="155" t="s">
        <v>1029</v>
      </c>
      <c r="J72" s="152"/>
      <c r="K72" s="154"/>
      <c r="L72" s="154" t="s">
        <v>1060</v>
      </c>
      <c r="M72" s="227">
        <v>79497</v>
      </c>
      <c r="N72" s="157" t="s">
        <v>1044</v>
      </c>
      <c r="O72" s="227">
        <f t="shared" si="2"/>
        <v>44324.244962009587</v>
      </c>
      <c r="P72" s="152">
        <f t="shared" si="3"/>
        <v>620038.02696200961</v>
      </c>
    </row>
    <row r="73" spans="1:16" x14ac:dyDescent="0.15">
      <c r="A73" s="154"/>
      <c r="B73" s="151"/>
      <c r="C73" s="152"/>
      <c r="D73" s="155"/>
      <c r="E73" s="154"/>
      <c r="F73" s="157"/>
      <c r="G73" s="154"/>
      <c r="H73" s="152"/>
      <c r="I73" s="155" t="s">
        <v>1030</v>
      </c>
      <c r="J73" s="152">
        <v>427.65</v>
      </c>
      <c r="K73" s="157" t="s">
        <v>1044</v>
      </c>
      <c r="L73" s="154" t="s">
        <v>1060</v>
      </c>
      <c r="M73" s="227">
        <v>43896.595000000001</v>
      </c>
      <c r="N73" s="157" t="s">
        <v>1044</v>
      </c>
      <c r="O73" s="227">
        <f t="shared" si="2"/>
        <v>-3.7990415876265615E-5</v>
      </c>
      <c r="P73" s="152">
        <f t="shared" si="3"/>
        <v>575713.78196200961</v>
      </c>
    </row>
    <row r="74" spans="1:16" x14ac:dyDescent="0.15">
      <c r="A74" s="154"/>
      <c r="B74" s="151"/>
      <c r="C74" s="152"/>
      <c r="D74" s="155"/>
      <c r="E74" s="154"/>
      <c r="F74" s="157"/>
      <c r="G74" s="154"/>
      <c r="H74" s="152"/>
      <c r="I74" s="155" t="s">
        <v>1030</v>
      </c>
      <c r="J74" s="152"/>
      <c r="K74" s="154"/>
      <c r="L74" s="154" t="s">
        <v>1059</v>
      </c>
      <c r="M74" s="227">
        <v>34897.404999999999</v>
      </c>
      <c r="N74" s="157" t="s">
        <v>1045</v>
      </c>
      <c r="O74" s="227">
        <f>H62+H66+H67+H70+O73-J74-M74</f>
        <v>380924.66096200957</v>
      </c>
      <c r="P74" s="152">
        <f t="shared" ref="P74:P78" si="28">P73+H74-J74-M74</f>
        <v>540816.37696200958</v>
      </c>
    </row>
    <row r="75" spans="1:16" x14ac:dyDescent="0.15">
      <c r="A75" s="154"/>
      <c r="B75" s="151"/>
      <c r="C75" s="152"/>
      <c r="D75" s="155"/>
      <c r="E75" s="154"/>
      <c r="F75" s="157"/>
      <c r="G75" s="154"/>
      <c r="H75" s="152"/>
      <c r="I75" s="155" t="s">
        <v>1030</v>
      </c>
      <c r="J75" s="152"/>
      <c r="K75" s="154"/>
      <c r="L75" s="154" t="s">
        <v>1059</v>
      </c>
      <c r="M75" s="227">
        <v>1211.02</v>
      </c>
      <c r="N75" s="157" t="s">
        <v>1045</v>
      </c>
      <c r="O75" s="227">
        <f t="shared" ref="O75:O78" si="29">+O74-J75-M75</f>
        <v>379713.64096200955</v>
      </c>
      <c r="P75" s="152">
        <f t="shared" si="28"/>
        <v>539605.35696200957</v>
      </c>
    </row>
    <row r="76" spans="1:16" x14ac:dyDescent="0.15">
      <c r="A76" s="154"/>
      <c r="B76" s="151"/>
      <c r="C76" s="152"/>
      <c r="D76" s="155" t="s">
        <v>1031</v>
      </c>
      <c r="E76" s="154" t="s">
        <v>72</v>
      </c>
      <c r="F76" s="157" t="s">
        <v>1046</v>
      </c>
      <c r="G76" s="154"/>
      <c r="H76" s="152">
        <v>175975.56700000001</v>
      </c>
      <c r="I76" s="155" t="s">
        <v>1031</v>
      </c>
      <c r="J76" s="152"/>
      <c r="K76" s="154"/>
      <c r="L76" s="154" t="s">
        <v>1059</v>
      </c>
      <c r="M76" s="227">
        <v>77238.05</v>
      </c>
      <c r="N76" s="157" t="s">
        <v>1045</v>
      </c>
      <c r="O76" s="227">
        <f t="shared" si="29"/>
        <v>302475.59096200956</v>
      </c>
      <c r="P76" s="152">
        <f t="shared" si="28"/>
        <v>638342.87396200956</v>
      </c>
    </row>
    <row r="77" spans="1:16" x14ac:dyDescent="0.15">
      <c r="A77" s="154"/>
      <c r="B77" s="151"/>
      <c r="C77" s="152"/>
      <c r="D77" s="155"/>
      <c r="E77" s="154"/>
      <c r="F77" s="157"/>
      <c r="G77" s="154"/>
      <c r="H77" s="152"/>
      <c r="I77" s="155" t="s">
        <v>1031</v>
      </c>
      <c r="J77" s="152"/>
      <c r="K77" s="157"/>
      <c r="L77" s="154" t="s">
        <v>1059</v>
      </c>
      <c r="M77" s="227">
        <v>88210.46</v>
      </c>
      <c r="N77" s="157" t="s">
        <v>1045</v>
      </c>
      <c r="O77" s="227">
        <f t="shared" si="29"/>
        <v>214265.13096200954</v>
      </c>
      <c r="P77" s="152">
        <f t="shared" si="28"/>
        <v>550132.4139620096</v>
      </c>
    </row>
    <row r="78" spans="1:16" x14ac:dyDescent="0.15">
      <c r="A78" s="154"/>
      <c r="B78" s="151"/>
      <c r="C78" s="152"/>
      <c r="D78" s="155"/>
      <c r="E78" s="154"/>
      <c r="F78" s="157"/>
      <c r="G78" s="154"/>
      <c r="H78" s="152"/>
      <c r="I78" s="155" t="s">
        <v>1031</v>
      </c>
      <c r="J78" s="152"/>
      <c r="K78" s="154"/>
      <c r="L78" s="154" t="s">
        <v>1059</v>
      </c>
      <c r="M78" s="227">
        <v>44340.99</v>
      </c>
      <c r="N78" s="157" t="s">
        <v>1045</v>
      </c>
      <c r="O78" s="227">
        <f t="shared" si="29"/>
        <v>169924.14096200955</v>
      </c>
      <c r="P78" s="152">
        <f t="shared" si="28"/>
        <v>505791.42396200961</v>
      </c>
    </row>
    <row r="79" spans="1:16" x14ac:dyDescent="0.15">
      <c r="A79" s="154"/>
      <c r="B79" s="151"/>
      <c r="C79" s="152"/>
      <c r="D79" s="155" t="s">
        <v>1035</v>
      </c>
      <c r="E79" s="154" t="s">
        <v>72</v>
      </c>
      <c r="F79" s="157" t="s">
        <v>1046</v>
      </c>
      <c r="G79" s="154"/>
      <c r="H79" s="152">
        <v>115944.842</v>
      </c>
      <c r="I79" s="155" t="s">
        <v>1035</v>
      </c>
      <c r="J79" s="152"/>
      <c r="K79" s="154"/>
      <c r="L79" s="154"/>
      <c r="M79" s="227"/>
      <c r="N79" s="157"/>
      <c r="O79" s="227">
        <f t="shared" si="2"/>
        <v>169924.14096200955</v>
      </c>
      <c r="P79" s="152">
        <f t="shared" si="3"/>
        <v>621736.26596200955</v>
      </c>
    </row>
    <row r="80" spans="1:16" x14ac:dyDescent="0.15">
      <c r="A80" s="154"/>
      <c r="B80" s="151"/>
      <c r="C80" s="152"/>
      <c r="D80" s="155" t="s">
        <v>1032</v>
      </c>
      <c r="E80" s="154" t="s">
        <v>72</v>
      </c>
      <c r="F80" s="157" t="s">
        <v>1046</v>
      </c>
      <c r="G80" s="154"/>
      <c r="H80" s="152">
        <v>79961.979000000007</v>
      </c>
      <c r="I80" s="155" t="s">
        <v>1032</v>
      </c>
      <c r="J80" s="152"/>
      <c r="K80" s="154"/>
      <c r="L80" s="154" t="s">
        <v>1059</v>
      </c>
      <c r="M80" s="227">
        <v>79181.45</v>
      </c>
      <c r="N80" s="157" t="s">
        <v>1045</v>
      </c>
      <c r="O80" s="227">
        <f t="shared" si="2"/>
        <v>90742.690962009554</v>
      </c>
      <c r="P80" s="152">
        <f t="shared" si="3"/>
        <v>622516.79496200965</v>
      </c>
    </row>
    <row r="81" spans="1:16" x14ac:dyDescent="0.15">
      <c r="A81" s="154"/>
      <c r="B81" s="151"/>
      <c r="C81" s="152"/>
      <c r="D81" s="155" t="s">
        <v>1032</v>
      </c>
      <c r="E81" s="154" t="s">
        <v>72</v>
      </c>
      <c r="F81" s="157" t="s">
        <v>1048</v>
      </c>
      <c r="G81" s="154"/>
      <c r="H81" s="152">
        <v>79953.555999999997</v>
      </c>
      <c r="I81" s="155" t="s">
        <v>1032</v>
      </c>
      <c r="J81" s="152"/>
      <c r="K81" s="154"/>
      <c r="L81" s="154" t="s">
        <v>1059</v>
      </c>
      <c r="M81" s="227">
        <v>90742.691000000006</v>
      </c>
      <c r="N81" s="157" t="s">
        <v>1045</v>
      </c>
      <c r="O81" s="227">
        <f t="shared" si="2"/>
        <v>-3.7990452256053686E-5</v>
      </c>
      <c r="P81" s="152">
        <f t="shared" si="3"/>
        <v>611727.65996200964</v>
      </c>
    </row>
    <row r="82" spans="1:16" x14ac:dyDescent="0.15">
      <c r="A82" s="154"/>
      <c r="B82" s="151"/>
      <c r="C82" s="152"/>
      <c r="D82" s="155"/>
      <c r="E82" s="154"/>
      <c r="F82" s="157"/>
      <c r="G82" s="154"/>
      <c r="H82" s="152"/>
      <c r="I82" s="155" t="s">
        <v>1032</v>
      </c>
      <c r="J82" s="152"/>
      <c r="K82" s="154"/>
      <c r="L82" s="154" t="s">
        <v>1059</v>
      </c>
      <c r="M82" s="227">
        <v>1865.6690000000001</v>
      </c>
      <c r="N82" s="157" t="s">
        <v>1047</v>
      </c>
      <c r="O82" s="227">
        <f>H71+O81-J82-M82</f>
        <v>158026.04696200954</v>
      </c>
      <c r="P82" s="152">
        <f t="shared" si="3"/>
        <v>609861.99096200964</v>
      </c>
    </row>
    <row r="83" spans="1:16" hidden="1" x14ac:dyDescent="0.15">
      <c r="A83" s="154"/>
      <c r="B83" s="151"/>
      <c r="C83" s="152"/>
      <c r="D83" s="155"/>
      <c r="E83" s="154"/>
      <c r="F83" s="157"/>
      <c r="G83" s="154"/>
      <c r="H83" s="152"/>
      <c r="I83" s="155"/>
      <c r="J83" s="152"/>
      <c r="K83" s="154"/>
      <c r="L83" s="154"/>
      <c r="M83" s="227"/>
      <c r="N83" s="157"/>
      <c r="O83" s="227">
        <f t="shared" si="2"/>
        <v>158026.04696200954</v>
      </c>
      <c r="P83" s="152">
        <f t="shared" si="3"/>
        <v>609861.99096200964</v>
      </c>
    </row>
    <row r="84" spans="1:16" hidden="1" x14ac:dyDescent="0.15">
      <c r="A84" s="154"/>
      <c r="B84" s="151"/>
      <c r="C84" s="152"/>
      <c r="D84" s="155"/>
      <c r="E84" s="154"/>
      <c r="F84" s="157"/>
      <c r="G84" s="154"/>
      <c r="H84" s="152"/>
      <c r="I84" s="155"/>
      <c r="J84" s="152"/>
      <c r="K84" s="154"/>
      <c r="L84" s="154"/>
      <c r="M84" s="227"/>
      <c r="N84" s="157"/>
      <c r="O84" s="227">
        <f t="shared" ref="O84:O92" si="30">+O83-J84-M84</f>
        <v>158026.04696200954</v>
      </c>
      <c r="P84" s="152">
        <f t="shared" ref="P84:P92" si="31">P83+H84-J84-M84</f>
        <v>609861.99096200964</v>
      </c>
    </row>
    <row r="85" spans="1:16" hidden="1" x14ac:dyDescent="0.15">
      <c r="A85" s="154"/>
      <c r="B85" s="151"/>
      <c r="C85" s="152"/>
      <c r="D85" s="155"/>
      <c r="E85" s="154"/>
      <c r="F85" s="157"/>
      <c r="G85" s="154"/>
      <c r="H85" s="152"/>
      <c r="I85" s="155"/>
      <c r="J85" s="152"/>
      <c r="K85" s="154"/>
      <c r="L85" s="154"/>
      <c r="M85" s="227"/>
      <c r="N85" s="157"/>
      <c r="O85" s="227">
        <f t="shared" si="30"/>
        <v>158026.04696200954</v>
      </c>
      <c r="P85" s="152">
        <f t="shared" si="31"/>
        <v>609861.99096200964</v>
      </c>
    </row>
    <row r="86" spans="1:16" hidden="1" x14ac:dyDescent="0.15">
      <c r="A86" s="154"/>
      <c r="B86" s="151"/>
      <c r="C86" s="152"/>
      <c r="D86" s="155"/>
      <c r="E86" s="154"/>
      <c r="F86" s="157"/>
      <c r="G86" s="154"/>
      <c r="H86" s="152"/>
      <c r="I86" s="155"/>
      <c r="J86" s="152"/>
      <c r="K86" s="157"/>
      <c r="L86" s="154"/>
      <c r="M86" s="227"/>
      <c r="N86" s="157"/>
      <c r="O86" s="227">
        <f t="shared" si="30"/>
        <v>158026.04696200954</v>
      </c>
      <c r="P86" s="152">
        <f t="shared" si="31"/>
        <v>609861.99096200964</v>
      </c>
    </row>
    <row r="87" spans="1:16" hidden="1" x14ac:dyDescent="0.15">
      <c r="A87" s="154"/>
      <c r="B87" s="151"/>
      <c r="C87" s="152"/>
      <c r="D87" s="155"/>
      <c r="E87" s="154"/>
      <c r="F87" s="157"/>
      <c r="G87" s="154"/>
      <c r="H87" s="152"/>
      <c r="I87" s="155"/>
      <c r="J87" s="152"/>
      <c r="K87" s="157"/>
      <c r="L87" s="154"/>
      <c r="M87" s="227"/>
      <c r="N87" s="157"/>
      <c r="O87" s="227">
        <f t="shared" si="30"/>
        <v>158026.04696200954</v>
      </c>
      <c r="P87" s="152">
        <f t="shared" si="31"/>
        <v>609861.99096200964</v>
      </c>
    </row>
    <row r="88" spans="1:16" hidden="1" x14ac:dyDescent="0.15">
      <c r="A88" s="154"/>
      <c r="B88" s="151"/>
      <c r="C88" s="152"/>
      <c r="D88" s="155"/>
      <c r="E88" s="154"/>
      <c r="F88" s="157"/>
      <c r="G88" s="154"/>
      <c r="H88" s="152"/>
      <c r="I88" s="155"/>
      <c r="J88" s="152"/>
      <c r="K88" s="154"/>
      <c r="L88" s="154"/>
      <c r="M88" s="227"/>
      <c r="N88" s="157"/>
      <c r="O88" s="227">
        <f t="shared" si="30"/>
        <v>158026.04696200954</v>
      </c>
      <c r="P88" s="152">
        <f t="shared" si="31"/>
        <v>609861.99096200964</v>
      </c>
    </row>
    <row r="89" spans="1:16" hidden="1" x14ac:dyDescent="0.15">
      <c r="A89" s="154"/>
      <c r="B89" s="151"/>
      <c r="C89" s="152"/>
      <c r="D89" s="155"/>
      <c r="E89" s="154"/>
      <c r="F89" s="157"/>
      <c r="G89" s="154"/>
      <c r="H89" s="152"/>
      <c r="I89" s="155"/>
      <c r="J89" s="152"/>
      <c r="K89" s="157"/>
      <c r="L89" s="154"/>
      <c r="M89" s="227"/>
      <c r="N89" s="157"/>
      <c r="O89" s="227">
        <f t="shared" si="30"/>
        <v>158026.04696200954</v>
      </c>
      <c r="P89" s="152">
        <f t="shared" si="31"/>
        <v>609861.99096200964</v>
      </c>
    </row>
    <row r="90" spans="1:16" hidden="1" x14ac:dyDescent="0.15">
      <c r="A90" s="154"/>
      <c r="B90" s="151"/>
      <c r="C90" s="152"/>
      <c r="D90" s="155"/>
      <c r="E90" s="154"/>
      <c r="F90" s="157"/>
      <c r="G90" s="151"/>
      <c r="H90" s="152"/>
      <c r="I90" s="155"/>
      <c r="J90" s="152"/>
      <c r="K90" s="157"/>
      <c r="L90" s="154"/>
      <c r="M90" s="227"/>
      <c r="N90" s="150"/>
      <c r="O90" s="227">
        <f t="shared" si="30"/>
        <v>158026.04696200954</v>
      </c>
      <c r="P90" s="152">
        <f t="shared" si="31"/>
        <v>609861.99096200964</v>
      </c>
    </row>
    <row r="91" spans="1:16" hidden="1" x14ac:dyDescent="0.15">
      <c r="A91" s="154"/>
      <c r="B91" s="151"/>
      <c r="C91" s="152"/>
      <c r="D91" s="155"/>
      <c r="E91" s="154"/>
      <c r="F91" s="160"/>
      <c r="G91" s="151"/>
      <c r="H91" s="152"/>
      <c r="I91" s="155"/>
      <c r="J91" s="152"/>
      <c r="K91" s="150"/>
      <c r="L91" s="154"/>
      <c r="M91" s="227"/>
      <c r="N91" s="157"/>
      <c r="O91" s="227">
        <f t="shared" si="30"/>
        <v>158026.04696200954</v>
      </c>
      <c r="P91" s="152">
        <f t="shared" si="31"/>
        <v>609861.99096200964</v>
      </c>
    </row>
    <row r="92" spans="1:16" x14ac:dyDescent="0.15">
      <c r="A92" s="173"/>
      <c r="B92" s="173"/>
      <c r="C92" s="174"/>
      <c r="D92" s="175"/>
      <c r="E92" s="173"/>
      <c r="F92" s="173"/>
      <c r="G92" s="176"/>
      <c r="H92" s="174"/>
      <c r="I92" s="175"/>
      <c r="J92" s="174"/>
      <c r="K92" s="173"/>
      <c r="L92" s="154"/>
      <c r="M92" s="228"/>
      <c r="N92" s="173"/>
      <c r="O92" s="227">
        <f t="shared" si="30"/>
        <v>158026.04696200954</v>
      </c>
      <c r="P92" s="152">
        <f t="shared" si="31"/>
        <v>609861.99096200964</v>
      </c>
    </row>
    <row r="93" spans="1:16" x14ac:dyDescent="0.15">
      <c r="A93" s="177"/>
      <c r="B93" s="177"/>
      <c r="C93" s="178">
        <f>SUM(C7:C91)</f>
        <v>647112.60616200953</v>
      </c>
      <c r="D93" s="177"/>
      <c r="E93" s="177"/>
      <c r="F93" s="177"/>
      <c r="G93" s="177"/>
      <c r="H93" s="178">
        <f>SUM(H7:H91)</f>
        <v>3363752.4169999994</v>
      </c>
      <c r="I93" s="179"/>
      <c r="J93" s="178">
        <f>SUM(J7:J91)</f>
        <v>33165.142200000002</v>
      </c>
      <c r="K93" s="177"/>
      <c r="L93" s="177"/>
      <c r="M93" s="229">
        <f>SUM(M9:M91)</f>
        <v>3367837.8900000006</v>
      </c>
      <c r="N93" s="177"/>
      <c r="O93" s="180"/>
      <c r="P93" s="181">
        <f>C93+H93-J93-M93</f>
        <v>609861.99096200848</v>
      </c>
    </row>
    <row r="94" spans="1:16" x14ac:dyDescent="0.15">
      <c r="A94" s="182"/>
      <c r="B94" s="465"/>
      <c r="C94" s="465"/>
      <c r="D94" s="465"/>
      <c r="E94" s="183"/>
      <c r="F94" s="472"/>
      <c r="G94" s="472"/>
      <c r="H94" s="185"/>
      <c r="I94" s="186"/>
      <c r="J94" s="187"/>
      <c r="K94" s="188"/>
      <c r="L94" s="189" t="s">
        <v>139</v>
      </c>
      <c r="M94" s="190">
        <f>+M93+J93</f>
        <v>3401003.0322000007</v>
      </c>
      <c r="N94" s="197"/>
      <c r="O94" s="230">
        <f>+O92</f>
        <v>158026.04696200954</v>
      </c>
      <c r="P94" s="195" t="s">
        <v>1047</v>
      </c>
    </row>
    <row r="95" spans="1:16" x14ac:dyDescent="0.15">
      <c r="A95" s="193"/>
      <c r="B95" s="470"/>
      <c r="C95" s="470"/>
      <c r="D95" s="470"/>
      <c r="E95" s="183"/>
      <c r="F95" s="472"/>
      <c r="G95" s="472"/>
      <c r="H95" s="219"/>
      <c r="I95" s="186"/>
      <c r="J95" s="187"/>
      <c r="K95" s="210"/>
      <c r="L95" s="210"/>
      <c r="O95" s="230">
        <f>+H76+H79+H80</f>
        <v>371882.38799999998</v>
      </c>
      <c r="P95" s="195" t="s">
        <v>1046</v>
      </c>
    </row>
    <row r="96" spans="1:16" x14ac:dyDescent="0.15">
      <c r="A96" s="193" t="s">
        <v>963</v>
      </c>
      <c r="B96" s="252" t="s">
        <v>994</v>
      </c>
      <c r="C96" s="250"/>
      <c r="D96" s="250"/>
      <c r="E96" s="183" t="s">
        <v>55</v>
      </c>
      <c r="F96" s="471">
        <v>2075941.79</v>
      </c>
      <c r="G96" s="471"/>
      <c r="H96" s="219" t="s">
        <v>56</v>
      </c>
      <c r="I96" s="186">
        <v>40941</v>
      </c>
      <c r="J96" s="187" t="s">
        <v>71</v>
      </c>
      <c r="K96" s="210">
        <v>118756.74799999999</v>
      </c>
      <c r="L96" s="210"/>
      <c r="O96" s="230">
        <f>+H81</f>
        <v>79953.555999999997</v>
      </c>
      <c r="P96" s="195" t="s">
        <v>1048</v>
      </c>
    </row>
    <row r="97" spans="1:16" x14ac:dyDescent="0.15">
      <c r="A97" s="193" t="s">
        <v>1037</v>
      </c>
      <c r="B97" s="252" t="s">
        <v>1049</v>
      </c>
      <c r="C97" s="250"/>
      <c r="D97" s="250"/>
      <c r="E97" s="183" t="s">
        <v>55</v>
      </c>
      <c r="F97" s="471">
        <v>2515628.1800000002</v>
      </c>
      <c r="G97" s="471"/>
      <c r="H97" s="219" t="s">
        <v>56</v>
      </c>
      <c r="I97" s="186">
        <v>40949</v>
      </c>
      <c r="J97" s="187" t="s">
        <v>71</v>
      </c>
      <c r="K97" s="210">
        <v>116070.982</v>
      </c>
      <c r="L97" s="210"/>
      <c r="O97" s="230"/>
      <c r="P97" s="195"/>
    </row>
    <row r="98" spans="1:16" x14ac:dyDescent="0.15">
      <c r="A98" s="193" t="s">
        <v>1039</v>
      </c>
      <c r="B98" s="252" t="s">
        <v>1050</v>
      </c>
      <c r="C98" s="250"/>
      <c r="D98" s="250"/>
      <c r="E98" s="183" t="s">
        <v>55</v>
      </c>
      <c r="F98" s="471">
        <v>771558.36</v>
      </c>
      <c r="G98" s="471"/>
      <c r="H98" s="219" t="s">
        <v>56</v>
      </c>
      <c r="I98" s="186">
        <v>40952</v>
      </c>
      <c r="J98" s="187" t="s">
        <v>71</v>
      </c>
      <c r="K98" s="210">
        <v>296462.163</v>
      </c>
      <c r="L98" s="210"/>
      <c r="O98" s="230"/>
      <c r="P98" s="195"/>
    </row>
    <row r="99" spans="1:16" x14ac:dyDescent="0.15">
      <c r="A99" s="193" t="s">
        <v>1041</v>
      </c>
      <c r="B99" s="252" t="s">
        <v>1051</v>
      </c>
      <c r="C99" s="250"/>
      <c r="D99" s="250"/>
      <c r="E99" s="183" t="s">
        <v>55</v>
      </c>
      <c r="F99" s="471">
        <v>2931617.27</v>
      </c>
      <c r="G99" s="471"/>
      <c r="H99" s="219" t="s">
        <v>56</v>
      </c>
      <c r="I99" s="186">
        <v>40953</v>
      </c>
      <c r="J99" s="187" t="s">
        <v>71</v>
      </c>
      <c r="K99" s="210">
        <v>402564.51800000004</v>
      </c>
      <c r="L99" s="210"/>
      <c r="O99" s="230"/>
      <c r="P99" s="195"/>
    </row>
    <row r="100" spans="1:16" x14ac:dyDescent="0.15">
      <c r="A100" s="193" t="s">
        <v>1042</v>
      </c>
      <c r="B100" s="252" t="s">
        <v>1052</v>
      </c>
      <c r="C100" s="250"/>
      <c r="D100" s="250"/>
      <c r="E100" s="183" t="s">
        <v>55</v>
      </c>
      <c r="F100" s="471">
        <v>2220664.5299999998</v>
      </c>
      <c r="G100" s="471"/>
      <c r="H100" s="219" t="s">
        <v>56</v>
      </c>
      <c r="I100" s="186">
        <v>40956</v>
      </c>
      <c r="J100" s="187" t="s">
        <v>71</v>
      </c>
      <c r="K100" s="210">
        <v>330179.11799999996</v>
      </c>
      <c r="L100" s="210"/>
      <c r="O100" s="230"/>
      <c r="P100" s="195"/>
    </row>
    <row r="101" spans="1:16" x14ac:dyDescent="0.15">
      <c r="A101" s="133" t="s">
        <v>1043</v>
      </c>
      <c r="B101" s="256" t="s">
        <v>1066</v>
      </c>
      <c r="C101" s="250"/>
      <c r="D101" s="250"/>
      <c r="E101" s="183" t="s">
        <v>55</v>
      </c>
      <c r="F101" s="471">
        <v>2155116.2999999998</v>
      </c>
      <c r="G101" s="471"/>
      <c r="H101" s="219" t="s">
        <v>56</v>
      </c>
      <c r="I101" s="186">
        <v>20143</v>
      </c>
      <c r="J101" s="187" t="s">
        <v>71</v>
      </c>
      <c r="K101" s="210">
        <v>310266.93400000001</v>
      </c>
      <c r="L101" s="210"/>
      <c r="O101" s="206" t="s">
        <v>33</v>
      </c>
      <c r="P101" s="207">
        <f>SUM(O94:O100)</f>
        <v>609861.99096200953</v>
      </c>
    </row>
    <row r="102" spans="1:16" x14ac:dyDescent="0.15">
      <c r="A102" s="193" t="s">
        <v>1045</v>
      </c>
      <c r="B102" s="252" t="s">
        <v>1053</v>
      </c>
      <c r="C102" s="250"/>
      <c r="D102" s="250"/>
      <c r="E102" s="183" t="s">
        <v>55</v>
      </c>
      <c r="F102" s="471">
        <v>1107949.1399999999</v>
      </c>
      <c r="G102" s="471"/>
      <c r="H102" s="219" t="s">
        <v>56</v>
      </c>
      <c r="I102" s="186">
        <v>40967</v>
      </c>
      <c r="J102" s="187" t="s">
        <v>71</v>
      </c>
      <c r="K102" s="210">
        <v>415822.06599999999</v>
      </c>
      <c r="L102" s="210"/>
      <c r="P102" s="132">
        <f>+P93-P101</f>
        <v>-1.0477378964424133E-9</v>
      </c>
    </row>
    <row r="103" spans="1:16" x14ac:dyDescent="0.15">
      <c r="A103" s="193" t="s">
        <v>1047</v>
      </c>
      <c r="B103" s="252" t="s">
        <v>1054</v>
      </c>
      <c r="C103" s="250"/>
      <c r="D103" s="250"/>
      <c r="E103" s="183" t="s">
        <v>55</v>
      </c>
      <c r="F103" s="471">
        <v>3084561.26</v>
      </c>
      <c r="G103" s="471"/>
      <c r="H103" s="219" t="s">
        <v>56</v>
      </c>
      <c r="I103" s="186">
        <v>40969</v>
      </c>
      <c r="J103" s="187" t="s">
        <v>71</v>
      </c>
      <c r="K103" s="210">
        <v>1865.6690000000001</v>
      </c>
      <c r="L103" s="210"/>
    </row>
    <row r="104" spans="1:16" ht="12" thickBot="1" x14ac:dyDescent="0.2">
      <c r="A104" s="193"/>
      <c r="B104" s="470"/>
      <c r="C104" s="470"/>
      <c r="D104" s="470"/>
      <c r="E104" s="183"/>
      <c r="F104" s="472"/>
      <c r="G104" s="472"/>
      <c r="H104" s="219"/>
      <c r="I104" s="186"/>
      <c r="J104" s="217" t="s">
        <v>856</v>
      </c>
      <c r="K104" s="211">
        <f>SUM(K96:K103)</f>
        <v>1991988.1980000001</v>
      </c>
      <c r="L104" s="210"/>
    </row>
    <row r="105" spans="1:16" ht="12" thickTop="1" x14ac:dyDescent="0.15">
      <c r="A105" s="193" t="s">
        <v>966</v>
      </c>
      <c r="B105" s="252" t="s">
        <v>1055</v>
      </c>
      <c r="C105" s="250"/>
      <c r="D105" s="250"/>
      <c r="E105" s="183" t="s">
        <v>55</v>
      </c>
      <c r="F105" s="471">
        <v>4171133.85</v>
      </c>
      <c r="G105" s="471"/>
      <c r="H105" s="219" t="s">
        <v>56</v>
      </c>
      <c r="I105" s="186">
        <v>40945</v>
      </c>
      <c r="J105" s="187" t="s">
        <v>71</v>
      </c>
      <c r="K105" s="210">
        <v>120153.41899999999</v>
      </c>
      <c r="L105" s="210"/>
    </row>
    <row r="106" spans="1:16" x14ac:dyDescent="0.15">
      <c r="A106" s="133" t="s">
        <v>1036</v>
      </c>
      <c r="B106" s="252" t="s">
        <v>1056</v>
      </c>
      <c r="C106" s="250"/>
      <c r="D106" s="250"/>
      <c r="E106" s="183" t="s">
        <v>55</v>
      </c>
      <c r="F106" s="471">
        <v>14131815.779999999</v>
      </c>
      <c r="G106" s="471"/>
      <c r="H106" s="219" t="s">
        <v>56</v>
      </c>
      <c r="I106" s="186">
        <v>40946</v>
      </c>
      <c r="J106" s="187" t="s">
        <v>71</v>
      </c>
      <c r="K106" s="210">
        <v>36019.989000000001</v>
      </c>
      <c r="L106" s="210"/>
    </row>
    <row r="107" spans="1:16" s="132" customFormat="1" x14ac:dyDescent="0.15">
      <c r="A107" s="133" t="s">
        <v>1040</v>
      </c>
      <c r="B107" s="252" t="s">
        <v>1057</v>
      </c>
      <c r="C107" s="250"/>
      <c r="D107" s="250"/>
      <c r="E107" s="183" t="s">
        <v>55</v>
      </c>
      <c r="F107" s="471">
        <v>18927889.84</v>
      </c>
      <c r="G107" s="471"/>
      <c r="H107" s="219" t="s">
        <v>56</v>
      </c>
      <c r="I107" s="186">
        <v>40952</v>
      </c>
      <c r="J107" s="187" t="s">
        <v>71</v>
      </c>
      <c r="K107" s="210">
        <v>346297.82299999997</v>
      </c>
      <c r="L107" s="210"/>
      <c r="N107" s="134"/>
    </row>
    <row r="108" spans="1:16" s="132" customFormat="1" ht="12" thickBot="1" x14ac:dyDescent="0.2">
      <c r="A108" s="133"/>
      <c r="B108" s="250"/>
      <c r="C108" s="250"/>
      <c r="D108" s="250"/>
      <c r="E108" s="183"/>
      <c r="F108" s="251"/>
      <c r="G108" s="251"/>
      <c r="H108" s="219"/>
      <c r="I108" s="186"/>
      <c r="J108" s="217" t="s">
        <v>689</v>
      </c>
      <c r="K108" s="211">
        <f>SUM(K105:K107)</f>
        <v>502471.23099999997</v>
      </c>
      <c r="L108" s="210"/>
      <c r="N108" s="134"/>
    </row>
    <row r="109" spans="1:16" s="132" customFormat="1" ht="12" thickTop="1" x14ac:dyDescent="0.15">
      <c r="A109" s="133" t="s">
        <v>964</v>
      </c>
      <c r="B109" s="470" t="s">
        <v>1061</v>
      </c>
      <c r="C109" s="470"/>
      <c r="D109" s="470"/>
      <c r="E109" s="183" t="s">
        <v>55</v>
      </c>
      <c r="F109" s="471">
        <v>47293180.07</v>
      </c>
      <c r="G109" s="471"/>
      <c r="H109" s="219" t="s">
        <v>56</v>
      </c>
      <c r="I109" s="186">
        <v>40942</v>
      </c>
      <c r="J109" s="187" t="s">
        <v>71</v>
      </c>
      <c r="K109" s="210">
        <v>166639.95000000001</v>
      </c>
      <c r="L109" s="210"/>
      <c r="N109" s="134"/>
    </row>
    <row r="110" spans="1:16" s="132" customFormat="1" x14ac:dyDescent="0.15">
      <c r="A110" s="133" t="s">
        <v>965</v>
      </c>
      <c r="B110" s="470" t="s">
        <v>1062</v>
      </c>
      <c r="C110" s="470"/>
      <c r="D110" s="470"/>
      <c r="E110" s="183" t="s">
        <v>55</v>
      </c>
      <c r="F110" s="471">
        <v>65834124.509999998</v>
      </c>
      <c r="G110" s="471"/>
      <c r="H110" s="219" t="s">
        <v>56</v>
      </c>
      <c r="I110" s="186">
        <v>40945</v>
      </c>
      <c r="J110" s="187" t="s">
        <v>71</v>
      </c>
      <c r="K110" s="210">
        <v>275515.34700000001</v>
      </c>
      <c r="L110" s="210"/>
      <c r="N110" s="134"/>
    </row>
    <row r="111" spans="1:16" s="132" customFormat="1" x14ac:dyDescent="0.15">
      <c r="A111" s="133" t="s">
        <v>1038</v>
      </c>
      <c r="B111" s="470" t="s">
        <v>1063</v>
      </c>
      <c r="C111" s="470"/>
      <c r="D111" s="470"/>
      <c r="E111" s="183" t="s">
        <v>55</v>
      </c>
      <c r="F111" s="471">
        <v>42510068.329999998</v>
      </c>
      <c r="G111" s="471"/>
      <c r="H111" s="219" t="s">
        <v>56</v>
      </c>
      <c r="I111" s="186">
        <v>40952</v>
      </c>
      <c r="J111" s="187" t="s">
        <v>71</v>
      </c>
      <c r="K111" s="210">
        <v>119266.07399999999</v>
      </c>
      <c r="L111" s="210"/>
      <c r="N111" s="134"/>
    </row>
    <row r="112" spans="1:16" s="132" customFormat="1" x14ac:dyDescent="0.15">
      <c r="A112" s="133" t="s">
        <v>1044</v>
      </c>
      <c r="B112" s="470" t="s">
        <v>1064</v>
      </c>
      <c r="C112" s="470"/>
      <c r="D112" s="470"/>
      <c r="E112" s="183" t="s">
        <v>55</v>
      </c>
      <c r="F112" s="471">
        <v>43343765.630000003</v>
      </c>
      <c r="G112" s="471"/>
      <c r="H112" s="219" t="s">
        <v>56</v>
      </c>
      <c r="I112" s="186">
        <v>40966</v>
      </c>
      <c r="J112" s="187" t="s">
        <v>71</v>
      </c>
      <c r="K112" s="210">
        <v>311957.08999999997</v>
      </c>
      <c r="L112" s="210"/>
      <c r="N112" s="134"/>
    </row>
    <row r="113" spans="1:14" ht="12" thickBot="1" x14ac:dyDescent="0.2">
      <c r="A113" s="193"/>
      <c r="B113" s="210"/>
      <c r="C113" s="221"/>
      <c r="D113" s="237"/>
      <c r="E113" s="235"/>
      <c r="F113" s="235"/>
      <c r="G113" s="236"/>
      <c r="J113" s="218" t="s">
        <v>106</v>
      </c>
      <c r="K113" s="212">
        <f>SUM(K109:K112)</f>
        <v>873378.46100000001</v>
      </c>
    </row>
    <row r="114" spans="1:14" ht="12" thickTop="1" x14ac:dyDescent="0.15">
      <c r="A114" s="193"/>
      <c r="B114" s="210"/>
      <c r="C114" s="221"/>
      <c r="D114" s="237"/>
      <c r="E114" s="235"/>
      <c r="F114" s="235"/>
      <c r="G114" s="236"/>
      <c r="K114" s="205"/>
    </row>
    <row r="115" spans="1:14" x14ac:dyDescent="0.15">
      <c r="A115" s="133"/>
      <c r="B115" s="133" t="s">
        <v>9</v>
      </c>
      <c r="C115" s="220" t="s">
        <v>729</v>
      </c>
      <c r="D115" s="220" t="s">
        <v>850</v>
      </c>
      <c r="E115" s="133" t="s">
        <v>570</v>
      </c>
      <c r="F115" s="133" t="s">
        <v>571</v>
      </c>
      <c r="G115" s="133" t="s">
        <v>16</v>
      </c>
      <c r="I115" s="134"/>
      <c r="J115" s="134"/>
      <c r="K115" s="205"/>
    </row>
    <row r="116" spans="1:14" s="132" customFormat="1" x14ac:dyDescent="0.15">
      <c r="A116" s="193" t="s">
        <v>963</v>
      </c>
      <c r="B116" s="210">
        <v>118757</v>
      </c>
      <c r="C116" s="221">
        <v>25.1511</v>
      </c>
      <c r="D116" s="237">
        <f t="shared" ref="D116:D117" si="32">+B116*C116</f>
        <v>2986869.1826999998</v>
      </c>
      <c r="E116" s="235">
        <f t="shared" ref="E116:E117" si="33">+D116*0.01</f>
        <v>29868.691826999999</v>
      </c>
      <c r="F116" s="235">
        <f t="shared" ref="F116:F117" si="34">+E116*0.1</f>
        <v>2986.8691827000002</v>
      </c>
      <c r="G116" s="236">
        <f t="shared" ref="G116:G117" si="35">+E116+F116</f>
        <v>32855.561009700003</v>
      </c>
      <c r="I116" s="134"/>
      <c r="J116" s="134"/>
      <c r="K116" s="134"/>
      <c r="L116" s="133"/>
      <c r="N116" s="134"/>
    </row>
    <row r="117" spans="1:14" s="132" customFormat="1" x14ac:dyDescent="0.15">
      <c r="A117" s="193" t="s">
        <v>1037</v>
      </c>
      <c r="B117" s="210">
        <v>116071</v>
      </c>
      <c r="C117" s="221">
        <v>24.9</v>
      </c>
      <c r="D117" s="237">
        <f t="shared" si="32"/>
        <v>2890167.9</v>
      </c>
      <c r="E117" s="235">
        <f t="shared" si="33"/>
        <v>28901.679</v>
      </c>
      <c r="F117" s="235">
        <f t="shared" si="34"/>
        <v>2890.1679000000004</v>
      </c>
      <c r="G117" s="236">
        <f t="shared" si="35"/>
        <v>31791.8469</v>
      </c>
      <c r="I117" s="133"/>
      <c r="K117" s="134"/>
      <c r="L117" s="133"/>
      <c r="N117" s="134"/>
    </row>
    <row r="118" spans="1:14" s="132" customFormat="1" x14ac:dyDescent="0.15">
      <c r="A118" s="193" t="s">
        <v>1039</v>
      </c>
      <c r="B118" s="210">
        <v>296462</v>
      </c>
      <c r="C118" s="221">
        <v>24.924399999999999</v>
      </c>
      <c r="D118" s="237">
        <f t="shared" ref="D118:D132" si="36">+B118*C118</f>
        <v>7389137.4727999996</v>
      </c>
      <c r="E118" s="235">
        <f t="shared" ref="E118:E132" si="37">+D118*0.01</f>
        <v>73891.374727999995</v>
      </c>
      <c r="F118" s="235">
        <f t="shared" ref="F118:F132" si="38">+E118*0.1</f>
        <v>7389.1374728000001</v>
      </c>
      <c r="G118" s="236">
        <f t="shared" ref="G118:G132" si="39">+E118+F118</f>
        <v>81280.512200799989</v>
      </c>
      <c r="I118" s="134"/>
      <c r="J118" s="134"/>
      <c r="K118" s="134"/>
      <c r="L118" s="133"/>
      <c r="N118" s="134"/>
    </row>
    <row r="119" spans="1:14" s="132" customFormat="1" x14ac:dyDescent="0.15">
      <c r="A119" s="193" t="s">
        <v>1041</v>
      </c>
      <c r="B119" s="210">
        <v>402565</v>
      </c>
      <c r="C119" s="221">
        <v>25.1252</v>
      </c>
      <c r="D119" s="237">
        <f t="shared" si="36"/>
        <v>10114526.138</v>
      </c>
      <c r="E119" s="235">
        <f t="shared" si="37"/>
        <v>101145.26138000001</v>
      </c>
      <c r="F119" s="235">
        <f t="shared" si="38"/>
        <v>10114.526138000001</v>
      </c>
      <c r="G119" s="236">
        <f t="shared" si="39"/>
        <v>111259.78751800001</v>
      </c>
      <c r="I119" s="133"/>
      <c r="K119" s="134"/>
      <c r="L119" s="133"/>
      <c r="N119" s="134"/>
    </row>
    <row r="120" spans="1:14" s="132" customFormat="1" x14ac:dyDescent="0.15">
      <c r="A120" s="193" t="s">
        <v>1042</v>
      </c>
      <c r="B120" s="210">
        <v>330179</v>
      </c>
      <c r="C120" s="221">
        <v>25.599299999999999</v>
      </c>
      <c r="D120" s="237">
        <f t="shared" si="36"/>
        <v>8452351.274699999</v>
      </c>
      <c r="E120" s="235">
        <f t="shared" si="37"/>
        <v>84523.512746999986</v>
      </c>
      <c r="F120" s="235">
        <f t="shared" si="38"/>
        <v>8452.3512746999986</v>
      </c>
      <c r="G120" s="236">
        <f t="shared" si="39"/>
        <v>92975.864021699992</v>
      </c>
      <c r="I120" s="133"/>
      <c r="K120" s="134"/>
      <c r="L120" s="133"/>
      <c r="N120" s="134"/>
    </row>
    <row r="121" spans="1:14" s="132" customFormat="1" x14ac:dyDescent="0.15">
      <c r="A121" s="133" t="s">
        <v>1043</v>
      </c>
      <c r="B121" s="210">
        <v>310267</v>
      </c>
      <c r="C121" s="221">
        <v>25.648</v>
      </c>
      <c r="D121" s="237">
        <f t="shared" si="36"/>
        <v>7957728.0159999998</v>
      </c>
      <c r="E121" s="235">
        <f t="shared" si="37"/>
        <v>79577.280159999995</v>
      </c>
      <c r="F121" s="235">
        <f t="shared" si="38"/>
        <v>7957.728016</v>
      </c>
      <c r="G121" s="236">
        <f t="shared" si="39"/>
        <v>87535.008175999988</v>
      </c>
      <c r="I121" s="133"/>
      <c r="K121" s="134"/>
      <c r="L121" s="133"/>
      <c r="N121" s="134"/>
    </row>
    <row r="122" spans="1:14" s="132" customFormat="1" x14ac:dyDescent="0.15">
      <c r="A122" s="193" t="s">
        <v>1045</v>
      </c>
      <c r="B122" s="210">
        <v>415822</v>
      </c>
      <c r="C122" s="221">
        <v>25.924700000000001</v>
      </c>
      <c r="D122" s="237">
        <f t="shared" si="36"/>
        <v>10780060.603400001</v>
      </c>
      <c r="E122" s="235">
        <f t="shared" si="37"/>
        <v>107800.60603400001</v>
      </c>
      <c r="F122" s="235">
        <f t="shared" si="38"/>
        <v>10780.060603400001</v>
      </c>
      <c r="G122" s="236">
        <f t="shared" si="39"/>
        <v>118580.66663740002</v>
      </c>
      <c r="I122" s="133"/>
      <c r="K122" s="134"/>
      <c r="L122" s="133"/>
      <c r="N122" s="134"/>
    </row>
    <row r="123" spans="1:14" s="132" customFormat="1" x14ac:dyDescent="0.15">
      <c r="A123" s="193" t="s">
        <v>1047</v>
      </c>
      <c r="B123" s="210">
        <v>1866</v>
      </c>
      <c r="C123" s="221">
        <v>25.990600000000001</v>
      </c>
      <c r="D123" s="237">
        <f t="shared" si="36"/>
        <v>48498.459600000002</v>
      </c>
      <c r="E123" s="235">
        <f t="shared" si="37"/>
        <v>484.98459600000001</v>
      </c>
      <c r="F123" s="235">
        <f t="shared" si="38"/>
        <v>48.498459600000004</v>
      </c>
      <c r="G123" s="236">
        <f t="shared" si="39"/>
        <v>533.48305560000006</v>
      </c>
      <c r="I123" s="133"/>
      <c r="K123" s="134"/>
      <c r="L123" s="133"/>
      <c r="N123" s="134"/>
    </row>
    <row r="124" spans="1:14" s="132" customFormat="1" ht="12" thickBot="1" x14ac:dyDescent="0.2">
      <c r="A124" s="193"/>
      <c r="B124" s="211">
        <f>SUM(B116:B123)</f>
        <v>1991989</v>
      </c>
      <c r="C124" s="221"/>
      <c r="D124" s="237"/>
      <c r="E124" s="242">
        <f>SUM(E116:E123)</f>
        <v>506193.390472</v>
      </c>
      <c r="F124" s="242">
        <f t="shared" ref="F124:G124" si="40">SUM(F116:F123)</f>
        <v>50619.339047200003</v>
      </c>
      <c r="G124" s="242">
        <f t="shared" si="40"/>
        <v>556812.72951919993</v>
      </c>
      <c r="I124" s="133"/>
      <c r="K124" s="134"/>
      <c r="L124" s="133"/>
      <c r="N124" s="134"/>
    </row>
    <row r="125" spans="1:14" s="132" customFormat="1" ht="12" thickTop="1" x14ac:dyDescent="0.15">
      <c r="A125" s="193" t="s">
        <v>966</v>
      </c>
      <c r="B125" s="210">
        <v>120153</v>
      </c>
      <c r="C125" s="221">
        <v>25.1173</v>
      </c>
      <c r="D125" s="237">
        <f t="shared" si="36"/>
        <v>3017918.9468999999</v>
      </c>
      <c r="E125" s="235">
        <f t="shared" si="37"/>
        <v>30179.189469000001</v>
      </c>
      <c r="F125" s="235">
        <f t="shared" si="38"/>
        <v>3017.9189469000003</v>
      </c>
      <c r="G125" s="236">
        <f t="shared" si="39"/>
        <v>33197.108415900002</v>
      </c>
      <c r="I125" s="133"/>
      <c r="K125" s="134"/>
      <c r="L125" s="133"/>
      <c r="N125" s="134"/>
    </row>
    <row r="126" spans="1:14" s="132" customFormat="1" x14ac:dyDescent="0.15">
      <c r="A126" s="133" t="s">
        <v>1036</v>
      </c>
      <c r="B126" s="210">
        <v>36020</v>
      </c>
      <c r="C126" s="221">
        <v>25.122199999999999</v>
      </c>
      <c r="D126" s="237">
        <f t="shared" si="36"/>
        <v>904901.64399999997</v>
      </c>
      <c r="E126" s="235">
        <f t="shared" si="37"/>
        <v>9049.0164399999994</v>
      </c>
      <c r="F126" s="235">
        <f t="shared" si="38"/>
        <v>904.90164400000003</v>
      </c>
      <c r="G126" s="236">
        <f t="shared" si="39"/>
        <v>9953.918083999999</v>
      </c>
      <c r="I126" s="244"/>
      <c r="K126" s="134"/>
      <c r="L126" s="133"/>
      <c r="N126" s="134"/>
    </row>
    <row r="127" spans="1:14" s="132" customFormat="1" x14ac:dyDescent="0.15">
      <c r="A127" s="133" t="s">
        <v>1040</v>
      </c>
      <c r="B127" s="210">
        <v>346298</v>
      </c>
      <c r="C127" s="221">
        <v>25.283200000000001</v>
      </c>
      <c r="D127" s="237">
        <f t="shared" si="36"/>
        <v>8755521.5936000012</v>
      </c>
      <c r="E127" s="235">
        <f t="shared" si="37"/>
        <v>87555.215936000008</v>
      </c>
      <c r="F127" s="235">
        <f t="shared" si="38"/>
        <v>8755.5215936000004</v>
      </c>
      <c r="G127" s="236">
        <f t="shared" si="39"/>
        <v>96310.73752960001</v>
      </c>
      <c r="I127" s="244"/>
      <c r="K127" s="134"/>
      <c r="L127" s="133"/>
      <c r="N127" s="134"/>
    </row>
    <row r="128" spans="1:14" s="132" customFormat="1" ht="12" thickBot="1" x14ac:dyDescent="0.2">
      <c r="A128" s="133"/>
      <c r="B128" s="211">
        <f>SUM(B125:B127)</f>
        <v>502471</v>
      </c>
      <c r="C128" s="221"/>
      <c r="D128" s="237"/>
      <c r="E128" s="242">
        <f>SUM(E125:E127)</f>
        <v>126783.421845</v>
      </c>
      <c r="F128" s="242">
        <f t="shared" ref="F128:G128" si="41">SUM(F125:F127)</f>
        <v>12678.342184500001</v>
      </c>
      <c r="G128" s="242">
        <f t="shared" si="41"/>
        <v>139461.76402950002</v>
      </c>
      <c r="I128" s="244"/>
      <c r="K128" s="134"/>
      <c r="L128" s="133"/>
      <c r="N128" s="134"/>
    </row>
    <row r="129" spans="1:14" s="132" customFormat="1" ht="12" thickTop="1" x14ac:dyDescent="0.15">
      <c r="A129" s="133" t="s">
        <v>964</v>
      </c>
      <c r="B129" s="210">
        <v>166640</v>
      </c>
      <c r="C129" s="221">
        <v>25.235800000000001</v>
      </c>
      <c r="D129" s="237">
        <f t="shared" si="36"/>
        <v>4205293.7120000003</v>
      </c>
      <c r="E129" s="235">
        <f t="shared" si="37"/>
        <v>42052.937120000002</v>
      </c>
      <c r="F129" s="235">
        <f t="shared" si="38"/>
        <v>4205.2937120000006</v>
      </c>
      <c r="G129" s="236">
        <f t="shared" si="39"/>
        <v>46258.230832000001</v>
      </c>
      <c r="I129" s="244"/>
      <c r="K129" s="134"/>
      <c r="L129" s="133"/>
      <c r="N129" s="134"/>
    </row>
    <row r="130" spans="1:14" s="132" customFormat="1" x14ac:dyDescent="0.15">
      <c r="A130" s="133" t="s">
        <v>965</v>
      </c>
      <c r="B130" s="210">
        <v>275515</v>
      </c>
      <c r="C130" s="221">
        <v>25.2883</v>
      </c>
      <c r="D130" s="237">
        <f t="shared" si="36"/>
        <v>6967305.9744999995</v>
      </c>
      <c r="E130" s="235">
        <f t="shared" si="37"/>
        <v>69673.059744999991</v>
      </c>
      <c r="F130" s="235">
        <f t="shared" si="38"/>
        <v>6967.3059744999991</v>
      </c>
      <c r="G130" s="236">
        <f t="shared" si="39"/>
        <v>76640.365719499998</v>
      </c>
      <c r="I130" s="244"/>
      <c r="K130" s="134"/>
      <c r="L130" s="133"/>
      <c r="N130" s="134"/>
    </row>
    <row r="131" spans="1:14" s="132" customFormat="1" x14ac:dyDescent="0.15">
      <c r="A131" s="133" t="s">
        <v>1038</v>
      </c>
      <c r="B131" s="210">
        <v>119266</v>
      </c>
      <c r="C131" s="221">
        <v>25.145900000000001</v>
      </c>
      <c r="D131" s="237">
        <f t="shared" si="36"/>
        <v>2999050.9094000002</v>
      </c>
      <c r="E131" s="235">
        <f t="shared" si="37"/>
        <v>29990.509094000005</v>
      </c>
      <c r="F131" s="235">
        <f t="shared" si="38"/>
        <v>2999.0509094000008</v>
      </c>
      <c r="G131" s="236">
        <f t="shared" si="39"/>
        <v>32989.560003400009</v>
      </c>
      <c r="I131" s="244"/>
      <c r="K131" s="134"/>
      <c r="L131" s="133"/>
      <c r="N131" s="134"/>
    </row>
    <row r="132" spans="1:14" s="132" customFormat="1" x14ac:dyDescent="0.15">
      <c r="A132" s="133" t="s">
        <v>1044</v>
      </c>
      <c r="B132" s="210">
        <v>311957</v>
      </c>
      <c r="C132" s="221">
        <v>25.905200000000001</v>
      </c>
      <c r="D132" s="237">
        <f t="shared" si="36"/>
        <v>8081308.4764</v>
      </c>
      <c r="E132" s="235">
        <f t="shared" si="37"/>
        <v>80813.084763999999</v>
      </c>
      <c r="F132" s="235">
        <f t="shared" si="38"/>
        <v>8081.3084764000005</v>
      </c>
      <c r="G132" s="236">
        <f t="shared" si="39"/>
        <v>88894.393240399993</v>
      </c>
      <c r="I132" s="244"/>
      <c r="K132" s="134"/>
      <c r="L132" s="133"/>
      <c r="N132" s="134"/>
    </row>
    <row r="133" spans="1:14" s="132" customFormat="1" ht="12" thickBot="1" x14ac:dyDescent="0.2">
      <c r="A133" s="134"/>
      <c r="B133" s="233">
        <f>SUM(B129:B132)</f>
        <v>873378</v>
      </c>
      <c r="D133" s="133"/>
      <c r="E133" s="234">
        <f>SUM(E129:E132)</f>
        <v>222529.590723</v>
      </c>
      <c r="F133" s="234">
        <f t="shared" ref="F133:G133" si="42">SUM(F129:F132)</f>
        <v>22252.9590723</v>
      </c>
      <c r="G133" s="234">
        <f t="shared" si="42"/>
        <v>244782.5497953</v>
      </c>
      <c r="I133" s="133"/>
      <c r="K133" s="134"/>
      <c r="L133" s="133"/>
      <c r="N133" s="134"/>
    </row>
    <row r="134" spans="1:14" s="132" customFormat="1" ht="12" thickTop="1" x14ac:dyDescent="0.15">
      <c r="A134" s="134"/>
      <c r="B134" s="131"/>
      <c r="D134" s="133"/>
      <c r="E134" s="133"/>
      <c r="F134" s="134"/>
      <c r="G134" s="133"/>
      <c r="I134" s="133"/>
      <c r="K134" s="134"/>
      <c r="L134" s="133"/>
      <c r="N134" s="134"/>
    </row>
    <row r="135" spans="1:14" s="132" customFormat="1" x14ac:dyDescent="0.15">
      <c r="A135" s="134"/>
      <c r="B135" s="231"/>
      <c r="D135" s="133"/>
      <c r="E135" s="133"/>
      <c r="F135" s="134"/>
      <c r="G135" s="133"/>
      <c r="I135" s="133"/>
      <c r="K135" s="134"/>
      <c r="L135" s="133"/>
      <c r="N135" s="134"/>
    </row>
  </sheetData>
  <mergeCells count="31">
    <mergeCell ref="B109:D109"/>
    <mergeCell ref="F109:G109"/>
    <mergeCell ref="B110:D110"/>
    <mergeCell ref="F110:G110"/>
    <mergeCell ref="B111:D111"/>
    <mergeCell ref="F111:G111"/>
    <mergeCell ref="B112:D112"/>
    <mergeCell ref="F112:G112"/>
    <mergeCell ref="B104:D104"/>
    <mergeCell ref="F104:G104"/>
    <mergeCell ref="B94:D94"/>
    <mergeCell ref="F94:G94"/>
    <mergeCell ref="B95:D95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5:G105"/>
    <mergeCell ref="F106:G106"/>
    <mergeCell ref="F107:G107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opLeftCell="D1" zoomScale="115" zoomScaleNormal="115" workbookViewId="0">
      <pane ySplit="6" topLeftCell="A81" activePane="bottomLeft" state="frozen"/>
      <selection pane="bottomLeft" activeCell="O124" sqref="O124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3.28515625" style="133" bestFit="1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1.7109375" style="132" bestFit="1" customWidth="1"/>
    <col min="11" max="11" width="11.2851562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917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911</v>
      </c>
      <c r="B7" s="146"/>
      <c r="C7" s="147">
        <v>77467.349362009496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77467.349362009496</v>
      </c>
      <c r="P7" s="147">
        <f>+C119</f>
        <v>470237.13736200955</v>
      </c>
    </row>
    <row r="8" spans="1:16" x14ac:dyDescent="0.15">
      <c r="A8" s="154" t="s">
        <v>912</v>
      </c>
      <c r="B8" s="151"/>
      <c r="C8" s="152">
        <v>352689.48000000004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77467.349362009496</v>
      </c>
      <c r="P8" s="152">
        <f t="shared" ref="P8:P9" si="0">P7+H8-J8-M8</f>
        <v>470237.13736200955</v>
      </c>
    </row>
    <row r="9" spans="1:16" x14ac:dyDescent="0.15">
      <c r="A9" s="154" t="s">
        <v>913</v>
      </c>
      <c r="B9" s="151"/>
      <c r="C9" s="152">
        <v>40080.307999999997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77467.349362009496</v>
      </c>
      <c r="P9" s="152">
        <f t="shared" si="0"/>
        <v>470237.13736200955</v>
      </c>
    </row>
    <row r="10" spans="1:16" x14ac:dyDescent="0.15">
      <c r="A10" s="154"/>
      <c r="B10" s="151"/>
      <c r="C10" s="152"/>
      <c r="D10" s="155"/>
      <c r="E10" s="154"/>
      <c r="F10" s="157"/>
      <c r="G10" s="154"/>
      <c r="H10" s="152"/>
      <c r="I10" s="155"/>
      <c r="J10" s="152"/>
      <c r="K10" s="150"/>
      <c r="L10" s="154"/>
      <c r="M10" s="227"/>
      <c r="N10" s="154"/>
      <c r="O10" s="227">
        <f t="shared" ref="O10:O89" si="2">+O9-J10-M10</f>
        <v>77467.349362009496</v>
      </c>
      <c r="P10" s="152">
        <f t="shared" ref="P10:P89" si="3">P9+H10-J10-M10</f>
        <v>470237.13736200955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 t="s">
        <v>918</v>
      </c>
      <c r="J11" s="152"/>
      <c r="K11" s="150"/>
      <c r="L11" s="154" t="s">
        <v>1003</v>
      </c>
      <c r="M11" s="227">
        <v>75813.06</v>
      </c>
      <c r="N11" s="154" t="s">
        <v>911</v>
      </c>
      <c r="O11" s="227">
        <f t="shared" si="2"/>
        <v>1654.2893620094983</v>
      </c>
      <c r="P11" s="152">
        <f t="shared" si="3"/>
        <v>394424.07736200956</v>
      </c>
    </row>
    <row r="12" spans="1:16" x14ac:dyDescent="0.15">
      <c r="A12" s="154"/>
      <c r="B12" s="151"/>
      <c r="C12" s="152"/>
      <c r="D12" s="155" t="s">
        <v>919</v>
      </c>
      <c r="E12" s="154" t="s">
        <v>72</v>
      </c>
      <c r="F12" s="157" t="s">
        <v>949</v>
      </c>
      <c r="G12" s="154"/>
      <c r="H12" s="152">
        <v>120320.765</v>
      </c>
      <c r="I12" s="155" t="s">
        <v>919</v>
      </c>
      <c r="J12" s="152"/>
      <c r="K12" s="150"/>
      <c r="L12" s="154" t="s">
        <v>1003</v>
      </c>
      <c r="M12" s="227">
        <v>1654.289</v>
      </c>
      <c r="N12" s="154" t="s">
        <v>911</v>
      </c>
      <c r="O12" s="227">
        <f t="shared" si="2"/>
        <v>3.6200949830345053E-4</v>
      </c>
      <c r="P12" s="152">
        <f t="shared" si="3"/>
        <v>513090.55336200958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919</v>
      </c>
      <c r="J13" s="152"/>
      <c r="K13" s="150"/>
      <c r="L13" s="154" t="s">
        <v>1003</v>
      </c>
      <c r="M13" s="227">
        <v>75452.591</v>
      </c>
      <c r="N13" s="154" t="s">
        <v>912</v>
      </c>
      <c r="O13" s="227">
        <f>C8+O12-J13-M13</f>
        <v>277236.88936200953</v>
      </c>
      <c r="P13" s="152">
        <f t="shared" ref="P13:P16" si="4">P12+H13-J13-M13</f>
        <v>437637.96236200957</v>
      </c>
    </row>
    <row r="14" spans="1:16" x14ac:dyDescent="0.15">
      <c r="A14" s="154"/>
      <c r="B14" s="151"/>
      <c r="C14" s="152"/>
      <c r="D14" s="155"/>
      <c r="E14" s="154"/>
      <c r="F14" s="157"/>
      <c r="G14" s="154"/>
      <c r="H14" s="152"/>
      <c r="I14" s="155" t="s">
        <v>919</v>
      </c>
      <c r="J14" s="152"/>
      <c r="K14" s="150"/>
      <c r="L14" s="154" t="s">
        <v>1003</v>
      </c>
      <c r="M14" s="227">
        <v>84731.21</v>
      </c>
      <c r="N14" s="154" t="s">
        <v>912</v>
      </c>
      <c r="O14" s="227">
        <f t="shared" ref="O14:O16" si="5">+O13-J14-M14</f>
        <v>192505.67936200951</v>
      </c>
      <c r="P14" s="152">
        <f t="shared" si="4"/>
        <v>352906.75236200955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919</v>
      </c>
      <c r="J15" s="152"/>
      <c r="K15" s="150"/>
      <c r="L15" s="154" t="s">
        <v>1003</v>
      </c>
      <c r="M15" s="227">
        <v>47698.28</v>
      </c>
      <c r="N15" s="154" t="s">
        <v>912</v>
      </c>
      <c r="O15" s="227">
        <f t="shared" si="5"/>
        <v>144807.39936200951</v>
      </c>
      <c r="P15" s="152">
        <f t="shared" si="4"/>
        <v>305208.47236200958</v>
      </c>
    </row>
    <row r="16" spans="1:16" x14ac:dyDescent="0.15">
      <c r="A16" s="154"/>
      <c r="B16" s="151"/>
      <c r="C16" s="152"/>
      <c r="D16" s="155" t="s">
        <v>944</v>
      </c>
      <c r="E16" s="154" t="s">
        <v>72</v>
      </c>
      <c r="F16" s="157" t="s">
        <v>950</v>
      </c>
      <c r="G16" s="154"/>
      <c r="H16" s="152">
        <v>36120.476000000002</v>
      </c>
      <c r="I16" s="155" t="s">
        <v>944</v>
      </c>
      <c r="J16" s="152"/>
      <c r="K16" s="150"/>
      <c r="L16" s="154"/>
      <c r="M16" s="227"/>
      <c r="N16" s="154"/>
      <c r="O16" s="227">
        <f t="shared" si="5"/>
        <v>144807.39936200951</v>
      </c>
      <c r="P16" s="152">
        <f t="shared" si="4"/>
        <v>341328.9483620096</v>
      </c>
    </row>
    <row r="17" spans="1:16" x14ac:dyDescent="0.15">
      <c r="A17" s="154"/>
      <c r="B17" s="151"/>
      <c r="C17" s="152"/>
      <c r="D17" s="155" t="s">
        <v>920</v>
      </c>
      <c r="E17" s="154" t="s">
        <v>72</v>
      </c>
      <c r="F17" s="157" t="s">
        <v>950</v>
      </c>
      <c r="G17" s="154"/>
      <c r="H17" s="152">
        <v>163168.51699999999</v>
      </c>
      <c r="I17" s="155" t="s">
        <v>920</v>
      </c>
      <c r="J17" s="152"/>
      <c r="K17" s="150"/>
      <c r="L17" s="154" t="s">
        <v>1003</v>
      </c>
      <c r="M17" s="227">
        <v>79793.429999999993</v>
      </c>
      <c r="N17" s="154" t="s">
        <v>912</v>
      </c>
      <c r="O17" s="227">
        <f t="shared" si="2"/>
        <v>65013.96936200952</v>
      </c>
      <c r="P17" s="152">
        <f t="shared" si="3"/>
        <v>424704.0353620096</v>
      </c>
    </row>
    <row r="18" spans="1:16" x14ac:dyDescent="0.15">
      <c r="A18" s="154"/>
      <c r="B18" s="151"/>
      <c r="C18" s="152"/>
      <c r="D18" s="155" t="s">
        <v>920</v>
      </c>
      <c r="E18" s="154" t="s">
        <v>72</v>
      </c>
      <c r="F18" s="157" t="s">
        <v>951</v>
      </c>
      <c r="G18" s="154"/>
      <c r="H18" s="152">
        <v>13317.832</v>
      </c>
      <c r="I18" s="155" t="s">
        <v>920</v>
      </c>
      <c r="J18" s="152"/>
      <c r="K18" s="150"/>
      <c r="L18" s="154" t="s">
        <v>1003</v>
      </c>
      <c r="M18" s="227">
        <v>65013.968999999997</v>
      </c>
      <c r="N18" s="154" t="s">
        <v>912</v>
      </c>
      <c r="O18" s="227">
        <f t="shared" si="2"/>
        <v>3.6200952308718115E-4</v>
      </c>
      <c r="P18" s="152">
        <f t="shared" si="3"/>
        <v>373007.89836200961</v>
      </c>
    </row>
    <row r="19" spans="1:16" x14ac:dyDescent="0.15">
      <c r="A19" s="154"/>
      <c r="B19" s="151"/>
      <c r="C19" s="152"/>
      <c r="D19" s="155"/>
      <c r="E19" s="154"/>
      <c r="F19" s="157"/>
      <c r="G19" s="154"/>
      <c r="H19" s="152"/>
      <c r="I19" s="155" t="s">
        <v>920</v>
      </c>
      <c r="J19" s="152"/>
      <c r="K19" s="150"/>
      <c r="L19" s="154" t="s">
        <v>1005</v>
      </c>
      <c r="M19" s="227">
        <v>17795.260999999999</v>
      </c>
      <c r="N19" s="154" t="s">
        <v>913</v>
      </c>
      <c r="O19" s="227">
        <f>C9+O18-J19-M19</f>
        <v>22285.047362009522</v>
      </c>
      <c r="P19" s="152">
        <f t="shared" ref="P19:P20" si="6">P18+H19-J19-M19</f>
        <v>355212.63736200961</v>
      </c>
    </row>
    <row r="20" spans="1:16" x14ac:dyDescent="0.15">
      <c r="A20" s="154"/>
      <c r="B20" s="151"/>
      <c r="C20" s="152"/>
      <c r="D20" s="155"/>
      <c r="E20" s="154"/>
      <c r="F20" s="157"/>
      <c r="G20" s="154"/>
      <c r="H20" s="152"/>
      <c r="I20" s="155" t="s">
        <v>920</v>
      </c>
      <c r="J20" s="152"/>
      <c r="K20" s="150"/>
      <c r="L20" s="154" t="s">
        <v>1005</v>
      </c>
      <c r="M20" s="227">
        <v>22285.046999999999</v>
      </c>
      <c r="N20" s="154" t="s">
        <v>913</v>
      </c>
      <c r="O20" s="227">
        <f t="shared" ref="O20" si="7">+O19-J20-M20</f>
        <v>3.6200952308718115E-4</v>
      </c>
      <c r="P20" s="152">
        <f t="shared" si="6"/>
        <v>332927.59036200959</v>
      </c>
    </row>
    <row r="21" spans="1:16" x14ac:dyDescent="0.15">
      <c r="A21" s="154"/>
      <c r="B21" s="151"/>
      <c r="C21" s="152"/>
      <c r="D21" s="155"/>
      <c r="E21" s="154"/>
      <c r="F21" s="157"/>
      <c r="G21" s="154"/>
      <c r="H21" s="152"/>
      <c r="I21" s="155" t="s">
        <v>920</v>
      </c>
      <c r="J21" s="152"/>
      <c r="K21" s="150"/>
      <c r="L21" s="154" t="s">
        <v>1003</v>
      </c>
      <c r="M21" s="227">
        <v>69321.103000000003</v>
      </c>
      <c r="N21" s="157" t="s">
        <v>949</v>
      </c>
      <c r="O21" s="227">
        <f>H12+O20-J21-M21</f>
        <v>50999.66236200952</v>
      </c>
      <c r="P21" s="152">
        <f t="shared" ref="P21:P22" si="8">P20+H21-J21-M21</f>
        <v>263606.48736200959</v>
      </c>
    </row>
    <row r="22" spans="1:16" x14ac:dyDescent="0.15">
      <c r="A22" s="154"/>
      <c r="B22" s="151"/>
      <c r="C22" s="152"/>
      <c r="D22" s="155" t="s">
        <v>921</v>
      </c>
      <c r="E22" s="154" t="s">
        <v>72</v>
      </c>
      <c r="F22" s="157" t="s">
        <v>951</v>
      </c>
      <c r="G22" s="154"/>
      <c r="H22" s="152">
        <v>80134.644</v>
      </c>
      <c r="I22" s="155" t="s">
        <v>921</v>
      </c>
      <c r="J22" s="152">
        <v>547.04999999999995</v>
      </c>
      <c r="K22" s="157" t="s">
        <v>949</v>
      </c>
      <c r="L22" s="154" t="s">
        <v>1003</v>
      </c>
      <c r="M22" s="227">
        <v>50452.612000000001</v>
      </c>
      <c r="N22" s="157" t="s">
        <v>949</v>
      </c>
      <c r="O22" s="227">
        <f t="shared" ref="O22" si="9">+O21-J22-M22</f>
        <v>3.6200951581122354E-4</v>
      </c>
      <c r="P22" s="152">
        <f t="shared" si="8"/>
        <v>292741.46936200955</v>
      </c>
    </row>
    <row r="23" spans="1:16" x14ac:dyDescent="0.15">
      <c r="A23" s="154"/>
      <c r="B23" s="151"/>
      <c r="C23" s="152"/>
      <c r="D23" s="155"/>
      <c r="E23" s="154"/>
      <c r="F23" s="157"/>
      <c r="G23" s="154"/>
      <c r="H23" s="152"/>
      <c r="I23" s="155" t="s">
        <v>921</v>
      </c>
      <c r="J23" s="152"/>
      <c r="K23" s="154"/>
      <c r="L23" s="154" t="s">
        <v>1005</v>
      </c>
      <c r="M23" s="227">
        <v>34046.938000000002</v>
      </c>
      <c r="N23" s="157" t="s">
        <v>950</v>
      </c>
      <c r="O23" s="227">
        <f>H16+H17+O22-J23-M23</f>
        <v>165242.0553620095</v>
      </c>
      <c r="P23" s="152">
        <f t="shared" ref="P23:P26" si="10">P22+H23-J23-M23</f>
        <v>258694.53136200955</v>
      </c>
    </row>
    <row r="24" spans="1:16" x14ac:dyDescent="0.15">
      <c r="A24" s="154"/>
      <c r="B24" s="151"/>
      <c r="C24" s="152"/>
      <c r="D24" s="155"/>
      <c r="E24" s="154"/>
      <c r="F24" s="157"/>
      <c r="G24" s="154"/>
      <c r="H24" s="152"/>
      <c r="I24" s="155" t="s">
        <v>921</v>
      </c>
      <c r="J24" s="152"/>
      <c r="K24" s="154"/>
      <c r="L24" s="154" t="s">
        <v>1005</v>
      </c>
      <c r="M24" s="227">
        <v>88189.58</v>
      </c>
      <c r="N24" s="157" t="s">
        <v>950</v>
      </c>
      <c r="O24" s="227">
        <f t="shared" ref="O24:O26" si="11">+O23-J24-M24</f>
        <v>77052.4753620095</v>
      </c>
      <c r="P24" s="152">
        <f t="shared" si="10"/>
        <v>170504.95136200957</v>
      </c>
    </row>
    <row r="25" spans="1:16" x14ac:dyDescent="0.15">
      <c r="A25" s="154"/>
      <c r="B25" s="151"/>
      <c r="C25" s="152"/>
      <c r="D25" s="155" t="s">
        <v>922</v>
      </c>
      <c r="E25" s="154" t="s">
        <v>72</v>
      </c>
      <c r="F25" s="157" t="s">
        <v>951</v>
      </c>
      <c r="G25" s="154"/>
      <c r="H25" s="152">
        <v>80109.5</v>
      </c>
      <c r="I25" s="155" t="s">
        <v>922</v>
      </c>
      <c r="J25" s="152">
        <v>560.19000000000005</v>
      </c>
      <c r="K25" s="157" t="s">
        <v>950</v>
      </c>
      <c r="L25" s="154"/>
      <c r="M25" s="227"/>
      <c r="N25" s="154"/>
      <c r="O25" s="227">
        <f t="shared" si="11"/>
        <v>76492.285362009497</v>
      </c>
      <c r="P25" s="152">
        <f t="shared" si="10"/>
        <v>250054.26136200957</v>
      </c>
    </row>
    <row r="26" spans="1:16" x14ac:dyDescent="0.15">
      <c r="A26" s="154"/>
      <c r="B26" s="151"/>
      <c r="C26" s="152"/>
      <c r="D26" s="155" t="s">
        <v>923</v>
      </c>
      <c r="E26" s="154" t="s">
        <v>72</v>
      </c>
      <c r="F26" s="157" t="s">
        <v>952</v>
      </c>
      <c r="G26" s="154"/>
      <c r="H26" s="152">
        <v>156220.25899999999</v>
      </c>
      <c r="I26" s="155" t="s">
        <v>923</v>
      </c>
      <c r="J26" s="152"/>
      <c r="K26" s="154"/>
      <c r="L26" s="154" t="s">
        <v>1005</v>
      </c>
      <c r="M26" s="227">
        <v>72968.19</v>
      </c>
      <c r="N26" s="157" t="s">
        <v>950</v>
      </c>
      <c r="O26" s="227">
        <f t="shared" si="11"/>
        <v>3524.0953620094951</v>
      </c>
      <c r="P26" s="152">
        <f t="shared" si="10"/>
        <v>333306.33036200952</v>
      </c>
    </row>
    <row r="27" spans="1:16" x14ac:dyDescent="0.15">
      <c r="A27" s="154"/>
      <c r="B27" s="151"/>
      <c r="C27" s="152"/>
      <c r="D27" s="155"/>
      <c r="E27" s="154"/>
      <c r="F27" s="157"/>
      <c r="G27" s="154"/>
      <c r="H27" s="152"/>
      <c r="I27" s="155" t="s">
        <v>923</v>
      </c>
      <c r="J27" s="152"/>
      <c r="K27" s="154"/>
      <c r="L27" s="154" t="s">
        <v>1005</v>
      </c>
      <c r="M27" s="227">
        <v>3524.0949999999998</v>
      </c>
      <c r="N27" s="157" t="s">
        <v>950</v>
      </c>
      <c r="O27" s="227">
        <f t="shared" si="2"/>
        <v>3.6200949534759275E-4</v>
      </c>
      <c r="P27" s="152">
        <f t="shared" si="3"/>
        <v>329782.23536200955</v>
      </c>
    </row>
    <row r="28" spans="1:16" x14ac:dyDescent="0.15">
      <c r="A28" s="154"/>
      <c r="B28" s="151"/>
      <c r="C28" s="152"/>
      <c r="D28" s="155"/>
      <c r="E28" s="154"/>
      <c r="F28" s="157"/>
      <c r="G28" s="154"/>
      <c r="H28" s="152"/>
      <c r="I28" s="155" t="s">
        <v>923</v>
      </c>
      <c r="J28" s="152"/>
      <c r="K28" s="154"/>
      <c r="L28" s="154" t="s">
        <v>1003</v>
      </c>
      <c r="M28" s="227">
        <v>37416.214999999997</v>
      </c>
      <c r="N28" s="157" t="s">
        <v>951</v>
      </c>
      <c r="O28" s="227">
        <f>H18+H22+H25+O27-J28-M28</f>
        <v>136145.76136200951</v>
      </c>
      <c r="P28" s="152">
        <f t="shared" ref="P28:P30" si="12">P27+H28-J28-M28</f>
        <v>292366.02036200953</v>
      </c>
    </row>
    <row r="29" spans="1:16" x14ac:dyDescent="0.15">
      <c r="A29" s="154"/>
      <c r="B29" s="151"/>
      <c r="C29" s="152"/>
      <c r="D29" s="155"/>
      <c r="E29" s="154"/>
      <c r="F29" s="157"/>
      <c r="G29" s="154"/>
      <c r="H29" s="152"/>
      <c r="I29" s="155" t="s">
        <v>923</v>
      </c>
      <c r="J29" s="152"/>
      <c r="K29" s="154"/>
      <c r="L29" s="154" t="s">
        <v>1003</v>
      </c>
      <c r="M29" s="227">
        <v>81211.539999999994</v>
      </c>
      <c r="N29" s="157" t="s">
        <v>951</v>
      </c>
      <c r="O29" s="227">
        <f t="shared" ref="O29:O30" si="13">+O28-J29-M29</f>
        <v>54934.221362009514</v>
      </c>
      <c r="P29" s="152">
        <f t="shared" si="12"/>
        <v>211154.48036200955</v>
      </c>
    </row>
    <row r="30" spans="1:16" x14ac:dyDescent="0.15">
      <c r="A30" s="154"/>
      <c r="B30" s="151"/>
      <c r="C30" s="152"/>
      <c r="D30" s="155" t="s">
        <v>924</v>
      </c>
      <c r="E30" s="154" t="s">
        <v>72</v>
      </c>
      <c r="F30" s="157" t="s">
        <v>953</v>
      </c>
      <c r="G30" s="154"/>
      <c r="H30" s="152">
        <v>216360.641</v>
      </c>
      <c r="I30" s="155" t="s">
        <v>924</v>
      </c>
      <c r="J30" s="152"/>
      <c r="K30" s="154"/>
      <c r="L30" s="154" t="s">
        <v>1003</v>
      </c>
      <c r="M30" s="227">
        <v>54934.220999999998</v>
      </c>
      <c r="N30" s="157" t="s">
        <v>951</v>
      </c>
      <c r="O30" s="227">
        <f t="shared" si="13"/>
        <v>3.6200951581122354E-4</v>
      </c>
      <c r="P30" s="152">
        <f t="shared" si="12"/>
        <v>372580.90036200953</v>
      </c>
    </row>
    <row r="31" spans="1:16" x14ac:dyDescent="0.15">
      <c r="A31" s="154"/>
      <c r="B31" s="151"/>
      <c r="C31" s="152"/>
      <c r="D31" s="155"/>
      <c r="E31" s="154"/>
      <c r="F31" s="157"/>
      <c r="G31" s="154"/>
      <c r="H31" s="152"/>
      <c r="I31" s="155" t="s">
        <v>924</v>
      </c>
      <c r="J31" s="152"/>
      <c r="K31" s="154"/>
      <c r="L31" s="154" t="s">
        <v>1005</v>
      </c>
      <c r="M31" s="227">
        <v>24773.579000000002</v>
      </c>
      <c r="N31" s="157" t="s">
        <v>952</v>
      </c>
      <c r="O31" s="227">
        <f>H26+O30-J31-M31</f>
        <v>131446.6803620095</v>
      </c>
      <c r="P31" s="152">
        <f t="shared" ref="P31:P33" si="14">P30+H31-J31-M31</f>
        <v>347807.3213620095</v>
      </c>
    </row>
    <row r="32" spans="1:16" x14ac:dyDescent="0.15">
      <c r="A32" s="154"/>
      <c r="B32" s="151"/>
      <c r="C32" s="152"/>
      <c r="D32" s="155"/>
      <c r="E32" s="154"/>
      <c r="F32" s="157"/>
      <c r="G32" s="154"/>
      <c r="H32" s="152"/>
      <c r="I32" s="155" t="s">
        <v>924</v>
      </c>
      <c r="J32" s="152"/>
      <c r="K32" s="154"/>
      <c r="L32" s="154" t="s">
        <v>1005</v>
      </c>
      <c r="M32" s="227">
        <v>72874.7</v>
      </c>
      <c r="N32" s="157" t="s">
        <v>952</v>
      </c>
      <c r="O32" s="227">
        <f t="shared" ref="O32:O33" si="15">+O31-J32-M32</f>
        <v>58571.980362009504</v>
      </c>
      <c r="P32" s="152">
        <f t="shared" si="14"/>
        <v>274932.62136200949</v>
      </c>
    </row>
    <row r="33" spans="1:16" x14ac:dyDescent="0.15">
      <c r="A33" s="154"/>
      <c r="B33" s="151"/>
      <c r="C33" s="152"/>
      <c r="D33" s="155" t="s">
        <v>925</v>
      </c>
      <c r="E33" s="154" t="s">
        <v>72</v>
      </c>
      <c r="F33" s="157" t="s">
        <v>953</v>
      </c>
      <c r="G33" s="154"/>
      <c r="H33" s="152">
        <v>156125.315</v>
      </c>
      <c r="I33" s="155" t="s">
        <v>925</v>
      </c>
      <c r="J33" s="152"/>
      <c r="K33" s="154"/>
      <c r="L33" s="154" t="s">
        <v>1005</v>
      </c>
      <c r="M33" s="227">
        <v>46695.49</v>
      </c>
      <c r="N33" s="157" t="s">
        <v>952</v>
      </c>
      <c r="O33" s="227">
        <f t="shared" si="15"/>
        <v>11876.490362009506</v>
      </c>
      <c r="P33" s="152">
        <f t="shared" si="14"/>
        <v>384362.4463620095</v>
      </c>
    </row>
    <row r="34" spans="1:16" x14ac:dyDescent="0.15">
      <c r="A34" s="154"/>
      <c r="B34" s="151"/>
      <c r="C34" s="152"/>
      <c r="D34" s="155"/>
      <c r="E34" s="154"/>
      <c r="F34" s="157"/>
      <c r="G34" s="154"/>
      <c r="H34" s="152"/>
      <c r="I34" s="155" t="s">
        <v>925</v>
      </c>
      <c r="J34" s="152"/>
      <c r="K34" s="154"/>
      <c r="L34" s="154" t="s">
        <v>1005</v>
      </c>
      <c r="M34" s="227">
        <v>11876.49</v>
      </c>
      <c r="N34" s="157" t="s">
        <v>952</v>
      </c>
      <c r="O34" s="227">
        <f t="shared" si="2"/>
        <v>3.6200950671627652E-4</v>
      </c>
      <c r="P34" s="152">
        <f t="shared" si="3"/>
        <v>372485.95636200951</v>
      </c>
    </row>
    <row r="35" spans="1:16" x14ac:dyDescent="0.15">
      <c r="A35" s="154"/>
      <c r="B35" s="151"/>
      <c r="C35" s="152"/>
      <c r="D35" s="155"/>
      <c r="E35" s="154"/>
      <c r="F35" s="157"/>
      <c r="G35" s="154"/>
      <c r="H35" s="152"/>
      <c r="I35" s="155" t="s">
        <v>925</v>
      </c>
      <c r="J35" s="152"/>
      <c r="K35" s="154"/>
      <c r="L35" s="154" t="s">
        <v>1003</v>
      </c>
      <c r="M35" s="227">
        <v>60952.36</v>
      </c>
      <c r="N35" s="157" t="s">
        <v>953</v>
      </c>
      <c r="O35" s="227">
        <f>H30+H33+H37+H38+O34-J35-M35</f>
        <v>420367.87636200956</v>
      </c>
      <c r="P35" s="152">
        <f t="shared" ref="P35:P38" si="16">P34+H35-J35-M35</f>
        <v>311533.59636200953</v>
      </c>
    </row>
    <row r="36" spans="1:16" x14ac:dyDescent="0.15">
      <c r="A36" s="154"/>
      <c r="B36" s="151"/>
      <c r="C36" s="152"/>
      <c r="D36" s="155"/>
      <c r="E36" s="154"/>
      <c r="F36" s="157"/>
      <c r="G36" s="154"/>
      <c r="H36" s="152"/>
      <c r="I36" s="155" t="s">
        <v>925</v>
      </c>
      <c r="J36" s="152"/>
      <c r="K36" s="154"/>
      <c r="L36" s="154" t="s">
        <v>1003</v>
      </c>
      <c r="M36" s="227">
        <v>89216.59</v>
      </c>
      <c r="N36" s="157" t="s">
        <v>953</v>
      </c>
      <c r="O36" s="227">
        <f t="shared" ref="O36:O38" si="17">+O35-J36-M36</f>
        <v>331151.28636200959</v>
      </c>
      <c r="P36" s="152">
        <f t="shared" si="16"/>
        <v>222317.00636200953</v>
      </c>
    </row>
    <row r="37" spans="1:16" x14ac:dyDescent="0.15">
      <c r="A37" s="154"/>
      <c r="B37" s="151"/>
      <c r="C37" s="152"/>
      <c r="D37" s="155" t="s">
        <v>945</v>
      </c>
      <c r="E37" s="154" t="s">
        <v>72</v>
      </c>
      <c r="F37" s="157" t="s">
        <v>953</v>
      </c>
      <c r="G37" s="154"/>
      <c r="H37" s="152">
        <v>80046.236000000004</v>
      </c>
      <c r="I37" s="155" t="s">
        <v>945</v>
      </c>
      <c r="J37" s="152"/>
      <c r="K37" s="154"/>
      <c r="L37" s="154"/>
      <c r="M37" s="227"/>
      <c r="N37" s="157"/>
      <c r="O37" s="227">
        <f t="shared" si="17"/>
        <v>331151.28636200959</v>
      </c>
      <c r="P37" s="152">
        <f t="shared" si="16"/>
        <v>302363.24236200954</v>
      </c>
    </row>
    <row r="38" spans="1:16" x14ac:dyDescent="0.15">
      <c r="A38" s="154"/>
      <c r="B38" s="151"/>
      <c r="C38" s="152"/>
      <c r="D38" s="155" t="s">
        <v>926</v>
      </c>
      <c r="E38" s="154" t="s">
        <v>72</v>
      </c>
      <c r="F38" s="157" t="s">
        <v>953</v>
      </c>
      <c r="G38" s="154"/>
      <c r="H38" s="152">
        <v>28788.044000000002</v>
      </c>
      <c r="I38" s="155" t="s">
        <v>926</v>
      </c>
      <c r="J38" s="152">
        <v>239.3878</v>
      </c>
      <c r="K38" s="157" t="s">
        <v>953</v>
      </c>
      <c r="L38" s="154" t="s">
        <v>1003</v>
      </c>
      <c r="M38" s="227">
        <v>78106.509999999995</v>
      </c>
      <c r="N38" s="157" t="s">
        <v>953</v>
      </c>
      <c r="O38" s="227">
        <f t="shared" si="17"/>
        <v>252805.38856200955</v>
      </c>
      <c r="P38" s="152">
        <f t="shared" si="16"/>
        <v>252805.3885620095</v>
      </c>
    </row>
    <row r="39" spans="1:16" x14ac:dyDescent="0.15">
      <c r="A39" s="154"/>
      <c r="B39" s="151"/>
      <c r="C39" s="152"/>
      <c r="D39" s="155" t="s">
        <v>926</v>
      </c>
      <c r="E39" s="154" t="s">
        <v>72</v>
      </c>
      <c r="F39" s="157" t="s">
        <v>954</v>
      </c>
      <c r="G39" s="154"/>
      <c r="H39" s="152">
        <v>131433.38699999999</v>
      </c>
      <c r="I39" s="155" t="s">
        <v>926</v>
      </c>
      <c r="J39" s="152"/>
      <c r="K39" s="154"/>
      <c r="L39" s="154" t="s">
        <v>1003</v>
      </c>
      <c r="M39" s="227">
        <v>88921.03</v>
      </c>
      <c r="N39" s="157" t="s">
        <v>953</v>
      </c>
      <c r="O39" s="227">
        <f t="shared" si="2"/>
        <v>163884.35856200955</v>
      </c>
      <c r="P39" s="152">
        <f t="shared" si="3"/>
        <v>295317.74556200951</v>
      </c>
    </row>
    <row r="40" spans="1:16" x14ac:dyDescent="0.15">
      <c r="A40" s="154"/>
      <c r="B40" s="151"/>
      <c r="C40" s="152"/>
      <c r="D40" s="155"/>
      <c r="E40" s="154"/>
      <c r="F40" s="157"/>
      <c r="G40" s="154"/>
      <c r="H40" s="152"/>
      <c r="I40" s="155" t="s">
        <v>926</v>
      </c>
      <c r="J40" s="152"/>
      <c r="K40" s="154"/>
      <c r="L40" s="154" t="s">
        <v>1003</v>
      </c>
      <c r="M40" s="227">
        <v>7205.67</v>
      </c>
      <c r="N40" s="157" t="s">
        <v>953</v>
      </c>
      <c r="O40" s="227">
        <f t="shared" si="2"/>
        <v>156678.68856200954</v>
      </c>
      <c r="P40" s="152">
        <f t="shared" si="3"/>
        <v>288112.07556200953</v>
      </c>
    </row>
    <row r="41" spans="1:16" x14ac:dyDescent="0.15">
      <c r="A41" s="154"/>
      <c r="B41" s="151"/>
      <c r="C41" s="152"/>
      <c r="D41" s="155" t="s">
        <v>927</v>
      </c>
      <c r="E41" s="154" t="s">
        <v>72</v>
      </c>
      <c r="F41" s="157" t="s">
        <v>954</v>
      </c>
      <c r="G41" s="154"/>
      <c r="H41" s="152">
        <v>40055.966</v>
      </c>
      <c r="I41" s="155" t="s">
        <v>927</v>
      </c>
      <c r="J41" s="152">
        <v>916.21</v>
      </c>
      <c r="K41" s="157" t="s">
        <v>953</v>
      </c>
      <c r="L41" s="154" t="s">
        <v>1003</v>
      </c>
      <c r="M41" s="227">
        <v>90829.57</v>
      </c>
      <c r="N41" s="157" t="s">
        <v>953</v>
      </c>
      <c r="O41" s="227">
        <f t="shared" si="2"/>
        <v>64932.908562009543</v>
      </c>
      <c r="P41" s="152">
        <f t="shared" si="3"/>
        <v>236422.26156200952</v>
      </c>
    </row>
    <row r="42" spans="1:16" x14ac:dyDescent="0.15">
      <c r="A42" s="154"/>
      <c r="B42" s="151"/>
      <c r="C42" s="152"/>
      <c r="D42" s="155"/>
      <c r="E42" s="154"/>
      <c r="F42" s="157"/>
      <c r="G42" s="154"/>
      <c r="H42" s="152"/>
      <c r="I42" s="155" t="s">
        <v>927</v>
      </c>
      <c r="J42" s="152"/>
      <c r="K42" s="154"/>
      <c r="L42" s="154" t="s">
        <v>1003</v>
      </c>
      <c r="M42" s="227">
        <v>64932.909</v>
      </c>
      <c r="N42" s="157" t="s">
        <v>953</v>
      </c>
      <c r="O42" s="227">
        <f t="shared" si="2"/>
        <v>-4.3799045670311898E-4</v>
      </c>
      <c r="P42" s="152">
        <f t="shared" si="3"/>
        <v>171489.35256200953</v>
      </c>
    </row>
    <row r="43" spans="1:16" x14ac:dyDescent="0.15">
      <c r="A43" s="154"/>
      <c r="B43" s="151"/>
      <c r="C43" s="152"/>
      <c r="D43" s="155"/>
      <c r="E43" s="154"/>
      <c r="F43" s="157"/>
      <c r="G43" s="154"/>
      <c r="H43" s="152"/>
      <c r="I43" s="155" t="s">
        <v>927</v>
      </c>
      <c r="J43" s="152"/>
      <c r="K43" s="154"/>
      <c r="L43" s="154" t="s">
        <v>1003</v>
      </c>
      <c r="M43" s="227">
        <v>26467.411</v>
      </c>
      <c r="N43" s="157" t="s">
        <v>954</v>
      </c>
      <c r="O43" s="227">
        <f>H39+H41+O42-J43-M43</f>
        <v>145021.94156200954</v>
      </c>
      <c r="P43" s="152">
        <f t="shared" ref="P43:P45" si="18">P42+H43-J43-M43</f>
        <v>145021.94156200954</v>
      </c>
    </row>
    <row r="44" spans="1:16" x14ac:dyDescent="0.15">
      <c r="A44" s="154"/>
      <c r="B44" s="151"/>
      <c r="C44" s="152"/>
      <c r="D44" s="155" t="s">
        <v>927</v>
      </c>
      <c r="E44" s="154" t="s">
        <v>72</v>
      </c>
      <c r="F44" s="157" t="s">
        <v>955</v>
      </c>
      <c r="G44" s="154"/>
      <c r="H44" s="152">
        <v>40107.879999999997</v>
      </c>
      <c r="I44" s="155" t="s">
        <v>927</v>
      </c>
      <c r="J44" s="152"/>
      <c r="K44" s="154"/>
      <c r="L44" s="154" t="s">
        <v>1003</v>
      </c>
      <c r="M44" s="227">
        <v>7178.45</v>
      </c>
      <c r="N44" s="157" t="s">
        <v>954</v>
      </c>
      <c r="O44" s="227">
        <f t="shared" ref="O44:O45" si="19">+O43-J44-M44</f>
        <v>137843.49156200953</v>
      </c>
      <c r="P44" s="152">
        <f t="shared" si="18"/>
        <v>177951.37156200953</v>
      </c>
    </row>
    <row r="45" spans="1:16" x14ac:dyDescent="0.15">
      <c r="A45" s="154"/>
      <c r="B45" s="151"/>
      <c r="C45" s="152"/>
      <c r="D45" s="155" t="s">
        <v>946</v>
      </c>
      <c r="E45" s="154" t="s">
        <v>72</v>
      </c>
      <c r="F45" s="157" t="s">
        <v>956</v>
      </c>
      <c r="G45" s="154"/>
      <c r="H45" s="152">
        <v>116167.49</v>
      </c>
      <c r="I45" s="155" t="s">
        <v>946</v>
      </c>
      <c r="J45" s="152"/>
      <c r="K45" s="154"/>
      <c r="L45" s="154"/>
      <c r="M45" s="227"/>
      <c r="N45" s="157"/>
      <c r="O45" s="227">
        <f t="shared" si="19"/>
        <v>137843.49156200953</v>
      </c>
      <c r="P45" s="152">
        <f t="shared" si="18"/>
        <v>294118.86156200955</v>
      </c>
    </row>
    <row r="46" spans="1:16" x14ac:dyDescent="0.15">
      <c r="A46" s="154"/>
      <c r="B46" s="151"/>
      <c r="C46" s="152"/>
      <c r="D46" s="155" t="s">
        <v>928</v>
      </c>
      <c r="E46" s="154" t="s">
        <v>72</v>
      </c>
      <c r="F46" s="157" t="s">
        <v>956</v>
      </c>
      <c r="G46" s="154"/>
      <c r="H46" s="152">
        <v>140304.405</v>
      </c>
      <c r="I46" s="155" t="s">
        <v>928</v>
      </c>
      <c r="J46" s="152">
        <v>430.83</v>
      </c>
      <c r="K46" s="157" t="s">
        <v>954</v>
      </c>
      <c r="L46" s="154" t="s">
        <v>1003</v>
      </c>
      <c r="M46" s="227">
        <v>76532.160000000003</v>
      </c>
      <c r="N46" s="157" t="s">
        <v>954</v>
      </c>
      <c r="O46" s="227">
        <f t="shared" si="2"/>
        <v>60880.501562009536</v>
      </c>
      <c r="P46" s="152">
        <f t="shared" si="3"/>
        <v>357460.27656200959</v>
      </c>
    </row>
    <row r="47" spans="1:16" x14ac:dyDescent="0.15">
      <c r="A47" s="154"/>
      <c r="B47" s="151"/>
      <c r="C47" s="152"/>
      <c r="D47" s="155"/>
      <c r="E47" s="154"/>
      <c r="F47" s="157"/>
      <c r="G47" s="154"/>
      <c r="H47" s="152"/>
      <c r="I47" s="155" t="s">
        <v>928</v>
      </c>
      <c r="J47" s="152"/>
      <c r="K47" s="154"/>
      <c r="L47" s="154" t="s">
        <v>1003</v>
      </c>
      <c r="M47" s="227">
        <v>60880.502</v>
      </c>
      <c r="N47" s="157" t="s">
        <v>954</v>
      </c>
      <c r="O47" s="227">
        <f t="shared" si="2"/>
        <v>-4.3799046397907659E-4</v>
      </c>
      <c r="P47" s="152">
        <f t="shared" si="3"/>
        <v>296579.77456200961</v>
      </c>
    </row>
    <row r="48" spans="1:16" x14ac:dyDescent="0.15">
      <c r="A48" s="154"/>
      <c r="B48" s="151"/>
      <c r="C48" s="152"/>
      <c r="D48" s="155"/>
      <c r="E48" s="154"/>
      <c r="F48" s="157"/>
      <c r="G48" s="154"/>
      <c r="H48" s="152"/>
      <c r="I48" s="155" t="s">
        <v>928</v>
      </c>
      <c r="J48" s="152"/>
      <c r="K48" s="154"/>
      <c r="L48" s="154" t="s">
        <v>1003</v>
      </c>
      <c r="M48" s="227">
        <v>19053.198</v>
      </c>
      <c r="N48" s="157" t="s">
        <v>955</v>
      </c>
      <c r="O48" s="227">
        <f>H44+O47-J48-M48</f>
        <v>21054.681562009533</v>
      </c>
      <c r="P48" s="152">
        <f t="shared" ref="P48:P49" si="20">P47+H48-J48-M48</f>
        <v>277526.57656200964</v>
      </c>
    </row>
    <row r="49" spans="1:16" x14ac:dyDescent="0.15">
      <c r="A49" s="154"/>
      <c r="B49" s="151"/>
      <c r="C49" s="152"/>
      <c r="D49" s="155" t="s">
        <v>929</v>
      </c>
      <c r="E49" s="154" t="s">
        <v>72</v>
      </c>
      <c r="F49" s="157" t="s">
        <v>956</v>
      </c>
      <c r="G49" s="154"/>
      <c r="H49" s="152">
        <v>276774.69400000002</v>
      </c>
      <c r="I49" s="155" t="s">
        <v>929</v>
      </c>
      <c r="J49" s="152">
        <v>2390.6</v>
      </c>
      <c r="K49" s="157" t="s">
        <v>955</v>
      </c>
      <c r="L49" s="154" t="s">
        <v>1003</v>
      </c>
      <c r="M49" s="227">
        <v>18664.081999999999</v>
      </c>
      <c r="N49" s="157" t="s">
        <v>955</v>
      </c>
      <c r="O49" s="227">
        <f t="shared" ref="O49" si="21">+O48-J49-M49</f>
        <v>-4.3799046397907659E-4</v>
      </c>
      <c r="P49" s="152">
        <f t="shared" si="20"/>
        <v>533246.58856200962</v>
      </c>
    </row>
    <row r="50" spans="1:16" x14ac:dyDescent="0.15">
      <c r="A50" s="154"/>
      <c r="B50" s="151"/>
      <c r="C50" s="152"/>
      <c r="D50" s="155"/>
      <c r="E50" s="154"/>
      <c r="F50" s="157"/>
      <c r="G50" s="154"/>
      <c r="H50" s="152"/>
      <c r="I50" s="155" t="s">
        <v>929</v>
      </c>
      <c r="J50" s="152"/>
      <c r="K50" s="154"/>
      <c r="L50" s="154" t="s">
        <v>1003</v>
      </c>
      <c r="M50" s="227">
        <v>58951.637999999999</v>
      </c>
      <c r="N50" s="157" t="s">
        <v>956</v>
      </c>
      <c r="O50" s="227">
        <f>H45+H46+H49+O49-J50-M50</f>
        <v>474294.95056200965</v>
      </c>
      <c r="P50" s="152">
        <f t="shared" ref="P50:P52" si="22">P49+H50-J50-M50</f>
        <v>474294.95056200965</v>
      </c>
    </row>
    <row r="51" spans="1:16" x14ac:dyDescent="0.15">
      <c r="A51" s="154"/>
      <c r="B51" s="151"/>
      <c r="C51" s="152"/>
      <c r="D51" s="155" t="s">
        <v>930</v>
      </c>
      <c r="E51" s="154" t="s">
        <v>72</v>
      </c>
      <c r="F51" s="157" t="s">
        <v>957</v>
      </c>
      <c r="G51" s="154"/>
      <c r="H51" s="152">
        <v>116313.96</v>
      </c>
      <c r="I51" s="155" t="s">
        <v>930</v>
      </c>
      <c r="J51" s="152"/>
      <c r="K51" s="154"/>
      <c r="L51" s="154" t="s">
        <v>1003</v>
      </c>
      <c r="M51" s="227">
        <v>78688.31</v>
      </c>
      <c r="N51" s="157" t="s">
        <v>956</v>
      </c>
      <c r="O51" s="227">
        <f t="shared" ref="O51:O52" si="23">+O50-J51-M51</f>
        <v>395606.64056200965</v>
      </c>
      <c r="P51" s="152">
        <f t="shared" si="22"/>
        <v>511920.60056200967</v>
      </c>
    </row>
    <row r="52" spans="1:16" x14ac:dyDescent="0.15">
      <c r="A52" s="154"/>
      <c r="B52" s="151"/>
      <c r="C52" s="152"/>
      <c r="D52" s="155" t="s">
        <v>930</v>
      </c>
      <c r="E52" s="154" t="s">
        <v>72</v>
      </c>
      <c r="F52" s="157" t="s">
        <v>958</v>
      </c>
      <c r="G52" s="154"/>
      <c r="H52" s="152">
        <v>56051.578999999998</v>
      </c>
      <c r="I52" s="155" t="s">
        <v>930</v>
      </c>
      <c r="J52" s="152"/>
      <c r="K52" s="154"/>
      <c r="L52" s="154" t="s">
        <v>1003</v>
      </c>
      <c r="M52" s="227">
        <v>88050.31</v>
      </c>
      <c r="N52" s="157" t="s">
        <v>956</v>
      </c>
      <c r="O52" s="227">
        <f t="shared" si="23"/>
        <v>307556.33056200965</v>
      </c>
      <c r="P52" s="152">
        <f t="shared" si="22"/>
        <v>479921.86956200964</v>
      </c>
    </row>
    <row r="53" spans="1:16" x14ac:dyDescent="0.15">
      <c r="A53" s="154"/>
      <c r="B53" s="151"/>
      <c r="C53" s="152"/>
      <c r="D53" s="155" t="s">
        <v>931</v>
      </c>
      <c r="E53" s="154" t="s">
        <v>72</v>
      </c>
      <c r="F53" s="157" t="s">
        <v>958</v>
      </c>
      <c r="G53" s="154"/>
      <c r="H53" s="152">
        <v>116211.336</v>
      </c>
      <c r="I53" s="155" t="s">
        <v>931</v>
      </c>
      <c r="J53" s="152"/>
      <c r="K53" s="154"/>
      <c r="L53" s="154" t="s">
        <v>1003</v>
      </c>
      <c r="M53" s="227">
        <v>46832.18</v>
      </c>
      <c r="N53" s="157" t="s">
        <v>956</v>
      </c>
      <c r="O53" s="227">
        <f t="shared" si="2"/>
        <v>260724.15056200966</v>
      </c>
      <c r="P53" s="152">
        <f t="shared" si="3"/>
        <v>549301.02556200954</v>
      </c>
    </row>
    <row r="54" spans="1:16" x14ac:dyDescent="0.15">
      <c r="A54" s="154"/>
      <c r="B54" s="151"/>
      <c r="C54" s="152"/>
      <c r="D54" s="155" t="s">
        <v>932</v>
      </c>
      <c r="E54" s="154" t="s">
        <v>72</v>
      </c>
      <c r="F54" s="157" t="s">
        <v>958</v>
      </c>
      <c r="G54" s="154"/>
      <c r="H54" s="152">
        <v>60928.97</v>
      </c>
      <c r="I54" s="155" t="s">
        <v>932</v>
      </c>
      <c r="J54" s="152"/>
      <c r="K54" s="154"/>
      <c r="L54" s="154" t="s">
        <v>1003</v>
      </c>
      <c r="M54" s="227">
        <v>4878.4399999999996</v>
      </c>
      <c r="N54" s="157" t="s">
        <v>956</v>
      </c>
      <c r="O54" s="227">
        <f t="shared" si="2"/>
        <v>255845.71056200966</v>
      </c>
      <c r="P54" s="152">
        <f t="shared" si="3"/>
        <v>605351.55556200957</v>
      </c>
    </row>
    <row r="55" spans="1:16" x14ac:dyDescent="0.15">
      <c r="A55" s="154"/>
      <c r="B55" s="151"/>
      <c r="C55" s="152"/>
      <c r="D55" s="155" t="s">
        <v>932</v>
      </c>
      <c r="E55" s="154" t="s">
        <v>72</v>
      </c>
      <c r="F55" s="157" t="s">
        <v>959</v>
      </c>
      <c r="G55" s="154"/>
      <c r="H55" s="152">
        <v>39178.928</v>
      </c>
      <c r="I55" s="155" t="s">
        <v>932</v>
      </c>
      <c r="J55" s="152"/>
      <c r="K55" s="154"/>
      <c r="L55" s="154" t="s">
        <v>1003</v>
      </c>
      <c r="M55" s="227">
        <v>74387.88</v>
      </c>
      <c r="N55" s="157" t="s">
        <v>956</v>
      </c>
      <c r="O55" s="227">
        <f t="shared" si="2"/>
        <v>181457.83056200965</v>
      </c>
      <c r="P55" s="152">
        <f t="shared" si="3"/>
        <v>570142.60356200952</v>
      </c>
    </row>
    <row r="56" spans="1:16" x14ac:dyDescent="0.15">
      <c r="A56" s="154"/>
      <c r="B56" s="151"/>
      <c r="C56" s="152"/>
      <c r="D56" s="155"/>
      <c r="E56" s="154"/>
      <c r="F56" s="157"/>
      <c r="G56" s="154"/>
      <c r="H56" s="152"/>
      <c r="I56" s="155" t="s">
        <v>932</v>
      </c>
      <c r="J56" s="152"/>
      <c r="K56" s="154"/>
      <c r="L56" s="154" t="s">
        <v>1003</v>
      </c>
      <c r="M56" s="227">
        <v>84478.12</v>
      </c>
      <c r="N56" s="157" t="s">
        <v>956</v>
      </c>
      <c r="O56" s="227">
        <f t="shared" si="2"/>
        <v>96979.710562009655</v>
      </c>
      <c r="P56" s="152">
        <f t="shared" si="3"/>
        <v>485664.48356200953</v>
      </c>
    </row>
    <row r="57" spans="1:16" x14ac:dyDescent="0.15">
      <c r="A57" s="154"/>
      <c r="B57" s="151"/>
      <c r="C57" s="152"/>
      <c r="D57" s="155"/>
      <c r="E57" s="154"/>
      <c r="F57" s="157"/>
      <c r="G57" s="154"/>
      <c r="H57" s="152"/>
      <c r="I57" s="155" t="s">
        <v>932</v>
      </c>
      <c r="J57" s="152"/>
      <c r="K57" s="154"/>
      <c r="L57" s="154" t="s">
        <v>1003</v>
      </c>
      <c r="M57" s="227">
        <v>85789.54</v>
      </c>
      <c r="N57" s="157" t="s">
        <v>956</v>
      </c>
      <c r="O57" s="227">
        <f t="shared" si="2"/>
        <v>11190.170562009662</v>
      </c>
      <c r="P57" s="152">
        <f t="shared" si="3"/>
        <v>399874.94356200955</v>
      </c>
    </row>
    <row r="58" spans="1:16" x14ac:dyDescent="0.15">
      <c r="A58" s="154"/>
      <c r="B58" s="151"/>
      <c r="C58" s="152"/>
      <c r="D58" s="155" t="s">
        <v>933</v>
      </c>
      <c r="E58" s="154" t="s">
        <v>72</v>
      </c>
      <c r="F58" s="157" t="s">
        <v>959</v>
      </c>
      <c r="G58" s="154"/>
      <c r="H58" s="152">
        <v>20011.661</v>
      </c>
      <c r="I58" s="155" t="s">
        <v>933</v>
      </c>
      <c r="J58" s="152"/>
      <c r="K58" s="154"/>
      <c r="L58" s="154" t="s">
        <v>1003</v>
      </c>
      <c r="M58" s="227">
        <v>11190.171</v>
      </c>
      <c r="N58" s="157" t="s">
        <v>956</v>
      </c>
      <c r="O58" s="227">
        <f t="shared" ref="O58:O65" si="24">+O57-J58-M58</f>
        <v>-4.3799033846880775E-4</v>
      </c>
      <c r="P58" s="152">
        <f t="shared" ref="P58:P65" si="25">P57+H58-J58-M58</f>
        <v>408696.4335620096</v>
      </c>
    </row>
    <row r="59" spans="1:16" x14ac:dyDescent="0.15">
      <c r="A59" s="154"/>
      <c r="B59" s="151"/>
      <c r="C59" s="152"/>
      <c r="D59" s="155"/>
      <c r="E59" s="154"/>
      <c r="F59" s="157"/>
      <c r="G59" s="154"/>
      <c r="H59" s="152"/>
      <c r="I59" s="155" t="s">
        <v>933</v>
      </c>
      <c r="J59" s="152"/>
      <c r="K59" s="154"/>
      <c r="L59" s="154" t="s">
        <v>1005</v>
      </c>
      <c r="M59" s="227">
        <v>71281.718999999997</v>
      </c>
      <c r="N59" s="157" t="s">
        <v>957</v>
      </c>
      <c r="O59" s="227">
        <f>H51+O58-J59-M59</f>
        <v>45032.240562009669</v>
      </c>
      <c r="P59" s="152">
        <f t="shared" si="25"/>
        <v>337414.71456200961</v>
      </c>
    </row>
    <row r="60" spans="1:16" x14ac:dyDescent="0.15">
      <c r="A60" s="154"/>
      <c r="B60" s="151"/>
      <c r="C60" s="152"/>
      <c r="D60" s="155"/>
      <c r="E60" s="154"/>
      <c r="F60" s="157"/>
      <c r="G60" s="154"/>
      <c r="H60" s="152"/>
      <c r="I60" s="155" t="s">
        <v>933</v>
      </c>
      <c r="J60" s="152"/>
      <c r="K60" s="154"/>
      <c r="L60" s="154" t="s">
        <v>1005</v>
      </c>
      <c r="M60" s="227">
        <v>45032.241000000002</v>
      </c>
      <c r="N60" s="157" t="s">
        <v>957</v>
      </c>
      <c r="O60" s="227">
        <f t="shared" si="24"/>
        <v>-4.3799033301183954E-4</v>
      </c>
      <c r="P60" s="152">
        <f t="shared" si="25"/>
        <v>292382.47356200963</v>
      </c>
    </row>
    <row r="61" spans="1:16" x14ac:dyDescent="0.15">
      <c r="A61" s="154"/>
      <c r="B61" s="151"/>
      <c r="C61" s="152"/>
      <c r="D61" s="155"/>
      <c r="E61" s="154"/>
      <c r="F61" s="157"/>
      <c r="G61" s="154"/>
      <c r="H61" s="152"/>
      <c r="I61" s="155" t="s">
        <v>933</v>
      </c>
      <c r="J61" s="152"/>
      <c r="K61" s="154"/>
      <c r="L61" s="154" t="s">
        <v>1005</v>
      </c>
      <c r="M61" s="227">
        <v>43579.578999999998</v>
      </c>
      <c r="N61" s="157" t="s">
        <v>958</v>
      </c>
      <c r="O61" s="227">
        <f>H52+H53+H54+O60-J61-M61</f>
        <v>189612.30556200966</v>
      </c>
      <c r="P61" s="152">
        <f t="shared" ref="P61:P64" si="26">P60+H61-J61-M61</f>
        <v>248802.89456200963</v>
      </c>
    </row>
    <row r="62" spans="1:16" x14ac:dyDescent="0.15">
      <c r="A62" s="154"/>
      <c r="B62" s="151"/>
      <c r="C62" s="152"/>
      <c r="D62" s="155" t="s">
        <v>934</v>
      </c>
      <c r="E62" s="154" t="s">
        <v>72</v>
      </c>
      <c r="F62" s="157" t="s">
        <v>960</v>
      </c>
      <c r="G62" s="154"/>
      <c r="H62" s="152">
        <v>176053.02799999999</v>
      </c>
      <c r="I62" s="155" t="s">
        <v>934</v>
      </c>
      <c r="J62" s="152">
        <v>5370.35</v>
      </c>
      <c r="K62" s="157" t="s">
        <v>958</v>
      </c>
      <c r="L62" s="154" t="s">
        <v>1005</v>
      </c>
      <c r="M62" s="227">
        <v>1040.8399999999999</v>
      </c>
      <c r="N62" s="157" t="s">
        <v>958</v>
      </c>
      <c r="O62" s="227">
        <f t="shared" ref="O62:O64" si="27">+O61-J62-M62</f>
        <v>183201.11556200965</v>
      </c>
      <c r="P62" s="152">
        <f t="shared" si="26"/>
        <v>418444.73256200965</v>
      </c>
    </row>
    <row r="63" spans="1:16" x14ac:dyDescent="0.15">
      <c r="A63" s="154"/>
      <c r="B63" s="151"/>
      <c r="C63" s="152"/>
      <c r="D63" s="155" t="s">
        <v>935</v>
      </c>
      <c r="E63" s="154" t="s">
        <v>72</v>
      </c>
      <c r="F63" s="157" t="s">
        <v>960</v>
      </c>
      <c r="G63" s="154"/>
      <c r="H63" s="152">
        <v>60053.427000000003</v>
      </c>
      <c r="I63" s="155" t="s">
        <v>935</v>
      </c>
      <c r="J63" s="152"/>
      <c r="K63" s="154"/>
      <c r="L63" s="154" t="s">
        <v>1005</v>
      </c>
      <c r="M63" s="227">
        <v>72708.3</v>
      </c>
      <c r="N63" s="157" t="s">
        <v>958</v>
      </c>
      <c r="O63" s="227">
        <f t="shared" si="27"/>
        <v>110492.81556200965</v>
      </c>
      <c r="P63" s="152">
        <f t="shared" si="26"/>
        <v>405789.85956200969</v>
      </c>
    </row>
    <row r="64" spans="1:16" x14ac:dyDescent="0.15">
      <c r="A64" s="154"/>
      <c r="B64" s="151"/>
      <c r="C64" s="152"/>
      <c r="D64" s="155" t="s">
        <v>935</v>
      </c>
      <c r="E64" s="154" t="s">
        <v>72</v>
      </c>
      <c r="F64" s="157" t="s">
        <v>961</v>
      </c>
      <c r="G64" s="154"/>
      <c r="H64" s="152">
        <v>116125.647</v>
      </c>
      <c r="I64" s="155" t="s">
        <v>935</v>
      </c>
      <c r="J64" s="152"/>
      <c r="K64" s="154"/>
      <c r="L64" s="154" t="s">
        <v>1005</v>
      </c>
      <c r="M64" s="227">
        <v>35972.53</v>
      </c>
      <c r="N64" s="157" t="s">
        <v>958</v>
      </c>
      <c r="O64" s="227">
        <f t="shared" si="27"/>
        <v>74520.285562009652</v>
      </c>
      <c r="P64" s="152">
        <f t="shared" si="26"/>
        <v>485942.97656200966</v>
      </c>
    </row>
    <row r="65" spans="1:16" x14ac:dyDescent="0.15">
      <c r="A65" s="154"/>
      <c r="B65" s="151"/>
      <c r="C65" s="152"/>
      <c r="D65" s="155"/>
      <c r="E65" s="154"/>
      <c r="F65" s="157"/>
      <c r="G65" s="154"/>
      <c r="H65" s="152"/>
      <c r="I65" s="155" t="s">
        <v>935</v>
      </c>
      <c r="J65" s="152"/>
      <c r="K65" s="154"/>
      <c r="L65" s="154" t="s">
        <v>1005</v>
      </c>
      <c r="M65" s="227">
        <v>74520.285999999993</v>
      </c>
      <c r="N65" s="157" t="s">
        <v>958</v>
      </c>
      <c r="O65" s="227">
        <f t="shared" si="24"/>
        <v>-4.3799034028779715E-4</v>
      </c>
      <c r="P65" s="152">
        <f t="shared" si="25"/>
        <v>411422.69056200969</v>
      </c>
    </row>
    <row r="66" spans="1:16" x14ac:dyDescent="0.15">
      <c r="A66" s="154"/>
      <c r="B66" s="151"/>
      <c r="C66" s="152"/>
      <c r="D66" s="155"/>
      <c r="E66" s="154"/>
      <c r="F66" s="157"/>
      <c r="G66" s="154"/>
      <c r="H66" s="152"/>
      <c r="I66" s="155" t="s">
        <v>935</v>
      </c>
      <c r="J66" s="152"/>
      <c r="K66" s="154"/>
      <c r="L66" s="154" t="s">
        <v>1005</v>
      </c>
      <c r="M66" s="227">
        <v>3108.884</v>
      </c>
      <c r="N66" s="157" t="s">
        <v>959</v>
      </c>
      <c r="O66" s="227">
        <f>H55+H58+O65-J66-M66</f>
        <v>56081.704562009661</v>
      </c>
      <c r="P66" s="152">
        <f t="shared" ref="P66:P67" si="28">P65+H66-J66-M66</f>
        <v>408313.80656200967</v>
      </c>
    </row>
    <row r="67" spans="1:16" x14ac:dyDescent="0.15">
      <c r="A67" s="154"/>
      <c r="B67" s="151"/>
      <c r="C67" s="152"/>
      <c r="D67" s="155" t="s">
        <v>936</v>
      </c>
      <c r="E67" s="154" t="s">
        <v>72</v>
      </c>
      <c r="F67" s="157" t="s">
        <v>961</v>
      </c>
      <c r="G67" s="154"/>
      <c r="H67" s="152">
        <v>256157.99400000001</v>
      </c>
      <c r="I67" s="155" t="s">
        <v>936</v>
      </c>
      <c r="J67" s="152"/>
      <c r="K67" s="154"/>
      <c r="L67" s="154" t="s">
        <v>1005</v>
      </c>
      <c r="M67" s="227">
        <v>56081.705000000002</v>
      </c>
      <c r="N67" s="157" t="s">
        <v>959</v>
      </c>
      <c r="O67" s="227">
        <f t="shared" ref="O67" si="29">+O66-J67-M67</f>
        <v>-4.3799034028779715E-4</v>
      </c>
      <c r="P67" s="152">
        <f t="shared" si="28"/>
        <v>608390.09556200972</v>
      </c>
    </row>
    <row r="68" spans="1:16" x14ac:dyDescent="0.15">
      <c r="A68" s="154"/>
      <c r="B68" s="151"/>
      <c r="C68" s="152"/>
      <c r="D68" s="155"/>
      <c r="E68" s="154"/>
      <c r="F68" s="157"/>
      <c r="G68" s="154"/>
      <c r="H68" s="152"/>
      <c r="I68" s="155" t="s">
        <v>936</v>
      </c>
      <c r="J68" s="152"/>
      <c r="K68" s="154"/>
      <c r="L68" s="154" t="s">
        <v>1003</v>
      </c>
      <c r="M68" s="227">
        <v>17891.965</v>
      </c>
      <c r="N68" s="157" t="s">
        <v>960</v>
      </c>
      <c r="O68" s="227">
        <f>H62+H63+O67-J68-M68</f>
        <v>218214.48956200966</v>
      </c>
      <c r="P68" s="152">
        <f t="shared" ref="P68:P70" si="30">P67+H68-J68-M68</f>
        <v>590498.13056200976</v>
      </c>
    </row>
    <row r="69" spans="1:16" x14ac:dyDescent="0.15">
      <c r="A69" s="154"/>
      <c r="B69" s="151"/>
      <c r="C69" s="152"/>
      <c r="D69" s="155"/>
      <c r="E69" s="154"/>
      <c r="F69" s="157"/>
      <c r="G69" s="154"/>
      <c r="H69" s="152"/>
      <c r="I69" s="155" t="s">
        <v>936</v>
      </c>
      <c r="J69" s="152"/>
      <c r="K69" s="154"/>
      <c r="L69" s="154" t="s">
        <v>1003</v>
      </c>
      <c r="M69" s="227">
        <v>75015.460000000006</v>
      </c>
      <c r="N69" s="157" t="s">
        <v>960</v>
      </c>
      <c r="O69" s="227">
        <f t="shared" ref="O69:O70" si="31">+O68-J69-M69</f>
        <v>143199.02956200967</v>
      </c>
      <c r="P69" s="152">
        <f t="shared" si="30"/>
        <v>515482.67056200973</v>
      </c>
    </row>
    <row r="70" spans="1:16" x14ac:dyDescent="0.15">
      <c r="A70" s="154"/>
      <c r="B70" s="151"/>
      <c r="C70" s="152"/>
      <c r="D70" s="155"/>
      <c r="E70" s="154"/>
      <c r="F70" s="157"/>
      <c r="G70" s="154"/>
      <c r="H70" s="152"/>
      <c r="I70" s="155" t="s">
        <v>936</v>
      </c>
      <c r="J70" s="152"/>
      <c r="K70" s="154"/>
      <c r="L70" s="154" t="s">
        <v>1003</v>
      </c>
      <c r="M70" s="227">
        <v>2634.38</v>
      </c>
      <c r="N70" s="157" t="s">
        <v>960</v>
      </c>
      <c r="O70" s="227">
        <f t="shared" si="31"/>
        <v>140564.64956200967</v>
      </c>
      <c r="P70" s="152">
        <f t="shared" si="30"/>
        <v>512848.29056200973</v>
      </c>
    </row>
    <row r="71" spans="1:16" x14ac:dyDescent="0.15">
      <c r="A71" s="154"/>
      <c r="B71" s="151"/>
      <c r="C71" s="152"/>
      <c r="D71" s="155"/>
      <c r="E71" s="154"/>
      <c r="F71" s="157"/>
      <c r="G71" s="154"/>
      <c r="H71" s="152"/>
      <c r="I71" s="155" t="s">
        <v>937</v>
      </c>
      <c r="J71" s="152"/>
      <c r="K71" s="154"/>
      <c r="L71" s="154" t="s">
        <v>1003</v>
      </c>
      <c r="M71" s="227">
        <v>1748.29</v>
      </c>
      <c r="N71" s="157" t="s">
        <v>960</v>
      </c>
      <c r="O71" s="227">
        <f t="shared" si="2"/>
        <v>138816.35956200966</v>
      </c>
      <c r="P71" s="152">
        <f t="shared" si="3"/>
        <v>511100.00056200975</v>
      </c>
    </row>
    <row r="72" spans="1:16" x14ac:dyDescent="0.15">
      <c r="A72" s="154"/>
      <c r="B72" s="151"/>
      <c r="C72" s="152"/>
      <c r="D72" s="155"/>
      <c r="E72" s="154"/>
      <c r="F72" s="157"/>
      <c r="G72" s="154"/>
      <c r="H72" s="152"/>
      <c r="I72" s="155" t="s">
        <v>937</v>
      </c>
      <c r="J72" s="152"/>
      <c r="K72" s="154"/>
      <c r="L72" s="154" t="s">
        <v>1003</v>
      </c>
      <c r="M72" s="227">
        <v>73890.44</v>
      </c>
      <c r="N72" s="157" t="s">
        <v>960</v>
      </c>
      <c r="O72" s="227">
        <f t="shared" si="2"/>
        <v>64925.919562009658</v>
      </c>
      <c r="P72" s="152">
        <f t="shared" si="3"/>
        <v>437209.56056200975</v>
      </c>
    </row>
    <row r="73" spans="1:16" x14ac:dyDescent="0.15">
      <c r="A73" s="154"/>
      <c r="B73" s="151"/>
      <c r="C73" s="152"/>
      <c r="D73" s="155"/>
      <c r="E73" s="154"/>
      <c r="F73" s="157"/>
      <c r="G73" s="154"/>
      <c r="H73" s="152"/>
      <c r="I73" s="155" t="s">
        <v>937</v>
      </c>
      <c r="J73" s="152"/>
      <c r="K73" s="157"/>
      <c r="L73" s="154" t="s">
        <v>1003</v>
      </c>
      <c r="M73" s="227">
        <v>47686.16</v>
      </c>
      <c r="N73" s="157" t="s">
        <v>960</v>
      </c>
      <c r="O73" s="227">
        <f t="shared" si="2"/>
        <v>17239.759562009654</v>
      </c>
      <c r="P73" s="152">
        <f t="shared" si="3"/>
        <v>389523.40056200977</v>
      </c>
    </row>
    <row r="74" spans="1:16" x14ac:dyDescent="0.15">
      <c r="A74" s="154"/>
      <c r="B74" s="151"/>
      <c r="C74" s="152"/>
      <c r="D74" s="155"/>
      <c r="E74" s="154"/>
      <c r="F74" s="157"/>
      <c r="G74" s="154"/>
      <c r="H74" s="152"/>
      <c r="I74" s="155" t="s">
        <v>937</v>
      </c>
      <c r="J74" s="152"/>
      <c r="K74" s="157"/>
      <c r="L74" s="154" t="s">
        <v>1003</v>
      </c>
      <c r="M74" s="227">
        <v>486.31</v>
      </c>
      <c r="N74" s="157" t="s">
        <v>960</v>
      </c>
      <c r="O74" s="227">
        <f t="shared" si="2"/>
        <v>16753.449562009653</v>
      </c>
      <c r="P74" s="152">
        <f t="shared" si="3"/>
        <v>389037.09056200978</v>
      </c>
    </row>
    <row r="75" spans="1:16" x14ac:dyDescent="0.15">
      <c r="A75" s="154"/>
      <c r="B75" s="151"/>
      <c r="C75" s="152"/>
      <c r="D75" s="155"/>
      <c r="E75" s="154"/>
      <c r="F75" s="157"/>
      <c r="G75" s="154"/>
      <c r="H75" s="152"/>
      <c r="I75" s="155" t="s">
        <v>937</v>
      </c>
      <c r="J75" s="152"/>
      <c r="K75" s="154"/>
      <c r="L75" s="154" t="s">
        <v>1003</v>
      </c>
      <c r="M75" s="227">
        <v>16753.45</v>
      </c>
      <c r="N75" s="157" t="s">
        <v>960</v>
      </c>
      <c r="O75" s="227">
        <f t="shared" si="2"/>
        <v>-4.3799034756375477E-4</v>
      </c>
      <c r="P75" s="152">
        <f t="shared" si="3"/>
        <v>372283.64056200976</v>
      </c>
    </row>
    <row r="76" spans="1:16" x14ac:dyDescent="0.15">
      <c r="A76" s="154"/>
      <c r="B76" s="151"/>
      <c r="C76" s="152"/>
      <c r="D76" s="155"/>
      <c r="E76" s="154"/>
      <c r="F76" s="157"/>
      <c r="G76" s="154"/>
      <c r="H76" s="152"/>
      <c r="I76" s="155" t="s">
        <v>937</v>
      </c>
      <c r="J76" s="152"/>
      <c r="K76" s="154"/>
      <c r="L76" s="154" t="s">
        <v>1005</v>
      </c>
      <c r="M76" s="227">
        <v>65185.16</v>
      </c>
      <c r="N76" s="157" t="s">
        <v>961</v>
      </c>
      <c r="O76" s="227">
        <f>H64+H67+O75-J76-M76</f>
        <v>307098.48056200962</v>
      </c>
      <c r="P76" s="152">
        <f t="shared" ref="P76:P77" si="32">P75+H76-J76-M76</f>
        <v>307098.48056200973</v>
      </c>
    </row>
    <row r="77" spans="1:16" x14ac:dyDescent="0.15">
      <c r="A77" s="154"/>
      <c r="B77" s="151"/>
      <c r="C77" s="152"/>
      <c r="D77" s="155"/>
      <c r="E77" s="154"/>
      <c r="F77" s="157"/>
      <c r="G77" s="154"/>
      <c r="H77" s="152"/>
      <c r="I77" s="155" t="s">
        <v>938</v>
      </c>
      <c r="J77" s="152"/>
      <c r="K77" s="154"/>
      <c r="L77" s="154" t="s">
        <v>1005</v>
      </c>
      <c r="M77" s="227">
        <v>3796.1</v>
      </c>
      <c r="N77" s="157" t="s">
        <v>961</v>
      </c>
      <c r="O77" s="227">
        <f t="shared" ref="O77" si="33">+O76-J77-M77</f>
        <v>303302.38056200964</v>
      </c>
      <c r="P77" s="152">
        <f t="shared" si="32"/>
        <v>303302.38056200976</v>
      </c>
    </row>
    <row r="78" spans="1:16" x14ac:dyDescent="0.15">
      <c r="A78" s="154"/>
      <c r="B78" s="151"/>
      <c r="C78" s="152"/>
      <c r="D78" s="155" t="s">
        <v>939</v>
      </c>
      <c r="E78" s="154" t="s">
        <v>72</v>
      </c>
      <c r="F78" s="157" t="s">
        <v>962</v>
      </c>
      <c r="G78" s="154"/>
      <c r="H78" s="152">
        <v>140053.772</v>
      </c>
      <c r="I78" s="155" t="s">
        <v>939</v>
      </c>
      <c r="J78" s="152"/>
      <c r="K78" s="154"/>
      <c r="L78" s="154" t="s">
        <v>1005</v>
      </c>
      <c r="M78" s="227">
        <v>33017</v>
      </c>
      <c r="N78" s="157" t="s">
        <v>961</v>
      </c>
      <c r="O78" s="227">
        <f t="shared" si="2"/>
        <v>270285.38056200964</v>
      </c>
      <c r="P78" s="152">
        <f t="shared" si="3"/>
        <v>410339.15256200975</v>
      </c>
    </row>
    <row r="79" spans="1:16" x14ac:dyDescent="0.15">
      <c r="A79" s="154"/>
      <c r="B79" s="151"/>
      <c r="C79" s="152"/>
      <c r="D79" s="155"/>
      <c r="E79" s="154"/>
      <c r="F79" s="157"/>
      <c r="G79" s="154"/>
      <c r="H79" s="152"/>
      <c r="I79" s="155" t="s">
        <v>939</v>
      </c>
      <c r="J79" s="152"/>
      <c r="K79" s="157"/>
      <c r="L79" s="154" t="s">
        <v>1005</v>
      </c>
      <c r="M79" s="227">
        <v>73961.3</v>
      </c>
      <c r="N79" s="157" t="s">
        <v>961</v>
      </c>
      <c r="O79" s="227">
        <f t="shared" si="2"/>
        <v>196324.08056200965</v>
      </c>
      <c r="P79" s="152">
        <f t="shared" si="3"/>
        <v>336377.85256200976</v>
      </c>
    </row>
    <row r="80" spans="1:16" x14ac:dyDescent="0.15">
      <c r="A80" s="154"/>
      <c r="B80" s="151"/>
      <c r="C80" s="152"/>
      <c r="D80" s="155" t="s">
        <v>940</v>
      </c>
      <c r="E80" s="154" t="s">
        <v>72</v>
      </c>
      <c r="F80" s="157" t="s">
        <v>962</v>
      </c>
      <c r="G80" s="154"/>
      <c r="H80" s="152">
        <v>180058.62700000001</v>
      </c>
      <c r="I80" s="155" t="s">
        <v>940</v>
      </c>
      <c r="J80" s="152"/>
      <c r="K80" s="154"/>
      <c r="L80" s="154" t="s">
        <v>1005</v>
      </c>
      <c r="M80" s="227">
        <v>81967.570000000007</v>
      </c>
      <c r="N80" s="157" t="s">
        <v>961</v>
      </c>
      <c r="O80" s="227">
        <f t="shared" si="2"/>
        <v>114356.51056200964</v>
      </c>
      <c r="P80" s="152">
        <f t="shared" si="3"/>
        <v>434468.90956200979</v>
      </c>
    </row>
    <row r="81" spans="1:16" x14ac:dyDescent="0.15">
      <c r="A81" s="154"/>
      <c r="B81" s="151"/>
      <c r="C81" s="152"/>
      <c r="D81" s="155" t="s">
        <v>940</v>
      </c>
      <c r="E81" s="154" t="s">
        <v>72</v>
      </c>
      <c r="F81" s="157" t="s">
        <v>963</v>
      </c>
      <c r="G81" s="154"/>
      <c r="H81" s="152">
        <v>60017.88</v>
      </c>
      <c r="I81" s="155" t="s">
        <v>940</v>
      </c>
      <c r="J81" s="152"/>
      <c r="K81" s="154"/>
      <c r="L81" s="154" t="s">
        <v>1005</v>
      </c>
      <c r="M81" s="227">
        <v>83047.09</v>
      </c>
      <c r="N81" s="157" t="s">
        <v>961</v>
      </c>
      <c r="O81" s="227">
        <f t="shared" si="2"/>
        <v>31309.420562009647</v>
      </c>
      <c r="P81" s="152">
        <f t="shared" si="3"/>
        <v>411439.69956200977</v>
      </c>
    </row>
    <row r="82" spans="1:16" x14ac:dyDescent="0.15">
      <c r="A82" s="154"/>
      <c r="B82" s="151"/>
      <c r="C82" s="152"/>
      <c r="D82" s="155" t="s">
        <v>947</v>
      </c>
      <c r="E82" s="154" t="s">
        <v>72</v>
      </c>
      <c r="F82" s="157" t="s">
        <v>963</v>
      </c>
      <c r="G82" s="154"/>
      <c r="H82" s="152">
        <v>195966.014</v>
      </c>
      <c r="I82" s="155" t="s">
        <v>947</v>
      </c>
      <c r="J82" s="152"/>
      <c r="K82" s="154"/>
      <c r="L82" s="154"/>
      <c r="M82" s="227"/>
      <c r="N82" s="157"/>
      <c r="O82" s="227">
        <f t="shared" si="2"/>
        <v>31309.420562009647</v>
      </c>
      <c r="P82" s="152">
        <f t="shared" si="3"/>
        <v>607405.71356200974</v>
      </c>
    </row>
    <row r="83" spans="1:16" x14ac:dyDescent="0.15">
      <c r="A83" s="154"/>
      <c r="B83" s="151"/>
      <c r="C83" s="152"/>
      <c r="D83" s="155" t="s">
        <v>941</v>
      </c>
      <c r="E83" s="154" t="s">
        <v>72</v>
      </c>
      <c r="F83" s="157" t="s">
        <v>964</v>
      </c>
      <c r="G83" s="154"/>
      <c r="H83" s="152">
        <v>175926.3</v>
      </c>
      <c r="I83" s="155" t="s">
        <v>941</v>
      </c>
      <c r="J83" s="152"/>
      <c r="K83" s="157"/>
      <c r="L83" s="154" t="s">
        <v>1005</v>
      </c>
      <c r="M83" s="227">
        <v>31309.420999999998</v>
      </c>
      <c r="N83" s="157" t="s">
        <v>961</v>
      </c>
      <c r="O83" s="227">
        <f t="shared" si="2"/>
        <v>-4.3799035120173357E-4</v>
      </c>
      <c r="P83" s="152">
        <f t="shared" si="3"/>
        <v>752022.5925620097</v>
      </c>
    </row>
    <row r="84" spans="1:16" x14ac:dyDescent="0.15">
      <c r="A84" s="154"/>
      <c r="B84" s="151"/>
      <c r="C84" s="152"/>
      <c r="D84" s="155"/>
      <c r="E84" s="154"/>
      <c r="F84" s="157"/>
      <c r="G84" s="154"/>
      <c r="H84" s="152"/>
      <c r="I84" s="155" t="s">
        <v>941</v>
      </c>
      <c r="J84" s="152"/>
      <c r="K84" s="157"/>
      <c r="L84" s="154" t="s">
        <v>1004</v>
      </c>
      <c r="M84" s="227">
        <v>41238.199000000001</v>
      </c>
      <c r="N84" s="157" t="s">
        <v>962</v>
      </c>
      <c r="O84" s="227">
        <f>H78+H80+O83-J84-M84</f>
        <v>278874.1995620096</v>
      </c>
      <c r="P84" s="152">
        <f t="shared" ref="P84:P86" si="34">P83+H84-J84-M84</f>
        <v>710784.39356200967</v>
      </c>
    </row>
    <row r="85" spans="1:16" x14ac:dyDescent="0.15">
      <c r="A85" s="154"/>
      <c r="B85" s="151"/>
      <c r="C85" s="152"/>
      <c r="D85" s="155"/>
      <c r="E85" s="154"/>
      <c r="F85" s="157"/>
      <c r="G85" s="154"/>
      <c r="H85" s="152"/>
      <c r="I85" s="155" t="s">
        <v>941</v>
      </c>
      <c r="J85" s="152"/>
      <c r="K85" s="154"/>
      <c r="L85" s="154" t="s">
        <v>1004</v>
      </c>
      <c r="M85" s="227">
        <v>3257.81</v>
      </c>
      <c r="N85" s="157" t="s">
        <v>962</v>
      </c>
      <c r="O85" s="227">
        <f t="shared" ref="O85:O86" si="35">+O84-J85-M85</f>
        <v>275616.3895620096</v>
      </c>
      <c r="P85" s="152">
        <f t="shared" si="34"/>
        <v>707526.58356200962</v>
      </c>
    </row>
    <row r="86" spans="1:16" x14ac:dyDescent="0.15">
      <c r="A86" s="154"/>
      <c r="B86" s="151"/>
      <c r="C86" s="152"/>
      <c r="D86" s="155"/>
      <c r="E86" s="154"/>
      <c r="F86" s="157"/>
      <c r="G86" s="154"/>
      <c r="H86" s="152"/>
      <c r="I86" s="155" t="s">
        <v>941</v>
      </c>
      <c r="J86" s="152"/>
      <c r="K86" s="157"/>
      <c r="L86" s="154" t="s">
        <v>1004</v>
      </c>
      <c r="M86" s="227">
        <v>77237.509999999995</v>
      </c>
      <c r="N86" s="157" t="s">
        <v>962</v>
      </c>
      <c r="O86" s="227">
        <f t="shared" si="35"/>
        <v>198378.87956200959</v>
      </c>
      <c r="P86" s="152">
        <f t="shared" si="34"/>
        <v>630289.07356200961</v>
      </c>
    </row>
    <row r="87" spans="1:16" x14ac:dyDescent="0.15">
      <c r="A87" s="154"/>
      <c r="B87" s="151"/>
      <c r="C87" s="152"/>
      <c r="D87" s="155"/>
      <c r="E87" s="154"/>
      <c r="F87" s="157"/>
      <c r="G87" s="154"/>
      <c r="H87" s="152"/>
      <c r="I87" s="155" t="s">
        <v>941</v>
      </c>
      <c r="J87" s="152"/>
      <c r="K87" s="154"/>
      <c r="L87" s="154" t="s">
        <v>1004</v>
      </c>
      <c r="M87" s="227">
        <v>40389.08</v>
      </c>
      <c r="N87" s="157" t="s">
        <v>962</v>
      </c>
      <c r="O87" s="227">
        <f t="shared" si="2"/>
        <v>157989.79956200958</v>
      </c>
      <c r="P87" s="152">
        <f t="shared" si="3"/>
        <v>589899.99356200965</v>
      </c>
    </row>
    <row r="88" spans="1:16" x14ac:dyDescent="0.15">
      <c r="A88" s="154"/>
      <c r="B88" s="151"/>
      <c r="C88" s="152"/>
      <c r="D88" s="155" t="s">
        <v>942</v>
      </c>
      <c r="E88" s="154" t="s">
        <v>72</v>
      </c>
      <c r="F88" s="157" t="s">
        <v>965</v>
      </c>
      <c r="G88" s="154"/>
      <c r="H88" s="152">
        <v>155976.478</v>
      </c>
      <c r="I88" s="155" t="s">
        <v>942</v>
      </c>
      <c r="J88" s="152"/>
      <c r="K88" s="150"/>
      <c r="L88" s="154" t="s">
        <v>1004</v>
      </c>
      <c r="M88" s="227">
        <v>76434.100000000006</v>
      </c>
      <c r="N88" s="157" t="s">
        <v>962</v>
      </c>
      <c r="O88" s="227">
        <f t="shared" si="2"/>
        <v>81555.699562009569</v>
      </c>
      <c r="P88" s="152">
        <f t="shared" si="3"/>
        <v>669442.37156200968</v>
      </c>
    </row>
    <row r="89" spans="1:16" x14ac:dyDescent="0.15">
      <c r="A89" s="154"/>
      <c r="B89" s="151"/>
      <c r="C89" s="152"/>
      <c r="D89" s="155" t="s">
        <v>943</v>
      </c>
      <c r="E89" s="154" t="s">
        <v>72</v>
      </c>
      <c r="F89" s="157" t="s">
        <v>965</v>
      </c>
      <c r="G89" s="154"/>
      <c r="H89" s="152">
        <v>119996.349</v>
      </c>
      <c r="I89" s="155" t="s">
        <v>943</v>
      </c>
      <c r="J89" s="152">
        <v>454.8374</v>
      </c>
      <c r="K89" s="157" t="s">
        <v>962</v>
      </c>
      <c r="L89" s="154" t="s">
        <v>1004</v>
      </c>
      <c r="M89" s="227">
        <v>75647.95</v>
      </c>
      <c r="N89" s="157" t="s">
        <v>962</v>
      </c>
      <c r="O89" s="227">
        <f t="shared" si="2"/>
        <v>5452.9121620095684</v>
      </c>
      <c r="P89" s="152">
        <f t="shared" si="3"/>
        <v>713335.93316200981</v>
      </c>
    </row>
    <row r="90" spans="1:16" x14ac:dyDescent="0.15">
      <c r="A90" s="154"/>
      <c r="B90" s="151"/>
      <c r="C90" s="152"/>
      <c r="D90" s="155"/>
      <c r="E90" s="154"/>
      <c r="F90" s="157"/>
      <c r="G90" s="154"/>
      <c r="H90" s="152"/>
      <c r="I90" s="155" t="s">
        <v>943</v>
      </c>
      <c r="J90" s="152"/>
      <c r="K90" s="154"/>
      <c r="L90" s="154" t="s">
        <v>1004</v>
      </c>
      <c r="M90" s="227">
        <v>5452.9120000000003</v>
      </c>
      <c r="N90" s="157" t="s">
        <v>962</v>
      </c>
      <c r="O90" s="227">
        <f t="shared" ref="O90:O118" si="36">+O89-J90-M90</f>
        <v>1.62009568157373E-4</v>
      </c>
      <c r="P90" s="152">
        <f t="shared" ref="P90:P118" si="37">P89+H90-J90-M90</f>
        <v>707883.0211620098</v>
      </c>
    </row>
    <row r="91" spans="1:16" x14ac:dyDescent="0.15">
      <c r="A91" s="154"/>
      <c r="B91" s="151"/>
      <c r="C91" s="152"/>
      <c r="D91" s="155"/>
      <c r="E91" s="154"/>
      <c r="F91" s="157"/>
      <c r="G91" s="154"/>
      <c r="H91" s="152"/>
      <c r="I91" s="155" t="s">
        <v>943</v>
      </c>
      <c r="J91" s="152"/>
      <c r="K91" s="154"/>
      <c r="L91" s="154" t="s">
        <v>1005</v>
      </c>
      <c r="M91" s="227">
        <v>78596.618000000002</v>
      </c>
      <c r="N91" s="157" t="s">
        <v>963</v>
      </c>
      <c r="O91" s="227">
        <f>H81+H82+O90-J91-M91</f>
        <v>177387.27616200957</v>
      </c>
      <c r="P91" s="152">
        <f t="shared" ref="P91:P93" si="38">P90+H91-J91-M91</f>
        <v>629286.40316200978</v>
      </c>
    </row>
    <row r="92" spans="1:16" x14ac:dyDescent="0.15">
      <c r="A92" s="154"/>
      <c r="B92" s="151"/>
      <c r="C92" s="152"/>
      <c r="D92" s="155"/>
      <c r="E92" s="154"/>
      <c r="F92" s="157"/>
      <c r="G92" s="154"/>
      <c r="H92" s="152"/>
      <c r="I92" s="155" t="s">
        <v>943</v>
      </c>
      <c r="J92" s="152"/>
      <c r="K92" s="150"/>
      <c r="L92" s="154" t="s">
        <v>1005</v>
      </c>
      <c r="M92" s="227">
        <v>58235.25</v>
      </c>
      <c r="N92" s="157" t="s">
        <v>963</v>
      </c>
      <c r="O92" s="227">
        <f t="shared" ref="O92:O93" si="39">+O91-J92-M92</f>
        <v>119152.02616200957</v>
      </c>
      <c r="P92" s="152">
        <f t="shared" si="38"/>
        <v>571051.15316200978</v>
      </c>
    </row>
    <row r="93" spans="1:16" x14ac:dyDescent="0.15">
      <c r="A93" s="154"/>
      <c r="B93" s="151"/>
      <c r="C93" s="152"/>
      <c r="D93" s="155" t="s">
        <v>948</v>
      </c>
      <c r="E93" s="154" t="s">
        <v>72</v>
      </c>
      <c r="F93" s="157" t="s">
        <v>966</v>
      </c>
      <c r="G93" s="154"/>
      <c r="H93" s="152">
        <v>76061.452999999994</v>
      </c>
      <c r="I93" s="155" t="s">
        <v>948</v>
      </c>
      <c r="J93" s="152"/>
      <c r="K93" s="150"/>
      <c r="L93" s="154"/>
      <c r="M93" s="227"/>
      <c r="N93" s="157"/>
      <c r="O93" s="227">
        <f t="shared" si="39"/>
        <v>119152.02616200957</v>
      </c>
      <c r="P93" s="152">
        <f t="shared" si="38"/>
        <v>647112.60616200976</v>
      </c>
    </row>
    <row r="94" spans="1:16" hidden="1" x14ac:dyDescent="0.15">
      <c r="A94" s="154"/>
      <c r="B94" s="151"/>
      <c r="C94" s="152"/>
      <c r="D94" s="155"/>
      <c r="E94" s="154"/>
      <c r="F94" s="157"/>
      <c r="G94" s="154"/>
      <c r="H94" s="152"/>
      <c r="I94" s="155"/>
      <c r="J94" s="152"/>
      <c r="K94" s="150"/>
      <c r="L94" s="154"/>
      <c r="M94" s="227"/>
      <c r="N94" s="157"/>
      <c r="O94" s="227">
        <f t="shared" si="36"/>
        <v>119152.02616200957</v>
      </c>
      <c r="P94" s="152">
        <f t="shared" si="37"/>
        <v>647112.60616200976</v>
      </c>
    </row>
    <row r="95" spans="1:16" hidden="1" x14ac:dyDescent="0.15">
      <c r="A95" s="154"/>
      <c r="B95" s="151"/>
      <c r="C95" s="152"/>
      <c r="D95" s="155"/>
      <c r="E95" s="154"/>
      <c r="F95" s="157"/>
      <c r="G95" s="154"/>
      <c r="H95" s="152"/>
      <c r="I95" s="155"/>
      <c r="J95" s="152"/>
      <c r="K95" s="150"/>
      <c r="L95" s="154"/>
      <c r="M95" s="227"/>
      <c r="N95" s="157"/>
      <c r="O95" s="227">
        <f t="shared" si="36"/>
        <v>119152.02616200957</v>
      </c>
      <c r="P95" s="152">
        <f t="shared" si="37"/>
        <v>647112.60616200976</v>
      </c>
    </row>
    <row r="96" spans="1:16" hidden="1" x14ac:dyDescent="0.15">
      <c r="A96" s="154"/>
      <c r="B96" s="151"/>
      <c r="C96" s="152"/>
      <c r="D96" s="155"/>
      <c r="E96" s="154"/>
      <c r="F96" s="157"/>
      <c r="G96" s="154"/>
      <c r="H96" s="152"/>
      <c r="I96" s="155"/>
      <c r="J96" s="152"/>
      <c r="K96" s="157"/>
      <c r="L96" s="154"/>
      <c r="M96" s="227"/>
      <c r="N96" s="157"/>
      <c r="O96" s="227">
        <f t="shared" si="36"/>
        <v>119152.02616200957</v>
      </c>
      <c r="P96" s="152">
        <f t="shared" si="37"/>
        <v>647112.60616200976</v>
      </c>
    </row>
    <row r="97" spans="1:16" hidden="1" x14ac:dyDescent="0.15">
      <c r="A97" s="154"/>
      <c r="B97" s="151"/>
      <c r="C97" s="152"/>
      <c r="D97" s="155"/>
      <c r="E97" s="154"/>
      <c r="F97" s="157"/>
      <c r="G97" s="154"/>
      <c r="H97" s="152"/>
      <c r="I97" s="155"/>
      <c r="J97" s="152"/>
      <c r="K97" s="157"/>
      <c r="L97" s="154"/>
      <c r="M97" s="227"/>
      <c r="N97" s="157"/>
      <c r="O97" s="227">
        <f t="shared" si="36"/>
        <v>119152.02616200957</v>
      </c>
      <c r="P97" s="152">
        <f t="shared" si="37"/>
        <v>647112.60616200976</v>
      </c>
    </row>
    <row r="98" spans="1:16" hidden="1" x14ac:dyDescent="0.15">
      <c r="A98" s="154"/>
      <c r="B98" s="151"/>
      <c r="C98" s="152"/>
      <c r="D98" s="155"/>
      <c r="E98" s="154"/>
      <c r="F98" s="157"/>
      <c r="G98" s="154"/>
      <c r="H98" s="152"/>
      <c r="I98" s="155"/>
      <c r="J98" s="152"/>
      <c r="K98" s="157"/>
      <c r="L98" s="154"/>
      <c r="M98" s="227"/>
      <c r="N98" s="157"/>
      <c r="O98" s="227">
        <f t="shared" si="36"/>
        <v>119152.02616200957</v>
      </c>
      <c r="P98" s="152">
        <f t="shared" si="37"/>
        <v>647112.60616200976</v>
      </c>
    </row>
    <row r="99" spans="1:16" hidden="1" x14ac:dyDescent="0.15">
      <c r="A99" s="154"/>
      <c r="B99" s="151"/>
      <c r="C99" s="152"/>
      <c r="D99" s="155"/>
      <c r="E99" s="154"/>
      <c r="F99" s="157"/>
      <c r="G99" s="154"/>
      <c r="H99" s="152"/>
      <c r="I99" s="155"/>
      <c r="J99" s="152"/>
      <c r="K99" s="157"/>
      <c r="L99" s="154"/>
      <c r="M99" s="227"/>
      <c r="N99" s="157"/>
      <c r="O99" s="227">
        <f t="shared" si="36"/>
        <v>119152.02616200957</v>
      </c>
      <c r="P99" s="152">
        <f t="shared" si="37"/>
        <v>647112.60616200976</v>
      </c>
    </row>
    <row r="100" spans="1:16" hidden="1" x14ac:dyDescent="0.15">
      <c r="A100" s="154"/>
      <c r="B100" s="151"/>
      <c r="C100" s="152"/>
      <c r="D100" s="155"/>
      <c r="E100" s="154"/>
      <c r="F100" s="157"/>
      <c r="G100" s="154"/>
      <c r="H100" s="152"/>
      <c r="I100" s="155"/>
      <c r="J100" s="152"/>
      <c r="K100" s="157"/>
      <c r="L100" s="154"/>
      <c r="M100" s="227"/>
      <c r="N100" s="157"/>
      <c r="O100" s="227">
        <f t="shared" si="36"/>
        <v>119152.02616200957</v>
      </c>
      <c r="P100" s="152">
        <f t="shared" si="37"/>
        <v>647112.60616200976</v>
      </c>
    </row>
    <row r="101" spans="1:16" hidden="1" x14ac:dyDescent="0.15">
      <c r="A101" s="154"/>
      <c r="B101" s="151"/>
      <c r="C101" s="152"/>
      <c r="D101" s="155"/>
      <c r="E101" s="154"/>
      <c r="F101" s="157"/>
      <c r="G101" s="154"/>
      <c r="H101" s="152"/>
      <c r="I101" s="155"/>
      <c r="J101" s="152"/>
      <c r="K101" s="157"/>
      <c r="L101" s="154"/>
      <c r="M101" s="227"/>
      <c r="N101" s="157"/>
      <c r="O101" s="227">
        <f t="shared" si="36"/>
        <v>119152.02616200957</v>
      </c>
      <c r="P101" s="152">
        <f t="shared" si="37"/>
        <v>647112.60616200976</v>
      </c>
    </row>
    <row r="102" spans="1:16" hidden="1" x14ac:dyDescent="0.15">
      <c r="A102" s="154"/>
      <c r="B102" s="151"/>
      <c r="C102" s="152"/>
      <c r="D102" s="155"/>
      <c r="E102" s="154"/>
      <c r="F102" s="157"/>
      <c r="G102" s="154"/>
      <c r="H102" s="152"/>
      <c r="I102" s="155"/>
      <c r="J102" s="152"/>
      <c r="K102" s="157"/>
      <c r="L102" s="154"/>
      <c r="M102" s="227"/>
      <c r="N102" s="157"/>
      <c r="O102" s="227">
        <f t="shared" si="36"/>
        <v>119152.02616200957</v>
      </c>
      <c r="P102" s="152">
        <f t="shared" si="37"/>
        <v>647112.60616200976</v>
      </c>
    </row>
    <row r="103" spans="1:16" hidden="1" x14ac:dyDescent="0.15">
      <c r="A103" s="154"/>
      <c r="B103" s="151"/>
      <c r="C103" s="152"/>
      <c r="D103" s="155"/>
      <c r="E103" s="154"/>
      <c r="F103" s="157"/>
      <c r="G103" s="154"/>
      <c r="H103" s="152"/>
      <c r="I103" s="155"/>
      <c r="J103" s="152"/>
      <c r="K103" s="157"/>
      <c r="L103" s="154"/>
      <c r="M103" s="227"/>
      <c r="N103" s="157"/>
      <c r="O103" s="227">
        <f t="shared" si="36"/>
        <v>119152.02616200957</v>
      </c>
      <c r="P103" s="152">
        <f t="shared" si="37"/>
        <v>647112.60616200976</v>
      </c>
    </row>
    <row r="104" spans="1:16" hidden="1" x14ac:dyDescent="0.15">
      <c r="A104" s="154"/>
      <c r="B104" s="151"/>
      <c r="C104" s="152"/>
      <c r="D104" s="155"/>
      <c r="E104" s="154"/>
      <c r="F104" s="157"/>
      <c r="G104" s="154"/>
      <c r="H104" s="152"/>
      <c r="I104" s="155"/>
      <c r="J104" s="152"/>
      <c r="K104" s="157"/>
      <c r="L104" s="154"/>
      <c r="M104" s="227"/>
      <c r="N104" s="157"/>
      <c r="O104" s="227">
        <f t="shared" si="36"/>
        <v>119152.02616200957</v>
      </c>
      <c r="P104" s="152">
        <f t="shared" si="37"/>
        <v>647112.60616200976</v>
      </c>
    </row>
    <row r="105" spans="1:16" hidden="1" x14ac:dyDescent="0.15">
      <c r="A105" s="154"/>
      <c r="B105" s="151"/>
      <c r="C105" s="152"/>
      <c r="D105" s="155"/>
      <c r="E105" s="154"/>
      <c r="F105" s="157"/>
      <c r="G105" s="154"/>
      <c r="H105" s="152"/>
      <c r="I105" s="155"/>
      <c r="J105" s="152"/>
      <c r="K105" s="157"/>
      <c r="L105" s="154"/>
      <c r="M105" s="227"/>
      <c r="N105" s="157"/>
      <c r="O105" s="227">
        <f t="shared" si="36"/>
        <v>119152.02616200957</v>
      </c>
      <c r="P105" s="152">
        <f t="shared" si="37"/>
        <v>647112.60616200976</v>
      </c>
    </row>
    <row r="106" spans="1:16" hidden="1" x14ac:dyDescent="0.15">
      <c r="A106" s="154"/>
      <c r="B106" s="151"/>
      <c r="C106" s="152"/>
      <c r="D106" s="155"/>
      <c r="E106" s="154"/>
      <c r="F106" s="157"/>
      <c r="G106" s="154"/>
      <c r="H106" s="152"/>
      <c r="I106" s="155"/>
      <c r="J106" s="152"/>
      <c r="K106" s="157"/>
      <c r="L106" s="154"/>
      <c r="M106" s="227"/>
      <c r="N106" s="157"/>
      <c r="O106" s="227">
        <f t="shared" si="36"/>
        <v>119152.02616200957</v>
      </c>
      <c r="P106" s="152">
        <f t="shared" si="37"/>
        <v>647112.60616200976</v>
      </c>
    </row>
    <row r="107" spans="1:16" hidden="1" x14ac:dyDescent="0.15">
      <c r="A107" s="154"/>
      <c r="B107" s="151"/>
      <c r="C107" s="152"/>
      <c r="D107" s="155"/>
      <c r="E107" s="154"/>
      <c r="F107" s="157"/>
      <c r="G107" s="154"/>
      <c r="H107" s="152"/>
      <c r="I107" s="155"/>
      <c r="J107" s="152"/>
      <c r="K107" s="157"/>
      <c r="L107" s="154"/>
      <c r="M107" s="227"/>
      <c r="N107" s="157"/>
      <c r="O107" s="227">
        <f t="shared" si="36"/>
        <v>119152.02616200957</v>
      </c>
      <c r="P107" s="152">
        <f t="shared" si="37"/>
        <v>647112.60616200976</v>
      </c>
    </row>
    <row r="108" spans="1:16" hidden="1" x14ac:dyDescent="0.15">
      <c r="A108" s="154"/>
      <c r="B108" s="151"/>
      <c r="C108" s="152"/>
      <c r="D108" s="155"/>
      <c r="E108" s="154"/>
      <c r="F108" s="157"/>
      <c r="G108" s="154"/>
      <c r="H108" s="152"/>
      <c r="I108" s="155"/>
      <c r="J108" s="152"/>
      <c r="K108" s="157"/>
      <c r="L108" s="154"/>
      <c r="M108" s="227"/>
      <c r="N108" s="157"/>
      <c r="O108" s="227">
        <f t="shared" si="36"/>
        <v>119152.02616200957</v>
      </c>
      <c r="P108" s="152">
        <f t="shared" si="37"/>
        <v>647112.60616200976</v>
      </c>
    </row>
    <row r="109" spans="1:16" hidden="1" x14ac:dyDescent="0.15">
      <c r="A109" s="154"/>
      <c r="B109" s="151"/>
      <c r="C109" s="152"/>
      <c r="D109" s="155"/>
      <c r="E109" s="154"/>
      <c r="F109" s="157"/>
      <c r="G109" s="154"/>
      <c r="H109" s="152"/>
      <c r="I109" s="155"/>
      <c r="J109" s="152"/>
      <c r="K109" s="150"/>
      <c r="L109" s="154"/>
      <c r="M109" s="227"/>
      <c r="N109" s="157"/>
      <c r="O109" s="227">
        <f t="shared" si="36"/>
        <v>119152.02616200957</v>
      </c>
      <c r="P109" s="152">
        <f t="shared" si="37"/>
        <v>647112.60616200976</v>
      </c>
    </row>
    <row r="110" spans="1:16" hidden="1" x14ac:dyDescent="0.15">
      <c r="A110" s="154"/>
      <c r="B110" s="151"/>
      <c r="C110" s="152"/>
      <c r="D110" s="155"/>
      <c r="E110" s="154"/>
      <c r="F110" s="157"/>
      <c r="G110" s="154"/>
      <c r="H110" s="152"/>
      <c r="I110" s="155"/>
      <c r="J110" s="152"/>
      <c r="K110" s="150"/>
      <c r="L110" s="154"/>
      <c r="M110" s="227"/>
      <c r="N110" s="157"/>
      <c r="O110" s="227">
        <f t="shared" si="36"/>
        <v>119152.02616200957</v>
      </c>
      <c r="P110" s="152">
        <f t="shared" si="37"/>
        <v>647112.60616200976</v>
      </c>
    </row>
    <row r="111" spans="1:16" hidden="1" x14ac:dyDescent="0.15">
      <c r="A111" s="154"/>
      <c r="B111" s="151"/>
      <c r="C111" s="152"/>
      <c r="D111" s="155"/>
      <c r="E111" s="154"/>
      <c r="F111" s="157"/>
      <c r="G111" s="154"/>
      <c r="H111" s="152"/>
      <c r="I111" s="155"/>
      <c r="J111" s="152"/>
      <c r="K111" s="150"/>
      <c r="L111" s="154"/>
      <c r="M111" s="227"/>
      <c r="N111" s="157"/>
      <c r="O111" s="227">
        <f t="shared" si="36"/>
        <v>119152.02616200957</v>
      </c>
      <c r="P111" s="152">
        <f t="shared" si="37"/>
        <v>647112.60616200976</v>
      </c>
    </row>
    <row r="112" spans="1:16" hidden="1" x14ac:dyDescent="0.15">
      <c r="A112" s="154"/>
      <c r="B112" s="151"/>
      <c r="C112" s="152"/>
      <c r="D112" s="155"/>
      <c r="E112" s="154"/>
      <c r="F112" s="157"/>
      <c r="G112" s="154"/>
      <c r="H112" s="152"/>
      <c r="I112" s="155"/>
      <c r="J112" s="152"/>
      <c r="K112" s="150"/>
      <c r="L112" s="154"/>
      <c r="M112" s="227"/>
      <c r="N112" s="157"/>
      <c r="O112" s="227">
        <f t="shared" si="36"/>
        <v>119152.02616200957</v>
      </c>
      <c r="P112" s="152">
        <f t="shared" si="37"/>
        <v>647112.60616200976</v>
      </c>
    </row>
    <row r="113" spans="1:16" hidden="1" x14ac:dyDescent="0.15">
      <c r="A113" s="154"/>
      <c r="B113" s="151"/>
      <c r="C113" s="152"/>
      <c r="D113" s="155"/>
      <c r="E113" s="154"/>
      <c r="F113" s="157"/>
      <c r="G113" s="154"/>
      <c r="H113" s="152"/>
      <c r="I113" s="155"/>
      <c r="J113" s="152"/>
      <c r="K113" s="150"/>
      <c r="L113" s="154"/>
      <c r="M113" s="227"/>
      <c r="N113" s="157"/>
      <c r="O113" s="227">
        <f t="shared" si="36"/>
        <v>119152.02616200957</v>
      </c>
      <c r="P113" s="152">
        <f t="shared" si="37"/>
        <v>647112.60616200976</v>
      </c>
    </row>
    <row r="114" spans="1:16" hidden="1" x14ac:dyDescent="0.15">
      <c r="A114" s="154"/>
      <c r="B114" s="151"/>
      <c r="C114" s="152"/>
      <c r="D114" s="155"/>
      <c r="E114" s="154"/>
      <c r="F114" s="157"/>
      <c r="G114" s="154"/>
      <c r="H114" s="152"/>
      <c r="I114" s="155"/>
      <c r="J114" s="152"/>
      <c r="K114" s="150"/>
      <c r="L114" s="154"/>
      <c r="M114" s="227"/>
      <c r="N114" s="157"/>
      <c r="O114" s="227">
        <f t="shared" si="36"/>
        <v>119152.02616200957</v>
      </c>
      <c r="P114" s="152">
        <f t="shared" si="37"/>
        <v>647112.60616200976</v>
      </c>
    </row>
    <row r="115" spans="1:16" hidden="1" x14ac:dyDescent="0.15">
      <c r="A115" s="154"/>
      <c r="B115" s="151"/>
      <c r="C115" s="152"/>
      <c r="D115" s="155"/>
      <c r="E115" s="154"/>
      <c r="F115" s="157"/>
      <c r="G115" s="154"/>
      <c r="H115" s="152"/>
      <c r="I115" s="155"/>
      <c r="J115" s="152"/>
      <c r="K115" s="157"/>
      <c r="L115" s="154"/>
      <c r="M115" s="227"/>
      <c r="N115" s="157"/>
      <c r="O115" s="227">
        <f t="shared" si="36"/>
        <v>119152.02616200957</v>
      </c>
      <c r="P115" s="152">
        <f t="shared" si="37"/>
        <v>647112.60616200976</v>
      </c>
    </row>
    <row r="116" spans="1:16" hidden="1" x14ac:dyDescent="0.15">
      <c r="A116" s="154"/>
      <c r="B116" s="151"/>
      <c r="C116" s="152"/>
      <c r="D116" s="155"/>
      <c r="E116" s="154"/>
      <c r="F116" s="157"/>
      <c r="G116" s="151"/>
      <c r="H116" s="152"/>
      <c r="I116" s="155"/>
      <c r="J116" s="152"/>
      <c r="K116" s="157"/>
      <c r="L116" s="154"/>
      <c r="M116" s="227"/>
      <c r="N116" s="150"/>
      <c r="O116" s="227">
        <f t="shared" si="36"/>
        <v>119152.02616200957</v>
      </c>
      <c r="P116" s="152">
        <f t="shared" si="37"/>
        <v>647112.60616200976</v>
      </c>
    </row>
    <row r="117" spans="1:16" hidden="1" x14ac:dyDescent="0.15">
      <c r="A117" s="154"/>
      <c r="B117" s="151"/>
      <c r="C117" s="152"/>
      <c r="D117" s="155"/>
      <c r="E117" s="154"/>
      <c r="F117" s="160"/>
      <c r="G117" s="151"/>
      <c r="H117" s="152"/>
      <c r="I117" s="155"/>
      <c r="J117" s="152"/>
      <c r="K117" s="150"/>
      <c r="L117" s="154"/>
      <c r="M117" s="227"/>
      <c r="N117" s="157"/>
      <c r="O117" s="227">
        <f t="shared" si="36"/>
        <v>119152.02616200957</v>
      </c>
      <c r="P117" s="152">
        <f t="shared" si="37"/>
        <v>647112.60616200976</v>
      </c>
    </row>
    <row r="118" spans="1:16" x14ac:dyDescent="0.15">
      <c r="A118" s="173"/>
      <c r="B118" s="173"/>
      <c r="C118" s="174"/>
      <c r="D118" s="175"/>
      <c r="E118" s="173"/>
      <c r="F118" s="173"/>
      <c r="G118" s="176"/>
      <c r="H118" s="174"/>
      <c r="I118" s="175"/>
      <c r="J118" s="174"/>
      <c r="K118" s="173"/>
      <c r="L118" s="154"/>
      <c r="M118" s="228"/>
      <c r="N118" s="173"/>
      <c r="O118" s="227">
        <f t="shared" si="36"/>
        <v>119152.02616200957</v>
      </c>
      <c r="P118" s="152">
        <f t="shared" si="37"/>
        <v>647112.60616200976</v>
      </c>
    </row>
    <row r="119" spans="1:16" x14ac:dyDescent="0.15">
      <c r="A119" s="177"/>
      <c r="B119" s="177"/>
      <c r="C119" s="178">
        <f>SUM(C7:C117)</f>
        <v>470237.13736200955</v>
      </c>
      <c r="D119" s="177"/>
      <c r="E119" s="177"/>
      <c r="F119" s="177"/>
      <c r="G119" s="177"/>
      <c r="H119" s="178">
        <f>SUM(H7:H117)</f>
        <v>3996699.4539999994</v>
      </c>
      <c r="I119" s="179"/>
      <c r="J119" s="178">
        <f>SUM(J7:J117)</f>
        <v>10909.4552</v>
      </c>
      <c r="K119" s="177"/>
      <c r="L119" s="177"/>
      <c r="M119" s="229">
        <f>SUM(M9:M117)</f>
        <v>3808914.53</v>
      </c>
      <c r="N119" s="177"/>
      <c r="O119" s="180"/>
      <c r="P119" s="181">
        <f>C119+H119-J119-M119</f>
        <v>647112.6061620093</v>
      </c>
    </row>
    <row r="120" spans="1:16" x14ac:dyDescent="0.15">
      <c r="A120" s="182"/>
      <c r="B120" s="465"/>
      <c r="C120" s="465"/>
      <c r="D120" s="465"/>
      <c r="E120" s="183"/>
      <c r="F120" s="472"/>
      <c r="G120" s="472"/>
      <c r="H120" s="185"/>
      <c r="I120" s="186"/>
      <c r="J120" s="187"/>
      <c r="K120" s="188"/>
      <c r="L120" s="189" t="s">
        <v>139</v>
      </c>
      <c r="M120" s="190">
        <f>+M119+J119</f>
        <v>3819823.9852</v>
      </c>
      <c r="N120" s="197"/>
      <c r="O120" s="230">
        <f>+O118</f>
        <v>119152.02616200957</v>
      </c>
      <c r="P120" s="195" t="s">
        <v>963</v>
      </c>
    </row>
    <row r="121" spans="1:16" x14ac:dyDescent="0.15">
      <c r="A121" s="193"/>
      <c r="B121" s="470"/>
      <c r="C121" s="470"/>
      <c r="D121" s="470"/>
      <c r="E121" s="183"/>
      <c r="F121" s="472"/>
      <c r="G121" s="472"/>
      <c r="H121" s="219"/>
      <c r="I121" s="186"/>
      <c r="J121" s="187"/>
      <c r="K121" s="210"/>
      <c r="L121" s="210"/>
      <c r="O121" s="230">
        <v>175926.3</v>
      </c>
      <c r="P121" s="195" t="s">
        <v>964</v>
      </c>
    </row>
    <row r="122" spans="1:16" x14ac:dyDescent="0.15">
      <c r="A122" s="193" t="s">
        <v>913</v>
      </c>
      <c r="B122" s="470" t="s">
        <v>987</v>
      </c>
      <c r="C122" s="470"/>
      <c r="D122" s="470"/>
      <c r="E122" s="183" t="s">
        <v>55</v>
      </c>
      <c r="F122" s="472">
        <v>2143331.0099999998</v>
      </c>
      <c r="G122" s="472"/>
      <c r="H122" s="219" t="s">
        <v>56</v>
      </c>
      <c r="I122" s="186">
        <v>40917</v>
      </c>
      <c r="J122" s="187" t="s">
        <v>71</v>
      </c>
      <c r="K122" s="210">
        <v>40080.307999999997</v>
      </c>
      <c r="L122" s="210"/>
      <c r="O122" s="230">
        <v>155976.478</v>
      </c>
      <c r="P122" s="195" t="s">
        <v>965</v>
      </c>
    </row>
    <row r="123" spans="1:16" x14ac:dyDescent="0.15">
      <c r="A123" s="193" t="s">
        <v>950</v>
      </c>
      <c r="B123" s="470" t="s">
        <v>988</v>
      </c>
      <c r="C123" s="470"/>
      <c r="D123" s="470"/>
      <c r="E123" s="183" t="s">
        <v>55</v>
      </c>
      <c r="F123" s="472">
        <v>2213099.89</v>
      </c>
      <c r="G123" s="472"/>
      <c r="H123" s="219" t="s">
        <v>56</v>
      </c>
      <c r="I123" s="186">
        <v>40917</v>
      </c>
      <c r="J123" s="187" t="s">
        <v>71</v>
      </c>
      <c r="K123" s="210">
        <v>198728.80300000001</v>
      </c>
      <c r="L123" s="210"/>
      <c r="O123" s="230">
        <v>119996.349</v>
      </c>
      <c r="P123" s="195" t="s">
        <v>965</v>
      </c>
    </row>
    <row r="124" spans="1:16" x14ac:dyDescent="0.15">
      <c r="A124" s="193" t="s">
        <v>952</v>
      </c>
      <c r="B124" s="470" t="s">
        <v>989</v>
      </c>
      <c r="C124" s="470"/>
      <c r="D124" s="470"/>
      <c r="E124" s="183" t="s">
        <v>55</v>
      </c>
      <c r="F124" s="472">
        <v>2093703</v>
      </c>
      <c r="G124" s="472"/>
      <c r="H124" s="219" t="s">
        <v>56</v>
      </c>
      <c r="I124" s="186">
        <v>40920</v>
      </c>
      <c r="J124" s="187" t="s">
        <v>71</v>
      </c>
      <c r="K124" s="210">
        <v>156220.25899999999</v>
      </c>
      <c r="L124" s="210"/>
      <c r="O124" s="230">
        <v>76061.452999999994</v>
      </c>
      <c r="P124" s="195" t="s">
        <v>966</v>
      </c>
    </row>
    <row r="125" spans="1:16" x14ac:dyDescent="0.15">
      <c r="A125" s="193" t="s">
        <v>957</v>
      </c>
      <c r="B125" s="470" t="s">
        <v>990</v>
      </c>
      <c r="C125" s="470"/>
      <c r="D125" s="470"/>
      <c r="E125" s="183" t="s">
        <v>55</v>
      </c>
      <c r="F125" s="472">
        <v>2000430.24</v>
      </c>
      <c r="G125" s="472"/>
      <c r="H125" s="219" t="s">
        <v>56</v>
      </c>
      <c r="I125" s="186">
        <v>40931</v>
      </c>
      <c r="J125" s="187" t="s">
        <v>71</v>
      </c>
      <c r="K125" s="210">
        <v>116313.95999999999</v>
      </c>
      <c r="L125" s="210"/>
      <c r="O125" s="230"/>
      <c r="P125" s="195"/>
    </row>
    <row r="126" spans="1:16" x14ac:dyDescent="0.15">
      <c r="A126" s="193" t="s">
        <v>958</v>
      </c>
      <c r="B126" s="470" t="s">
        <v>991</v>
      </c>
      <c r="C126" s="470"/>
      <c r="D126" s="470"/>
      <c r="E126" s="183" t="s">
        <v>55</v>
      </c>
      <c r="F126" s="472">
        <v>4745698.8600000003</v>
      </c>
      <c r="G126" s="472"/>
      <c r="H126" s="219" t="s">
        <v>56</v>
      </c>
      <c r="I126" s="186">
        <v>40931</v>
      </c>
      <c r="J126" s="187" t="s">
        <v>71</v>
      </c>
      <c r="K126" s="210">
        <v>227821.535</v>
      </c>
      <c r="L126" s="210"/>
      <c r="O126" s="230"/>
      <c r="P126" s="195"/>
    </row>
    <row r="127" spans="1:16" x14ac:dyDescent="0.15">
      <c r="A127" s="133" t="s">
        <v>959</v>
      </c>
      <c r="B127" s="470" t="s">
        <v>992</v>
      </c>
      <c r="C127" s="470"/>
      <c r="D127" s="470"/>
      <c r="E127" s="183" t="s">
        <v>55</v>
      </c>
      <c r="F127" s="472">
        <v>1911284.1</v>
      </c>
      <c r="G127" s="472"/>
      <c r="H127" s="219" t="s">
        <v>56</v>
      </c>
      <c r="I127" s="186">
        <v>40933</v>
      </c>
      <c r="J127" s="187" t="s">
        <v>71</v>
      </c>
      <c r="K127" s="210">
        <v>59190.589</v>
      </c>
      <c r="L127" s="210"/>
      <c r="O127" s="206" t="s">
        <v>33</v>
      </c>
      <c r="P127" s="207">
        <f>SUM(O120:O126)</f>
        <v>647112.60616200953</v>
      </c>
    </row>
    <row r="128" spans="1:16" x14ac:dyDescent="0.15">
      <c r="A128" s="193" t="s">
        <v>961</v>
      </c>
      <c r="B128" s="470" t="s">
        <v>993</v>
      </c>
      <c r="C128" s="470"/>
      <c r="D128" s="470"/>
      <c r="E128" s="183" t="s">
        <v>55</v>
      </c>
      <c r="F128" s="472">
        <v>3090927.3</v>
      </c>
      <c r="G128" s="472"/>
      <c r="H128" s="219" t="s">
        <v>56</v>
      </c>
      <c r="I128" s="186">
        <v>40938</v>
      </c>
      <c r="J128" s="187" t="s">
        <v>71</v>
      </c>
      <c r="K128" s="210">
        <v>372283.64099999995</v>
      </c>
      <c r="L128" s="210"/>
      <c r="P128" s="132">
        <f>+P119-P127</f>
        <v>0</v>
      </c>
    </row>
    <row r="129" spans="1:16" x14ac:dyDescent="0.15">
      <c r="A129" s="193" t="s">
        <v>963</v>
      </c>
      <c r="B129" s="470" t="s">
        <v>994</v>
      </c>
      <c r="C129" s="470"/>
      <c r="D129" s="470"/>
      <c r="E129" s="183" t="s">
        <v>55</v>
      </c>
      <c r="F129" s="472">
        <v>2075941.79</v>
      </c>
      <c r="G129" s="472"/>
      <c r="H129" s="219" t="s">
        <v>56</v>
      </c>
      <c r="I129" s="186">
        <v>40941</v>
      </c>
      <c r="J129" s="187" t="s">
        <v>71</v>
      </c>
      <c r="K129" s="210">
        <v>136831.86800000002</v>
      </c>
      <c r="L129" s="210"/>
    </row>
    <row r="130" spans="1:16" ht="12" thickBot="1" x14ac:dyDescent="0.2">
      <c r="A130" s="193"/>
      <c r="B130" s="470"/>
      <c r="C130" s="470"/>
      <c r="D130" s="470"/>
      <c r="E130" s="183"/>
      <c r="F130" s="472"/>
      <c r="G130" s="472"/>
      <c r="H130" s="219"/>
      <c r="I130" s="186"/>
      <c r="J130" s="217" t="s">
        <v>856</v>
      </c>
      <c r="K130" s="211">
        <f>SUM(K122:K129)</f>
        <v>1307470.963</v>
      </c>
      <c r="L130" s="210"/>
    </row>
    <row r="131" spans="1:16" ht="12" thickTop="1" x14ac:dyDescent="0.15">
      <c r="A131" s="193" t="s">
        <v>962</v>
      </c>
      <c r="B131" s="470" t="s">
        <v>986</v>
      </c>
      <c r="C131" s="470"/>
      <c r="D131" s="470"/>
      <c r="E131" s="183" t="s">
        <v>55</v>
      </c>
      <c r="F131" s="472">
        <v>25082134.91</v>
      </c>
      <c r="G131" s="472"/>
      <c r="H131" s="219" t="s">
        <v>56</v>
      </c>
      <c r="I131" s="186">
        <v>40939</v>
      </c>
      <c r="J131" s="187" t="s">
        <v>71</v>
      </c>
      <c r="K131" s="210">
        <v>319657.56099999999</v>
      </c>
      <c r="L131" s="210"/>
    </row>
    <row r="132" spans="1:16" ht="12" thickBot="1" x14ac:dyDescent="0.2">
      <c r="A132" s="133"/>
      <c r="B132" s="470"/>
      <c r="C132" s="470"/>
      <c r="D132" s="470"/>
      <c r="E132" s="183"/>
      <c r="F132" s="472"/>
      <c r="G132" s="472"/>
      <c r="H132" s="219"/>
      <c r="I132" s="186"/>
      <c r="J132" s="217" t="s">
        <v>689</v>
      </c>
      <c r="K132" s="211">
        <f>SUM(K131)</f>
        <v>319657.56099999999</v>
      </c>
      <c r="L132" s="210"/>
    </row>
    <row r="133" spans="1:16" s="132" customFormat="1" ht="12" thickTop="1" x14ac:dyDescent="0.15">
      <c r="A133" s="133" t="s">
        <v>911</v>
      </c>
      <c r="B133" s="470" t="s">
        <v>977</v>
      </c>
      <c r="C133" s="470"/>
      <c r="D133" s="470"/>
      <c r="E133" s="183" t="s">
        <v>55</v>
      </c>
      <c r="F133" s="472">
        <v>51311732.850000001</v>
      </c>
      <c r="G133" s="472"/>
      <c r="H133" s="219" t="s">
        <v>56</v>
      </c>
      <c r="I133" s="186">
        <v>40912</v>
      </c>
      <c r="J133" s="187" t="s">
        <v>71</v>
      </c>
      <c r="K133" s="210">
        <v>77467.349000000002</v>
      </c>
      <c r="L133" s="210"/>
      <c r="N133" s="134"/>
    </row>
    <row r="134" spans="1:16" s="132" customFormat="1" x14ac:dyDescent="0.15">
      <c r="A134" s="133" t="s">
        <v>912</v>
      </c>
      <c r="B134" s="470" t="s">
        <v>995</v>
      </c>
      <c r="C134" s="470"/>
      <c r="D134" s="470"/>
      <c r="E134" s="183" t="s">
        <v>55</v>
      </c>
      <c r="F134" s="472">
        <v>62738512.119999997</v>
      </c>
      <c r="G134" s="472"/>
      <c r="H134" s="219" t="s">
        <v>56</v>
      </c>
      <c r="I134" s="186">
        <v>40913</v>
      </c>
      <c r="J134" s="187" t="s">
        <v>71</v>
      </c>
      <c r="K134" s="210">
        <v>352689.48</v>
      </c>
    </row>
    <row r="135" spans="1:16" s="132" customFormat="1" x14ac:dyDescent="0.15">
      <c r="A135" s="133" t="s">
        <v>949</v>
      </c>
      <c r="B135" s="470" t="s">
        <v>996</v>
      </c>
      <c r="C135" s="470"/>
      <c r="D135" s="470"/>
      <c r="E135" s="183" t="s">
        <v>55</v>
      </c>
      <c r="F135" s="472">
        <v>49080779.07</v>
      </c>
      <c r="G135" s="472"/>
      <c r="H135" s="219" t="s">
        <v>56</v>
      </c>
      <c r="I135" s="186">
        <v>40917</v>
      </c>
      <c r="J135" s="187" t="s">
        <v>71</v>
      </c>
      <c r="K135" s="210">
        <v>119773.715</v>
      </c>
    </row>
    <row r="136" spans="1:16" s="132" customFormat="1" x14ac:dyDescent="0.15">
      <c r="A136" s="133" t="s">
        <v>951</v>
      </c>
      <c r="B136" s="470" t="s">
        <v>997</v>
      </c>
      <c r="C136" s="470"/>
      <c r="D136" s="470"/>
      <c r="E136" s="183" t="s">
        <v>55</v>
      </c>
      <c r="F136" s="472">
        <v>151497937.21000001</v>
      </c>
      <c r="G136" s="472"/>
      <c r="H136" s="219" t="s">
        <v>56</v>
      </c>
      <c r="I136" s="186">
        <v>40920</v>
      </c>
      <c r="J136" s="187" t="s">
        <v>71</v>
      </c>
      <c r="K136" s="210">
        <v>173561.976</v>
      </c>
    </row>
    <row r="137" spans="1:16" x14ac:dyDescent="0.15">
      <c r="A137" s="133" t="s">
        <v>953</v>
      </c>
      <c r="B137" s="470" t="s">
        <v>998</v>
      </c>
      <c r="C137" s="470"/>
      <c r="D137" s="470"/>
      <c r="E137" s="183" t="s">
        <v>55</v>
      </c>
      <c r="F137" s="472">
        <v>35826165.939999998</v>
      </c>
      <c r="G137" s="472"/>
      <c r="H137" s="219" t="s">
        <v>56</v>
      </c>
      <c r="I137" s="186">
        <v>40924</v>
      </c>
      <c r="J137" s="187" t="s">
        <v>71</v>
      </c>
      <c r="K137" s="210">
        <v>480164.63899999997</v>
      </c>
      <c r="L137" s="134"/>
      <c r="M137" s="134"/>
      <c r="O137" s="238"/>
      <c r="P137" s="134"/>
    </row>
    <row r="138" spans="1:16" x14ac:dyDescent="0.15">
      <c r="A138" s="133" t="s">
        <v>954</v>
      </c>
      <c r="B138" s="470" t="s">
        <v>999</v>
      </c>
      <c r="C138" s="470"/>
      <c r="D138" s="470"/>
      <c r="E138" s="183" t="s">
        <v>55</v>
      </c>
      <c r="F138" s="472">
        <v>32292475.710000001</v>
      </c>
      <c r="G138" s="472"/>
      <c r="H138" s="219" t="s">
        <v>56</v>
      </c>
      <c r="I138" s="186">
        <v>40925</v>
      </c>
      <c r="J138" s="187" t="s">
        <v>71</v>
      </c>
      <c r="K138" s="210">
        <v>171058.52300000002</v>
      </c>
      <c r="L138" s="134"/>
      <c r="M138" s="134"/>
      <c r="O138" s="238"/>
      <c r="P138" s="134"/>
    </row>
    <row r="139" spans="1:16" x14ac:dyDescent="0.15">
      <c r="A139" s="133" t="s">
        <v>955</v>
      </c>
      <c r="B139" s="470" t="s">
        <v>1000</v>
      </c>
      <c r="C139" s="470"/>
      <c r="D139" s="470"/>
      <c r="E139" s="183" t="s">
        <v>55</v>
      </c>
      <c r="F139" s="472">
        <v>56415615.810000002</v>
      </c>
      <c r="G139" s="472"/>
      <c r="H139" s="219" t="s">
        <v>56</v>
      </c>
      <c r="I139" s="186">
        <v>40927</v>
      </c>
      <c r="J139" s="187" t="s">
        <v>71</v>
      </c>
      <c r="K139" s="210">
        <v>37717.279999999999</v>
      </c>
      <c r="L139" s="134"/>
      <c r="M139" s="134"/>
      <c r="O139" s="238"/>
      <c r="P139" s="134"/>
    </row>
    <row r="140" spans="1:16" x14ac:dyDescent="0.15">
      <c r="A140" s="133" t="s">
        <v>956</v>
      </c>
      <c r="B140" s="470" t="s">
        <v>1001</v>
      </c>
      <c r="C140" s="470"/>
      <c r="D140" s="470"/>
      <c r="E140" s="183" t="s">
        <v>55</v>
      </c>
      <c r="F140" s="472">
        <v>131760227.51000001</v>
      </c>
      <c r="G140" s="472"/>
      <c r="H140" s="219" t="s">
        <v>56</v>
      </c>
      <c r="I140" s="186">
        <v>40931</v>
      </c>
      <c r="J140" s="187" t="s">
        <v>71</v>
      </c>
      <c r="K140" s="210">
        <v>533246.58900000004</v>
      </c>
    </row>
    <row r="141" spans="1:16" x14ac:dyDescent="0.15">
      <c r="A141" s="133" t="s">
        <v>960</v>
      </c>
      <c r="B141" s="470" t="s">
        <v>1002</v>
      </c>
      <c r="C141" s="470"/>
      <c r="D141" s="470"/>
      <c r="E141" s="183" t="s">
        <v>55</v>
      </c>
      <c r="F141" s="472">
        <v>33968481.200000003</v>
      </c>
      <c r="G141" s="472"/>
      <c r="H141" s="219" t="s">
        <v>56</v>
      </c>
      <c r="I141" s="186">
        <v>40938</v>
      </c>
      <c r="J141" s="187" t="s">
        <v>71</v>
      </c>
      <c r="K141" s="210">
        <v>236106.45500000002</v>
      </c>
      <c r="L141" s="134"/>
      <c r="M141" s="134"/>
      <c r="O141" s="238"/>
      <c r="P141" s="134"/>
    </row>
    <row r="142" spans="1:16" ht="12" thickBot="1" x14ac:dyDescent="0.2">
      <c r="A142" s="193"/>
      <c r="B142" s="210"/>
      <c r="C142" s="221"/>
      <c r="D142" s="237"/>
      <c r="E142" s="235"/>
      <c r="F142" s="235"/>
      <c r="G142" s="236"/>
      <c r="J142" s="218" t="s">
        <v>106</v>
      </c>
      <c r="K142" s="212">
        <f>SUM(K133:K141)</f>
        <v>2181786.0060000001</v>
      </c>
    </row>
    <row r="143" spans="1:16" ht="12" thickTop="1" x14ac:dyDescent="0.15">
      <c r="A143" s="193"/>
      <c r="B143" s="210"/>
      <c r="C143" s="221"/>
      <c r="D143" s="237"/>
      <c r="E143" s="235"/>
      <c r="F143" s="235"/>
      <c r="G143" s="236"/>
      <c r="K143" s="205"/>
    </row>
    <row r="144" spans="1:16" x14ac:dyDescent="0.15">
      <c r="A144" s="133"/>
      <c r="B144" s="133" t="s">
        <v>9</v>
      </c>
      <c r="C144" s="220" t="s">
        <v>729</v>
      </c>
      <c r="D144" s="220" t="s">
        <v>850</v>
      </c>
      <c r="E144" s="133" t="s">
        <v>570</v>
      </c>
      <c r="F144" s="133" t="s">
        <v>571</v>
      </c>
      <c r="G144" s="133" t="s">
        <v>16</v>
      </c>
      <c r="I144" s="134"/>
      <c r="J144" s="134"/>
    </row>
    <row r="145" spans="1:14" x14ac:dyDescent="0.15">
      <c r="A145" s="193" t="s">
        <v>913</v>
      </c>
      <c r="B145" s="210">
        <v>40080</v>
      </c>
      <c r="C145" s="221">
        <v>24.272099999999998</v>
      </c>
      <c r="D145" s="237">
        <f t="shared" ref="D145:D146" si="40">+B145*C145</f>
        <v>972825.76799999992</v>
      </c>
      <c r="E145" s="235">
        <f t="shared" ref="E145:E146" si="41">+D145*0.01</f>
        <v>9728.2576799999988</v>
      </c>
      <c r="F145" s="235">
        <f t="shared" ref="F145:F146" si="42">+E145*0.1</f>
        <v>972.82576799999993</v>
      </c>
      <c r="G145" s="236">
        <f t="shared" ref="G145:G146" si="43">+E145+F145</f>
        <v>10701.083447999999</v>
      </c>
      <c r="I145" s="134"/>
      <c r="J145" s="134"/>
    </row>
    <row r="146" spans="1:14" x14ac:dyDescent="0.15">
      <c r="A146" s="193" t="s">
        <v>950</v>
      </c>
      <c r="B146" s="210">
        <v>198729</v>
      </c>
      <c r="C146" s="221">
        <v>24.539200000000001</v>
      </c>
      <c r="D146" s="237">
        <f t="shared" si="40"/>
        <v>4876650.6768000005</v>
      </c>
      <c r="E146" s="235">
        <f t="shared" si="41"/>
        <v>48766.506768000007</v>
      </c>
      <c r="F146" s="235">
        <f t="shared" si="42"/>
        <v>4876.6506768000008</v>
      </c>
      <c r="G146" s="236">
        <f t="shared" si="43"/>
        <v>53643.15744480001</v>
      </c>
    </row>
    <row r="147" spans="1:14" x14ac:dyDescent="0.15">
      <c r="A147" s="193" t="s">
        <v>952</v>
      </c>
      <c r="B147" s="210">
        <v>156220</v>
      </c>
      <c r="C147" s="221">
        <v>24.632200000000001</v>
      </c>
      <c r="D147" s="237">
        <f t="shared" ref="D147:D164" si="44">+B147*C147</f>
        <v>3848042.284</v>
      </c>
      <c r="E147" s="235">
        <f t="shared" ref="E147:E164" si="45">+D147*0.01</f>
        <v>38480.422839999999</v>
      </c>
      <c r="F147" s="235">
        <f t="shared" ref="F147:F164" si="46">+E147*0.1</f>
        <v>3848.0422840000001</v>
      </c>
      <c r="G147" s="236">
        <f t="shared" ref="G147:G164" si="47">+E147+F147</f>
        <v>42328.465124000002</v>
      </c>
      <c r="I147" s="134"/>
      <c r="J147" s="134"/>
    </row>
    <row r="148" spans="1:14" x14ac:dyDescent="0.15">
      <c r="A148" s="193" t="s">
        <v>957</v>
      </c>
      <c r="B148" s="210">
        <v>116314</v>
      </c>
      <c r="C148" s="221">
        <v>25.870699999999999</v>
      </c>
      <c r="D148" s="237">
        <f t="shared" si="44"/>
        <v>3009124.5998</v>
      </c>
      <c r="E148" s="235">
        <f t="shared" si="45"/>
        <v>30091.245997999999</v>
      </c>
      <c r="F148" s="235">
        <f t="shared" si="46"/>
        <v>3009.1245997999999</v>
      </c>
      <c r="G148" s="236">
        <f t="shared" si="47"/>
        <v>33100.3705978</v>
      </c>
    </row>
    <row r="149" spans="1:14" s="132" customFormat="1" x14ac:dyDescent="0.15">
      <c r="A149" s="193" t="s">
        <v>958</v>
      </c>
      <c r="B149" s="210">
        <v>227822</v>
      </c>
      <c r="C149" s="221">
        <v>25.701899999999998</v>
      </c>
      <c r="D149" s="237">
        <f t="shared" si="44"/>
        <v>5855458.2617999995</v>
      </c>
      <c r="E149" s="235">
        <f t="shared" si="45"/>
        <v>58554.582617999993</v>
      </c>
      <c r="F149" s="235">
        <f t="shared" si="46"/>
        <v>5855.4582617999995</v>
      </c>
      <c r="G149" s="236">
        <f t="shared" si="47"/>
        <v>64410.040879799992</v>
      </c>
      <c r="I149" s="133"/>
      <c r="K149" s="134"/>
      <c r="L149" s="133"/>
      <c r="N149" s="134"/>
    </row>
    <row r="150" spans="1:14" s="132" customFormat="1" x14ac:dyDescent="0.15">
      <c r="A150" s="133" t="s">
        <v>959</v>
      </c>
      <c r="B150" s="210">
        <v>59191</v>
      </c>
      <c r="C150" s="221">
        <v>25.7653</v>
      </c>
      <c r="D150" s="237">
        <f t="shared" si="44"/>
        <v>1525073.8722999999</v>
      </c>
      <c r="E150" s="235">
        <f t="shared" si="45"/>
        <v>15250.738723</v>
      </c>
      <c r="F150" s="235">
        <f t="shared" si="46"/>
        <v>1525.0738723000002</v>
      </c>
      <c r="G150" s="236">
        <f t="shared" si="47"/>
        <v>16775.812595300002</v>
      </c>
      <c r="I150" s="133"/>
      <c r="K150" s="134"/>
      <c r="L150" s="133"/>
      <c r="N150" s="134"/>
    </row>
    <row r="151" spans="1:14" s="132" customFormat="1" x14ac:dyDescent="0.15">
      <c r="A151" s="193" t="s">
        <v>961</v>
      </c>
      <c r="B151" s="210">
        <v>372284</v>
      </c>
      <c r="C151" s="221">
        <v>25.477900000000002</v>
      </c>
      <c r="D151" s="237">
        <f t="shared" si="44"/>
        <v>9485014.5236000009</v>
      </c>
      <c r="E151" s="235">
        <f t="shared" si="45"/>
        <v>94850.145236000011</v>
      </c>
      <c r="F151" s="235">
        <f t="shared" si="46"/>
        <v>9485.0145236000008</v>
      </c>
      <c r="G151" s="236">
        <f t="shared" si="47"/>
        <v>104335.15975960001</v>
      </c>
      <c r="I151" s="133"/>
      <c r="K151" s="134"/>
      <c r="L151" s="133"/>
      <c r="N151" s="134"/>
    </row>
    <row r="152" spans="1:14" s="132" customFormat="1" x14ac:dyDescent="0.15">
      <c r="A152" s="193" t="s">
        <v>963</v>
      </c>
      <c r="B152" s="210">
        <v>136832</v>
      </c>
      <c r="C152" s="221">
        <v>25.1511</v>
      </c>
      <c r="D152" s="237">
        <f t="shared" si="44"/>
        <v>3441475.3152000001</v>
      </c>
      <c r="E152" s="235">
        <f t="shared" si="45"/>
        <v>34414.753152000005</v>
      </c>
      <c r="F152" s="235">
        <f t="shared" si="46"/>
        <v>3441.4753152000008</v>
      </c>
      <c r="G152" s="236">
        <f t="shared" si="47"/>
        <v>37856.228467200002</v>
      </c>
      <c r="I152" s="133"/>
      <c r="K152" s="134"/>
      <c r="L152" s="133"/>
      <c r="N152" s="134"/>
    </row>
    <row r="153" spans="1:14" s="132" customFormat="1" ht="12" thickBot="1" x14ac:dyDescent="0.2">
      <c r="A153" s="193"/>
      <c r="B153" s="211">
        <f>SUM(B145:B152)</f>
        <v>1307472</v>
      </c>
      <c r="C153" s="221"/>
      <c r="D153" s="237"/>
      <c r="E153" s="242">
        <f>SUM(E145:E152)</f>
        <v>330136.65301500005</v>
      </c>
      <c r="F153" s="242">
        <f t="shared" ref="F153:G153" si="48">SUM(F145:F152)</f>
        <v>33013.665301499997</v>
      </c>
      <c r="G153" s="242">
        <f t="shared" si="48"/>
        <v>363150.31831649999</v>
      </c>
      <c r="I153" s="133"/>
      <c r="K153" s="134"/>
      <c r="L153" s="133"/>
      <c r="N153" s="134"/>
    </row>
    <row r="154" spans="1:14" s="132" customFormat="1" ht="12" thickTop="1" x14ac:dyDescent="0.15">
      <c r="A154" s="193" t="s">
        <v>962</v>
      </c>
      <c r="B154" s="210">
        <v>319658</v>
      </c>
      <c r="C154" s="221">
        <v>25.255500000000001</v>
      </c>
      <c r="D154" s="237">
        <f t="shared" si="44"/>
        <v>8073122.6190000009</v>
      </c>
      <c r="E154" s="235">
        <f t="shared" si="45"/>
        <v>80731.226190000016</v>
      </c>
      <c r="F154" s="235">
        <f t="shared" si="46"/>
        <v>8073.1226190000016</v>
      </c>
      <c r="G154" s="236">
        <f t="shared" si="47"/>
        <v>88804.348809000017</v>
      </c>
      <c r="I154" s="133"/>
      <c r="K154" s="134"/>
      <c r="L154" s="133"/>
      <c r="N154" s="134"/>
    </row>
    <row r="155" spans="1:14" s="132" customFormat="1" ht="12" thickBot="1" x14ac:dyDescent="0.2">
      <c r="A155" s="133"/>
      <c r="B155" s="211">
        <f>SUM(B154)</f>
        <v>319658</v>
      </c>
      <c r="C155" s="221"/>
      <c r="D155" s="237"/>
      <c r="E155" s="242">
        <f>SUM(E154)</f>
        <v>80731.226190000016</v>
      </c>
      <c r="F155" s="242">
        <f t="shared" ref="F155:G155" si="49">SUM(F154)</f>
        <v>8073.1226190000016</v>
      </c>
      <c r="G155" s="242">
        <f t="shared" si="49"/>
        <v>88804.348809000017</v>
      </c>
      <c r="I155" s="244"/>
      <c r="K155" s="134"/>
      <c r="L155" s="133"/>
      <c r="N155" s="134"/>
    </row>
    <row r="156" spans="1:14" s="132" customFormat="1" ht="12" thickTop="1" x14ac:dyDescent="0.15">
      <c r="A156" s="133" t="s">
        <v>911</v>
      </c>
      <c r="B156" s="210">
        <v>77467</v>
      </c>
      <c r="C156" s="221">
        <v>24.325099999999999</v>
      </c>
      <c r="D156" s="237">
        <f t="shared" si="44"/>
        <v>1884392.5216999999</v>
      </c>
      <c r="E156" s="235">
        <f t="shared" si="45"/>
        <v>18843.925217</v>
      </c>
      <c r="F156" s="235">
        <f t="shared" si="46"/>
        <v>1884.3925217000001</v>
      </c>
      <c r="G156" s="236">
        <f t="shared" si="47"/>
        <v>20728.3177387</v>
      </c>
      <c r="I156" s="244"/>
      <c r="K156" s="134"/>
      <c r="L156" s="133"/>
      <c r="N156" s="134"/>
    </row>
    <row r="157" spans="1:14" s="132" customFormat="1" x14ac:dyDescent="0.15">
      <c r="A157" s="133" t="s">
        <v>912</v>
      </c>
      <c r="B157" s="210">
        <v>352689</v>
      </c>
      <c r="C157" s="221">
        <v>24.325099999999999</v>
      </c>
      <c r="D157" s="237">
        <f t="shared" si="44"/>
        <v>8579195.1939000003</v>
      </c>
      <c r="E157" s="235">
        <f t="shared" si="45"/>
        <v>85791.951939000006</v>
      </c>
      <c r="F157" s="235">
        <f t="shared" si="46"/>
        <v>8579.195193900001</v>
      </c>
      <c r="G157" s="236">
        <f t="shared" si="47"/>
        <v>94371.147132900005</v>
      </c>
      <c r="I157" s="244"/>
      <c r="K157" s="134"/>
      <c r="L157" s="133"/>
      <c r="N157" s="134"/>
    </row>
    <row r="158" spans="1:14" s="132" customFormat="1" x14ac:dyDescent="0.15">
      <c r="A158" s="133" t="s">
        <v>949</v>
      </c>
      <c r="B158" s="210">
        <v>119774</v>
      </c>
      <c r="C158" s="221">
        <v>24.689599999999999</v>
      </c>
      <c r="D158" s="237">
        <f t="shared" si="44"/>
        <v>2957172.1503999997</v>
      </c>
      <c r="E158" s="235">
        <f t="shared" si="45"/>
        <v>29571.721503999997</v>
      </c>
      <c r="F158" s="235">
        <f t="shared" si="46"/>
        <v>2957.1721503999997</v>
      </c>
      <c r="G158" s="236">
        <f t="shared" si="47"/>
        <v>32528.893654399995</v>
      </c>
      <c r="I158" s="244"/>
      <c r="K158" s="134"/>
      <c r="L158" s="133"/>
      <c r="N158" s="134"/>
    </row>
    <row r="159" spans="1:14" s="132" customFormat="1" x14ac:dyDescent="0.15">
      <c r="A159" s="133" t="s">
        <v>951</v>
      </c>
      <c r="B159" s="210">
        <v>173562</v>
      </c>
      <c r="C159" s="221">
        <v>24.793500000000002</v>
      </c>
      <c r="D159" s="237">
        <f t="shared" si="44"/>
        <v>4303209.4470000006</v>
      </c>
      <c r="E159" s="235">
        <f t="shared" si="45"/>
        <v>43032.094470000004</v>
      </c>
      <c r="F159" s="235">
        <f t="shared" si="46"/>
        <v>4303.2094470000002</v>
      </c>
      <c r="G159" s="236">
        <f t="shared" si="47"/>
        <v>47335.303917000005</v>
      </c>
      <c r="I159" s="244"/>
      <c r="K159" s="134"/>
      <c r="L159" s="133"/>
      <c r="N159" s="134"/>
    </row>
    <row r="160" spans="1:14" s="132" customFormat="1" x14ac:dyDescent="0.15">
      <c r="A160" s="133" t="s">
        <v>953</v>
      </c>
      <c r="B160" s="210">
        <v>480165</v>
      </c>
      <c r="C160" s="221">
        <v>25.496300000000002</v>
      </c>
      <c r="D160" s="237">
        <f t="shared" si="44"/>
        <v>12242430.889500001</v>
      </c>
      <c r="E160" s="235">
        <f t="shared" si="45"/>
        <v>122424.30889500002</v>
      </c>
      <c r="F160" s="235">
        <f t="shared" si="46"/>
        <v>12242.430889500003</v>
      </c>
      <c r="G160" s="236">
        <f t="shared" si="47"/>
        <v>134666.73978450004</v>
      </c>
      <c r="I160" s="244"/>
      <c r="K160" s="134"/>
      <c r="L160" s="133"/>
      <c r="N160" s="134"/>
    </row>
    <row r="161" spans="1:14" s="132" customFormat="1" x14ac:dyDescent="0.15">
      <c r="A161" s="133" t="s">
        <v>954</v>
      </c>
      <c r="B161" s="210">
        <v>171059</v>
      </c>
      <c r="C161" s="221">
        <v>25.726700000000001</v>
      </c>
      <c r="D161" s="237">
        <f t="shared" si="44"/>
        <v>4400783.5753000006</v>
      </c>
      <c r="E161" s="235">
        <f t="shared" si="45"/>
        <v>44007.835753000007</v>
      </c>
      <c r="F161" s="235">
        <f t="shared" si="46"/>
        <v>4400.7835753000008</v>
      </c>
      <c r="G161" s="236">
        <f t="shared" si="47"/>
        <v>48408.61932830001</v>
      </c>
      <c r="I161" s="244"/>
      <c r="K161" s="134"/>
      <c r="L161" s="133"/>
      <c r="N161" s="134"/>
    </row>
    <row r="162" spans="1:14" s="132" customFormat="1" x14ac:dyDescent="0.15">
      <c r="A162" s="133" t="s">
        <v>955</v>
      </c>
      <c r="B162" s="210">
        <v>37717</v>
      </c>
      <c r="C162" s="221">
        <v>25.944700000000001</v>
      </c>
      <c r="D162" s="237">
        <f t="shared" si="44"/>
        <v>978556.24990000005</v>
      </c>
      <c r="E162" s="235">
        <f t="shared" si="45"/>
        <v>9785.5624990000015</v>
      </c>
      <c r="F162" s="235">
        <f t="shared" si="46"/>
        <v>978.55624990000024</v>
      </c>
      <c r="G162" s="236">
        <f t="shared" si="47"/>
        <v>10764.118748900002</v>
      </c>
      <c r="I162" s="244"/>
      <c r="K162" s="134"/>
      <c r="L162" s="133"/>
      <c r="N162" s="134"/>
    </row>
    <row r="163" spans="1:14" s="132" customFormat="1" x14ac:dyDescent="0.15">
      <c r="A163" s="133" t="s">
        <v>956</v>
      </c>
      <c r="B163" s="210">
        <v>533247</v>
      </c>
      <c r="C163" s="221">
        <v>26.0349</v>
      </c>
      <c r="D163" s="237">
        <f t="shared" si="44"/>
        <v>13883032.3203</v>
      </c>
      <c r="E163" s="235">
        <f t="shared" si="45"/>
        <v>138830.32320300001</v>
      </c>
      <c r="F163" s="235">
        <f t="shared" si="46"/>
        <v>13883.032320300001</v>
      </c>
      <c r="G163" s="236">
        <f t="shared" si="47"/>
        <v>152713.35552330001</v>
      </c>
      <c r="I163" s="244"/>
      <c r="K163" s="134"/>
      <c r="L163" s="133"/>
      <c r="N163" s="134"/>
    </row>
    <row r="164" spans="1:14" s="132" customFormat="1" x14ac:dyDescent="0.15">
      <c r="A164" s="133" t="s">
        <v>960</v>
      </c>
      <c r="B164" s="210">
        <v>236106</v>
      </c>
      <c r="C164" s="221">
        <v>25.6435</v>
      </c>
      <c r="D164" s="237">
        <f t="shared" si="44"/>
        <v>6054584.2110000001</v>
      </c>
      <c r="E164" s="235">
        <f t="shared" si="45"/>
        <v>60545.842110000005</v>
      </c>
      <c r="F164" s="235">
        <f t="shared" si="46"/>
        <v>6054.5842110000012</v>
      </c>
      <c r="G164" s="236">
        <f t="shared" si="47"/>
        <v>66600.426321000006</v>
      </c>
      <c r="I164" s="244"/>
      <c r="K164" s="134"/>
      <c r="L164" s="133"/>
      <c r="N164" s="134"/>
    </row>
    <row r="165" spans="1:14" s="132" customFormat="1" ht="12" thickBot="1" x14ac:dyDescent="0.2">
      <c r="A165" s="134"/>
      <c r="B165" s="233">
        <f>SUM(B156:B164)</f>
        <v>2181786</v>
      </c>
      <c r="D165" s="133"/>
      <c r="E165" s="234">
        <f>SUM(E156:E164)</f>
        <v>552833.56559000001</v>
      </c>
      <c r="F165" s="234">
        <f t="shared" ref="F165:G165" si="50">SUM(F156:F164)</f>
        <v>55283.356559000007</v>
      </c>
      <c r="G165" s="234">
        <f t="shared" si="50"/>
        <v>608116.92214900011</v>
      </c>
      <c r="I165" s="133"/>
      <c r="K165" s="134"/>
      <c r="L165" s="133"/>
      <c r="N165" s="134"/>
    </row>
    <row r="166" spans="1:14" s="132" customFormat="1" ht="12" thickTop="1" x14ac:dyDescent="0.15">
      <c r="A166" s="134"/>
      <c r="B166" s="131"/>
      <c r="D166" s="133"/>
      <c r="E166" s="133"/>
      <c r="F166" s="134"/>
      <c r="G166" s="133"/>
      <c r="I166" s="133"/>
      <c r="K166" s="134"/>
      <c r="L166" s="133"/>
      <c r="N166" s="134"/>
    </row>
    <row r="167" spans="1:14" s="132" customFormat="1" x14ac:dyDescent="0.15">
      <c r="A167" s="134"/>
      <c r="B167" s="231"/>
      <c r="D167" s="133"/>
      <c r="E167" s="133"/>
      <c r="F167" s="134"/>
      <c r="G167" s="133"/>
      <c r="I167" s="133"/>
      <c r="K167" s="134"/>
      <c r="L167" s="133"/>
      <c r="N167" s="134"/>
    </row>
  </sheetData>
  <mergeCells count="50">
    <mergeCell ref="B141:D141"/>
    <mergeCell ref="F141:G141"/>
    <mergeCell ref="B138:D138"/>
    <mergeCell ref="F138:G138"/>
    <mergeCell ref="B139:D139"/>
    <mergeCell ref="F139:G139"/>
    <mergeCell ref="B140:D140"/>
    <mergeCell ref="F140:G140"/>
    <mergeCell ref="B135:D135"/>
    <mergeCell ref="F135:G135"/>
    <mergeCell ref="B136:D136"/>
    <mergeCell ref="F136:G136"/>
    <mergeCell ref="B137:D137"/>
    <mergeCell ref="F137:G137"/>
    <mergeCell ref="B132:D132"/>
    <mergeCell ref="F132:G132"/>
    <mergeCell ref="B133:D133"/>
    <mergeCell ref="F133:G133"/>
    <mergeCell ref="B134:D134"/>
    <mergeCell ref="F134:G134"/>
    <mergeCell ref="B129:D129"/>
    <mergeCell ref="F129:G129"/>
    <mergeCell ref="B130:D130"/>
    <mergeCell ref="F130:G130"/>
    <mergeCell ref="B131:D131"/>
    <mergeCell ref="F131:G131"/>
    <mergeCell ref="B126:D126"/>
    <mergeCell ref="F126:G126"/>
    <mergeCell ref="B127:D127"/>
    <mergeCell ref="F127:G127"/>
    <mergeCell ref="B128:D128"/>
    <mergeCell ref="F128:G128"/>
    <mergeCell ref="B123:D123"/>
    <mergeCell ref="F123:G123"/>
    <mergeCell ref="B124:D124"/>
    <mergeCell ref="F124:G124"/>
    <mergeCell ref="B125:D125"/>
    <mergeCell ref="F125:G125"/>
    <mergeCell ref="B120:D120"/>
    <mergeCell ref="F120:G120"/>
    <mergeCell ref="B121:D121"/>
    <mergeCell ref="F121:G121"/>
    <mergeCell ref="B122:D122"/>
    <mergeCell ref="F122:G122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zoomScale="115" zoomScaleNormal="115" workbookViewId="0">
      <pane ySplit="6" topLeftCell="A116" activePane="bottomLeft" state="frozen"/>
      <selection pane="bottomLeft" activeCell="A149" sqref="A149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2.5703125" style="133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2.140625" style="132" bestFit="1" customWidth="1"/>
    <col min="11" max="11" width="11.8554687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895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845</v>
      </c>
      <c r="B7" s="146"/>
      <c r="C7" s="147">
        <v>63505.711362009446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63505.711362009446</v>
      </c>
      <c r="P7" s="147">
        <f>+C98</f>
        <v>499686.60936200945</v>
      </c>
    </row>
    <row r="8" spans="1:16" x14ac:dyDescent="0.15">
      <c r="A8" s="154" t="s">
        <v>846</v>
      </c>
      <c r="B8" s="151"/>
      <c r="C8" s="152">
        <v>196099.774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63505.711362009446</v>
      </c>
      <c r="P8" s="152">
        <f t="shared" ref="P8:P10" si="0">P7+H8-J8-M8</f>
        <v>499686.60936200945</v>
      </c>
    </row>
    <row r="9" spans="1:16" x14ac:dyDescent="0.15">
      <c r="A9" s="154" t="s">
        <v>847</v>
      </c>
      <c r="B9" s="151"/>
      <c r="C9" s="152">
        <v>80066.512000000002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10" si="1">+O8-J9-M9</f>
        <v>63505.711362009446</v>
      </c>
      <c r="P9" s="152">
        <f t="shared" si="0"/>
        <v>499686.60936200945</v>
      </c>
    </row>
    <row r="10" spans="1:16" x14ac:dyDescent="0.15">
      <c r="A10" s="154" t="s">
        <v>848</v>
      </c>
      <c r="B10" s="151"/>
      <c r="C10" s="152">
        <v>80024.354000000007</v>
      </c>
      <c r="D10" s="155"/>
      <c r="E10" s="154"/>
      <c r="F10" s="157"/>
      <c r="G10" s="154"/>
      <c r="H10" s="152"/>
      <c r="I10" s="155"/>
      <c r="J10" s="152"/>
      <c r="K10" s="150"/>
      <c r="L10" s="154"/>
      <c r="M10" s="227"/>
      <c r="N10" s="150"/>
      <c r="O10" s="227">
        <f t="shared" si="1"/>
        <v>63505.711362009446</v>
      </c>
      <c r="P10" s="152">
        <f t="shared" si="0"/>
        <v>499686.60936200945</v>
      </c>
    </row>
    <row r="11" spans="1:16" x14ac:dyDescent="0.15">
      <c r="A11" s="154" t="s">
        <v>849</v>
      </c>
      <c r="B11" s="151"/>
      <c r="C11" s="152">
        <v>79990.258000000002</v>
      </c>
      <c r="D11" s="155"/>
      <c r="E11" s="154"/>
      <c r="F11" s="157"/>
      <c r="G11" s="154"/>
      <c r="H11" s="152"/>
      <c r="I11" s="155"/>
      <c r="J11" s="152"/>
      <c r="K11" s="150"/>
      <c r="L11" s="154"/>
      <c r="M11" s="227"/>
      <c r="N11" s="150"/>
      <c r="O11" s="227">
        <f t="shared" ref="O11:O92" si="2">+O10-J11-M11</f>
        <v>63505.711362009446</v>
      </c>
      <c r="P11" s="152">
        <f t="shared" ref="P11:P92" si="3">P10+H11-J11-M11</f>
        <v>499686.60936200945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/>
      <c r="J12" s="152"/>
      <c r="K12" s="150"/>
      <c r="L12" s="154"/>
      <c r="M12" s="227"/>
      <c r="N12" s="154"/>
      <c r="O12" s="227">
        <f t="shared" si="2"/>
        <v>63505.711362009446</v>
      </c>
      <c r="P12" s="152">
        <f t="shared" si="3"/>
        <v>499686.60936200945</v>
      </c>
    </row>
    <row r="13" spans="1:16" x14ac:dyDescent="0.15">
      <c r="A13" s="154"/>
      <c r="B13" s="151"/>
      <c r="C13" s="152"/>
      <c r="D13" s="155" t="s">
        <v>896</v>
      </c>
      <c r="E13" s="154" t="s">
        <v>72</v>
      </c>
      <c r="F13" s="157" t="s">
        <v>899</v>
      </c>
      <c r="G13" s="154"/>
      <c r="H13" s="152">
        <v>40003.243999999999</v>
      </c>
      <c r="I13" s="155" t="s">
        <v>896</v>
      </c>
      <c r="J13" s="152"/>
      <c r="K13" s="150"/>
      <c r="L13" s="154"/>
      <c r="M13" s="227"/>
      <c r="N13" s="154"/>
      <c r="O13" s="227">
        <f t="shared" ref="O13:O17" si="4">+O12-J13-M13</f>
        <v>63505.711362009446</v>
      </c>
      <c r="P13" s="152">
        <f t="shared" ref="P13:P17" si="5">P12+H13-J13-M13</f>
        <v>539689.85336200939</v>
      </c>
    </row>
    <row r="14" spans="1:16" x14ac:dyDescent="0.15">
      <c r="A14" s="154"/>
      <c r="B14" s="151"/>
      <c r="C14" s="152"/>
      <c r="D14" s="155" t="s">
        <v>869</v>
      </c>
      <c r="E14" s="154" t="s">
        <v>72</v>
      </c>
      <c r="F14" s="157" t="s">
        <v>899</v>
      </c>
      <c r="G14" s="154"/>
      <c r="H14" s="152">
        <v>80031.23</v>
      </c>
      <c r="I14" s="155" t="s">
        <v>869</v>
      </c>
      <c r="J14" s="152">
        <v>4754.59</v>
      </c>
      <c r="K14" s="150" t="s">
        <v>845</v>
      </c>
      <c r="L14" s="154" t="s">
        <v>914</v>
      </c>
      <c r="M14" s="227">
        <v>58751.120999999999</v>
      </c>
      <c r="N14" s="154" t="s">
        <v>845</v>
      </c>
      <c r="O14" s="227">
        <f t="shared" si="4"/>
        <v>3.6200945032760501E-4</v>
      </c>
      <c r="P14" s="152">
        <f t="shared" si="5"/>
        <v>556215.37236200937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869</v>
      </c>
      <c r="J15" s="152"/>
      <c r="K15" s="150"/>
      <c r="L15" s="154" t="s">
        <v>914</v>
      </c>
      <c r="M15" s="227">
        <v>13038.879000000001</v>
      </c>
      <c r="N15" s="154" t="s">
        <v>846</v>
      </c>
      <c r="O15" s="227">
        <f>C8+O14-J15-M15</f>
        <v>183060.89536200947</v>
      </c>
      <c r="P15" s="152">
        <f t="shared" si="5"/>
        <v>543176.49336200941</v>
      </c>
    </row>
    <row r="16" spans="1:16" x14ac:dyDescent="0.15">
      <c r="A16" s="154"/>
      <c r="B16" s="151"/>
      <c r="C16" s="152"/>
      <c r="D16" s="155"/>
      <c r="E16" s="154"/>
      <c r="F16" s="157"/>
      <c r="G16" s="154"/>
      <c r="H16" s="152"/>
      <c r="I16" s="155" t="s">
        <v>869</v>
      </c>
      <c r="J16" s="152"/>
      <c r="K16" s="150"/>
      <c r="L16" s="154" t="s">
        <v>914</v>
      </c>
      <c r="M16" s="227">
        <v>80913.960000000006</v>
      </c>
      <c r="N16" s="154" t="s">
        <v>846</v>
      </c>
      <c r="O16" s="227">
        <f t="shared" si="4"/>
        <v>102146.93536200946</v>
      </c>
      <c r="P16" s="152">
        <f t="shared" si="5"/>
        <v>462262.53336200939</v>
      </c>
    </row>
    <row r="17" spans="1:16" x14ac:dyDescent="0.15">
      <c r="A17" s="154"/>
      <c r="B17" s="151"/>
      <c r="C17" s="152"/>
      <c r="D17" s="155" t="s">
        <v>870</v>
      </c>
      <c r="E17" s="154" t="s">
        <v>72</v>
      </c>
      <c r="F17" s="157" t="s">
        <v>900</v>
      </c>
      <c r="G17" s="154"/>
      <c r="H17" s="152">
        <v>40064.898000000001</v>
      </c>
      <c r="I17" s="155" t="s">
        <v>870</v>
      </c>
      <c r="J17" s="152"/>
      <c r="K17" s="150"/>
      <c r="L17" s="154" t="s">
        <v>914</v>
      </c>
      <c r="M17" s="227">
        <v>73620.23</v>
      </c>
      <c r="N17" s="154" t="s">
        <v>846</v>
      </c>
      <c r="O17" s="227">
        <f t="shared" si="4"/>
        <v>28526.705362009467</v>
      </c>
      <c r="P17" s="152">
        <f t="shared" si="5"/>
        <v>428707.20136200939</v>
      </c>
    </row>
    <row r="18" spans="1:16" x14ac:dyDescent="0.15">
      <c r="A18" s="154"/>
      <c r="B18" s="151"/>
      <c r="C18" s="152"/>
      <c r="D18" s="155"/>
      <c r="E18" s="154"/>
      <c r="F18" s="157"/>
      <c r="G18" s="154"/>
      <c r="H18" s="152"/>
      <c r="I18" s="155" t="s">
        <v>870</v>
      </c>
      <c r="J18" s="152"/>
      <c r="K18" s="154"/>
      <c r="L18" s="154" t="s">
        <v>914</v>
      </c>
      <c r="M18" s="227">
        <v>28526.705000000002</v>
      </c>
      <c r="N18" s="154" t="s">
        <v>846</v>
      </c>
      <c r="O18" s="227">
        <f t="shared" ref="O18:O25" si="6">+O17-J18-M18</f>
        <v>3.6200946487952024E-4</v>
      </c>
      <c r="P18" s="152">
        <f t="shared" ref="P18:P25" si="7">P17+H18-J18-M18</f>
        <v>400180.49636200938</v>
      </c>
    </row>
    <row r="19" spans="1:16" x14ac:dyDescent="0.15">
      <c r="A19" s="154"/>
      <c r="B19" s="151"/>
      <c r="C19" s="152"/>
      <c r="D19" s="155"/>
      <c r="E19" s="154"/>
      <c r="F19" s="157"/>
      <c r="G19" s="154"/>
      <c r="H19" s="152"/>
      <c r="I19" s="155" t="s">
        <v>870</v>
      </c>
      <c r="J19" s="152"/>
      <c r="K19" s="154"/>
      <c r="L19" s="154" t="s">
        <v>916</v>
      </c>
      <c r="M19" s="227">
        <v>16716.564999999999</v>
      </c>
      <c r="N19" s="154" t="s">
        <v>847</v>
      </c>
      <c r="O19" s="227">
        <f>C9+O18-J19-M19</f>
        <v>63349.947362009465</v>
      </c>
      <c r="P19" s="152">
        <f t="shared" si="7"/>
        <v>383463.93136200937</v>
      </c>
    </row>
    <row r="20" spans="1:16" x14ac:dyDescent="0.15">
      <c r="A20" s="154"/>
      <c r="B20" s="151"/>
      <c r="C20" s="152"/>
      <c r="D20" s="155" t="s">
        <v>871</v>
      </c>
      <c r="E20" s="154" t="s">
        <v>72</v>
      </c>
      <c r="F20" s="157" t="s">
        <v>900</v>
      </c>
      <c r="G20" s="154"/>
      <c r="H20" s="152">
        <v>120163.55499999999</v>
      </c>
      <c r="I20" s="155" t="s">
        <v>871</v>
      </c>
      <c r="J20" s="152"/>
      <c r="K20" s="154"/>
      <c r="L20" s="154" t="s">
        <v>916</v>
      </c>
      <c r="M20" s="227">
        <v>63349.947</v>
      </c>
      <c r="N20" s="154" t="s">
        <v>847</v>
      </c>
      <c r="O20" s="227">
        <f t="shared" si="6"/>
        <v>3.6200946487952024E-4</v>
      </c>
      <c r="P20" s="152">
        <f t="shared" si="7"/>
        <v>440277.53936200938</v>
      </c>
    </row>
    <row r="21" spans="1:16" x14ac:dyDescent="0.15">
      <c r="A21" s="154"/>
      <c r="B21" s="151"/>
      <c r="C21" s="152"/>
      <c r="D21" s="155"/>
      <c r="E21" s="154"/>
      <c r="F21" s="157"/>
      <c r="G21" s="154"/>
      <c r="H21" s="152"/>
      <c r="I21" s="155" t="s">
        <v>871</v>
      </c>
      <c r="J21" s="152"/>
      <c r="K21" s="154"/>
      <c r="L21" s="154" t="s">
        <v>914</v>
      </c>
      <c r="M21" s="227">
        <v>6908.3329999999996</v>
      </c>
      <c r="N21" s="154" t="s">
        <v>848</v>
      </c>
      <c r="O21" s="227">
        <f>C10+O20-J21-M21</f>
        <v>73116.021362009473</v>
      </c>
      <c r="P21" s="152">
        <f t="shared" ref="P21:P22" si="8">P20+H21-J21-M21</f>
        <v>433369.2063620094</v>
      </c>
    </row>
    <row r="22" spans="1:16" x14ac:dyDescent="0.15">
      <c r="A22" s="154"/>
      <c r="B22" s="151"/>
      <c r="C22" s="152"/>
      <c r="D22" s="155" t="s">
        <v>872</v>
      </c>
      <c r="E22" s="154" t="s">
        <v>72</v>
      </c>
      <c r="F22" s="157" t="s">
        <v>900</v>
      </c>
      <c r="G22" s="154"/>
      <c r="H22" s="152">
        <v>120042.173</v>
      </c>
      <c r="I22" s="155" t="s">
        <v>872</v>
      </c>
      <c r="J22" s="152"/>
      <c r="K22" s="154"/>
      <c r="L22" s="154" t="s">
        <v>914</v>
      </c>
      <c r="M22" s="227">
        <v>73116.020999999993</v>
      </c>
      <c r="N22" s="154" t="s">
        <v>848</v>
      </c>
      <c r="O22" s="227">
        <f t="shared" ref="O22" si="9">+O21-J22-M22</f>
        <v>3.6200947943143547E-4</v>
      </c>
      <c r="P22" s="152">
        <f t="shared" si="8"/>
        <v>480295.35836200934</v>
      </c>
    </row>
    <row r="23" spans="1:16" x14ac:dyDescent="0.15">
      <c r="A23" s="154"/>
      <c r="B23" s="151"/>
      <c r="C23" s="152"/>
      <c r="D23" s="155"/>
      <c r="E23" s="154"/>
      <c r="F23" s="157"/>
      <c r="G23" s="154"/>
      <c r="H23" s="152"/>
      <c r="I23" s="155" t="s">
        <v>872</v>
      </c>
      <c r="J23" s="152"/>
      <c r="K23" s="154"/>
      <c r="L23" s="154" t="s">
        <v>916</v>
      </c>
      <c r="M23" s="227">
        <v>4303.2089999999998</v>
      </c>
      <c r="N23" s="154" t="s">
        <v>849</v>
      </c>
      <c r="O23" s="227">
        <f>C11+O22-J23-M23</f>
        <v>75687.049362009479</v>
      </c>
      <c r="P23" s="152">
        <f t="shared" ref="P23:P24" si="10">P22+H23-J23-M23</f>
        <v>475992.14936200937</v>
      </c>
    </row>
    <row r="24" spans="1:16" x14ac:dyDescent="0.15">
      <c r="A24" s="154"/>
      <c r="B24" s="151"/>
      <c r="C24" s="152"/>
      <c r="D24" s="155" t="s">
        <v>872</v>
      </c>
      <c r="E24" s="154" t="s">
        <v>72</v>
      </c>
      <c r="F24" s="157" t="s">
        <v>901</v>
      </c>
      <c r="G24" s="154"/>
      <c r="H24" s="152">
        <v>40085.682000000001</v>
      </c>
      <c r="I24" s="155" t="s">
        <v>872</v>
      </c>
      <c r="J24" s="152"/>
      <c r="K24" s="154"/>
      <c r="L24" s="154" t="s">
        <v>916</v>
      </c>
      <c r="M24" s="227">
        <v>68744.84</v>
      </c>
      <c r="N24" s="154" t="s">
        <v>849</v>
      </c>
      <c r="O24" s="227">
        <f t="shared" ref="O24" si="11">+O23-J24-M24</f>
        <v>6942.209362009482</v>
      </c>
      <c r="P24" s="152">
        <f t="shared" si="10"/>
        <v>447332.99136200943</v>
      </c>
    </row>
    <row r="25" spans="1:16" x14ac:dyDescent="0.15">
      <c r="A25" s="154"/>
      <c r="B25" s="151"/>
      <c r="C25" s="152"/>
      <c r="D25" s="155" t="s">
        <v>873</v>
      </c>
      <c r="E25" s="154" t="s">
        <v>72</v>
      </c>
      <c r="F25" s="157" t="s">
        <v>901</v>
      </c>
      <c r="G25" s="154"/>
      <c r="H25" s="152">
        <v>196085.777</v>
      </c>
      <c r="I25" s="155" t="s">
        <v>873</v>
      </c>
      <c r="J25" s="152"/>
      <c r="K25" s="154"/>
      <c r="L25" s="154" t="s">
        <v>916</v>
      </c>
      <c r="M25" s="227">
        <v>6942.2089999999998</v>
      </c>
      <c r="N25" s="154" t="s">
        <v>849</v>
      </c>
      <c r="O25" s="227">
        <f t="shared" si="6"/>
        <v>3.6200948215991957E-4</v>
      </c>
      <c r="P25" s="152">
        <f t="shared" si="7"/>
        <v>636476.5593620094</v>
      </c>
    </row>
    <row r="26" spans="1:16" x14ac:dyDescent="0.15">
      <c r="A26" s="154"/>
      <c r="B26" s="151"/>
      <c r="C26" s="152"/>
      <c r="D26" s="155"/>
      <c r="E26" s="154"/>
      <c r="F26" s="157"/>
      <c r="G26" s="154"/>
      <c r="H26" s="152"/>
      <c r="I26" s="155" t="s">
        <v>873</v>
      </c>
      <c r="J26" s="152"/>
      <c r="K26" s="154"/>
      <c r="L26" s="154" t="s">
        <v>915</v>
      </c>
      <c r="M26" s="227">
        <v>65115.860999999997</v>
      </c>
      <c r="N26" s="157" t="s">
        <v>899</v>
      </c>
      <c r="O26" s="227">
        <f>H13+H14+O25-J26-M26</f>
        <v>54918.61336200947</v>
      </c>
      <c r="P26" s="152">
        <f t="shared" ref="P26:P27" si="12">P25+H26-J26-M26</f>
        <v>571360.69836200937</v>
      </c>
    </row>
    <row r="27" spans="1:16" x14ac:dyDescent="0.15">
      <c r="A27" s="154"/>
      <c r="B27" s="151"/>
      <c r="C27" s="152"/>
      <c r="D27" s="155"/>
      <c r="E27" s="154"/>
      <c r="F27" s="157"/>
      <c r="G27" s="154"/>
      <c r="H27" s="152"/>
      <c r="I27" s="155" t="s">
        <v>873</v>
      </c>
      <c r="J27" s="152"/>
      <c r="K27" s="154"/>
      <c r="L27" s="154" t="s">
        <v>915</v>
      </c>
      <c r="M27" s="227">
        <v>54918.612999999998</v>
      </c>
      <c r="N27" s="157" t="s">
        <v>899</v>
      </c>
      <c r="O27" s="227">
        <f t="shared" ref="O27" si="13">+O26-J27-M27</f>
        <v>3.6200947215547785E-4</v>
      </c>
      <c r="P27" s="152">
        <f t="shared" si="12"/>
        <v>516442.08536200935</v>
      </c>
    </row>
    <row r="28" spans="1:16" x14ac:dyDescent="0.15">
      <c r="A28" s="154"/>
      <c r="B28" s="151"/>
      <c r="C28" s="152"/>
      <c r="D28" s="155"/>
      <c r="E28" s="154"/>
      <c r="F28" s="157"/>
      <c r="G28" s="154"/>
      <c r="H28" s="152"/>
      <c r="I28" s="155" t="s">
        <v>873</v>
      </c>
      <c r="J28" s="152"/>
      <c r="K28" s="154"/>
      <c r="L28" s="154" t="s">
        <v>915</v>
      </c>
      <c r="M28" s="227">
        <v>18796.956999999999</v>
      </c>
      <c r="N28" s="157" t="s">
        <v>900</v>
      </c>
      <c r="O28" s="227">
        <f>H17+H20+H22+O27-J28-M28</f>
        <v>261473.66936200944</v>
      </c>
      <c r="P28" s="152">
        <f t="shared" ref="P28:P30" si="14">P27+H28-J28-M28</f>
        <v>497645.12836200936</v>
      </c>
    </row>
    <row r="29" spans="1:16" x14ac:dyDescent="0.15">
      <c r="A29" s="154"/>
      <c r="B29" s="151"/>
      <c r="C29" s="152"/>
      <c r="D29" s="155" t="s">
        <v>897</v>
      </c>
      <c r="E29" s="154" t="s">
        <v>72</v>
      </c>
      <c r="F29" s="157" t="s">
        <v>902</v>
      </c>
      <c r="G29" s="154"/>
      <c r="H29" s="152">
        <v>60053.432999999997</v>
      </c>
      <c r="I29" s="155" t="s">
        <v>897</v>
      </c>
      <c r="J29" s="152"/>
      <c r="K29" s="154"/>
      <c r="L29" s="154"/>
      <c r="M29" s="227"/>
      <c r="N29" s="154"/>
      <c r="O29" s="227">
        <f t="shared" ref="O29:O30" si="15">+O28-J29-M29</f>
        <v>261473.66936200944</v>
      </c>
      <c r="P29" s="152">
        <f t="shared" si="14"/>
        <v>557698.56136200938</v>
      </c>
    </row>
    <row r="30" spans="1:16" x14ac:dyDescent="0.15">
      <c r="A30" s="154"/>
      <c r="B30" s="151"/>
      <c r="C30" s="152"/>
      <c r="D30" s="155" t="s">
        <v>874</v>
      </c>
      <c r="E30" s="154" t="s">
        <v>72</v>
      </c>
      <c r="F30" s="157" t="s">
        <v>902</v>
      </c>
      <c r="G30" s="154"/>
      <c r="H30" s="152">
        <v>80066.918000000005</v>
      </c>
      <c r="I30" s="155" t="s">
        <v>874</v>
      </c>
      <c r="J30" s="152"/>
      <c r="K30" s="154"/>
      <c r="L30" s="154" t="s">
        <v>915</v>
      </c>
      <c r="M30" s="227">
        <v>77873.679999999993</v>
      </c>
      <c r="N30" s="157" t="s">
        <v>900</v>
      </c>
      <c r="O30" s="227">
        <f t="shared" si="15"/>
        <v>183599.98936200945</v>
      </c>
      <c r="P30" s="152">
        <f t="shared" si="14"/>
        <v>559891.79936200939</v>
      </c>
    </row>
    <row r="31" spans="1:16" x14ac:dyDescent="0.15">
      <c r="A31" s="154"/>
      <c r="B31" s="151"/>
      <c r="C31" s="152"/>
      <c r="D31" s="155" t="s">
        <v>874</v>
      </c>
      <c r="E31" s="154" t="s">
        <v>72</v>
      </c>
      <c r="F31" s="157" t="s">
        <v>903</v>
      </c>
      <c r="G31" s="154"/>
      <c r="H31" s="152">
        <v>40049.675999999999</v>
      </c>
      <c r="I31" s="155" t="s">
        <v>874</v>
      </c>
      <c r="J31" s="152"/>
      <c r="K31" s="154"/>
      <c r="L31" s="154" t="s">
        <v>915</v>
      </c>
      <c r="M31" s="227">
        <v>40159.21</v>
      </c>
      <c r="N31" s="157" t="s">
        <v>900</v>
      </c>
      <c r="O31" s="227">
        <f t="shared" si="2"/>
        <v>143440.77936200946</v>
      </c>
      <c r="P31" s="152">
        <f t="shared" si="3"/>
        <v>559782.26536200941</v>
      </c>
    </row>
    <row r="32" spans="1:16" x14ac:dyDescent="0.15">
      <c r="A32" s="154"/>
      <c r="B32" s="151"/>
      <c r="C32" s="152"/>
      <c r="D32" s="155"/>
      <c r="E32" s="154"/>
      <c r="F32" s="157"/>
      <c r="G32" s="154"/>
      <c r="H32" s="152"/>
      <c r="I32" s="155" t="s">
        <v>874</v>
      </c>
      <c r="J32" s="152"/>
      <c r="K32" s="154"/>
      <c r="L32" s="154" t="s">
        <v>915</v>
      </c>
      <c r="M32" s="227">
        <v>1296.79</v>
      </c>
      <c r="N32" s="157" t="s">
        <v>900</v>
      </c>
      <c r="O32" s="227">
        <f t="shared" si="2"/>
        <v>142143.98936200945</v>
      </c>
      <c r="P32" s="152">
        <f t="shared" si="3"/>
        <v>558485.47536200937</v>
      </c>
    </row>
    <row r="33" spans="1:16" x14ac:dyDescent="0.15">
      <c r="A33" s="154"/>
      <c r="B33" s="151"/>
      <c r="C33" s="152"/>
      <c r="D33" s="155" t="s">
        <v>875</v>
      </c>
      <c r="E33" s="154" t="s">
        <v>72</v>
      </c>
      <c r="F33" s="157" t="s">
        <v>903</v>
      </c>
      <c r="G33" s="154"/>
      <c r="H33" s="152">
        <v>40106.254999999997</v>
      </c>
      <c r="I33" s="155" t="s">
        <v>875</v>
      </c>
      <c r="J33" s="152"/>
      <c r="K33" s="154"/>
      <c r="L33" s="154" t="s">
        <v>915</v>
      </c>
      <c r="M33" s="227">
        <v>27594.400000000001</v>
      </c>
      <c r="N33" s="157" t="s">
        <v>900</v>
      </c>
      <c r="O33" s="227">
        <f t="shared" si="2"/>
        <v>114549.58936200946</v>
      </c>
      <c r="P33" s="152">
        <f t="shared" si="3"/>
        <v>570997.33036200935</v>
      </c>
    </row>
    <row r="34" spans="1:16" x14ac:dyDescent="0.15">
      <c r="A34" s="154"/>
      <c r="B34" s="151"/>
      <c r="C34" s="152"/>
      <c r="D34" s="155" t="s">
        <v>876</v>
      </c>
      <c r="E34" s="154" t="s">
        <v>72</v>
      </c>
      <c r="F34" s="157" t="s">
        <v>904</v>
      </c>
      <c r="G34" s="154"/>
      <c r="H34" s="152">
        <v>80090.842000000004</v>
      </c>
      <c r="I34" s="155" t="s">
        <v>876</v>
      </c>
      <c r="J34" s="152"/>
      <c r="K34" s="154"/>
      <c r="L34" s="154" t="s">
        <v>915</v>
      </c>
      <c r="M34" s="227">
        <v>41366.089999999997</v>
      </c>
      <c r="N34" s="157" t="s">
        <v>900</v>
      </c>
      <c r="O34" s="227">
        <f t="shared" si="2"/>
        <v>73183.499362009461</v>
      </c>
      <c r="P34" s="152">
        <f t="shared" si="3"/>
        <v>609722.08236200933</v>
      </c>
    </row>
    <row r="35" spans="1:16" x14ac:dyDescent="0.15">
      <c r="A35" s="154"/>
      <c r="B35" s="151"/>
      <c r="C35" s="152"/>
      <c r="D35" s="155"/>
      <c r="E35" s="154"/>
      <c r="F35" s="157"/>
      <c r="G35" s="154"/>
      <c r="H35" s="152"/>
      <c r="I35" s="155" t="s">
        <v>876</v>
      </c>
      <c r="J35" s="152"/>
      <c r="K35" s="154"/>
      <c r="L35" s="154" t="s">
        <v>915</v>
      </c>
      <c r="M35" s="227">
        <v>73183.498999999996</v>
      </c>
      <c r="N35" s="157" t="s">
        <v>900</v>
      </c>
      <c r="O35" s="227">
        <f t="shared" si="2"/>
        <v>3.6200946487952024E-4</v>
      </c>
      <c r="P35" s="152">
        <f t="shared" si="3"/>
        <v>536538.58336200938</v>
      </c>
    </row>
    <row r="36" spans="1:16" x14ac:dyDescent="0.15">
      <c r="A36" s="154"/>
      <c r="B36" s="151"/>
      <c r="C36" s="152"/>
      <c r="D36" s="155"/>
      <c r="E36" s="154"/>
      <c r="F36" s="157"/>
      <c r="G36" s="154"/>
      <c r="H36" s="152"/>
      <c r="I36" s="155" t="s">
        <v>876</v>
      </c>
      <c r="J36" s="152"/>
      <c r="K36" s="154"/>
      <c r="L36" s="154" t="s">
        <v>915</v>
      </c>
      <c r="M36" s="227">
        <v>291.17099999999999</v>
      </c>
      <c r="N36" s="157" t="s">
        <v>901</v>
      </c>
      <c r="O36" s="227">
        <f>H24+H25+O35-J36-M36</f>
        <v>235880.28836200948</v>
      </c>
      <c r="P36" s="152">
        <f t="shared" ref="P36:P38" si="16">P35+H36-J36-M36</f>
        <v>536247.4123620094</v>
      </c>
    </row>
    <row r="37" spans="1:16" x14ac:dyDescent="0.15">
      <c r="A37" s="154"/>
      <c r="B37" s="151"/>
      <c r="C37" s="152"/>
      <c r="D37" s="155"/>
      <c r="E37" s="154"/>
      <c r="F37" s="157"/>
      <c r="G37" s="154"/>
      <c r="H37" s="152"/>
      <c r="I37" s="155" t="s">
        <v>876</v>
      </c>
      <c r="J37" s="152"/>
      <c r="K37" s="154"/>
      <c r="L37" s="154" t="s">
        <v>915</v>
      </c>
      <c r="M37" s="227">
        <v>2761.68</v>
      </c>
      <c r="N37" s="157" t="s">
        <v>901</v>
      </c>
      <c r="O37" s="227">
        <f t="shared" ref="O37:O38" si="17">+O36-J37-M37</f>
        <v>233118.60836200949</v>
      </c>
      <c r="P37" s="152">
        <f t="shared" si="16"/>
        <v>533485.73236200935</v>
      </c>
    </row>
    <row r="38" spans="1:16" x14ac:dyDescent="0.15">
      <c r="A38" s="154"/>
      <c r="B38" s="151"/>
      <c r="C38" s="152"/>
      <c r="D38" s="155" t="s">
        <v>877</v>
      </c>
      <c r="E38" s="154" t="s">
        <v>72</v>
      </c>
      <c r="F38" s="157" t="s">
        <v>904</v>
      </c>
      <c r="G38" s="154"/>
      <c r="H38" s="152">
        <v>76082.327000000005</v>
      </c>
      <c r="I38" s="155" t="s">
        <v>877</v>
      </c>
      <c r="J38" s="152"/>
      <c r="K38" s="154"/>
      <c r="L38" s="154" t="s">
        <v>915</v>
      </c>
      <c r="M38" s="227">
        <v>77900</v>
      </c>
      <c r="N38" s="157" t="s">
        <v>901</v>
      </c>
      <c r="O38" s="227">
        <f t="shared" si="17"/>
        <v>155218.60836200949</v>
      </c>
      <c r="P38" s="152">
        <f t="shared" si="16"/>
        <v>531668.0593620094</v>
      </c>
    </row>
    <row r="39" spans="1:16" x14ac:dyDescent="0.15">
      <c r="A39" s="154"/>
      <c r="B39" s="151"/>
      <c r="C39" s="152"/>
      <c r="D39" s="155"/>
      <c r="E39" s="154"/>
      <c r="F39" s="157"/>
      <c r="G39" s="154"/>
      <c r="H39" s="152"/>
      <c r="I39" s="155" t="s">
        <v>877</v>
      </c>
      <c r="J39" s="152"/>
      <c r="K39" s="154"/>
      <c r="L39" s="154" t="s">
        <v>915</v>
      </c>
      <c r="M39" s="227">
        <v>1694</v>
      </c>
      <c r="N39" s="157" t="s">
        <v>901</v>
      </c>
      <c r="O39" s="227">
        <f t="shared" si="2"/>
        <v>153524.60836200949</v>
      </c>
      <c r="P39" s="152">
        <f t="shared" si="3"/>
        <v>529974.0593620094</v>
      </c>
    </row>
    <row r="40" spans="1:16" x14ac:dyDescent="0.15">
      <c r="A40" s="154"/>
      <c r="B40" s="151"/>
      <c r="C40" s="152"/>
      <c r="D40" s="155" t="s">
        <v>878</v>
      </c>
      <c r="E40" s="154" t="s">
        <v>72</v>
      </c>
      <c r="F40" s="157" t="s">
        <v>904</v>
      </c>
      <c r="G40" s="154"/>
      <c r="H40" s="152">
        <v>40052.720000000001</v>
      </c>
      <c r="I40" s="155" t="s">
        <v>878</v>
      </c>
      <c r="J40" s="152"/>
      <c r="K40" s="154"/>
      <c r="L40" s="154" t="s">
        <v>915</v>
      </c>
      <c r="M40" s="227">
        <v>81650.3</v>
      </c>
      <c r="N40" s="157" t="s">
        <v>901</v>
      </c>
      <c r="O40" s="227">
        <f t="shared" si="2"/>
        <v>71874.308362009484</v>
      </c>
      <c r="P40" s="152">
        <f t="shared" si="3"/>
        <v>488376.47936200938</v>
      </c>
    </row>
    <row r="41" spans="1:16" x14ac:dyDescent="0.15">
      <c r="A41" s="154"/>
      <c r="B41" s="151"/>
      <c r="C41" s="152"/>
      <c r="D41" s="155" t="s">
        <v>878</v>
      </c>
      <c r="E41" s="154" t="s">
        <v>72</v>
      </c>
      <c r="F41" s="157" t="s">
        <v>967</v>
      </c>
      <c r="G41" s="154"/>
      <c r="H41" s="152">
        <v>40038.122000000003</v>
      </c>
      <c r="I41" s="155" t="s">
        <v>878</v>
      </c>
      <c r="J41" s="152"/>
      <c r="K41" s="154"/>
      <c r="L41" s="154"/>
      <c r="M41" s="227"/>
      <c r="N41" s="154"/>
      <c r="O41" s="227">
        <f t="shared" si="2"/>
        <v>71874.308362009484</v>
      </c>
      <c r="P41" s="152">
        <f t="shared" si="3"/>
        <v>528414.60136200942</v>
      </c>
    </row>
    <row r="42" spans="1:16" x14ac:dyDescent="0.15">
      <c r="A42" s="154"/>
      <c r="B42" s="151"/>
      <c r="C42" s="152"/>
      <c r="D42" s="155" t="s">
        <v>879</v>
      </c>
      <c r="E42" s="154" t="s">
        <v>72</v>
      </c>
      <c r="F42" s="157" t="s">
        <v>967</v>
      </c>
      <c r="G42" s="154"/>
      <c r="H42" s="152">
        <v>76081.918999999994</v>
      </c>
      <c r="I42" s="155" t="s">
        <v>879</v>
      </c>
      <c r="J42" s="152"/>
      <c r="K42" s="154"/>
      <c r="L42" s="154" t="s">
        <v>915</v>
      </c>
      <c r="M42" s="227">
        <v>71874.308000000005</v>
      </c>
      <c r="N42" s="157" t="s">
        <v>901</v>
      </c>
      <c r="O42" s="227">
        <f t="shared" si="2"/>
        <v>3.6200947943143547E-4</v>
      </c>
      <c r="P42" s="152">
        <f t="shared" si="3"/>
        <v>532622.21236200945</v>
      </c>
    </row>
    <row r="43" spans="1:16" x14ac:dyDescent="0.15">
      <c r="A43" s="154"/>
      <c r="B43" s="151"/>
      <c r="C43" s="152"/>
      <c r="D43" s="155"/>
      <c r="E43" s="154"/>
      <c r="F43" s="157"/>
      <c r="G43" s="154"/>
      <c r="H43" s="152"/>
      <c r="I43" s="155" t="s">
        <v>879</v>
      </c>
      <c r="J43" s="152"/>
      <c r="K43" s="154"/>
      <c r="L43" s="154" t="s">
        <v>914</v>
      </c>
      <c r="M43" s="227">
        <v>466.96199999999999</v>
      </c>
      <c r="N43" s="157" t="s">
        <v>902</v>
      </c>
      <c r="O43" s="227">
        <f>H29+H30+O42-J43-M43</f>
        <v>139653.38936200948</v>
      </c>
      <c r="P43" s="152">
        <f t="shared" ref="P43:P45" si="18">P42+H43-J43-M43</f>
        <v>532155.25036200939</v>
      </c>
    </row>
    <row r="44" spans="1:16" x14ac:dyDescent="0.15">
      <c r="A44" s="154"/>
      <c r="B44" s="151"/>
      <c r="C44" s="152"/>
      <c r="D44" s="155"/>
      <c r="E44" s="154"/>
      <c r="F44" s="157"/>
      <c r="G44" s="154"/>
      <c r="H44" s="152"/>
      <c r="I44" s="155" t="s">
        <v>879</v>
      </c>
      <c r="J44" s="152"/>
      <c r="K44" s="154"/>
      <c r="L44" s="154" t="s">
        <v>914</v>
      </c>
      <c r="M44" s="227">
        <v>73602.66</v>
      </c>
      <c r="N44" s="157" t="s">
        <v>902</v>
      </c>
      <c r="O44" s="227">
        <f t="shared" ref="O44:O45" si="19">+O43-J44-M44</f>
        <v>66050.729362009472</v>
      </c>
      <c r="P44" s="152">
        <f t="shared" si="18"/>
        <v>458552.59036200936</v>
      </c>
    </row>
    <row r="45" spans="1:16" x14ac:dyDescent="0.15">
      <c r="A45" s="154"/>
      <c r="B45" s="151"/>
      <c r="C45" s="152"/>
      <c r="D45" s="155" t="s">
        <v>880</v>
      </c>
      <c r="E45" s="154" t="s">
        <v>72</v>
      </c>
      <c r="F45" s="157" t="s">
        <v>905</v>
      </c>
      <c r="G45" s="154"/>
      <c r="H45" s="152">
        <v>76175.403999999995</v>
      </c>
      <c r="I45" s="155" t="s">
        <v>880</v>
      </c>
      <c r="J45" s="152"/>
      <c r="K45" s="154"/>
      <c r="L45" s="154" t="s">
        <v>914</v>
      </c>
      <c r="M45" s="227">
        <v>3443.79</v>
      </c>
      <c r="N45" s="157" t="s">
        <v>902</v>
      </c>
      <c r="O45" s="227">
        <f t="shared" si="19"/>
        <v>62606.939362009471</v>
      </c>
      <c r="P45" s="152">
        <f t="shared" si="18"/>
        <v>531284.2043620093</v>
      </c>
    </row>
    <row r="46" spans="1:16" x14ac:dyDescent="0.15">
      <c r="A46" s="154"/>
      <c r="B46" s="151"/>
      <c r="C46" s="152"/>
      <c r="D46" s="155" t="s">
        <v>881</v>
      </c>
      <c r="E46" s="154" t="s">
        <v>72</v>
      </c>
      <c r="F46" s="157" t="s">
        <v>905</v>
      </c>
      <c r="G46" s="154"/>
      <c r="H46" s="152">
        <v>100254.486</v>
      </c>
      <c r="I46" s="155" t="s">
        <v>881</v>
      </c>
      <c r="J46" s="152"/>
      <c r="K46" s="154"/>
      <c r="L46" s="154" t="s">
        <v>914</v>
      </c>
      <c r="M46" s="227">
        <v>62606.938999999998</v>
      </c>
      <c r="N46" s="157" t="s">
        <v>902</v>
      </c>
      <c r="O46" s="227">
        <f t="shared" ref="O46:O48" si="20">+O45-J46-M46</f>
        <v>3.6200947215547785E-4</v>
      </c>
      <c r="P46" s="152">
        <f t="shared" ref="P46:P48" si="21">P45+H46-J46-M46</f>
        <v>568931.75136200932</v>
      </c>
    </row>
    <row r="47" spans="1:16" x14ac:dyDescent="0.15">
      <c r="A47" s="154"/>
      <c r="B47" s="151"/>
      <c r="C47" s="152"/>
      <c r="D47" s="155"/>
      <c r="E47" s="154"/>
      <c r="F47" s="157"/>
      <c r="G47" s="154"/>
      <c r="H47" s="152"/>
      <c r="I47" s="155" t="s">
        <v>881</v>
      </c>
      <c r="J47" s="152"/>
      <c r="K47" s="154"/>
      <c r="L47" s="154" t="s">
        <v>914</v>
      </c>
      <c r="M47" s="227">
        <v>14418.880999999999</v>
      </c>
      <c r="N47" s="157" t="s">
        <v>903</v>
      </c>
      <c r="O47" s="227">
        <f>H31+H33+O46-J47-M47</f>
        <v>65737.050362009468</v>
      </c>
      <c r="P47" s="152">
        <f t="shared" si="21"/>
        <v>554512.87036200927</v>
      </c>
    </row>
    <row r="48" spans="1:16" x14ac:dyDescent="0.15">
      <c r="A48" s="154"/>
      <c r="B48" s="151"/>
      <c r="C48" s="152"/>
      <c r="D48" s="155"/>
      <c r="E48" s="154"/>
      <c r="F48" s="157"/>
      <c r="G48" s="154"/>
      <c r="H48" s="152"/>
      <c r="I48" s="155" t="s">
        <v>881</v>
      </c>
      <c r="J48" s="152"/>
      <c r="K48" s="154"/>
      <c r="L48" s="154" t="s">
        <v>914</v>
      </c>
      <c r="M48" s="227">
        <v>65737.05</v>
      </c>
      <c r="N48" s="157" t="s">
        <v>903</v>
      </c>
      <c r="O48" s="227">
        <f t="shared" si="20"/>
        <v>3.6200946487952024E-4</v>
      </c>
      <c r="P48" s="152">
        <f t="shared" si="21"/>
        <v>488775.82036200928</v>
      </c>
    </row>
    <row r="49" spans="1:16" x14ac:dyDescent="0.15">
      <c r="A49" s="154"/>
      <c r="B49" s="151"/>
      <c r="C49" s="152"/>
      <c r="D49" s="155"/>
      <c r="E49" s="154"/>
      <c r="F49" s="157"/>
      <c r="G49" s="154"/>
      <c r="H49" s="152"/>
      <c r="I49" s="155" t="s">
        <v>881</v>
      </c>
      <c r="J49" s="152"/>
      <c r="K49" s="154"/>
      <c r="L49" s="154" t="s">
        <v>914</v>
      </c>
      <c r="M49" s="227">
        <v>3450.03</v>
      </c>
      <c r="N49" s="157" t="s">
        <v>904</v>
      </c>
      <c r="O49" s="227">
        <f>H34+H38+H40+O48-J49-M49</f>
        <v>192775.85936200948</v>
      </c>
      <c r="P49" s="152">
        <f t="shared" ref="P49:P51" si="22">P48+H49-J49-M49</f>
        <v>485325.79036200925</v>
      </c>
    </row>
    <row r="50" spans="1:16" x14ac:dyDescent="0.15">
      <c r="A50" s="154"/>
      <c r="B50" s="151"/>
      <c r="C50" s="152"/>
      <c r="D50" s="155" t="s">
        <v>882</v>
      </c>
      <c r="E50" s="154" t="s">
        <v>72</v>
      </c>
      <c r="F50" s="157" t="s">
        <v>905</v>
      </c>
      <c r="G50" s="154"/>
      <c r="H50" s="152">
        <v>36056.574999999997</v>
      </c>
      <c r="I50" s="155" t="s">
        <v>882</v>
      </c>
      <c r="J50" s="152"/>
      <c r="K50" s="154"/>
      <c r="L50" s="154" t="s">
        <v>914</v>
      </c>
      <c r="M50" s="227">
        <v>61089.52</v>
      </c>
      <c r="N50" s="157" t="s">
        <v>904</v>
      </c>
      <c r="O50" s="227">
        <f t="shared" ref="O50:O51" si="23">+O49-J50-M50</f>
        <v>131686.33936200949</v>
      </c>
      <c r="P50" s="152">
        <f t="shared" si="22"/>
        <v>460292.84536200925</v>
      </c>
    </row>
    <row r="51" spans="1:16" x14ac:dyDescent="0.15">
      <c r="A51" s="154"/>
      <c r="B51" s="151"/>
      <c r="C51" s="152"/>
      <c r="D51" s="155" t="s">
        <v>883</v>
      </c>
      <c r="E51" s="154" t="s">
        <v>72</v>
      </c>
      <c r="F51" s="157" t="s">
        <v>906</v>
      </c>
      <c r="G51" s="154"/>
      <c r="H51" s="152">
        <v>120155.83</v>
      </c>
      <c r="I51" s="155" t="s">
        <v>883</v>
      </c>
      <c r="J51" s="152"/>
      <c r="K51" s="154"/>
      <c r="L51" s="154" t="s">
        <v>914</v>
      </c>
      <c r="M51" s="227">
        <v>73129.27</v>
      </c>
      <c r="N51" s="157" t="s">
        <v>904</v>
      </c>
      <c r="O51" s="227">
        <f t="shared" si="23"/>
        <v>58557.069362009483</v>
      </c>
      <c r="P51" s="152">
        <f t="shared" si="22"/>
        <v>507319.40536200919</v>
      </c>
    </row>
    <row r="52" spans="1:16" x14ac:dyDescent="0.15">
      <c r="A52" s="154"/>
      <c r="B52" s="151"/>
      <c r="C52" s="152"/>
      <c r="D52" s="155"/>
      <c r="E52" s="154"/>
      <c r="F52" s="157"/>
      <c r="G52" s="154"/>
      <c r="H52" s="152"/>
      <c r="I52" s="155" t="s">
        <v>883</v>
      </c>
      <c r="J52" s="152"/>
      <c r="K52" s="154"/>
      <c r="L52" s="154" t="s">
        <v>914</v>
      </c>
      <c r="M52" s="227">
        <v>790.64</v>
      </c>
      <c r="N52" s="157" t="s">
        <v>904</v>
      </c>
      <c r="O52" s="227">
        <f t="shared" si="2"/>
        <v>57766.429362009483</v>
      </c>
      <c r="P52" s="152">
        <f t="shared" si="3"/>
        <v>506528.76536200917</v>
      </c>
    </row>
    <row r="53" spans="1:16" x14ac:dyDescent="0.15">
      <c r="A53" s="154"/>
      <c r="B53" s="151"/>
      <c r="C53" s="152"/>
      <c r="D53" s="155"/>
      <c r="E53" s="154"/>
      <c r="F53" s="157"/>
      <c r="G53" s="154"/>
      <c r="H53" s="152"/>
      <c r="I53" s="155" t="s">
        <v>883</v>
      </c>
      <c r="J53" s="152"/>
      <c r="K53" s="154"/>
      <c r="L53" s="154" t="s">
        <v>914</v>
      </c>
      <c r="M53" s="227">
        <v>57766.428999999996</v>
      </c>
      <c r="N53" s="157" t="s">
        <v>904</v>
      </c>
      <c r="O53" s="227">
        <f t="shared" si="2"/>
        <v>3.6200948670739308E-4</v>
      </c>
      <c r="P53" s="152">
        <f t="shared" si="3"/>
        <v>448762.33636200917</v>
      </c>
    </row>
    <row r="54" spans="1:16" x14ac:dyDescent="0.15">
      <c r="A54" s="154"/>
      <c r="B54" s="151"/>
      <c r="C54" s="152"/>
      <c r="D54" s="155"/>
      <c r="E54" s="154"/>
      <c r="F54" s="157"/>
      <c r="G54" s="154"/>
      <c r="H54" s="152"/>
      <c r="I54" s="155" t="s">
        <v>883</v>
      </c>
      <c r="J54" s="152"/>
      <c r="K54" s="154"/>
      <c r="L54" s="154" t="s">
        <v>915</v>
      </c>
      <c r="M54" s="227">
        <v>29384.210999999999</v>
      </c>
      <c r="N54" s="157" t="s">
        <v>967</v>
      </c>
      <c r="O54" s="227">
        <f>H41+H42+O53-J54-M54</f>
        <v>86735.830362009481</v>
      </c>
      <c r="P54" s="152">
        <f t="shared" ref="P54:P56" si="24">P53+H54-J54-M54</f>
        <v>419378.12536200916</v>
      </c>
    </row>
    <row r="55" spans="1:16" x14ac:dyDescent="0.15">
      <c r="A55" s="154"/>
      <c r="B55" s="151"/>
      <c r="C55" s="152"/>
      <c r="D55" s="155"/>
      <c r="E55" s="154"/>
      <c r="F55" s="157"/>
      <c r="G55" s="154"/>
      <c r="H55" s="152"/>
      <c r="I55" s="155" t="s">
        <v>883</v>
      </c>
      <c r="J55" s="152"/>
      <c r="K55" s="154"/>
      <c r="L55" s="154" t="s">
        <v>915</v>
      </c>
      <c r="M55" s="227">
        <v>46317.54</v>
      </c>
      <c r="N55" s="157" t="s">
        <v>967</v>
      </c>
      <c r="O55" s="227">
        <f t="shared" ref="O55:O56" si="25">+O54-J55-M55</f>
        <v>40418.29036200948</v>
      </c>
      <c r="P55" s="152">
        <f t="shared" si="24"/>
        <v>373060.58536200918</v>
      </c>
    </row>
    <row r="56" spans="1:16" x14ac:dyDescent="0.15">
      <c r="A56" s="154"/>
      <c r="B56" s="151"/>
      <c r="C56" s="152"/>
      <c r="D56" s="155" t="s">
        <v>884</v>
      </c>
      <c r="E56" s="154" t="s">
        <v>72</v>
      </c>
      <c r="F56" s="157" t="s">
        <v>907</v>
      </c>
      <c r="G56" s="154"/>
      <c r="H56" s="152">
        <v>36052.923000000003</v>
      </c>
      <c r="I56" s="155" t="s">
        <v>884</v>
      </c>
      <c r="J56" s="152"/>
      <c r="K56" s="157"/>
      <c r="L56" s="154" t="s">
        <v>915</v>
      </c>
      <c r="M56" s="227">
        <v>578</v>
      </c>
      <c r="N56" s="157" t="s">
        <v>967</v>
      </c>
      <c r="O56" s="227">
        <f t="shared" si="25"/>
        <v>39840.29036200948</v>
      </c>
      <c r="P56" s="152">
        <f t="shared" si="24"/>
        <v>408535.50836200919</v>
      </c>
    </row>
    <row r="57" spans="1:16" x14ac:dyDescent="0.15">
      <c r="A57" s="154"/>
      <c r="B57" s="151"/>
      <c r="C57" s="152"/>
      <c r="D57" s="155" t="s">
        <v>885</v>
      </c>
      <c r="E57" s="154" t="s">
        <v>72</v>
      </c>
      <c r="F57" s="157" t="s">
        <v>907</v>
      </c>
      <c r="G57" s="154"/>
      <c r="H57" s="152">
        <v>156224.26699999999</v>
      </c>
      <c r="I57" s="155" t="s">
        <v>885</v>
      </c>
      <c r="J57" s="152">
        <v>1870.95</v>
      </c>
      <c r="K57" s="157" t="s">
        <v>967</v>
      </c>
      <c r="L57" s="154" t="s">
        <v>915</v>
      </c>
      <c r="M57" s="227">
        <v>37969.339999999997</v>
      </c>
      <c r="N57" s="157" t="s">
        <v>967</v>
      </c>
      <c r="O57" s="227">
        <f t="shared" si="2"/>
        <v>3.6200948670739308E-4</v>
      </c>
      <c r="P57" s="152">
        <f t="shared" si="3"/>
        <v>524919.48536200926</v>
      </c>
    </row>
    <row r="58" spans="1:16" x14ac:dyDescent="0.15">
      <c r="A58" s="154"/>
      <c r="B58" s="151"/>
      <c r="C58" s="152"/>
      <c r="D58" s="155"/>
      <c r="E58" s="154"/>
      <c r="F58" s="157"/>
      <c r="G58" s="154"/>
      <c r="H58" s="152"/>
      <c r="I58" s="155" t="s">
        <v>885</v>
      </c>
      <c r="J58" s="152"/>
      <c r="K58" s="154"/>
      <c r="L58" s="154" t="s">
        <v>915</v>
      </c>
      <c r="M58" s="227">
        <v>37871.5</v>
      </c>
      <c r="N58" s="157" t="s">
        <v>905</v>
      </c>
      <c r="O58" s="227">
        <f>H45+H46+H50+O57-J58-M58</f>
        <v>174614.96536200951</v>
      </c>
      <c r="P58" s="152">
        <f t="shared" ref="P58:P60" si="26">P57+H58-J58-M58</f>
        <v>487047.98536200926</v>
      </c>
    </row>
    <row r="59" spans="1:16" x14ac:dyDescent="0.15">
      <c r="A59" s="154"/>
      <c r="B59" s="151"/>
      <c r="C59" s="152"/>
      <c r="D59" s="155"/>
      <c r="E59" s="154"/>
      <c r="F59" s="157"/>
      <c r="G59" s="154"/>
      <c r="H59" s="152"/>
      <c r="I59" s="155" t="s">
        <v>885</v>
      </c>
      <c r="J59" s="152"/>
      <c r="K59" s="154"/>
      <c r="L59" s="154" t="s">
        <v>915</v>
      </c>
      <c r="M59" s="227">
        <v>73607.3</v>
      </c>
      <c r="N59" s="157" t="s">
        <v>905</v>
      </c>
      <c r="O59" s="227">
        <f t="shared" ref="O59:O60" si="27">+O58-J59-M59</f>
        <v>101007.6653620095</v>
      </c>
      <c r="P59" s="152">
        <f t="shared" si="26"/>
        <v>413440.68536200927</v>
      </c>
    </row>
    <row r="60" spans="1:16" x14ac:dyDescent="0.15">
      <c r="A60" s="154"/>
      <c r="B60" s="151"/>
      <c r="C60" s="152"/>
      <c r="D60" s="155"/>
      <c r="E60" s="154"/>
      <c r="F60" s="157"/>
      <c r="G60" s="154"/>
      <c r="H60" s="152"/>
      <c r="I60" s="155" t="s">
        <v>885</v>
      </c>
      <c r="J60" s="152"/>
      <c r="K60" s="154"/>
      <c r="L60" s="154" t="s">
        <v>915</v>
      </c>
      <c r="M60" s="227">
        <v>11166.66</v>
      </c>
      <c r="N60" s="157" t="s">
        <v>905</v>
      </c>
      <c r="O60" s="227">
        <f t="shared" si="27"/>
        <v>89841.005362009499</v>
      </c>
      <c r="P60" s="152">
        <f t="shared" si="26"/>
        <v>402274.0253620093</v>
      </c>
    </row>
    <row r="61" spans="1:16" x14ac:dyDescent="0.15">
      <c r="A61" s="154"/>
      <c r="B61" s="151"/>
      <c r="C61" s="152"/>
      <c r="D61" s="155" t="s">
        <v>886</v>
      </c>
      <c r="E61" s="154" t="s">
        <v>72</v>
      </c>
      <c r="F61" s="157" t="s">
        <v>907</v>
      </c>
      <c r="G61" s="154"/>
      <c r="H61" s="152">
        <v>50961.355000000003</v>
      </c>
      <c r="I61" s="155" t="s">
        <v>886</v>
      </c>
      <c r="J61" s="152"/>
      <c r="K61" s="157"/>
      <c r="L61" s="154" t="s">
        <v>915</v>
      </c>
      <c r="M61" s="227">
        <v>78417.679999999993</v>
      </c>
      <c r="N61" s="157" t="s">
        <v>905</v>
      </c>
      <c r="O61" s="227">
        <f t="shared" si="2"/>
        <v>11423.325362009506</v>
      </c>
      <c r="P61" s="152">
        <f t="shared" si="3"/>
        <v>374817.70036200929</v>
      </c>
    </row>
    <row r="62" spans="1:16" x14ac:dyDescent="0.15">
      <c r="A62" s="154"/>
      <c r="B62" s="151"/>
      <c r="C62" s="152"/>
      <c r="D62" s="155" t="s">
        <v>886</v>
      </c>
      <c r="E62" s="154" t="s">
        <v>72</v>
      </c>
      <c r="F62" s="157" t="s">
        <v>908</v>
      </c>
      <c r="G62" s="154"/>
      <c r="H62" s="152">
        <f>25194.377+80120.044</f>
        <v>105314.421</v>
      </c>
      <c r="I62" s="155" t="s">
        <v>886</v>
      </c>
      <c r="J62" s="152"/>
      <c r="K62" s="154"/>
      <c r="L62" s="154" t="s">
        <v>915</v>
      </c>
      <c r="M62" s="227">
        <v>11423.325000000001</v>
      </c>
      <c r="N62" s="157" t="s">
        <v>905</v>
      </c>
      <c r="O62" s="227">
        <f t="shared" ref="O62:O65" si="28">+O61-J62-M62</f>
        <v>3.6200950489728712E-4</v>
      </c>
      <c r="P62" s="152">
        <f t="shared" ref="P62:P65" si="29">P61+H62-J62-M62</f>
        <v>468708.79636200931</v>
      </c>
    </row>
    <row r="63" spans="1:16" x14ac:dyDescent="0.15">
      <c r="A63" s="154"/>
      <c r="B63" s="151"/>
      <c r="C63" s="152"/>
      <c r="D63" s="155"/>
      <c r="E63" s="154"/>
      <c r="F63" s="157"/>
      <c r="G63" s="154"/>
      <c r="H63" s="152"/>
      <c r="I63" s="155" t="s">
        <v>886</v>
      </c>
      <c r="J63" s="152"/>
      <c r="K63" s="154"/>
      <c r="L63" s="154" t="s">
        <v>914</v>
      </c>
      <c r="M63" s="227">
        <v>70005.375</v>
      </c>
      <c r="N63" s="157" t="s">
        <v>906</v>
      </c>
      <c r="O63" s="227">
        <f>H51+O62-J63-M63</f>
        <v>50150.45536200951</v>
      </c>
      <c r="P63" s="152">
        <f t="shared" si="29"/>
        <v>398703.42136200931</v>
      </c>
    </row>
    <row r="64" spans="1:16" x14ac:dyDescent="0.15">
      <c r="A64" s="154"/>
      <c r="B64" s="151"/>
      <c r="C64" s="152"/>
      <c r="D64" s="155" t="s">
        <v>887</v>
      </c>
      <c r="E64" s="154" t="s">
        <v>72</v>
      </c>
      <c r="F64" s="157" t="s">
        <v>908</v>
      </c>
      <c r="G64" s="154"/>
      <c r="H64" s="152">
        <v>80088.816000000006</v>
      </c>
      <c r="I64" s="155" t="s">
        <v>887</v>
      </c>
      <c r="J64" s="152">
        <v>1432.16</v>
      </c>
      <c r="K64" s="157" t="s">
        <v>906</v>
      </c>
      <c r="L64" s="154" t="s">
        <v>914</v>
      </c>
      <c r="M64" s="227">
        <v>3072.49</v>
      </c>
      <c r="N64" s="157" t="s">
        <v>906</v>
      </c>
      <c r="O64" s="227">
        <f t="shared" si="28"/>
        <v>45645.805362009509</v>
      </c>
      <c r="P64" s="152">
        <f t="shared" si="29"/>
        <v>474287.58736200933</v>
      </c>
    </row>
    <row r="65" spans="1:16" x14ac:dyDescent="0.15">
      <c r="A65" s="154"/>
      <c r="B65" s="151"/>
      <c r="C65" s="152"/>
      <c r="D65" s="155"/>
      <c r="E65" s="154"/>
      <c r="F65" s="157"/>
      <c r="G65" s="154"/>
      <c r="H65" s="152"/>
      <c r="I65" s="155" t="s">
        <v>887</v>
      </c>
      <c r="J65" s="152"/>
      <c r="K65" s="154"/>
      <c r="L65" s="154" t="s">
        <v>914</v>
      </c>
      <c r="M65" s="227">
        <v>521.32000000000005</v>
      </c>
      <c r="N65" s="157" t="s">
        <v>906</v>
      </c>
      <c r="O65" s="227">
        <f t="shared" si="28"/>
        <v>45124.485362009509</v>
      </c>
      <c r="P65" s="152">
        <f t="shared" si="29"/>
        <v>473766.26736200933</v>
      </c>
    </row>
    <row r="66" spans="1:16" x14ac:dyDescent="0.15">
      <c r="A66" s="154"/>
      <c r="B66" s="151"/>
      <c r="C66" s="152"/>
      <c r="D66" s="155" t="s">
        <v>888</v>
      </c>
      <c r="E66" s="154" t="s">
        <v>72</v>
      </c>
      <c r="F66" s="157" t="s">
        <v>909</v>
      </c>
      <c r="G66" s="154"/>
      <c r="H66" s="152">
        <v>20030.922999999999</v>
      </c>
      <c r="I66" s="155" t="s">
        <v>888</v>
      </c>
      <c r="J66" s="152">
        <v>166.05</v>
      </c>
      <c r="K66" s="157" t="s">
        <v>906</v>
      </c>
      <c r="L66" s="154" t="s">
        <v>914</v>
      </c>
      <c r="M66" s="227">
        <v>44958.434999999998</v>
      </c>
      <c r="N66" s="157" t="s">
        <v>906</v>
      </c>
      <c r="O66" s="227">
        <f t="shared" ref="O66:O69" si="30">+O65-J66-M66</f>
        <v>3.6200950853526592E-4</v>
      </c>
      <c r="P66" s="152">
        <f t="shared" ref="P66:P69" si="31">P65+H66-J66-M66</f>
        <v>448672.70536200935</v>
      </c>
    </row>
    <row r="67" spans="1:16" x14ac:dyDescent="0.15">
      <c r="A67" s="154"/>
      <c r="B67" s="151"/>
      <c r="C67" s="152"/>
      <c r="D67" s="155"/>
      <c r="E67" s="154"/>
      <c r="F67" s="157"/>
      <c r="G67" s="154"/>
      <c r="H67" s="152"/>
      <c r="I67" s="155" t="s">
        <v>888</v>
      </c>
      <c r="J67" s="152"/>
      <c r="K67" s="154"/>
      <c r="L67" s="154" t="s">
        <v>914</v>
      </c>
      <c r="M67" s="227">
        <v>25800.404999999999</v>
      </c>
      <c r="N67" s="157" t="s">
        <v>907</v>
      </c>
      <c r="O67" s="227">
        <f>H56+H57+H61+O66-J67-M67</f>
        <v>217438.14036200952</v>
      </c>
      <c r="P67" s="152">
        <f t="shared" si="31"/>
        <v>422872.30036200932</v>
      </c>
    </row>
    <row r="68" spans="1:16" x14ac:dyDescent="0.15">
      <c r="A68" s="154"/>
      <c r="B68" s="151"/>
      <c r="C68" s="152"/>
      <c r="D68" s="155"/>
      <c r="E68" s="154"/>
      <c r="F68" s="157"/>
      <c r="G68" s="154"/>
      <c r="H68" s="152"/>
      <c r="I68" s="155" t="s">
        <v>888</v>
      </c>
      <c r="J68" s="152"/>
      <c r="K68" s="150"/>
      <c r="L68" s="154" t="s">
        <v>914</v>
      </c>
      <c r="M68" s="227">
        <v>74172.639999999999</v>
      </c>
      <c r="N68" s="157" t="s">
        <v>907</v>
      </c>
      <c r="O68" s="227">
        <f t="shared" si="30"/>
        <v>143265.50036200951</v>
      </c>
      <c r="P68" s="152">
        <f t="shared" si="31"/>
        <v>348699.66036200931</v>
      </c>
    </row>
    <row r="69" spans="1:16" x14ac:dyDescent="0.15">
      <c r="A69" s="154"/>
      <c r="B69" s="151"/>
      <c r="C69" s="152"/>
      <c r="D69" s="155" t="s">
        <v>889</v>
      </c>
      <c r="E69" s="154" t="s">
        <v>72</v>
      </c>
      <c r="F69" s="157" t="s">
        <v>909</v>
      </c>
      <c r="G69" s="154"/>
      <c r="H69" s="152">
        <v>80135.861999999994</v>
      </c>
      <c r="I69" s="155" t="s">
        <v>889</v>
      </c>
      <c r="J69" s="152"/>
      <c r="K69" s="150"/>
      <c r="L69" s="154" t="s">
        <v>914</v>
      </c>
      <c r="M69" s="227">
        <v>61100.58</v>
      </c>
      <c r="N69" s="157" t="s">
        <v>907</v>
      </c>
      <c r="O69" s="227">
        <f t="shared" si="30"/>
        <v>82164.920362009507</v>
      </c>
      <c r="P69" s="152">
        <f t="shared" si="31"/>
        <v>367734.94236200926</v>
      </c>
    </row>
    <row r="70" spans="1:16" x14ac:dyDescent="0.15">
      <c r="A70" s="154"/>
      <c r="B70" s="151"/>
      <c r="C70" s="152"/>
      <c r="D70" s="155"/>
      <c r="E70" s="154"/>
      <c r="F70" s="157"/>
      <c r="G70" s="154"/>
      <c r="H70" s="152"/>
      <c r="I70" s="155" t="s">
        <v>889</v>
      </c>
      <c r="J70" s="152"/>
      <c r="K70" s="154"/>
      <c r="L70" s="154" t="s">
        <v>914</v>
      </c>
      <c r="M70" s="227">
        <v>71821.84</v>
      </c>
      <c r="N70" s="157" t="s">
        <v>907</v>
      </c>
      <c r="O70" s="227">
        <f t="shared" si="2"/>
        <v>10343.08036200951</v>
      </c>
      <c r="P70" s="152">
        <f t="shared" si="3"/>
        <v>295913.10236200923</v>
      </c>
    </row>
    <row r="71" spans="1:16" x14ac:dyDescent="0.15">
      <c r="A71" s="154"/>
      <c r="B71" s="151"/>
      <c r="C71" s="152"/>
      <c r="D71" s="155" t="s">
        <v>890</v>
      </c>
      <c r="E71" s="154" t="s">
        <v>72</v>
      </c>
      <c r="F71" s="157" t="s">
        <v>910</v>
      </c>
      <c r="G71" s="154"/>
      <c r="H71" s="152">
        <v>156251.47099999999</v>
      </c>
      <c r="I71" s="155" t="s">
        <v>890</v>
      </c>
      <c r="J71" s="152"/>
      <c r="K71" s="150"/>
      <c r="L71" s="154" t="s">
        <v>914</v>
      </c>
      <c r="M71" s="227">
        <v>10343.08</v>
      </c>
      <c r="N71" s="157" t="s">
        <v>907</v>
      </c>
      <c r="O71" s="227">
        <f t="shared" si="2"/>
        <v>3.6200951035425533E-4</v>
      </c>
      <c r="P71" s="152">
        <f t="shared" si="3"/>
        <v>441821.49336200923</v>
      </c>
    </row>
    <row r="72" spans="1:16" x14ac:dyDescent="0.15">
      <c r="A72" s="154"/>
      <c r="B72" s="151"/>
      <c r="C72" s="152"/>
      <c r="D72" s="155"/>
      <c r="E72" s="154"/>
      <c r="F72" s="157"/>
      <c r="G72" s="154"/>
      <c r="H72" s="152"/>
      <c r="I72" s="155" t="s">
        <v>890</v>
      </c>
      <c r="J72" s="152"/>
      <c r="K72" s="150"/>
      <c r="L72" s="154" t="s">
        <v>914</v>
      </c>
      <c r="M72" s="227">
        <v>71102.94</v>
      </c>
      <c r="N72" s="157" t="s">
        <v>908</v>
      </c>
      <c r="O72" s="227">
        <f>H62+H64+O71-J72-M72</f>
        <v>114300.29736200953</v>
      </c>
      <c r="P72" s="152">
        <f t="shared" ref="P72:P74" si="32">P71+H72-J72-M72</f>
        <v>370718.55336200923</v>
      </c>
    </row>
    <row r="73" spans="1:16" x14ac:dyDescent="0.15">
      <c r="A73" s="154"/>
      <c r="B73" s="151"/>
      <c r="C73" s="152"/>
      <c r="D73" s="155"/>
      <c r="E73" s="154"/>
      <c r="F73" s="157"/>
      <c r="G73" s="154"/>
      <c r="H73" s="152"/>
      <c r="I73" s="155" t="s">
        <v>890</v>
      </c>
      <c r="J73" s="152"/>
      <c r="K73" s="150"/>
      <c r="L73" s="154" t="s">
        <v>914</v>
      </c>
      <c r="M73" s="227">
        <v>43609.35</v>
      </c>
      <c r="N73" s="157" t="s">
        <v>908</v>
      </c>
      <c r="O73" s="227">
        <f t="shared" ref="O73:O74" si="33">+O72-J73-M73</f>
        <v>70690.947362009523</v>
      </c>
      <c r="P73" s="152">
        <f t="shared" si="32"/>
        <v>327109.20336200926</v>
      </c>
    </row>
    <row r="74" spans="1:16" x14ac:dyDescent="0.15">
      <c r="A74" s="154"/>
      <c r="B74" s="151"/>
      <c r="C74" s="152"/>
      <c r="D74" s="155"/>
      <c r="E74" s="154"/>
      <c r="F74" s="157"/>
      <c r="G74" s="154"/>
      <c r="H74" s="152"/>
      <c r="I74" s="155" t="s">
        <v>890</v>
      </c>
      <c r="J74" s="152"/>
      <c r="K74" s="150"/>
      <c r="L74" s="154" t="s">
        <v>914</v>
      </c>
      <c r="M74" s="227">
        <v>739.45</v>
      </c>
      <c r="N74" s="157" t="s">
        <v>908</v>
      </c>
      <c r="O74" s="227">
        <f t="shared" si="33"/>
        <v>69951.497362009526</v>
      </c>
      <c r="P74" s="152">
        <f t="shared" si="32"/>
        <v>326369.75336200924</v>
      </c>
    </row>
    <row r="75" spans="1:16" x14ac:dyDescent="0.15">
      <c r="A75" s="154"/>
      <c r="B75" s="151"/>
      <c r="C75" s="152"/>
      <c r="D75" s="155"/>
      <c r="E75" s="154"/>
      <c r="F75" s="157"/>
      <c r="G75" s="154"/>
      <c r="H75" s="152"/>
      <c r="I75" s="155" t="s">
        <v>890</v>
      </c>
      <c r="J75" s="152"/>
      <c r="K75" s="157"/>
      <c r="L75" s="154" t="s">
        <v>914</v>
      </c>
      <c r="M75" s="227">
        <v>69951.497000000003</v>
      </c>
      <c r="N75" s="157" t="s">
        <v>908</v>
      </c>
      <c r="O75" s="227">
        <f t="shared" si="2"/>
        <v>3.6200952308718115E-4</v>
      </c>
      <c r="P75" s="152">
        <f t="shared" si="3"/>
        <v>256418.25636200924</v>
      </c>
    </row>
    <row r="76" spans="1:16" x14ac:dyDescent="0.15">
      <c r="A76" s="154"/>
      <c r="B76" s="151"/>
      <c r="C76" s="152"/>
      <c r="D76" s="155"/>
      <c r="E76" s="154"/>
      <c r="F76" s="157"/>
      <c r="G76" s="154"/>
      <c r="H76" s="152"/>
      <c r="I76" s="155" t="s">
        <v>890</v>
      </c>
      <c r="J76" s="152"/>
      <c r="K76" s="157"/>
      <c r="L76" s="154" t="s">
        <v>914</v>
      </c>
      <c r="M76" s="227">
        <v>20283.373</v>
      </c>
      <c r="N76" s="157" t="s">
        <v>909</v>
      </c>
      <c r="O76" s="227">
        <f>H66+H69+O75-J76-M76</f>
        <v>79883.41236200952</v>
      </c>
      <c r="P76" s="152">
        <f t="shared" ref="P76:P78" si="34">P75+H76-J76-M76</f>
        <v>236134.88336200925</v>
      </c>
    </row>
    <row r="77" spans="1:16" x14ac:dyDescent="0.15">
      <c r="A77" s="154"/>
      <c r="B77" s="151"/>
      <c r="C77" s="152"/>
      <c r="D77" s="155" t="s">
        <v>898</v>
      </c>
      <c r="E77" s="154" t="s">
        <v>72</v>
      </c>
      <c r="F77" s="157" t="s">
        <v>910</v>
      </c>
      <c r="G77" s="154"/>
      <c r="H77" s="152">
        <v>40075.425999999999</v>
      </c>
      <c r="I77" s="155" t="s">
        <v>898</v>
      </c>
      <c r="J77" s="152"/>
      <c r="K77" s="157"/>
      <c r="L77" s="154"/>
      <c r="M77" s="227"/>
      <c r="N77" s="157"/>
      <c r="O77" s="227">
        <f t="shared" ref="O77:O78" si="35">+O76-J77-M77</f>
        <v>79883.41236200952</v>
      </c>
      <c r="P77" s="152">
        <f t="shared" si="34"/>
        <v>276210.30936200923</v>
      </c>
    </row>
    <row r="78" spans="1:16" x14ac:dyDescent="0.15">
      <c r="A78" s="154"/>
      <c r="B78" s="151"/>
      <c r="C78" s="152"/>
      <c r="D78" s="155" t="s">
        <v>891</v>
      </c>
      <c r="E78" s="154" t="s">
        <v>72</v>
      </c>
      <c r="F78" s="157" t="s">
        <v>910</v>
      </c>
      <c r="G78" s="154"/>
      <c r="H78" s="152">
        <v>80150.86</v>
      </c>
      <c r="I78" s="155" t="s">
        <v>891</v>
      </c>
      <c r="J78" s="152"/>
      <c r="K78" s="157"/>
      <c r="L78" s="154" t="s">
        <v>914</v>
      </c>
      <c r="M78" s="227">
        <v>63177.19</v>
      </c>
      <c r="N78" s="157" t="s">
        <v>909</v>
      </c>
      <c r="O78" s="227">
        <f t="shared" si="35"/>
        <v>16706.222362009517</v>
      </c>
      <c r="P78" s="152">
        <f t="shared" si="34"/>
        <v>293183.97936200921</v>
      </c>
    </row>
    <row r="79" spans="1:16" x14ac:dyDescent="0.15">
      <c r="A79" s="154"/>
      <c r="B79" s="151"/>
      <c r="C79" s="152"/>
      <c r="D79" s="155" t="s">
        <v>891</v>
      </c>
      <c r="E79" s="154" t="s">
        <v>72</v>
      </c>
      <c r="F79" s="157" t="s">
        <v>911</v>
      </c>
      <c r="G79" s="154"/>
      <c r="H79" s="152">
        <v>96174.263000000006</v>
      </c>
      <c r="I79" s="155" t="s">
        <v>891</v>
      </c>
      <c r="J79" s="152"/>
      <c r="K79" s="157"/>
      <c r="L79" s="154" t="s">
        <v>914</v>
      </c>
      <c r="M79" s="227">
        <v>16706.222000000002</v>
      </c>
      <c r="N79" s="157" t="s">
        <v>909</v>
      </c>
      <c r="O79" s="227">
        <f t="shared" si="2"/>
        <v>3.6200951581122354E-4</v>
      </c>
      <c r="P79" s="152">
        <f t="shared" si="3"/>
        <v>372652.02036200924</v>
      </c>
    </row>
    <row r="80" spans="1:16" x14ac:dyDescent="0.15">
      <c r="A80" s="154"/>
      <c r="B80" s="151"/>
      <c r="C80" s="152"/>
      <c r="D80" s="155"/>
      <c r="E80" s="154"/>
      <c r="F80" s="157"/>
      <c r="G80" s="154"/>
      <c r="H80" s="152"/>
      <c r="I80" s="155" t="s">
        <v>891</v>
      </c>
      <c r="J80" s="152"/>
      <c r="K80" s="157"/>
      <c r="L80" s="154" t="s">
        <v>915</v>
      </c>
      <c r="M80" s="227">
        <v>64474.307999999997</v>
      </c>
      <c r="N80" s="157" t="s">
        <v>910</v>
      </c>
      <c r="O80" s="227">
        <f>H71+H77+H78+O79-J80-M80</f>
        <v>212003.4493620095</v>
      </c>
      <c r="P80" s="152">
        <f t="shared" ref="P80:P83" si="36">P79+H80-J80-M80</f>
        <v>308177.71236200922</v>
      </c>
    </row>
    <row r="81" spans="1:16" x14ac:dyDescent="0.15">
      <c r="A81" s="154"/>
      <c r="B81" s="151"/>
      <c r="C81" s="152"/>
      <c r="D81" s="155"/>
      <c r="E81" s="154"/>
      <c r="F81" s="157"/>
      <c r="G81" s="154"/>
      <c r="H81" s="152"/>
      <c r="I81" s="155" t="s">
        <v>891</v>
      </c>
      <c r="J81" s="152"/>
      <c r="K81" s="157"/>
      <c r="L81" s="154" t="s">
        <v>915</v>
      </c>
      <c r="M81" s="227">
        <v>1996.99</v>
      </c>
      <c r="N81" s="157" t="s">
        <v>910</v>
      </c>
      <c r="O81" s="227">
        <f t="shared" ref="O81:O83" si="37">+O80-J81-M81</f>
        <v>210006.45936200951</v>
      </c>
      <c r="P81" s="152">
        <f t="shared" si="36"/>
        <v>306180.72236200923</v>
      </c>
    </row>
    <row r="82" spans="1:16" x14ac:dyDescent="0.15">
      <c r="A82" s="154"/>
      <c r="B82" s="151"/>
      <c r="C82" s="152"/>
      <c r="D82" s="155" t="s">
        <v>892</v>
      </c>
      <c r="E82" s="154" t="s">
        <v>72</v>
      </c>
      <c r="F82" s="157" t="s">
        <v>911</v>
      </c>
      <c r="G82" s="154"/>
      <c r="H82" s="152">
        <v>80120.036999999997</v>
      </c>
      <c r="I82" s="155" t="s">
        <v>892</v>
      </c>
      <c r="J82" s="152"/>
      <c r="K82" s="157"/>
      <c r="L82" s="154" t="s">
        <v>915</v>
      </c>
      <c r="M82" s="227">
        <v>78436.320000000007</v>
      </c>
      <c r="N82" s="157" t="s">
        <v>910</v>
      </c>
      <c r="O82" s="227">
        <f t="shared" si="37"/>
        <v>131570.1393620095</v>
      </c>
      <c r="P82" s="152">
        <f t="shared" si="36"/>
        <v>307864.43936200923</v>
      </c>
    </row>
    <row r="83" spans="1:16" x14ac:dyDescent="0.15">
      <c r="A83" s="154"/>
      <c r="B83" s="151"/>
      <c r="C83" s="152"/>
      <c r="D83" s="155" t="s">
        <v>892</v>
      </c>
      <c r="E83" s="154" t="s">
        <v>72</v>
      </c>
      <c r="F83" s="157" t="s">
        <v>912</v>
      </c>
      <c r="G83" s="154"/>
      <c r="H83" s="152">
        <v>176394.46100000001</v>
      </c>
      <c r="I83" s="155" t="s">
        <v>892</v>
      </c>
      <c r="J83" s="152"/>
      <c r="K83" s="157"/>
      <c r="L83" s="154" t="s">
        <v>915</v>
      </c>
      <c r="M83" s="227">
        <v>86086.33</v>
      </c>
      <c r="N83" s="157" t="s">
        <v>910</v>
      </c>
      <c r="O83" s="227">
        <f t="shared" si="37"/>
        <v>45483.809362009502</v>
      </c>
      <c r="P83" s="152">
        <f t="shared" si="36"/>
        <v>398172.57036200922</v>
      </c>
    </row>
    <row r="84" spans="1:16" x14ac:dyDescent="0.15">
      <c r="A84" s="154"/>
      <c r="B84" s="151"/>
      <c r="C84" s="152"/>
      <c r="D84" s="155" t="s">
        <v>893</v>
      </c>
      <c r="E84" s="154" t="s">
        <v>72</v>
      </c>
      <c r="F84" s="157" t="s">
        <v>912</v>
      </c>
      <c r="G84" s="154"/>
      <c r="H84" s="152">
        <v>140246.95600000001</v>
      </c>
      <c r="I84" s="155" t="s">
        <v>893</v>
      </c>
      <c r="J84" s="152">
        <v>1114.76</v>
      </c>
      <c r="K84" s="157" t="s">
        <v>910</v>
      </c>
      <c r="L84" s="154"/>
      <c r="M84" s="227"/>
      <c r="N84" s="157"/>
      <c r="O84" s="227">
        <f t="shared" si="2"/>
        <v>44369.0493620095</v>
      </c>
      <c r="P84" s="152">
        <f t="shared" si="3"/>
        <v>537304.76636200922</v>
      </c>
    </row>
    <row r="85" spans="1:16" x14ac:dyDescent="0.15">
      <c r="A85" s="154"/>
      <c r="B85" s="151"/>
      <c r="C85" s="152"/>
      <c r="D85" s="155" t="s">
        <v>894</v>
      </c>
      <c r="E85" s="154" t="s">
        <v>72</v>
      </c>
      <c r="F85" s="157" t="s">
        <v>912</v>
      </c>
      <c r="G85" s="154"/>
      <c r="H85" s="152">
        <v>36048.063000000002</v>
      </c>
      <c r="I85" s="155" t="s">
        <v>894</v>
      </c>
      <c r="J85" s="152"/>
      <c r="K85" s="157"/>
      <c r="L85" s="154" t="s">
        <v>915</v>
      </c>
      <c r="M85" s="227">
        <v>44369.048999999999</v>
      </c>
      <c r="N85" s="157" t="s">
        <v>910</v>
      </c>
      <c r="O85" s="227">
        <f t="shared" ref="O85:O89" si="38">+O84-J85-M85</f>
        <v>3.6200950125930831E-4</v>
      </c>
      <c r="P85" s="152">
        <f t="shared" ref="P85:P89" si="39">P84+H85-J85-M85</f>
        <v>528983.78036200919</v>
      </c>
    </row>
    <row r="86" spans="1:16" x14ac:dyDescent="0.15">
      <c r="A86" s="154"/>
      <c r="B86" s="151"/>
      <c r="C86" s="152"/>
      <c r="D86" s="155"/>
      <c r="E86" s="154"/>
      <c r="F86" s="157"/>
      <c r="G86" s="154"/>
      <c r="H86" s="152"/>
      <c r="I86" s="155" t="s">
        <v>894</v>
      </c>
      <c r="J86" s="152"/>
      <c r="K86" s="157"/>
      <c r="L86" s="154" t="s">
        <v>914</v>
      </c>
      <c r="M86" s="227">
        <v>23200.951000000001</v>
      </c>
      <c r="N86" s="157" t="s">
        <v>911</v>
      </c>
      <c r="O86" s="227">
        <f>H79+H82+O85-J86-M86</f>
        <v>153093.3493620095</v>
      </c>
      <c r="P86" s="152">
        <f t="shared" si="39"/>
        <v>505782.82936200919</v>
      </c>
    </row>
    <row r="87" spans="1:16" x14ac:dyDescent="0.15">
      <c r="A87" s="154"/>
      <c r="B87" s="151"/>
      <c r="C87" s="152"/>
      <c r="D87" s="155" t="s">
        <v>894</v>
      </c>
      <c r="E87" s="154" t="s">
        <v>72</v>
      </c>
      <c r="F87" s="157" t="s">
        <v>913</v>
      </c>
      <c r="G87" s="154"/>
      <c r="H87" s="152">
        <v>40080.307999999997</v>
      </c>
      <c r="I87" s="155" t="s">
        <v>894</v>
      </c>
      <c r="J87" s="152"/>
      <c r="K87" s="157"/>
      <c r="L87" s="154" t="s">
        <v>914</v>
      </c>
      <c r="M87" s="227">
        <v>75626</v>
      </c>
      <c r="N87" s="157" t="s">
        <v>911</v>
      </c>
      <c r="O87" s="227">
        <f t="shared" si="38"/>
        <v>77467.349362009496</v>
      </c>
      <c r="P87" s="152">
        <f t="shared" si="39"/>
        <v>470237.13736200915</v>
      </c>
    </row>
    <row r="88" spans="1:16" hidden="1" x14ac:dyDescent="0.15">
      <c r="A88" s="154"/>
      <c r="B88" s="151"/>
      <c r="C88" s="152"/>
      <c r="D88" s="155"/>
      <c r="E88" s="154"/>
      <c r="F88" s="157"/>
      <c r="G88" s="154"/>
      <c r="H88" s="152"/>
      <c r="I88" s="155"/>
      <c r="J88" s="152"/>
      <c r="K88" s="150"/>
      <c r="L88" s="154"/>
      <c r="M88" s="227"/>
      <c r="N88" s="157"/>
      <c r="O88" s="227">
        <f t="shared" si="38"/>
        <v>77467.349362009496</v>
      </c>
      <c r="P88" s="152">
        <f t="shared" si="39"/>
        <v>470237.13736200915</v>
      </c>
    </row>
    <row r="89" spans="1:16" hidden="1" x14ac:dyDescent="0.15">
      <c r="A89" s="154"/>
      <c r="B89" s="151"/>
      <c r="C89" s="152"/>
      <c r="D89" s="155"/>
      <c r="E89" s="154"/>
      <c r="F89" s="157"/>
      <c r="G89" s="154"/>
      <c r="H89" s="152"/>
      <c r="I89" s="155"/>
      <c r="J89" s="152"/>
      <c r="K89" s="150"/>
      <c r="L89" s="154"/>
      <c r="M89" s="227"/>
      <c r="N89" s="157"/>
      <c r="O89" s="227">
        <f t="shared" si="38"/>
        <v>77467.349362009496</v>
      </c>
      <c r="P89" s="152">
        <f t="shared" si="39"/>
        <v>470237.13736200915</v>
      </c>
    </row>
    <row r="90" spans="1:16" hidden="1" x14ac:dyDescent="0.15">
      <c r="A90" s="154"/>
      <c r="B90" s="151"/>
      <c r="C90" s="152"/>
      <c r="D90" s="155"/>
      <c r="E90" s="154"/>
      <c r="F90" s="157"/>
      <c r="G90" s="154"/>
      <c r="H90" s="152"/>
      <c r="I90" s="155"/>
      <c r="J90" s="152"/>
      <c r="K90" s="150"/>
      <c r="L90" s="154"/>
      <c r="M90" s="227"/>
      <c r="N90" s="157"/>
      <c r="O90" s="227">
        <f t="shared" si="2"/>
        <v>77467.349362009496</v>
      </c>
      <c r="P90" s="152">
        <f t="shared" si="3"/>
        <v>470237.13736200915</v>
      </c>
    </row>
    <row r="91" spans="1:16" hidden="1" x14ac:dyDescent="0.15">
      <c r="A91" s="154"/>
      <c r="B91" s="151"/>
      <c r="C91" s="152"/>
      <c r="D91" s="155"/>
      <c r="E91" s="154"/>
      <c r="F91" s="157"/>
      <c r="G91" s="154"/>
      <c r="H91" s="152"/>
      <c r="I91" s="155"/>
      <c r="J91" s="152"/>
      <c r="K91" s="150"/>
      <c r="L91" s="154"/>
      <c r="M91" s="227"/>
      <c r="N91" s="157"/>
      <c r="O91" s="227">
        <f t="shared" si="2"/>
        <v>77467.349362009496</v>
      </c>
      <c r="P91" s="152">
        <f t="shared" si="3"/>
        <v>470237.13736200915</v>
      </c>
    </row>
    <row r="92" spans="1:16" hidden="1" x14ac:dyDescent="0.15">
      <c r="A92" s="154"/>
      <c r="B92" s="151"/>
      <c r="C92" s="152"/>
      <c r="D92" s="155"/>
      <c r="E92" s="154"/>
      <c r="F92" s="157"/>
      <c r="G92" s="154"/>
      <c r="H92" s="152"/>
      <c r="I92" s="155"/>
      <c r="J92" s="152"/>
      <c r="K92" s="150"/>
      <c r="L92" s="154"/>
      <c r="M92" s="227"/>
      <c r="N92" s="157"/>
      <c r="O92" s="227">
        <f t="shared" si="2"/>
        <v>77467.349362009496</v>
      </c>
      <c r="P92" s="152">
        <f t="shared" si="3"/>
        <v>470237.13736200915</v>
      </c>
    </row>
    <row r="93" spans="1:16" hidden="1" x14ac:dyDescent="0.15">
      <c r="A93" s="154"/>
      <c r="B93" s="151"/>
      <c r="C93" s="152"/>
      <c r="D93" s="155"/>
      <c r="E93" s="154"/>
      <c r="F93" s="157"/>
      <c r="G93" s="154"/>
      <c r="H93" s="152"/>
      <c r="I93" s="155"/>
      <c r="J93" s="152"/>
      <c r="K93" s="150"/>
      <c r="L93" s="154"/>
      <c r="M93" s="227"/>
      <c r="N93" s="157"/>
      <c r="O93" s="227">
        <f t="shared" ref="O93:O97" si="40">+O92-J93-M93</f>
        <v>77467.349362009496</v>
      </c>
      <c r="P93" s="152">
        <f t="shared" ref="P93:P97" si="41">P92+H93-J93-M93</f>
        <v>470237.13736200915</v>
      </c>
    </row>
    <row r="94" spans="1:16" hidden="1" x14ac:dyDescent="0.15">
      <c r="A94" s="154"/>
      <c r="B94" s="151"/>
      <c r="C94" s="152"/>
      <c r="D94" s="155"/>
      <c r="E94" s="154"/>
      <c r="F94" s="157"/>
      <c r="G94" s="154"/>
      <c r="H94" s="152"/>
      <c r="I94" s="155"/>
      <c r="J94" s="152"/>
      <c r="K94" s="157"/>
      <c r="L94" s="154"/>
      <c r="M94" s="227"/>
      <c r="N94" s="157"/>
      <c r="O94" s="227">
        <f t="shared" si="40"/>
        <v>77467.349362009496</v>
      </c>
      <c r="P94" s="152">
        <f t="shared" si="41"/>
        <v>470237.13736200915</v>
      </c>
    </row>
    <row r="95" spans="1:16" hidden="1" x14ac:dyDescent="0.15">
      <c r="A95" s="154"/>
      <c r="B95" s="151"/>
      <c r="C95" s="152"/>
      <c r="D95" s="155"/>
      <c r="E95" s="154"/>
      <c r="F95" s="157"/>
      <c r="G95" s="151"/>
      <c r="H95" s="152"/>
      <c r="I95" s="155"/>
      <c r="J95" s="152"/>
      <c r="K95" s="157"/>
      <c r="L95" s="154"/>
      <c r="M95" s="227"/>
      <c r="N95" s="150"/>
      <c r="O95" s="227">
        <f t="shared" si="40"/>
        <v>77467.349362009496</v>
      </c>
      <c r="P95" s="152">
        <f t="shared" si="41"/>
        <v>470237.13736200915</v>
      </c>
    </row>
    <row r="96" spans="1:16" hidden="1" x14ac:dyDescent="0.15">
      <c r="A96" s="154"/>
      <c r="B96" s="151"/>
      <c r="C96" s="152"/>
      <c r="D96" s="155"/>
      <c r="E96" s="154"/>
      <c r="F96" s="160"/>
      <c r="G96" s="151"/>
      <c r="H96" s="152"/>
      <c r="I96" s="155"/>
      <c r="J96" s="152"/>
      <c r="K96" s="150"/>
      <c r="L96" s="154"/>
      <c r="M96" s="227"/>
      <c r="N96" s="157"/>
      <c r="O96" s="227">
        <f t="shared" si="40"/>
        <v>77467.349362009496</v>
      </c>
      <c r="P96" s="152">
        <f t="shared" si="41"/>
        <v>470237.13736200915</v>
      </c>
    </row>
    <row r="97" spans="1:16" x14ac:dyDescent="0.15">
      <c r="A97" s="173"/>
      <c r="B97" s="173"/>
      <c r="C97" s="174"/>
      <c r="D97" s="175"/>
      <c r="E97" s="173"/>
      <c r="F97" s="173"/>
      <c r="G97" s="176"/>
      <c r="H97" s="174"/>
      <c r="I97" s="175"/>
      <c r="J97" s="174"/>
      <c r="K97" s="173"/>
      <c r="L97" s="154"/>
      <c r="M97" s="228"/>
      <c r="N97" s="173"/>
      <c r="O97" s="227">
        <f t="shared" si="40"/>
        <v>77467.349362009496</v>
      </c>
      <c r="P97" s="152">
        <f t="shared" si="41"/>
        <v>470237.13736200915</v>
      </c>
    </row>
    <row r="98" spans="1:16" x14ac:dyDescent="0.15">
      <c r="A98" s="177"/>
      <c r="B98" s="177"/>
      <c r="C98" s="178">
        <f>SUM(C7:C96)</f>
        <v>499686.60936200945</v>
      </c>
      <c r="D98" s="177"/>
      <c r="E98" s="177"/>
      <c r="F98" s="177"/>
      <c r="G98" s="177"/>
      <c r="H98" s="178">
        <f>SUM(H7:H96)</f>
        <v>2876091.4780000001</v>
      </c>
      <c r="I98" s="179"/>
      <c r="J98" s="178">
        <f>SUM(J7:J96)</f>
        <v>9338.51</v>
      </c>
      <c r="K98" s="177"/>
      <c r="L98" s="177"/>
      <c r="M98" s="229">
        <f>SUM(M9:M96)</f>
        <v>2896202.4400000004</v>
      </c>
      <c r="N98" s="177"/>
      <c r="O98" s="180"/>
      <c r="P98" s="181">
        <f>C98+H98-J98-M98</f>
        <v>470237.13736200938</v>
      </c>
    </row>
    <row r="99" spans="1:16" x14ac:dyDescent="0.15">
      <c r="A99" s="182"/>
      <c r="B99" s="465"/>
      <c r="C99" s="465"/>
      <c r="D99" s="465"/>
      <c r="E99" s="183"/>
      <c r="F99" s="472"/>
      <c r="G99" s="472"/>
      <c r="H99" s="185"/>
      <c r="I99" s="186"/>
      <c r="J99" s="187"/>
      <c r="K99" s="188"/>
      <c r="L99" s="189" t="s">
        <v>139</v>
      </c>
      <c r="M99" s="190">
        <f>+M98+J98</f>
        <v>2905540.95</v>
      </c>
      <c r="N99" s="197"/>
      <c r="O99" s="230">
        <f>+O97</f>
        <v>77467.349362009496</v>
      </c>
      <c r="P99" s="195" t="s">
        <v>911</v>
      </c>
    </row>
    <row r="100" spans="1:16" x14ac:dyDescent="0.15">
      <c r="A100" s="193"/>
      <c r="B100" s="470"/>
      <c r="C100" s="470"/>
      <c r="D100" s="470"/>
      <c r="E100" s="183"/>
      <c r="F100" s="472"/>
      <c r="G100" s="472"/>
      <c r="H100" s="219"/>
      <c r="I100" s="186"/>
      <c r="J100" s="187"/>
      <c r="K100" s="210"/>
      <c r="L100" s="210"/>
      <c r="O100" s="230">
        <f>+H83+H84+H85</f>
        <v>352689.48000000004</v>
      </c>
      <c r="P100" s="195" t="s">
        <v>912</v>
      </c>
    </row>
    <row r="101" spans="1:16" x14ac:dyDescent="0.15">
      <c r="A101" s="193" t="s">
        <v>899</v>
      </c>
      <c r="B101" s="131" t="s">
        <v>980</v>
      </c>
      <c r="E101" s="183" t="s">
        <v>55</v>
      </c>
      <c r="F101" s="472">
        <v>734140.17</v>
      </c>
      <c r="G101" s="472"/>
      <c r="H101" s="219" t="s">
        <v>56</v>
      </c>
      <c r="I101" s="186">
        <v>40885</v>
      </c>
      <c r="J101" s="187" t="s">
        <v>71</v>
      </c>
      <c r="K101" s="210">
        <v>120034.47399999999</v>
      </c>
      <c r="L101" s="210"/>
      <c r="O101" s="230">
        <f>+H87</f>
        <v>40080.307999999997</v>
      </c>
      <c r="P101" s="195" t="s">
        <v>913</v>
      </c>
    </row>
    <row r="102" spans="1:16" x14ac:dyDescent="0.15">
      <c r="A102" s="193" t="s">
        <v>900</v>
      </c>
      <c r="B102" s="131" t="s">
        <v>981</v>
      </c>
      <c r="E102" s="183" t="s">
        <v>55</v>
      </c>
      <c r="F102" s="472">
        <v>2053685.1</v>
      </c>
      <c r="G102" s="472"/>
      <c r="H102" s="219" t="s">
        <v>56</v>
      </c>
      <c r="I102" s="186">
        <v>40890</v>
      </c>
      <c r="J102" s="187" t="s">
        <v>71</v>
      </c>
      <c r="K102" s="210">
        <v>280270.62599999999</v>
      </c>
      <c r="L102" s="210"/>
      <c r="O102" s="230"/>
      <c r="P102" s="195"/>
    </row>
    <row r="103" spans="1:16" x14ac:dyDescent="0.15">
      <c r="A103" s="193" t="s">
        <v>901</v>
      </c>
      <c r="B103" s="131" t="s">
        <v>982</v>
      </c>
      <c r="E103" s="183" t="s">
        <v>55</v>
      </c>
      <c r="F103" s="472">
        <v>987968.45</v>
      </c>
      <c r="G103" s="472"/>
      <c r="H103" s="219" t="s">
        <v>56</v>
      </c>
      <c r="I103" s="186">
        <v>40890</v>
      </c>
      <c r="J103" s="187" t="s">
        <v>71</v>
      </c>
      <c r="K103" s="210">
        <v>236171.45900000003</v>
      </c>
      <c r="L103" s="210"/>
      <c r="O103" s="230"/>
      <c r="P103" s="195"/>
    </row>
    <row r="104" spans="1:16" x14ac:dyDescent="0.15">
      <c r="A104" s="193" t="s">
        <v>967</v>
      </c>
      <c r="B104" s="470" t="s">
        <v>983</v>
      </c>
      <c r="C104" s="470"/>
      <c r="D104" s="470"/>
      <c r="E104" s="183" t="s">
        <v>55</v>
      </c>
      <c r="F104" s="472">
        <v>4683241.57</v>
      </c>
      <c r="G104" s="472"/>
      <c r="H104" s="219" t="s">
        <v>56</v>
      </c>
      <c r="I104" s="186">
        <v>40897</v>
      </c>
      <c r="J104" s="187" t="s">
        <v>71</v>
      </c>
      <c r="K104" s="210">
        <v>114249.091</v>
      </c>
      <c r="L104" s="210"/>
      <c r="O104" s="230"/>
      <c r="P104" s="195"/>
    </row>
    <row r="105" spans="1:16" x14ac:dyDescent="0.15">
      <c r="A105" s="193" t="s">
        <v>905</v>
      </c>
      <c r="B105" s="131" t="s">
        <v>984</v>
      </c>
      <c r="E105" s="183" t="s">
        <v>55</v>
      </c>
      <c r="F105" s="472">
        <v>2971546.89</v>
      </c>
      <c r="G105" s="472"/>
      <c r="H105" s="219" t="s">
        <v>56</v>
      </c>
      <c r="I105" s="186">
        <v>40900</v>
      </c>
      <c r="J105" s="187" t="s">
        <v>71</v>
      </c>
      <c r="K105" s="210">
        <v>212486.46500000003</v>
      </c>
      <c r="L105" s="210"/>
      <c r="O105" s="230"/>
      <c r="P105" s="195"/>
    </row>
    <row r="106" spans="1:16" x14ac:dyDescent="0.15">
      <c r="A106" s="133" t="s">
        <v>910</v>
      </c>
      <c r="B106" s="131" t="s">
        <v>985</v>
      </c>
      <c r="E106" s="183" t="s">
        <v>55</v>
      </c>
      <c r="F106" s="472">
        <v>2188156.0099999998</v>
      </c>
      <c r="G106" s="472"/>
      <c r="H106" s="219" t="s">
        <v>56</v>
      </c>
      <c r="I106" s="186">
        <v>40912</v>
      </c>
      <c r="J106" s="187" t="s">
        <v>71</v>
      </c>
      <c r="K106" s="210">
        <v>275362.99700000003</v>
      </c>
      <c r="L106" s="210"/>
      <c r="O106" s="206" t="s">
        <v>33</v>
      </c>
      <c r="P106" s="207">
        <f>SUM(O99:O105)</f>
        <v>470237.13736200955</v>
      </c>
    </row>
    <row r="107" spans="1:16" ht="12" thickBot="1" x14ac:dyDescent="0.2">
      <c r="A107" s="193"/>
      <c r="B107" s="470"/>
      <c r="C107" s="470"/>
      <c r="D107" s="470"/>
      <c r="E107" s="183"/>
      <c r="F107" s="472"/>
      <c r="G107" s="472"/>
      <c r="H107" s="219"/>
      <c r="I107" s="186"/>
      <c r="J107" s="217" t="s">
        <v>856</v>
      </c>
      <c r="K107" s="211">
        <f>SUM(K101:K106)</f>
        <v>1238575.112</v>
      </c>
      <c r="L107" s="210"/>
      <c r="P107" s="132">
        <f>+P98-P106</f>
        <v>0</v>
      </c>
    </row>
    <row r="108" spans="1:16" ht="12" thickTop="1" x14ac:dyDescent="0.15">
      <c r="A108" s="193" t="s">
        <v>847</v>
      </c>
      <c r="B108" s="470" t="s">
        <v>978</v>
      </c>
      <c r="C108" s="470"/>
      <c r="D108" s="470"/>
      <c r="E108" s="183" t="s">
        <v>55</v>
      </c>
      <c r="F108" s="472">
        <v>37508219.32</v>
      </c>
      <c r="G108" s="472"/>
      <c r="H108" s="219" t="s">
        <v>56</v>
      </c>
      <c r="I108" s="186">
        <v>40879</v>
      </c>
      <c r="J108" s="187" t="s">
        <v>71</v>
      </c>
      <c r="K108" s="210">
        <v>80066.512000000002</v>
      </c>
      <c r="L108" s="210"/>
    </row>
    <row r="109" spans="1:16" x14ac:dyDescent="0.15">
      <c r="A109" s="193" t="s">
        <v>849</v>
      </c>
      <c r="B109" s="470" t="s">
        <v>979</v>
      </c>
      <c r="C109" s="470"/>
      <c r="D109" s="470"/>
      <c r="E109" s="183" t="s">
        <v>55</v>
      </c>
      <c r="F109" s="472">
        <v>40233402.75</v>
      </c>
      <c r="G109" s="472"/>
      <c r="H109" s="219" t="s">
        <v>56</v>
      </c>
      <c r="I109" s="186">
        <v>40883</v>
      </c>
      <c r="J109" s="187" t="s">
        <v>71</v>
      </c>
      <c r="K109" s="210">
        <v>79990.258000000002</v>
      </c>
      <c r="L109" s="210"/>
    </row>
    <row r="110" spans="1:16" ht="12" thickBot="1" x14ac:dyDescent="0.2">
      <c r="A110" s="193"/>
      <c r="B110" s="470"/>
      <c r="C110" s="470"/>
      <c r="D110" s="470"/>
      <c r="E110" s="183"/>
      <c r="F110" s="472"/>
      <c r="G110" s="472"/>
      <c r="H110" s="219"/>
      <c r="I110" s="186"/>
      <c r="J110" s="217" t="s">
        <v>689</v>
      </c>
      <c r="K110" s="211">
        <f>SUM(K108:K109)</f>
        <v>160056.77000000002</v>
      </c>
      <c r="L110" s="210"/>
    </row>
    <row r="111" spans="1:16" ht="12" thickTop="1" x14ac:dyDescent="0.15">
      <c r="A111" s="193" t="s">
        <v>845</v>
      </c>
      <c r="B111" s="470" t="s">
        <v>868</v>
      </c>
      <c r="C111" s="470"/>
      <c r="D111" s="470"/>
      <c r="E111" s="183" t="s">
        <v>55</v>
      </c>
      <c r="F111" s="472">
        <v>44465553.509999998</v>
      </c>
      <c r="G111" s="472"/>
      <c r="H111" s="219" t="s">
        <v>56</v>
      </c>
      <c r="I111" s="186">
        <v>40875</v>
      </c>
      <c r="J111" s="187" t="s">
        <v>71</v>
      </c>
      <c r="K111" s="198">
        <v>58751.120999999999</v>
      </c>
      <c r="L111" s="134"/>
    </row>
    <row r="112" spans="1:16" s="132" customFormat="1" x14ac:dyDescent="0.15">
      <c r="A112" s="133" t="s">
        <v>846</v>
      </c>
      <c r="B112" s="131" t="s">
        <v>968</v>
      </c>
      <c r="D112" s="133"/>
      <c r="E112" s="183" t="s">
        <v>55</v>
      </c>
      <c r="F112" s="472">
        <v>27498406.850000001</v>
      </c>
      <c r="G112" s="472"/>
      <c r="H112" s="219" t="s">
        <v>56</v>
      </c>
      <c r="I112" s="186">
        <v>40876</v>
      </c>
      <c r="J112" s="187" t="s">
        <v>71</v>
      </c>
      <c r="K112" s="210">
        <v>196099.77400000003</v>
      </c>
      <c r="L112" s="134"/>
      <c r="N112" s="134"/>
    </row>
    <row r="113" spans="1:16" s="132" customFormat="1" x14ac:dyDescent="0.15">
      <c r="A113" s="133" t="s">
        <v>848</v>
      </c>
      <c r="B113" s="131" t="s">
        <v>969</v>
      </c>
      <c r="D113" s="133"/>
      <c r="E113" s="183" t="s">
        <v>55</v>
      </c>
      <c r="F113" s="472">
        <v>23164214.260000002</v>
      </c>
      <c r="G113" s="472"/>
      <c r="H113" s="219" t="s">
        <v>56</v>
      </c>
      <c r="I113" s="186">
        <v>40883</v>
      </c>
      <c r="J113" s="187" t="s">
        <v>71</v>
      </c>
      <c r="K113" s="210">
        <v>80024.353999999992</v>
      </c>
      <c r="L113" s="134"/>
    </row>
    <row r="114" spans="1:16" s="132" customFormat="1" x14ac:dyDescent="0.15">
      <c r="A114" s="133" t="s">
        <v>902</v>
      </c>
      <c r="B114" s="131" t="s">
        <v>970</v>
      </c>
      <c r="D114" s="133"/>
      <c r="E114" s="183" t="s">
        <v>55</v>
      </c>
      <c r="F114" s="472">
        <v>30072777.390000001</v>
      </c>
      <c r="G114" s="472"/>
      <c r="H114" s="219" t="s">
        <v>56</v>
      </c>
      <c r="I114" s="186">
        <v>40890</v>
      </c>
      <c r="J114" s="187" t="s">
        <v>71</v>
      </c>
      <c r="K114" s="210">
        <v>140120.351</v>
      </c>
      <c r="L114" s="134"/>
    </row>
    <row r="115" spans="1:16" s="132" customFormat="1" x14ac:dyDescent="0.15">
      <c r="A115" s="133" t="s">
        <v>903</v>
      </c>
      <c r="B115" s="470" t="s">
        <v>975</v>
      </c>
      <c r="C115" s="470"/>
      <c r="D115" s="470"/>
      <c r="E115" s="183" t="s">
        <v>55</v>
      </c>
      <c r="F115" s="472">
        <v>93426387.959999993</v>
      </c>
      <c r="G115" s="472"/>
      <c r="H115" s="219" t="s">
        <v>56</v>
      </c>
      <c r="I115" s="186">
        <v>40892</v>
      </c>
      <c r="J115" s="187" t="s">
        <v>71</v>
      </c>
      <c r="K115" s="210">
        <v>80155.930999999997</v>
      </c>
      <c r="L115" s="134"/>
    </row>
    <row r="116" spans="1:16" x14ac:dyDescent="0.15">
      <c r="A116" s="133" t="s">
        <v>904</v>
      </c>
      <c r="B116" s="131" t="s">
        <v>971</v>
      </c>
      <c r="E116" s="183" t="s">
        <v>55</v>
      </c>
      <c r="F116" s="472">
        <v>26616814</v>
      </c>
      <c r="G116" s="472"/>
      <c r="H116" s="219" t="s">
        <v>56</v>
      </c>
      <c r="I116" s="186">
        <v>40893</v>
      </c>
      <c r="J116" s="187" t="s">
        <v>71</v>
      </c>
      <c r="K116" s="210">
        <v>196225.88900000002</v>
      </c>
      <c r="L116" s="134"/>
      <c r="M116" s="134"/>
      <c r="O116" s="238"/>
      <c r="P116" s="134"/>
    </row>
    <row r="117" spans="1:16" x14ac:dyDescent="0.15">
      <c r="A117" s="133" t="s">
        <v>906</v>
      </c>
      <c r="B117" s="470" t="s">
        <v>976</v>
      </c>
      <c r="C117" s="470"/>
      <c r="D117" s="470"/>
      <c r="E117" s="183" t="s">
        <v>55</v>
      </c>
      <c r="F117" s="472">
        <v>45159503.210000001</v>
      </c>
      <c r="G117" s="472"/>
      <c r="H117" s="219" t="s">
        <v>56</v>
      </c>
      <c r="I117" s="186">
        <v>40900</v>
      </c>
      <c r="J117" s="187" t="s">
        <v>71</v>
      </c>
      <c r="K117" s="210">
        <v>118557.62000000001</v>
      </c>
      <c r="L117" s="134"/>
      <c r="M117" s="134"/>
      <c r="O117" s="238"/>
      <c r="P117" s="134"/>
    </row>
    <row r="118" spans="1:16" x14ac:dyDescent="0.15">
      <c r="A118" s="133" t="s">
        <v>907</v>
      </c>
      <c r="B118" s="131" t="s">
        <v>972</v>
      </c>
      <c r="E118" s="183" t="s">
        <v>55</v>
      </c>
      <c r="F118" s="472">
        <v>21951668.399999999</v>
      </c>
      <c r="G118" s="472"/>
      <c r="H118" s="219" t="s">
        <v>56</v>
      </c>
      <c r="I118" s="186">
        <v>40903</v>
      </c>
      <c r="J118" s="187" t="s">
        <v>71</v>
      </c>
      <c r="K118" s="210">
        <v>243238.54499999998</v>
      </c>
      <c r="L118" s="134"/>
      <c r="M118" s="134"/>
      <c r="O118" s="238"/>
      <c r="P118" s="134"/>
    </row>
    <row r="119" spans="1:16" x14ac:dyDescent="0.15">
      <c r="A119" s="133" t="s">
        <v>908</v>
      </c>
      <c r="B119" s="131" t="s">
        <v>973</v>
      </c>
      <c r="E119" s="183" t="s">
        <v>55</v>
      </c>
      <c r="F119" s="472">
        <v>92100593.640000001</v>
      </c>
      <c r="G119" s="472"/>
      <c r="H119" s="219" t="s">
        <v>56</v>
      </c>
      <c r="I119" s="186">
        <v>40904</v>
      </c>
      <c r="J119" s="187" t="s">
        <v>71</v>
      </c>
      <c r="K119" s="210">
        <v>185403.23700000002</v>
      </c>
      <c r="L119" s="134"/>
    </row>
    <row r="120" spans="1:16" x14ac:dyDescent="0.15">
      <c r="A120" s="133" t="s">
        <v>909</v>
      </c>
      <c r="B120" s="131" t="s">
        <v>974</v>
      </c>
      <c r="E120" s="183" t="s">
        <v>55</v>
      </c>
      <c r="F120" s="472">
        <v>25006950.32</v>
      </c>
      <c r="G120" s="472"/>
      <c r="H120" s="219" t="s">
        <v>56</v>
      </c>
      <c r="I120" s="186">
        <v>40912</v>
      </c>
      <c r="J120" s="187" t="s">
        <v>71</v>
      </c>
      <c r="K120" s="210">
        <v>100166.785</v>
      </c>
      <c r="L120" s="134"/>
      <c r="M120" s="134"/>
      <c r="O120" s="238"/>
      <c r="P120" s="134"/>
    </row>
    <row r="121" spans="1:16" x14ac:dyDescent="0.15">
      <c r="A121" s="133" t="s">
        <v>911</v>
      </c>
      <c r="B121" s="470" t="s">
        <v>977</v>
      </c>
      <c r="C121" s="470"/>
      <c r="D121" s="470"/>
      <c r="E121" s="183" t="s">
        <v>55</v>
      </c>
      <c r="F121" s="472">
        <v>51331732.850000001</v>
      </c>
      <c r="G121" s="472"/>
      <c r="H121" s="219" t="s">
        <v>56</v>
      </c>
      <c r="I121" s="186">
        <v>40912</v>
      </c>
      <c r="J121" s="187" t="s">
        <v>71</v>
      </c>
      <c r="K121" s="210">
        <v>98826.951000000001</v>
      </c>
    </row>
    <row r="122" spans="1:16" ht="12" thickBot="1" x14ac:dyDescent="0.2">
      <c r="A122" s="193"/>
      <c r="B122" s="210"/>
      <c r="C122" s="221"/>
      <c r="D122" s="237"/>
      <c r="E122" s="235"/>
      <c r="F122" s="472"/>
      <c r="G122" s="472"/>
      <c r="J122" s="218" t="s">
        <v>106</v>
      </c>
      <c r="K122" s="212">
        <f>SUM(K111:K121)</f>
        <v>1497570.5579999997</v>
      </c>
    </row>
    <row r="123" spans="1:16" ht="12" thickTop="1" x14ac:dyDescent="0.15">
      <c r="A123" s="193"/>
      <c r="B123" s="210"/>
      <c r="C123" s="221"/>
      <c r="D123" s="237"/>
      <c r="E123" s="235"/>
      <c r="F123" s="235"/>
      <c r="G123" s="236"/>
      <c r="K123" s="205"/>
    </row>
    <row r="124" spans="1:16" x14ac:dyDescent="0.15">
      <c r="A124" s="133"/>
      <c r="B124" s="133" t="s">
        <v>9</v>
      </c>
      <c r="C124" s="220" t="s">
        <v>729</v>
      </c>
      <c r="D124" s="220" t="s">
        <v>850</v>
      </c>
      <c r="E124" s="133" t="s">
        <v>570</v>
      </c>
      <c r="F124" s="133" t="s">
        <v>571</v>
      </c>
      <c r="G124" s="133" t="s">
        <v>16</v>
      </c>
      <c r="I124" s="134"/>
      <c r="J124" s="134"/>
    </row>
    <row r="125" spans="1:16" x14ac:dyDescent="0.15">
      <c r="A125" s="193" t="s">
        <v>899</v>
      </c>
      <c r="B125" s="210">
        <v>120034</v>
      </c>
      <c r="C125" s="221">
        <v>24.7943</v>
      </c>
      <c r="D125" s="237">
        <f t="shared" ref="D125:D132" si="42">+B125*C125</f>
        <v>2976159.0062000002</v>
      </c>
      <c r="E125" s="235">
        <f t="shared" ref="E125:E132" si="43">+D125*0.01</f>
        <v>29761.590062000003</v>
      </c>
      <c r="F125" s="235">
        <f t="shared" ref="F125:F132" si="44">+E125*0.1</f>
        <v>2976.1590062000005</v>
      </c>
      <c r="G125" s="236">
        <f t="shared" ref="G125:G132" si="45">+E125+F125</f>
        <v>32737.749068200003</v>
      </c>
      <c r="I125" s="245"/>
      <c r="J125" s="238"/>
      <c r="K125" s="221"/>
    </row>
    <row r="126" spans="1:16" x14ac:dyDescent="0.15">
      <c r="A126" s="193" t="s">
        <v>900</v>
      </c>
      <c r="B126" s="210">
        <v>280271</v>
      </c>
      <c r="C126" s="221">
        <v>24.773499999999999</v>
      </c>
      <c r="D126" s="237">
        <f t="shared" si="42"/>
        <v>6943293.6184999999</v>
      </c>
      <c r="E126" s="235">
        <f t="shared" si="43"/>
        <v>69432.936184999999</v>
      </c>
      <c r="F126" s="235">
        <f t="shared" si="44"/>
        <v>6943.2936184999999</v>
      </c>
      <c r="G126" s="236">
        <f t="shared" si="45"/>
        <v>76376.229803499999</v>
      </c>
      <c r="I126" s="247"/>
      <c r="J126" s="238"/>
      <c r="K126" s="221"/>
    </row>
    <row r="127" spans="1:16" x14ac:dyDescent="0.15">
      <c r="A127" s="193" t="s">
        <v>901</v>
      </c>
      <c r="B127" s="210">
        <v>236171</v>
      </c>
      <c r="C127" s="221">
        <v>24.5779</v>
      </c>
      <c r="D127" s="237">
        <f t="shared" si="42"/>
        <v>5804587.2209000001</v>
      </c>
      <c r="E127" s="235">
        <f t="shared" si="43"/>
        <v>58045.872209000001</v>
      </c>
      <c r="F127" s="235">
        <f t="shared" si="44"/>
        <v>5804.5872209000008</v>
      </c>
      <c r="G127" s="236">
        <f t="shared" si="45"/>
        <v>63850.459429900002</v>
      </c>
      <c r="I127" s="248"/>
      <c r="J127" s="238"/>
      <c r="K127" s="221"/>
    </row>
    <row r="128" spans="1:16" x14ac:dyDescent="0.15">
      <c r="A128" s="193" t="s">
        <v>967</v>
      </c>
      <c r="B128" s="210">
        <v>114249</v>
      </c>
      <c r="C128" s="221">
        <v>24.299299999999999</v>
      </c>
      <c r="D128" s="237">
        <f t="shared" si="42"/>
        <v>2776170.7256999998</v>
      </c>
      <c r="E128" s="235">
        <f t="shared" si="43"/>
        <v>27761.707256999998</v>
      </c>
      <c r="F128" s="235">
        <f t="shared" si="44"/>
        <v>2776.1707256999998</v>
      </c>
      <c r="G128" s="236">
        <f t="shared" si="45"/>
        <v>30537.877982699996</v>
      </c>
      <c r="I128" s="248"/>
      <c r="J128" s="238"/>
      <c r="K128" s="221"/>
    </row>
    <row r="129" spans="1:14" x14ac:dyDescent="0.15">
      <c r="A129" s="193" t="s">
        <v>905</v>
      </c>
      <c r="B129" s="210">
        <v>212486</v>
      </c>
      <c r="C129" s="221">
        <v>24.380600000000001</v>
      </c>
      <c r="D129" s="237">
        <f t="shared" si="42"/>
        <v>5180536.1716</v>
      </c>
      <c r="E129" s="235">
        <f t="shared" si="43"/>
        <v>51805.361715999999</v>
      </c>
      <c r="F129" s="235">
        <f t="shared" si="44"/>
        <v>5180.5361716000007</v>
      </c>
      <c r="G129" s="236">
        <f t="shared" si="45"/>
        <v>56985.897887600004</v>
      </c>
      <c r="I129" s="248"/>
      <c r="J129" s="238"/>
      <c r="K129" s="221"/>
    </row>
    <row r="130" spans="1:14" s="132" customFormat="1" x14ac:dyDescent="0.15">
      <c r="A130" s="133" t="s">
        <v>910</v>
      </c>
      <c r="B130" s="210">
        <v>275363</v>
      </c>
      <c r="C130" s="221">
        <v>24.006799999999998</v>
      </c>
      <c r="D130" s="237">
        <f t="shared" si="42"/>
        <v>6610584.4683999997</v>
      </c>
      <c r="E130" s="235">
        <f t="shared" si="43"/>
        <v>66105.844683999996</v>
      </c>
      <c r="F130" s="235">
        <f t="shared" si="44"/>
        <v>6610.5844684000003</v>
      </c>
      <c r="G130" s="236">
        <f t="shared" si="45"/>
        <v>72716.4291524</v>
      </c>
      <c r="I130" s="248"/>
      <c r="J130" s="238"/>
      <c r="K130" s="221"/>
      <c r="L130" s="133"/>
      <c r="N130" s="134"/>
    </row>
    <row r="131" spans="1:14" s="132" customFormat="1" ht="12" thickBot="1" x14ac:dyDescent="0.2">
      <c r="A131" s="193"/>
      <c r="B131" s="211">
        <f>SUM(B125:B130)</f>
        <v>1238574</v>
      </c>
      <c r="C131" s="221"/>
      <c r="D131" s="237"/>
      <c r="E131" s="242">
        <f>SUM(E125:E130)</f>
        <v>302913.31211300002</v>
      </c>
      <c r="F131" s="242">
        <f t="shared" ref="F131:G131" si="46">SUM(F125:F130)</f>
        <v>30291.331211299999</v>
      </c>
      <c r="G131" s="242">
        <f t="shared" si="46"/>
        <v>333204.64332430001</v>
      </c>
      <c r="I131" s="133"/>
      <c r="K131" s="134"/>
      <c r="L131" s="133"/>
      <c r="N131" s="134"/>
    </row>
    <row r="132" spans="1:14" s="132" customFormat="1" ht="12" thickTop="1" x14ac:dyDescent="0.15">
      <c r="A132" s="193" t="s">
        <v>847</v>
      </c>
      <c r="B132" s="210">
        <v>80067</v>
      </c>
      <c r="C132" s="221">
        <v>25.180299999999999</v>
      </c>
      <c r="D132" s="237">
        <f t="shared" si="42"/>
        <v>2016111.0800999999</v>
      </c>
      <c r="E132" s="235">
        <f t="shared" si="43"/>
        <v>20161.110800999999</v>
      </c>
      <c r="F132" s="235">
        <f t="shared" si="44"/>
        <v>2016.1110801</v>
      </c>
      <c r="G132" s="236">
        <f t="shared" si="45"/>
        <v>22177.221881099998</v>
      </c>
      <c r="I132" s="133"/>
      <c r="K132" s="134"/>
      <c r="L132" s="133"/>
      <c r="N132" s="134"/>
    </row>
    <row r="133" spans="1:14" s="132" customFormat="1" x14ac:dyDescent="0.15">
      <c r="A133" s="193" t="s">
        <v>849</v>
      </c>
      <c r="B133" s="210">
        <v>79990</v>
      </c>
      <c r="C133" s="221">
        <v>24.945499999999999</v>
      </c>
      <c r="D133" s="237">
        <f t="shared" ref="D133" si="47">+B133*C133</f>
        <v>1995390.5449999999</v>
      </c>
      <c r="E133" s="235">
        <f t="shared" ref="E133" si="48">+D133*0.01</f>
        <v>19953.905449999998</v>
      </c>
      <c r="F133" s="235">
        <f t="shared" ref="F133" si="49">+E133*0.1</f>
        <v>1995.390545</v>
      </c>
      <c r="G133" s="236">
        <f t="shared" ref="G133" si="50">+E133+F133</f>
        <v>21949.295994999997</v>
      </c>
      <c r="I133" s="133"/>
      <c r="K133" s="134"/>
      <c r="L133" s="133"/>
      <c r="N133" s="134"/>
    </row>
    <row r="134" spans="1:14" s="132" customFormat="1" ht="12" thickBot="1" x14ac:dyDescent="0.2">
      <c r="A134" s="193"/>
      <c r="B134" s="211">
        <f>SUM(B132:B133)</f>
        <v>160057</v>
      </c>
      <c r="C134" s="221"/>
      <c r="D134" s="237"/>
      <c r="E134" s="242">
        <f>SUM(E132:E133)</f>
        <v>40115.016250999994</v>
      </c>
      <c r="F134" s="242">
        <f t="shared" ref="F134:G134" si="51">SUM(F132:F133)</f>
        <v>4011.5016250999997</v>
      </c>
      <c r="G134" s="242">
        <f t="shared" si="51"/>
        <v>44126.517876099999</v>
      </c>
      <c r="I134" s="133"/>
      <c r="K134" s="134"/>
      <c r="L134" s="133"/>
      <c r="N134" s="134"/>
    </row>
    <row r="135" spans="1:14" ht="12" thickTop="1" x14ac:dyDescent="0.15">
      <c r="A135" s="133" t="s">
        <v>845</v>
      </c>
      <c r="B135" s="210">
        <v>58751</v>
      </c>
      <c r="C135" s="221">
        <v>25.6114</v>
      </c>
      <c r="D135" s="237">
        <f t="shared" ref="D135:D145" si="52">+B135*C135</f>
        <v>1504695.3614000001</v>
      </c>
      <c r="E135" s="235">
        <f t="shared" ref="E135:E145" si="53">+D135*0.01</f>
        <v>15046.953614</v>
      </c>
      <c r="F135" s="235">
        <f t="shared" ref="F135:F145" si="54">+E135*0.1</f>
        <v>1504.6953614000001</v>
      </c>
      <c r="G135" s="236">
        <f t="shared" ref="G135:G145" si="55">+E135+F135</f>
        <v>16551.648975399999</v>
      </c>
      <c r="J135" s="238"/>
      <c r="K135" s="221"/>
    </row>
    <row r="136" spans="1:14" x14ac:dyDescent="0.15">
      <c r="A136" s="133" t="s">
        <v>846</v>
      </c>
      <c r="B136" s="210">
        <v>196100</v>
      </c>
      <c r="C136" s="221">
        <v>25.418900000000001</v>
      </c>
      <c r="D136" s="237">
        <f t="shared" si="52"/>
        <v>4984646.29</v>
      </c>
      <c r="E136" s="235">
        <f t="shared" si="53"/>
        <v>49846.462899999999</v>
      </c>
      <c r="F136" s="235">
        <f t="shared" si="54"/>
        <v>4984.6462900000006</v>
      </c>
      <c r="G136" s="236">
        <f t="shared" si="55"/>
        <v>54831.109190000003</v>
      </c>
      <c r="I136" s="245"/>
      <c r="J136" s="238"/>
      <c r="K136" s="221"/>
    </row>
    <row r="137" spans="1:14" x14ac:dyDescent="0.15">
      <c r="A137" s="133" t="s">
        <v>848</v>
      </c>
      <c r="B137" s="210">
        <v>80024</v>
      </c>
      <c r="C137" s="221">
        <v>25.1998</v>
      </c>
      <c r="D137" s="237">
        <f t="shared" si="52"/>
        <v>2016588.7952000001</v>
      </c>
      <c r="E137" s="235">
        <f t="shared" si="53"/>
        <v>20165.887952000001</v>
      </c>
      <c r="F137" s="235">
        <f t="shared" si="54"/>
        <v>2016.5887952000003</v>
      </c>
      <c r="G137" s="236">
        <f t="shared" si="55"/>
        <v>22182.476747200002</v>
      </c>
      <c r="J137" s="238"/>
      <c r="K137" s="221"/>
    </row>
    <row r="138" spans="1:14" x14ac:dyDescent="0.15">
      <c r="A138" s="133" t="s">
        <v>902</v>
      </c>
      <c r="B138" s="210">
        <v>140120</v>
      </c>
      <c r="C138" s="221">
        <v>24.729399999999998</v>
      </c>
      <c r="D138" s="237">
        <f t="shared" si="52"/>
        <v>3465083.5279999999</v>
      </c>
      <c r="E138" s="235">
        <f t="shared" si="53"/>
        <v>34650.835279999999</v>
      </c>
      <c r="F138" s="235">
        <f t="shared" si="54"/>
        <v>3465.0835280000001</v>
      </c>
      <c r="G138" s="236">
        <f t="shared" si="55"/>
        <v>38115.918808000002</v>
      </c>
      <c r="I138" s="246"/>
      <c r="J138" s="238"/>
      <c r="K138" s="221"/>
    </row>
    <row r="139" spans="1:14" x14ac:dyDescent="0.15">
      <c r="A139" s="133" t="s">
        <v>903</v>
      </c>
      <c r="B139" s="210">
        <v>80156</v>
      </c>
      <c r="C139" s="221">
        <v>24.714099999999998</v>
      </c>
      <c r="D139" s="237">
        <f t="shared" si="52"/>
        <v>1980983.3995999999</v>
      </c>
      <c r="E139" s="235">
        <f t="shared" si="53"/>
        <v>19809.833995999998</v>
      </c>
      <c r="F139" s="235">
        <f t="shared" si="54"/>
        <v>1980.9833995999998</v>
      </c>
      <c r="G139" s="236">
        <f t="shared" si="55"/>
        <v>21790.817395599996</v>
      </c>
      <c r="J139" s="221"/>
      <c r="K139" s="221"/>
      <c r="L139" s="249"/>
    </row>
    <row r="140" spans="1:14" x14ac:dyDescent="0.15">
      <c r="A140" s="133" t="s">
        <v>904</v>
      </c>
      <c r="B140" s="210">
        <v>196226</v>
      </c>
      <c r="C140" s="221">
        <v>24.8184</v>
      </c>
      <c r="D140" s="237">
        <f t="shared" si="52"/>
        <v>4870015.3584000003</v>
      </c>
      <c r="E140" s="235">
        <f t="shared" si="53"/>
        <v>48700.153584000007</v>
      </c>
      <c r="F140" s="235">
        <f t="shared" si="54"/>
        <v>4870.0153584000009</v>
      </c>
      <c r="G140" s="236">
        <f t="shared" si="55"/>
        <v>53570.168942400007</v>
      </c>
      <c r="J140" s="221"/>
      <c r="K140" s="221"/>
      <c r="L140" s="249"/>
    </row>
    <row r="141" spans="1:14" x14ac:dyDescent="0.15">
      <c r="A141" s="133" t="s">
        <v>906</v>
      </c>
      <c r="B141" s="210">
        <v>118558</v>
      </c>
      <c r="C141" s="221">
        <v>24.5306</v>
      </c>
      <c r="D141" s="237">
        <f t="shared" si="52"/>
        <v>2908298.8747999999</v>
      </c>
      <c r="E141" s="235">
        <f t="shared" si="53"/>
        <v>29082.988748</v>
      </c>
      <c r="F141" s="235">
        <f t="shared" si="54"/>
        <v>2908.2988748000002</v>
      </c>
      <c r="G141" s="236">
        <f t="shared" si="55"/>
        <v>31991.287622799999</v>
      </c>
      <c r="I141" s="245"/>
      <c r="J141" s="221"/>
      <c r="K141" s="221"/>
      <c r="L141" s="249"/>
    </row>
    <row r="142" spans="1:14" x14ac:dyDescent="0.15">
      <c r="A142" s="133" t="s">
        <v>907</v>
      </c>
      <c r="B142" s="210">
        <v>243239</v>
      </c>
      <c r="C142" s="221">
        <v>23.9711</v>
      </c>
      <c r="D142" s="237">
        <f t="shared" si="52"/>
        <v>5830706.3929000003</v>
      </c>
      <c r="E142" s="235">
        <f t="shared" si="53"/>
        <v>58307.063929000004</v>
      </c>
      <c r="F142" s="235">
        <f t="shared" si="54"/>
        <v>5830.7063929000005</v>
      </c>
      <c r="G142" s="236">
        <f t="shared" si="55"/>
        <v>64137.770321900003</v>
      </c>
      <c r="I142" s="245"/>
      <c r="J142" s="221"/>
      <c r="K142" s="221"/>
      <c r="L142" s="249"/>
    </row>
    <row r="143" spans="1:14" x14ac:dyDescent="0.15">
      <c r="A143" s="133" t="s">
        <v>908</v>
      </c>
      <c r="B143" s="210">
        <v>185403</v>
      </c>
      <c r="C143" s="221">
        <v>23.9711</v>
      </c>
      <c r="D143" s="237">
        <f t="shared" si="52"/>
        <v>4444313.8532999996</v>
      </c>
      <c r="E143" s="235">
        <f t="shared" si="53"/>
        <v>44443.138532999998</v>
      </c>
      <c r="F143" s="235">
        <f t="shared" si="54"/>
        <v>4444.3138533000001</v>
      </c>
      <c r="G143" s="236">
        <f t="shared" si="55"/>
        <v>48887.452386299999</v>
      </c>
      <c r="I143" s="247"/>
      <c r="J143" s="221"/>
      <c r="K143" s="221"/>
      <c r="L143" s="249"/>
    </row>
    <row r="144" spans="1:14" x14ac:dyDescent="0.15">
      <c r="A144" s="133" t="s">
        <v>909</v>
      </c>
      <c r="B144" s="210">
        <v>100167</v>
      </c>
      <c r="C144" s="221">
        <v>24.154699999999998</v>
      </c>
      <c r="D144" s="237">
        <f t="shared" si="52"/>
        <v>2419503.8348999997</v>
      </c>
      <c r="E144" s="235">
        <f t="shared" si="53"/>
        <v>24195.038348999999</v>
      </c>
      <c r="F144" s="235">
        <f t="shared" si="54"/>
        <v>2419.5038349000001</v>
      </c>
      <c r="G144" s="236">
        <f t="shared" si="55"/>
        <v>26614.542183899997</v>
      </c>
      <c r="I144" s="248"/>
      <c r="J144" s="221"/>
      <c r="K144" s="221"/>
      <c r="L144" s="249"/>
    </row>
    <row r="145" spans="1:9" x14ac:dyDescent="0.15">
      <c r="A145" s="133" t="s">
        <v>911</v>
      </c>
      <c r="B145" s="210">
        <v>98827</v>
      </c>
      <c r="C145" s="221">
        <v>24.325099999999999</v>
      </c>
      <c r="D145" s="237">
        <f t="shared" si="52"/>
        <v>2403976.6576999999</v>
      </c>
      <c r="E145" s="235">
        <f t="shared" si="53"/>
        <v>24039.766576999999</v>
      </c>
      <c r="F145" s="235">
        <f t="shared" si="54"/>
        <v>2403.9766577</v>
      </c>
      <c r="G145" s="236">
        <f t="shared" si="55"/>
        <v>26443.743234699999</v>
      </c>
      <c r="I145" s="244"/>
    </row>
    <row r="146" spans="1:9" ht="12" thickBot="1" x14ac:dyDescent="0.2">
      <c r="B146" s="233">
        <f>SUM(B135:B145)</f>
        <v>1497571</v>
      </c>
      <c r="E146" s="234">
        <f>SUM(E135:E145)</f>
        <v>368288.12346199999</v>
      </c>
      <c r="F146" s="234">
        <f t="shared" ref="F146:G146" si="56">SUM(F135:F145)</f>
        <v>36828.8123462</v>
      </c>
      <c r="G146" s="234">
        <f t="shared" si="56"/>
        <v>405116.93580820004</v>
      </c>
    </row>
    <row r="147" spans="1:9" ht="12" thickTop="1" x14ac:dyDescent="0.15"/>
    <row r="148" spans="1:9" x14ac:dyDescent="0.15">
      <c r="B148" s="231"/>
    </row>
  </sheetData>
  <mergeCells count="41">
    <mergeCell ref="J3:L3"/>
    <mergeCell ref="A4:C4"/>
    <mergeCell ref="D4:H4"/>
    <mergeCell ref="I4:N4"/>
    <mergeCell ref="J5:K5"/>
    <mergeCell ref="L5:N5"/>
    <mergeCell ref="B104:D104"/>
    <mergeCell ref="F104:G104"/>
    <mergeCell ref="F105:G105"/>
    <mergeCell ref="B99:D99"/>
    <mergeCell ref="F99:G99"/>
    <mergeCell ref="B100:D100"/>
    <mergeCell ref="F100:G100"/>
    <mergeCell ref="F101:G101"/>
    <mergeCell ref="F103:G103"/>
    <mergeCell ref="F102:G102"/>
    <mergeCell ref="B107:D107"/>
    <mergeCell ref="F107:G107"/>
    <mergeCell ref="B108:D108"/>
    <mergeCell ref="F108:G108"/>
    <mergeCell ref="B109:D109"/>
    <mergeCell ref="F109:G109"/>
    <mergeCell ref="B110:D110"/>
    <mergeCell ref="F110:G110"/>
    <mergeCell ref="B111:D111"/>
    <mergeCell ref="F111:G111"/>
    <mergeCell ref="F112:G112"/>
    <mergeCell ref="B121:D121"/>
    <mergeCell ref="F121:G121"/>
    <mergeCell ref="B115:D115"/>
    <mergeCell ref="B117:D117"/>
    <mergeCell ref="F113:G113"/>
    <mergeCell ref="F114:G114"/>
    <mergeCell ref="F106:G106"/>
    <mergeCell ref="F122:G122"/>
    <mergeCell ref="F117:G117"/>
    <mergeCell ref="F116:G116"/>
    <mergeCell ref="F115:G115"/>
    <mergeCell ref="F120:G120"/>
    <mergeCell ref="F119:G119"/>
    <mergeCell ref="F118:G118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115" zoomScaleNormal="115" workbookViewId="0">
      <pane ySplit="6" topLeftCell="A74" activePane="bottomLeft" state="frozen"/>
      <selection pane="bottomLeft" activeCell="F80" sqref="F80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2.5703125" style="133" customWidth="1"/>
    <col min="5" max="5" width="10.85546875" style="133" bestFit="1" customWidth="1"/>
    <col min="6" max="6" width="11.28515625" style="134" bestFit="1" customWidth="1"/>
    <col min="7" max="7" width="10.85546875" style="133" bestFit="1" customWidth="1"/>
    <col min="8" max="8" width="11.85546875" style="132" bestFit="1" customWidth="1"/>
    <col min="9" max="9" width="9.5703125" style="133" bestFit="1" customWidth="1"/>
    <col min="10" max="10" width="12.140625" style="132" bestFit="1" customWidth="1"/>
    <col min="11" max="11" width="11.85546875" style="134" bestFit="1" customWidth="1"/>
    <col min="12" max="12" width="13.85546875" style="133" bestFit="1" customWidth="1"/>
    <col min="13" max="13" width="11.28515625" style="132" customWidth="1"/>
    <col min="14" max="14" width="10.5703125" style="134" bestFit="1" customWidth="1"/>
    <col min="15" max="15" width="13.28515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815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791</v>
      </c>
      <c r="B7" s="146"/>
      <c r="C7" s="147">
        <v>101256.45436200945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101256.45436200945</v>
      </c>
      <c r="P7" s="147">
        <f>+C63</f>
        <v>529730.04236200941</v>
      </c>
    </row>
    <row r="8" spans="1:16" x14ac:dyDescent="0.15">
      <c r="A8" s="154" t="s">
        <v>792</v>
      </c>
      <c r="B8" s="151"/>
      <c r="C8" s="152">
        <v>39989.455999999998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101256.45436200945</v>
      </c>
      <c r="P8" s="152">
        <f t="shared" ref="P8" si="0">P7+H8-J8-M8</f>
        <v>529730.04236200941</v>
      </c>
    </row>
    <row r="9" spans="1:16" x14ac:dyDescent="0.15">
      <c r="A9" s="154" t="s">
        <v>809</v>
      </c>
      <c r="B9" s="151"/>
      <c r="C9" s="152">
        <v>308510.08799999999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101256.45436200945</v>
      </c>
      <c r="P9" s="152">
        <f t="shared" ref="P9" si="2">P8+H9-J9-M9</f>
        <v>529730.04236200941</v>
      </c>
    </row>
    <row r="10" spans="1:16" x14ac:dyDescent="0.15">
      <c r="A10" s="154" t="s">
        <v>810</v>
      </c>
      <c r="B10" s="151"/>
      <c r="C10" s="152">
        <v>79974.043999999994</v>
      </c>
      <c r="D10" s="155"/>
      <c r="E10" s="154"/>
      <c r="F10" s="157"/>
      <c r="G10" s="154"/>
      <c r="H10" s="152"/>
      <c r="I10" s="155"/>
      <c r="J10" s="152"/>
      <c r="K10" s="150"/>
      <c r="L10" s="154"/>
      <c r="M10" s="227"/>
      <c r="N10" s="150"/>
      <c r="O10" s="227">
        <f t="shared" ref="O10:O62" si="3">+O9-J10-M10</f>
        <v>101256.45436200945</v>
      </c>
      <c r="P10" s="152">
        <f t="shared" ref="P10:P62" si="4">P9+H10-J10-M10</f>
        <v>529730.04236200941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/>
      <c r="J11" s="152"/>
      <c r="K11" s="150"/>
      <c r="L11" s="154"/>
      <c r="M11" s="227"/>
      <c r="N11" s="150"/>
      <c r="O11" s="227">
        <f t="shared" si="3"/>
        <v>101256.45436200945</v>
      </c>
      <c r="P11" s="152">
        <f t="shared" si="4"/>
        <v>529730.04236200941</v>
      </c>
    </row>
    <row r="12" spans="1:16" x14ac:dyDescent="0.15">
      <c r="A12" s="154"/>
      <c r="B12" s="151"/>
      <c r="C12" s="152"/>
      <c r="D12" s="155" t="s">
        <v>816</v>
      </c>
      <c r="E12" s="154" t="s">
        <v>72</v>
      </c>
      <c r="F12" s="157" t="s">
        <v>810</v>
      </c>
      <c r="G12" s="154"/>
      <c r="H12" s="152">
        <v>39981.749000000003</v>
      </c>
      <c r="I12" s="155" t="s">
        <v>816</v>
      </c>
      <c r="J12" s="152"/>
      <c r="K12" s="150"/>
      <c r="L12" s="154" t="s">
        <v>851</v>
      </c>
      <c r="M12" s="227">
        <v>66480</v>
      </c>
      <c r="N12" s="154" t="s">
        <v>791</v>
      </c>
      <c r="O12" s="227">
        <f t="shared" si="3"/>
        <v>34776.454362009448</v>
      </c>
      <c r="P12" s="152">
        <f t="shared" si="4"/>
        <v>503231.79136200936</v>
      </c>
    </row>
    <row r="13" spans="1:16" x14ac:dyDescent="0.15">
      <c r="A13" s="154"/>
      <c r="B13" s="151"/>
      <c r="C13" s="152"/>
      <c r="D13" s="155" t="s">
        <v>817</v>
      </c>
      <c r="E13" s="154" t="s">
        <v>72</v>
      </c>
      <c r="F13" s="157" t="s">
        <v>858</v>
      </c>
      <c r="G13" s="154"/>
      <c r="H13" s="152">
        <v>39990.264000000003</v>
      </c>
      <c r="I13" s="155" t="s">
        <v>817</v>
      </c>
      <c r="J13" s="152"/>
      <c r="K13" s="150"/>
      <c r="L13" s="154" t="s">
        <v>851</v>
      </c>
      <c r="M13" s="227">
        <v>2976.63</v>
      </c>
      <c r="N13" s="154" t="s">
        <v>791</v>
      </c>
      <c r="O13" s="227">
        <f t="shared" si="3"/>
        <v>31799.824362009447</v>
      </c>
      <c r="P13" s="152">
        <f t="shared" si="4"/>
        <v>540245.42536200932</v>
      </c>
    </row>
    <row r="14" spans="1:16" x14ac:dyDescent="0.15">
      <c r="A14" s="154"/>
      <c r="B14" s="151"/>
      <c r="C14" s="152"/>
      <c r="D14" s="155" t="s">
        <v>818</v>
      </c>
      <c r="E14" s="154" t="s">
        <v>72</v>
      </c>
      <c r="F14" s="157" t="s">
        <v>858</v>
      </c>
      <c r="G14" s="154"/>
      <c r="H14" s="152">
        <v>39954.165999999997</v>
      </c>
      <c r="I14" s="155" t="s">
        <v>818</v>
      </c>
      <c r="J14" s="152"/>
      <c r="K14" s="150"/>
      <c r="L14" s="154" t="s">
        <v>851</v>
      </c>
      <c r="M14" s="227">
        <v>31799.824000000001</v>
      </c>
      <c r="N14" s="154" t="s">
        <v>791</v>
      </c>
      <c r="O14" s="227">
        <f t="shared" ref="O14:O16" si="5">+O13-J14-M14</f>
        <v>3.620094466896262E-4</v>
      </c>
      <c r="P14" s="152">
        <f t="shared" ref="P14:P17" si="6">P13+H14-J14-M14</f>
        <v>548399.76736200927</v>
      </c>
    </row>
    <row r="15" spans="1:16" x14ac:dyDescent="0.15">
      <c r="A15" s="154"/>
      <c r="B15" s="151"/>
      <c r="C15" s="152"/>
      <c r="D15" s="155"/>
      <c r="E15" s="154"/>
      <c r="F15" s="157"/>
      <c r="G15" s="154"/>
      <c r="H15" s="152"/>
      <c r="I15" s="155" t="s">
        <v>818</v>
      </c>
      <c r="J15" s="152"/>
      <c r="K15" s="150"/>
      <c r="L15" s="154" t="s">
        <v>852</v>
      </c>
      <c r="M15" s="227">
        <v>34899.485999999997</v>
      </c>
      <c r="N15" s="154" t="s">
        <v>792</v>
      </c>
      <c r="O15" s="227">
        <f>C8+O14-J15-M15</f>
        <v>5089.9703620094442</v>
      </c>
      <c r="P15" s="152">
        <f t="shared" si="6"/>
        <v>513500.28136200929</v>
      </c>
    </row>
    <row r="16" spans="1:16" x14ac:dyDescent="0.15">
      <c r="A16" s="154"/>
      <c r="B16" s="151"/>
      <c r="C16" s="152"/>
      <c r="D16" s="155" t="s">
        <v>818</v>
      </c>
      <c r="E16" s="154" t="s">
        <v>72</v>
      </c>
      <c r="F16" s="157" t="s">
        <v>839</v>
      </c>
      <c r="G16" s="154"/>
      <c r="H16" s="152">
        <v>39930.243999999999</v>
      </c>
      <c r="I16" s="155" t="s">
        <v>818</v>
      </c>
      <c r="J16" s="152"/>
      <c r="K16" s="154"/>
      <c r="L16" s="154" t="s">
        <v>852</v>
      </c>
      <c r="M16" s="227">
        <v>5089.97</v>
      </c>
      <c r="N16" s="154" t="s">
        <v>792</v>
      </c>
      <c r="O16" s="227">
        <f t="shared" si="5"/>
        <v>3.620094439611421E-4</v>
      </c>
      <c r="P16" s="152">
        <f t="shared" si="6"/>
        <v>548340.55536200933</v>
      </c>
    </row>
    <row r="17" spans="1:16" x14ac:dyDescent="0.15">
      <c r="A17" s="154"/>
      <c r="B17" s="151"/>
      <c r="C17" s="152"/>
      <c r="D17" s="155" t="s">
        <v>819</v>
      </c>
      <c r="E17" s="154" t="s">
        <v>72</v>
      </c>
      <c r="F17" s="157" t="s">
        <v>839</v>
      </c>
      <c r="G17" s="154"/>
      <c r="H17" s="152">
        <v>39917.266000000003</v>
      </c>
      <c r="I17" s="155" t="s">
        <v>819</v>
      </c>
      <c r="J17" s="152"/>
      <c r="K17" s="154"/>
      <c r="L17" s="154" t="s">
        <v>852</v>
      </c>
      <c r="M17" s="227">
        <v>72420.72</v>
      </c>
      <c r="N17" s="154" t="s">
        <v>809</v>
      </c>
      <c r="O17" s="227">
        <f>C9+O16-J17-M17</f>
        <v>236089.36836200944</v>
      </c>
      <c r="P17" s="152">
        <f t="shared" si="6"/>
        <v>515837.1013620093</v>
      </c>
    </row>
    <row r="18" spans="1:16" x14ac:dyDescent="0.15">
      <c r="A18" s="154"/>
      <c r="B18" s="151"/>
      <c r="C18" s="152"/>
      <c r="D18" s="155" t="s">
        <v>820</v>
      </c>
      <c r="E18" s="154" t="s">
        <v>72</v>
      </c>
      <c r="F18" s="157" t="s">
        <v>840</v>
      </c>
      <c r="G18" s="154"/>
      <c r="H18" s="152">
        <v>39977.286999999997</v>
      </c>
      <c r="I18" s="155" t="s">
        <v>820</v>
      </c>
      <c r="J18" s="152"/>
      <c r="K18" s="154"/>
      <c r="L18" s="154" t="s">
        <v>852</v>
      </c>
      <c r="M18" s="227">
        <v>77279.95</v>
      </c>
      <c r="N18" s="154" t="s">
        <v>809</v>
      </c>
      <c r="O18" s="227">
        <f>+O17-J18-M18</f>
        <v>158809.41836200946</v>
      </c>
      <c r="P18" s="152">
        <f>P17+H18-J18-M18</f>
        <v>478534.4383620093</v>
      </c>
    </row>
    <row r="19" spans="1:16" x14ac:dyDescent="0.15">
      <c r="A19" s="154"/>
      <c r="B19" s="151"/>
      <c r="C19" s="152"/>
      <c r="D19" s="155" t="s">
        <v>821</v>
      </c>
      <c r="E19" s="154" t="s">
        <v>72</v>
      </c>
      <c r="F19" s="157" t="s">
        <v>840</v>
      </c>
      <c r="G19" s="154"/>
      <c r="H19" s="152">
        <v>39964.313000000002</v>
      </c>
      <c r="I19" s="155" t="s">
        <v>821</v>
      </c>
      <c r="J19" s="152"/>
      <c r="K19" s="154"/>
      <c r="L19" s="154" t="s">
        <v>852</v>
      </c>
      <c r="M19" s="227">
        <v>64957.35</v>
      </c>
      <c r="N19" s="154" t="s">
        <v>809</v>
      </c>
      <c r="O19" s="227">
        <f t="shared" si="3"/>
        <v>93852.06836200945</v>
      </c>
      <c r="P19" s="152">
        <f t="shared" si="4"/>
        <v>453541.40136200935</v>
      </c>
    </row>
    <row r="20" spans="1:16" x14ac:dyDescent="0.15">
      <c r="A20" s="154"/>
      <c r="B20" s="151"/>
      <c r="C20" s="152"/>
      <c r="D20" s="155" t="s">
        <v>836</v>
      </c>
      <c r="E20" s="154" t="s">
        <v>72</v>
      </c>
      <c r="F20" s="157" t="s">
        <v>841</v>
      </c>
      <c r="G20" s="154"/>
      <c r="H20" s="152">
        <v>79919.698000000004</v>
      </c>
      <c r="I20" s="155" t="s">
        <v>836</v>
      </c>
      <c r="J20" s="152"/>
      <c r="K20" s="154"/>
      <c r="L20" s="154"/>
      <c r="M20" s="227"/>
      <c r="N20" s="154"/>
      <c r="O20" s="227">
        <f t="shared" si="3"/>
        <v>93852.06836200945</v>
      </c>
      <c r="P20" s="152">
        <f t="shared" si="4"/>
        <v>533461.09936200932</v>
      </c>
    </row>
    <row r="21" spans="1:16" x14ac:dyDescent="0.15">
      <c r="A21" s="154"/>
      <c r="B21" s="151"/>
      <c r="C21" s="152"/>
      <c r="D21" s="155" t="s">
        <v>822</v>
      </c>
      <c r="E21" s="154" t="s">
        <v>72</v>
      </c>
      <c r="F21" s="157" t="s">
        <v>841</v>
      </c>
      <c r="G21" s="154"/>
      <c r="H21" s="152">
        <v>39972.421000000002</v>
      </c>
      <c r="I21" s="155" t="s">
        <v>822</v>
      </c>
      <c r="J21" s="152"/>
      <c r="K21" s="154"/>
      <c r="L21" s="154" t="s">
        <v>852</v>
      </c>
      <c r="M21" s="227">
        <v>76688.03</v>
      </c>
      <c r="N21" s="154" t="s">
        <v>809</v>
      </c>
      <c r="O21" s="227">
        <f t="shared" si="3"/>
        <v>17164.038362009451</v>
      </c>
      <c r="P21" s="152">
        <f t="shared" si="4"/>
        <v>496745.49036200927</v>
      </c>
    </row>
    <row r="22" spans="1:16" x14ac:dyDescent="0.15">
      <c r="A22" s="154"/>
      <c r="B22" s="151"/>
      <c r="C22" s="152"/>
      <c r="D22" s="155" t="s">
        <v>837</v>
      </c>
      <c r="E22" s="154" t="s">
        <v>72</v>
      </c>
      <c r="F22" s="157" t="s">
        <v>842</v>
      </c>
      <c r="G22" s="154"/>
      <c r="H22" s="152">
        <v>39982.964</v>
      </c>
      <c r="I22" s="155" t="s">
        <v>837</v>
      </c>
      <c r="J22" s="152"/>
      <c r="K22" s="154"/>
      <c r="L22" s="154"/>
      <c r="M22" s="227"/>
      <c r="N22" s="154"/>
      <c r="O22" s="227">
        <f t="shared" si="3"/>
        <v>17164.038362009451</v>
      </c>
      <c r="P22" s="152">
        <f t="shared" si="4"/>
        <v>536728.4543620093</v>
      </c>
    </row>
    <row r="23" spans="1:16" x14ac:dyDescent="0.15">
      <c r="A23" s="154"/>
      <c r="B23" s="151"/>
      <c r="C23" s="152"/>
      <c r="D23" s="155" t="s">
        <v>823</v>
      </c>
      <c r="E23" s="154" t="s">
        <v>72</v>
      </c>
      <c r="F23" s="157" t="s">
        <v>842</v>
      </c>
      <c r="G23" s="154"/>
      <c r="H23" s="152">
        <v>39987.83</v>
      </c>
      <c r="I23" s="155" t="s">
        <v>823</v>
      </c>
      <c r="J23" s="152">
        <v>1850.99</v>
      </c>
      <c r="K23" s="154" t="s">
        <v>809</v>
      </c>
      <c r="L23" s="154" t="s">
        <v>852</v>
      </c>
      <c r="M23" s="227">
        <v>15313.048000000001</v>
      </c>
      <c r="N23" s="154" t="s">
        <v>809</v>
      </c>
      <c r="O23" s="227">
        <f t="shared" ref="O23:O25" si="7">+O22-J23-M23</f>
        <v>3.6200945032760501E-4</v>
      </c>
      <c r="P23" s="152">
        <f t="shared" ref="P23:P25" si="8">P22+H23-J23-M23</f>
        <v>559552.24636200932</v>
      </c>
    </row>
    <row r="24" spans="1:16" x14ac:dyDescent="0.15">
      <c r="A24" s="154"/>
      <c r="B24" s="151"/>
      <c r="C24" s="152"/>
      <c r="D24" s="155"/>
      <c r="E24" s="154"/>
      <c r="F24" s="157"/>
      <c r="G24" s="154"/>
      <c r="H24" s="152"/>
      <c r="I24" s="155" t="s">
        <v>823</v>
      </c>
      <c r="J24" s="152"/>
      <c r="K24" s="154"/>
      <c r="L24" s="154" t="s">
        <v>852</v>
      </c>
      <c r="M24" s="227">
        <v>68568.251999999993</v>
      </c>
      <c r="N24" s="157" t="s">
        <v>810</v>
      </c>
      <c r="O24" s="227">
        <f>C10+H12+O23-J24-M24</f>
        <v>51387.541362009462</v>
      </c>
      <c r="P24" s="152">
        <f t="shared" si="8"/>
        <v>490983.99436200934</v>
      </c>
    </row>
    <row r="25" spans="1:16" x14ac:dyDescent="0.15">
      <c r="A25" s="154"/>
      <c r="B25" s="151"/>
      <c r="C25" s="152"/>
      <c r="D25" s="155" t="s">
        <v>824</v>
      </c>
      <c r="E25" s="154" t="s">
        <v>72</v>
      </c>
      <c r="F25" s="157" t="s">
        <v>842</v>
      </c>
      <c r="G25" s="154"/>
      <c r="H25" s="152">
        <v>80076.251999999993</v>
      </c>
      <c r="I25" s="155" t="s">
        <v>824</v>
      </c>
      <c r="J25" s="152">
        <v>2005.48</v>
      </c>
      <c r="K25" s="157" t="s">
        <v>810</v>
      </c>
      <c r="L25" s="154" t="s">
        <v>852</v>
      </c>
      <c r="M25" s="227">
        <v>49382.061000000002</v>
      </c>
      <c r="N25" s="157" t="s">
        <v>810</v>
      </c>
      <c r="O25" s="227">
        <f t="shared" si="7"/>
        <v>3.6200945760356262E-4</v>
      </c>
      <c r="P25" s="152">
        <f t="shared" si="8"/>
        <v>519672.70536200935</v>
      </c>
    </row>
    <row r="26" spans="1:16" x14ac:dyDescent="0.15">
      <c r="A26" s="154"/>
      <c r="B26" s="151"/>
      <c r="C26" s="152"/>
      <c r="D26" s="155"/>
      <c r="E26" s="154"/>
      <c r="F26" s="157"/>
      <c r="G26" s="154"/>
      <c r="H26" s="152"/>
      <c r="I26" s="155" t="s">
        <v>824</v>
      </c>
      <c r="J26" s="152"/>
      <c r="K26" s="154"/>
      <c r="L26" s="154" t="s">
        <v>851</v>
      </c>
      <c r="M26" s="227">
        <v>25863.379000000001</v>
      </c>
      <c r="N26" s="157" t="s">
        <v>858</v>
      </c>
      <c r="O26" s="227">
        <f>H13+H14+O25-J26-M26</f>
        <v>54081.051362009443</v>
      </c>
      <c r="P26" s="152">
        <f t="shared" ref="P26:P28" si="9">P25+H26-J26-M26</f>
        <v>493809.32636200933</v>
      </c>
    </row>
    <row r="27" spans="1:16" x14ac:dyDescent="0.15">
      <c r="A27" s="154"/>
      <c r="B27" s="151"/>
      <c r="C27" s="152"/>
      <c r="D27" s="155"/>
      <c r="E27" s="154"/>
      <c r="F27" s="157"/>
      <c r="G27" s="154"/>
      <c r="H27" s="152"/>
      <c r="I27" s="155" t="s">
        <v>824</v>
      </c>
      <c r="J27" s="152"/>
      <c r="K27" s="154"/>
      <c r="L27" s="154" t="s">
        <v>851</v>
      </c>
      <c r="M27" s="227">
        <v>682.21</v>
      </c>
      <c r="N27" s="157" t="s">
        <v>858</v>
      </c>
      <c r="O27" s="227">
        <f t="shared" ref="O27:O28" si="10">+O26-J27-M27</f>
        <v>53398.841362009443</v>
      </c>
      <c r="P27" s="152">
        <f t="shared" si="9"/>
        <v>493127.11636200931</v>
      </c>
    </row>
    <row r="28" spans="1:16" x14ac:dyDescent="0.15">
      <c r="A28" s="154"/>
      <c r="B28" s="151"/>
      <c r="C28" s="152"/>
      <c r="D28" s="155" t="s">
        <v>825</v>
      </c>
      <c r="E28" s="154" t="s">
        <v>72</v>
      </c>
      <c r="F28" s="157" t="s">
        <v>843</v>
      </c>
      <c r="G28" s="154"/>
      <c r="H28" s="152">
        <v>80000.505000000005</v>
      </c>
      <c r="I28" s="155" t="s">
        <v>825</v>
      </c>
      <c r="J28" s="152"/>
      <c r="K28" s="154"/>
      <c r="L28" s="154" t="s">
        <v>851</v>
      </c>
      <c r="M28" s="227">
        <v>1097.33</v>
      </c>
      <c r="N28" s="157" t="s">
        <v>858</v>
      </c>
      <c r="O28" s="227">
        <f t="shared" si="10"/>
        <v>52301.511362009442</v>
      </c>
      <c r="P28" s="152">
        <f t="shared" si="9"/>
        <v>572030.29136200936</v>
      </c>
    </row>
    <row r="29" spans="1:16" x14ac:dyDescent="0.15">
      <c r="A29" s="154"/>
      <c r="B29" s="151"/>
      <c r="C29" s="152"/>
      <c r="D29" s="155" t="s">
        <v>826</v>
      </c>
      <c r="E29" s="154" t="s">
        <v>72</v>
      </c>
      <c r="F29" s="157" t="s">
        <v>843</v>
      </c>
      <c r="G29" s="154"/>
      <c r="H29" s="152">
        <v>75990.87</v>
      </c>
      <c r="I29" s="155" t="s">
        <v>826</v>
      </c>
      <c r="J29" s="152">
        <v>527.12</v>
      </c>
      <c r="K29" s="157" t="s">
        <v>858</v>
      </c>
      <c r="L29" s="154" t="s">
        <v>851</v>
      </c>
      <c r="M29" s="227">
        <v>51774.391000000003</v>
      </c>
      <c r="N29" s="157" t="s">
        <v>858</v>
      </c>
      <c r="O29" s="227">
        <f t="shared" ref="O29:O31" si="11">+O28-J29-M29</f>
        <v>3.6200943577568978E-4</v>
      </c>
      <c r="P29" s="152">
        <f t="shared" ref="P29:P31" si="12">P28+H29-J29-M29</f>
        <v>595719.65036200942</v>
      </c>
    </row>
    <row r="30" spans="1:16" x14ac:dyDescent="0.15">
      <c r="A30" s="154"/>
      <c r="B30" s="151"/>
      <c r="C30" s="152"/>
      <c r="D30" s="155"/>
      <c r="E30" s="154"/>
      <c r="F30" s="157"/>
      <c r="G30" s="154"/>
      <c r="H30" s="152"/>
      <c r="I30" s="155" t="s">
        <v>826</v>
      </c>
      <c r="J30" s="152"/>
      <c r="K30" s="154"/>
      <c r="L30" s="154" t="s">
        <v>852</v>
      </c>
      <c r="M30" s="227">
        <v>7611.799</v>
      </c>
      <c r="N30" s="157" t="s">
        <v>839</v>
      </c>
      <c r="O30" s="227">
        <f>H16+H17+O29-J30-M30</f>
        <v>72235.711362009446</v>
      </c>
      <c r="P30" s="152">
        <f t="shared" si="12"/>
        <v>588107.85136200942</v>
      </c>
    </row>
    <row r="31" spans="1:16" x14ac:dyDescent="0.15">
      <c r="A31" s="154"/>
      <c r="B31" s="151"/>
      <c r="C31" s="152"/>
      <c r="D31" s="155" t="s">
        <v>826</v>
      </c>
      <c r="E31" s="154" t="s">
        <v>72</v>
      </c>
      <c r="F31" s="157" t="s">
        <v>844</v>
      </c>
      <c r="G31" s="154"/>
      <c r="H31" s="152">
        <v>19985.302</v>
      </c>
      <c r="I31" s="155" t="s">
        <v>826</v>
      </c>
      <c r="J31" s="152"/>
      <c r="K31" s="154"/>
      <c r="L31" s="154" t="s">
        <v>852</v>
      </c>
      <c r="M31" s="227">
        <v>72235.710999999996</v>
      </c>
      <c r="N31" s="157" t="s">
        <v>839</v>
      </c>
      <c r="O31" s="227">
        <f t="shared" si="11"/>
        <v>3.6200945032760501E-4</v>
      </c>
      <c r="P31" s="152">
        <f t="shared" si="12"/>
        <v>535857.44236200943</v>
      </c>
    </row>
    <row r="32" spans="1:16" x14ac:dyDescent="0.15">
      <c r="A32" s="154"/>
      <c r="B32" s="151"/>
      <c r="C32" s="152"/>
      <c r="D32" s="155"/>
      <c r="E32" s="154"/>
      <c r="F32" s="157"/>
      <c r="G32" s="154"/>
      <c r="H32" s="152"/>
      <c r="I32" s="155" t="s">
        <v>826</v>
      </c>
      <c r="J32" s="152"/>
      <c r="K32" s="154"/>
      <c r="L32" s="154" t="s">
        <v>852</v>
      </c>
      <c r="M32" s="227">
        <v>14588.779</v>
      </c>
      <c r="N32" s="157" t="s">
        <v>840</v>
      </c>
      <c r="O32" s="227">
        <f>H18+H19+O31-J32-M32</f>
        <v>65352.821362009454</v>
      </c>
      <c r="P32" s="152">
        <f t="shared" ref="P32:P34" si="13">P31+H32-J32-M32</f>
        <v>521268.66336200945</v>
      </c>
    </row>
    <row r="33" spans="1:16" x14ac:dyDescent="0.15">
      <c r="A33" s="154"/>
      <c r="B33" s="151"/>
      <c r="C33" s="152"/>
      <c r="D33" s="155"/>
      <c r="E33" s="154"/>
      <c r="F33" s="157"/>
      <c r="G33" s="154"/>
      <c r="H33" s="152"/>
      <c r="I33" s="155" t="s">
        <v>827</v>
      </c>
      <c r="J33" s="152"/>
      <c r="K33" s="154"/>
      <c r="L33" s="154" t="s">
        <v>852</v>
      </c>
      <c r="M33" s="227">
        <v>44995.53</v>
      </c>
      <c r="N33" s="157" t="s">
        <v>840</v>
      </c>
      <c r="O33" s="227">
        <f t="shared" ref="O33:O34" si="14">+O32-J33-M33</f>
        <v>20357.291362009455</v>
      </c>
      <c r="P33" s="152">
        <f t="shared" si="13"/>
        <v>476273.13336200942</v>
      </c>
    </row>
    <row r="34" spans="1:16" x14ac:dyDescent="0.15">
      <c r="A34" s="154"/>
      <c r="B34" s="151"/>
      <c r="C34" s="152"/>
      <c r="D34" s="155" t="s">
        <v>828</v>
      </c>
      <c r="E34" s="154" t="s">
        <v>72</v>
      </c>
      <c r="F34" s="157" t="s">
        <v>845</v>
      </c>
      <c r="G34" s="154"/>
      <c r="H34" s="152">
        <v>135936.21900000001</v>
      </c>
      <c r="I34" s="155" t="s">
        <v>828</v>
      </c>
      <c r="J34" s="152"/>
      <c r="K34" s="150"/>
      <c r="L34" s="154" t="s">
        <v>852</v>
      </c>
      <c r="M34" s="227">
        <v>20357.291000000001</v>
      </c>
      <c r="N34" s="157" t="s">
        <v>840</v>
      </c>
      <c r="O34" s="227">
        <f t="shared" si="14"/>
        <v>3.6200945396558382E-4</v>
      </c>
      <c r="P34" s="152">
        <f t="shared" si="13"/>
        <v>591852.0613620095</v>
      </c>
    </row>
    <row r="35" spans="1:16" x14ac:dyDescent="0.15">
      <c r="A35" s="154"/>
      <c r="B35" s="151"/>
      <c r="C35" s="152"/>
      <c r="D35" s="155"/>
      <c r="E35" s="154"/>
      <c r="F35" s="157"/>
      <c r="G35" s="154"/>
      <c r="H35" s="152"/>
      <c r="I35" s="155" t="s">
        <v>828</v>
      </c>
      <c r="J35" s="152"/>
      <c r="K35" s="150"/>
      <c r="L35" s="154" t="s">
        <v>852</v>
      </c>
      <c r="M35" s="227">
        <v>28557.208999999999</v>
      </c>
      <c r="N35" s="157" t="s">
        <v>841</v>
      </c>
      <c r="O35" s="227">
        <f>H20+H21+O34-J35-M35</f>
        <v>91334.910362009454</v>
      </c>
      <c r="P35" s="152">
        <f t="shared" ref="P35:P37" si="15">P34+H35-J35-M35</f>
        <v>563294.85236200946</v>
      </c>
    </row>
    <row r="36" spans="1:16" x14ac:dyDescent="0.15">
      <c r="A36" s="154"/>
      <c r="B36" s="151"/>
      <c r="C36" s="152"/>
      <c r="D36" s="155" t="s">
        <v>829</v>
      </c>
      <c r="E36" s="154" t="s">
        <v>72</v>
      </c>
      <c r="F36" s="157" t="s">
        <v>845</v>
      </c>
      <c r="G36" s="154"/>
      <c r="H36" s="152">
        <v>39967.548999999999</v>
      </c>
      <c r="I36" s="155" t="s">
        <v>829</v>
      </c>
      <c r="J36" s="152"/>
      <c r="K36" s="154"/>
      <c r="L36" s="154" t="s">
        <v>852</v>
      </c>
      <c r="M36" s="227">
        <v>88938.98</v>
      </c>
      <c r="N36" s="157" t="s">
        <v>841</v>
      </c>
      <c r="O36" s="227">
        <f t="shared" ref="O36:O37" si="16">+O35-J36-M36</f>
        <v>2395.9303620094579</v>
      </c>
      <c r="P36" s="152">
        <f t="shared" si="15"/>
        <v>514323.42136200948</v>
      </c>
    </row>
    <row r="37" spans="1:16" x14ac:dyDescent="0.15">
      <c r="A37" s="154"/>
      <c r="B37" s="151"/>
      <c r="C37" s="152"/>
      <c r="D37" s="155" t="s">
        <v>829</v>
      </c>
      <c r="E37" s="154" t="s">
        <v>72</v>
      </c>
      <c r="F37" s="157" t="s">
        <v>846</v>
      </c>
      <c r="G37" s="154"/>
      <c r="H37" s="152">
        <v>116029.208</v>
      </c>
      <c r="I37" s="155" t="s">
        <v>829</v>
      </c>
      <c r="J37" s="152"/>
      <c r="K37" s="150"/>
      <c r="L37" s="154"/>
      <c r="M37" s="227"/>
      <c r="N37" s="157"/>
      <c r="O37" s="227">
        <f t="shared" si="16"/>
        <v>2395.9303620094579</v>
      </c>
      <c r="P37" s="152">
        <f t="shared" si="15"/>
        <v>630352.62936200947</v>
      </c>
    </row>
    <row r="38" spans="1:16" x14ac:dyDescent="0.15">
      <c r="A38" s="154"/>
      <c r="B38" s="151"/>
      <c r="C38" s="152"/>
      <c r="D38" s="155" t="s">
        <v>830</v>
      </c>
      <c r="E38" s="154" t="s">
        <v>72</v>
      </c>
      <c r="F38" s="157" t="s">
        <v>846</v>
      </c>
      <c r="G38" s="154"/>
      <c r="H38" s="152">
        <v>80070.566000000006</v>
      </c>
      <c r="I38" s="155" t="s">
        <v>830</v>
      </c>
      <c r="J38" s="152"/>
      <c r="K38" s="150"/>
      <c r="L38" s="154" t="s">
        <v>852</v>
      </c>
      <c r="M38" s="227">
        <v>2395.9299999999998</v>
      </c>
      <c r="N38" s="157" t="s">
        <v>841</v>
      </c>
      <c r="O38" s="227">
        <f t="shared" ref="O38:O41" si="17">+O37-J38-M38</f>
        <v>3.6200945805830997E-4</v>
      </c>
      <c r="P38" s="152">
        <f t="shared" ref="P38:P41" si="18">P37+H38-J38-M38</f>
        <v>708027.26536200941</v>
      </c>
    </row>
    <row r="39" spans="1:16" x14ac:dyDescent="0.15">
      <c r="A39" s="154"/>
      <c r="B39" s="151"/>
      <c r="C39" s="152"/>
      <c r="D39" s="155"/>
      <c r="E39" s="154"/>
      <c r="F39" s="157"/>
      <c r="G39" s="154"/>
      <c r="H39" s="152"/>
      <c r="I39" s="155" t="s">
        <v>830</v>
      </c>
      <c r="J39" s="152"/>
      <c r="K39" s="150"/>
      <c r="L39" s="154" t="s">
        <v>857</v>
      </c>
      <c r="M39" s="227">
        <v>71064.639999999999</v>
      </c>
      <c r="N39" s="157" t="s">
        <v>842</v>
      </c>
      <c r="O39" s="227">
        <f>H22+H23+H25+O38-J39-M39</f>
        <v>88982.406362009424</v>
      </c>
      <c r="P39" s="152">
        <f t="shared" si="18"/>
        <v>636962.62536200939</v>
      </c>
    </row>
    <row r="40" spans="1:16" x14ac:dyDescent="0.15">
      <c r="A40" s="154"/>
      <c r="B40" s="151"/>
      <c r="C40" s="152"/>
      <c r="D40" s="155" t="s">
        <v>838</v>
      </c>
      <c r="E40" s="154" t="s">
        <v>72</v>
      </c>
      <c r="F40" s="157" t="s">
        <v>847</v>
      </c>
      <c r="G40" s="154"/>
      <c r="H40" s="152">
        <v>40047.044000000002</v>
      </c>
      <c r="I40" s="155" t="s">
        <v>838</v>
      </c>
      <c r="J40" s="152"/>
      <c r="K40" s="157"/>
      <c r="L40" s="154"/>
      <c r="M40" s="227"/>
      <c r="N40" s="157"/>
      <c r="O40" s="227">
        <f t="shared" si="17"/>
        <v>88982.406362009424</v>
      </c>
      <c r="P40" s="152">
        <f t="shared" si="18"/>
        <v>677009.66936200939</v>
      </c>
    </row>
    <row r="41" spans="1:16" x14ac:dyDescent="0.15">
      <c r="A41" s="154"/>
      <c r="B41" s="151"/>
      <c r="C41" s="152"/>
      <c r="D41" s="155" t="s">
        <v>831</v>
      </c>
      <c r="E41" s="154" t="s">
        <v>72</v>
      </c>
      <c r="F41" s="157" t="s">
        <v>847</v>
      </c>
      <c r="G41" s="154"/>
      <c r="H41" s="152">
        <v>40019.468000000001</v>
      </c>
      <c r="I41" s="155" t="s">
        <v>831</v>
      </c>
      <c r="J41" s="152"/>
      <c r="K41" s="157"/>
      <c r="L41" s="154" t="s">
        <v>857</v>
      </c>
      <c r="M41" s="227">
        <v>79630.66</v>
      </c>
      <c r="N41" s="157" t="s">
        <v>842</v>
      </c>
      <c r="O41" s="227">
        <f t="shared" si="17"/>
        <v>9351.7463620094204</v>
      </c>
      <c r="P41" s="152">
        <f t="shared" si="18"/>
        <v>637398.47736200935</v>
      </c>
    </row>
    <row r="42" spans="1:16" x14ac:dyDescent="0.15">
      <c r="A42" s="154"/>
      <c r="B42" s="151"/>
      <c r="C42" s="152"/>
      <c r="D42" s="155"/>
      <c r="E42" s="154"/>
      <c r="F42" s="157"/>
      <c r="G42" s="154"/>
      <c r="H42" s="152"/>
      <c r="I42" s="155" t="s">
        <v>831</v>
      </c>
      <c r="J42" s="152"/>
      <c r="K42" s="157"/>
      <c r="L42" s="154" t="s">
        <v>857</v>
      </c>
      <c r="M42" s="227">
        <v>9351.7459999999992</v>
      </c>
      <c r="N42" s="157" t="s">
        <v>842</v>
      </c>
      <c r="O42" s="227">
        <f t="shared" si="3"/>
        <v>3.6200942122377455E-4</v>
      </c>
      <c r="P42" s="152">
        <f t="shared" si="4"/>
        <v>628046.7313620093</v>
      </c>
    </row>
    <row r="43" spans="1:16" x14ac:dyDescent="0.15">
      <c r="A43" s="154"/>
      <c r="B43" s="151"/>
      <c r="C43" s="152"/>
      <c r="D43" s="155"/>
      <c r="E43" s="154"/>
      <c r="F43" s="157"/>
      <c r="G43" s="154"/>
      <c r="H43" s="152"/>
      <c r="I43" s="155" t="s">
        <v>831</v>
      </c>
      <c r="J43" s="152"/>
      <c r="K43" s="157"/>
      <c r="L43" s="154" t="s">
        <v>857</v>
      </c>
      <c r="M43" s="227">
        <v>46164.483999999997</v>
      </c>
      <c r="N43" s="157" t="s">
        <v>843</v>
      </c>
      <c r="O43" s="227">
        <f>H28+H29+O42-J43-M43</f>
        <v>109826.89136200942</v>
      </c>
      <c r="P43" s="152">
        <f t="shared" ref="P43:P46" si="19">P42+H43-J43-M43</f>
        <v>581882.24736200925</v>
      </c>
    </row>
    <row r="44" spans="1:16" x14ac:dyDescent="0.15">
      <c r="A44" s="154"/>
      <c r="B44" s="151"/>
      <c r="C44" s="152"/>
      <c r="D44" s="155"/>
      <c r="E44" s="154"/>
      <c r="F44" s="157"/>
      <c r="G44" s="154"/>
      <c r="H44" s="152"/>
      <c r="I44" s="155" t="s">
        <v>832</v>
      </c>
      <c r="J44" s="152">
        <v>9079.52</v>
      </c>
      <c r="K44" s="157" t="s">
        <v>843</v>
      </c>
      <c r="L44" s="154"/>
      <c r="M44" s="227"/>
      <c r="N44" s="157"/>
      <c r="O44" s="227">
        <f t="shared" ref="O44:O46" si="20">+O43-J44-M44</f>
        <v>100747.37136200942</v>
      </c>
      <c r="P44" s="152">
        <f t="shared" si="19"/>
        <v>572802.72736200923</v>
      </c>
    </row>
    <row r="45" spans="1:16" x14ac:dyDescent="0.15">
      <c r="A45" s="154"/>
      <c r="B45" s="151"/>
      <c r="C45" s="152"/>
      <c r="D45" s="155" t="s">
        <v>833</v>
      </c>
      <c r="E45" s="154" t="s">
        <v>72</v>
      </c>
      <c r="F45" s="157" t="s">
        <v>848</v>
      </c>
      <c r="G45" s="154"/>
      <c r="H45" s="152">
        <v>40024.355000000003</v>
      </c>
      <c r="I45" s="155" t="s">
        <v>833</v>
      </c>
      <c r="J45" s="152"/>
      <c r="K45" s="157"/>
      <c r="L45" s="154" t="s">
        <v>857</v>
      </c>
      <c r="M45" s="227">
        <v>79348.41</v>
      </c>
      <c r="N45" s="157" t="s">
        <v>843</v>
      </c>
      <c r="O45" s="227">
        <f t="shared" si="20"/>
        <v>21398.961362009417</v>
      </c>
      <c r="P45" s="152">
        <f t="shared" si="19"/>
        <v>533478.67236200918</v>
      </c>
    </row>
    <row r="46" spans="1:16" x14ac:dyDescent="0.15">
      <c r="A46" s="154"/>
      <c r="B46" s="151"/>
      <c r="C46" s="152"/>
      <c r="D46" s="155" t="s">
        <v>834</v>
      </c>
      <c r="E46" s="154" t="s">
        <v>72</v>
      </c>
      <c r="F46" s="157" t="s">
        <v>848</v>
      </c>
      <c r="G46" s="154"/>
      <c r="H46" s="152">
        <v>39999.999000000003</v>
      </c>
      <c r="I46" s="155" t="s">
        <v>834</v>
      </c>
      <c r="J46" s="152"/>
      <c r="K46" s="157"/>
      <c r="L46" s="154" t="s">
        <v>857</v>
      </c>
      <c r="M46" s="227">
        <v>21398.960999999999</v>
      </c>
      <c r="N46" s="157" t="s">
        <v>843</v>
      </c>
      <c r="O46" s="227">
        <f t="shared" si="20"/>
        <v>3.6200941758579575E-4</v>
      </c>
      <c r="P46" s="152">
        <f t="shared" si="19"/>
        <v>552079.71036200912</v>
      </c>
    </row>
    <row r="47" spans="1:16" x14ac:dyDescent="0.15">
      <c r="A47" s="154"/>
      <c r="B47" s="151"/>
      <c r="C47" s="152"/>
      <c r="D47" s="155"/>
      <c r="E47" s="154"/>
      <c r="F47" s="157"/>
      <c r="G47" s="154"/>
      <c r="H47" s="152"/>
      <c r="I47" s="155" t="s">
        <v>834</v>
      </c>
      <c r="J47" s="152"/>
      <c r="K47" s="157"/>
      <c r="L47" s="154" t="s">
        <v>852</v>
      </c>
      <c r="M47" s="227">
        <v>19985.302</v>
      </c>
      <c r="N47" s="157" t="s">
        <v>844</v>
      </c>
      <c r="O47" s="227">
        <f>H31+O46-J47-M47</f>
        <v>3.6200941758579575E-4</v>
      </c>
      <c r="P47" s="152">
        <f t="shared" ref="P47:P50" si="21">P46+H47-J47-M47</f>
        <v>532094.4083620091</v>
      </c>
    </row>
    <row r="48" spans="1:16" x14ac:dyDescent="0.15">
      <c r="A48" s="154"/>
      <c r="B48" s="151"/>
      <c r="C48" s="152"/>
      <c r="D48" s="155"/>
      <c r="E48" s="154"/>
      <c r="F48" s="157"/>
      <c r="G48" s="154"/>
      <c r="H48" s="152"/>
      <c r="I48" s="155"/>
      <c r="J48" s="152"/>
      <c r="K48" s="157"/>
      <c r="L48" s="154" t="s">
        <v>852</v>
      </c>
      <c r="M48" s="227">
        <v>33279.947</v>
      </c>
      <c r="N48" s="157" t="s">
        <v>845</v>
      </c>
      <c r="O48" s="227">
        <f>H34+H36+O47-J48-M48</f>
        <v>142623.82136200945</v>
      </c>
      <c r="P48" s="152">
        <f t="shared" ref="P48:P49" si="22">P47+H48-J48-M48</f>
        <v>498814.46136200911</v>
      </c>
    </row>
    <row r="49" spans="1:16" x14ac:dyDescent="0.15">
      <c r="A49" s="154"/>
      <c r="B49" s="151"/>
      <c r="C49" s="152"/>
      <c r="D49" s="155" t="s">
        <v>834</v>
      </c>
      <c r="E49" s="154" t="s">
        <v>72</v>
      </c>
      <c r="F49" s="157" t="s">
        <v>849</v>
      </c>
      <c r="G49" s="154"/>
      <c r="H49" s="152">
        <v>39987.822</v>
      </c>
      <c r="I49" s="155" t="s">
        <v>834</v>
      </c>
      <c r="J49" s="152"/>
      <c r="K49" s="157"/>
      <c r="L49" s="154"/>
      <c r="M49" s="227"/>
      <c r="N49" s="157"/>
      <c r="O49" s="227">
        <f t="shared" ref="O49" si="23">+O48-J49-M49</f>
        <v>142623.82136200945</v>
      </c>
      <c r="P49" s="152">
        <f t="shared" si="22"/>
        <v>538802.2833620091</v>
      </c>
    </row>
    <row r="50" spans="1:16" x14ac:dyDescent="0.15">
      <c r="A50" s="154"/>
      <c r="B50" s="151"/>
      <c r="C50" s="152"/>
      <c r="D50" s="155" t="s">
        <v>835</v>
      </c>
      <c r="E50" s="154" t="s">
        <v>72</v>
      </c>
      <c r="F50" s="157" t="s">
        <v>849</v>
      </c>
      <c r="G50" s="154"/>
      <c r="H50" s="152">
        <v>40002.436000000002</v>
      </c>
      <c r="I50" s="155" t="s">
        <v>835</v>
      </c>
      <c r="J50" s="152"/>
      <c r="K50" s="157"/>
      <c r="L50" s="154" t="s">
        <v>852</v>
      </c>
      <c r="M50" s="227">
        <v>79118.11</v>
      </c>
      <c r="N50" s="157" t="s">
        <v>845</v>
      </c>
      <c r="O50" s="227">
        <f t="shared" ref="O50" si="24">+O49-J50-M50</f>
        <v>63505.711362009446</v>
      </c>
      <c r="P50" s="152">
        <f t="shared" si="21"/>
        <v>499686.6093620091</v>
      </c>
    </row>
    <row r="51" spans="1:16" hidden="1" x14ac:dyDescent="0.15">
      <c r="A51" s="154"/>
      <c r="B51" s="151"/>
      <c r="C51" s="152"/>
      <c r="D51" s="155"/>
      <c r="E51" s="154"/>
      <c r="F51" s="157"/>
      <c r="G51" s="154"/>
      <c r="H51" s="152"/>
      <c r="I51" s="155"/>
      <c r="J51" s="152"/>
      <c r="K51" s="150"/>
      <c r="L51" s="154"/>
      <c r="M51" s="227"/>
      <c r="N51" s="157"/>
      <c r="O51" s="227">
        <f t="shared" si="3"/>
        <v>63505.711362009446</v>
      </c>
      <c r="P51" s="152">
        <f t="shared" si="4"/>
        <v>499686.6093620091</v>
      </c>
    </row>
    <row r="52" spans="1:16" hidden="1" x14ac:dyDescent="0.15">
      <c r="A52" s="154"/>
      <c r="B52" s="151"/>
      <c r="C52" s="152"/>
      <c r="D52" s="155"/>
      <c r="E52" s="154"/>
      <c r="F52" s="157"/>
      <c r="G52" s="154"/>
      <c r="H52" s="152"/>
      <c r="I52" s="155"/>
      <c r="J52" s="152"/>
      <c r="K52" s="150"/>
      <c r="L52" s="154"/>
      <c r="M52" s="227"/>
      <c r="N52" s="157"/>
      <c r="O52" s="227">
        <f t="shared" si="3"/>
        <v>63505.711362009446</v>
      </c>
      <c r="P52" s="152">
        <f t="shared" si="4"/>
        <v>499686.6093620091</v>
      </c>
    </row>
    <row r="53" spans="1:16" hidden="1" x14ac:dyDescent="0.15">
      <c r="A53" s="154"/>
      <c r="B53" s="151"/>
      <c r="C53" s="152"/>
      <c r="D53" s="155"/>
      <c r="E53" s="154"/>
      <c r="F53" s="157"/>
      <c r="G53" s="154"/>
      <c r="H53" s="152"/>
      <c r="I53" s="155"/>
      <c r="J53" s="152"/>
      <c r="K53" s="150"/>
      <c r="L53" s="154"/>
      <c r="M53" s="227"/>
      <c r="N53" s="157"/>
      <c r="O53" s="227">
        <f t="shared" si="3"/>
        <v>63505.711362009446</v>
      </c>
      <c r="P53" s="152">
        <f t="shared" si="4"/>
        <v>499686.6093620091</v>
      </c>
    </row>
    <row r="54" spans="1:16" hidden="1" x14ac:dyDescent="0.15">
      <c r="A54" s="154"/>
      <c r="B54" s="151"/>
      <c r="C54" s="152"/>
      <c r="D54" s="155"/>
      <c r="E54" s="154"/>
      <c r="F54" s="157"/>
      <c r="G54" s="154"/>
      <c r="H54" s="152"/>
      <c r="I54" s="155"/>
      <c r="J54" s="152"/>
      <c r="K54" s="150"/>
      <c r="L54" s="154"/>
      <c r="M54" s="227"/>
      <c r="N54" s="157"/>
      <c r="O54" s="227">
        <f t="shared" si="3"/>
        <v>63505.711362009446</v>
      </c>
      <c r="P54" s="152">
        <f t="shared" si="4"/>
        <v>499686.6093620091</v>
      </c>
    </row>
    <row r="55" spans="1:16" hidden="1" x14ac:dyDescent="0.15">
      <c r="A55" s="154"/>
      <c r="B55" s="151"/>
      <c r="C55" s="152"/>
      <c r="D55" s="155"/>
      <c r="E55" s="154"/>
      <c r="F55" s="157"/>
      <c r="G55" s="154"/>
      <c r="H55" s="152"/>
      <c r="I55" s="155"/>
      <c r="J55" s="152"/>
      <c r="K55" s="150"/>
      <c r="L55" s="154"/>
      <c r="M55" s="227"/>
      <c r="N55" s="157"/>
      <c r="O55" s="227">
        <f t="shared" si="3"/>
        <v>63505.711362009446</v>
      </c>
      <c r="P55" s="152">
        <f t="shared" si="4"/>
        <v>499686.6093620091</v>
      </c>
    </row>
    <row r="56" spans="1:16" hidden="1" x14ac:dyDescent="0.15">
      <c r="A56" s="154"/>
      <c r="B56" s="151"/>
      <c r="C56" s="152"/>
      <c r="D56" s="155"/>
      <c r="E56" s="154"/>
      <c r="F56" s="157"/>
      <c r="G56" s="154"/>
      <c r="H56" s="152"/>
      <c r="I56" s="155"/>
      <c r="J56" s="152"/>
      <c r="K56" s="150"/>
      <c r="L56" s="154"/>
      <c r="M56" s="227"/>
      <c r="N56" s="157"/>
      <c r="O56" s="227">
        <f t="shared" si="3"/>
        <v>63505.711362009446</v>
      </c>
      <c r="P56" s="152">
        <f t="shared" si="4"/>
        <v>499686.6093620091</v>
      </c>
    </row>
    <row r="57" spans="1:16" hidden="1" x14ac:dyDescent="0.15">
      <c r="A57" s="154"/>
      <c r="B57" s="151"/>
      <c r="C57" s="152"/>
      <c r="D57" s="155"/>
      <c r="E57" s="154"/>
      <c r="F57" s="157"/>
      <c r="G57" s="154"/>
      <c r="H57" s="152"/>
      <c r="I57" s="155"/>
      <c r="J57" s="152"/>
      <c r="K57" s="150"/>
      <c r="L57" s="154"/>
      <c r="M57" s="227"/>
      <c r="N57" s="157"/>
      <c r="O57" s="227">
        <f t="shared" si="3"/>
        <v>63505.711362009446</v>
      </c>
      <c r="P57" s="152">
        <f t="shared" si="4"/>
        <v>499686.6093620091</v>
      </c>
    </row>
    <row r="58" spans="1:16" hidden="1" x14ac:dyDescent="0.15">
      <c r="A58" s="154"/>
      <c r="B58" s="151"/>
      <c r="C58" s="152"/>
      <c r="D58" s="155"/>
      <c r="E58" s="154"/>
      <c r="F58" s="157"/>
      <c r="G58" s="154"/>
      <c r="H58" s="152"/>
      <c r="I58" s="155"/>
      <c r="J58" s="152"/>
      <c r="K58" s="150"/>
      <c r="L58" s="154"/>
      <c r="M58" s="227"/>
      <c r="N58" s="157"/>
      <c r="O58" s="227">
        <f t="shared" si="3"/>
        <v>63505.711362009446</v>
      </c>
      <c r="P58" s="152">
        <f t="shared" si="4"/>
        <v>499686.6093620091</v>
      </c>
    </row>
    <row r="59" spans="1:16" hidden="1" x14ac:dyDescent="0.15">
      <c r="A59" s="154"/>
      <c r="B59" s="151"/>
      <c r="C59" s="152"/>
      <c r="D59" s="155"/>
      <c r="E59" s="154"/>
      <c r="F59" s="157"/>
      <c r="G59" s="154"/>
      <c r="H59" s="152"/>
      <c r="I59" s="155"/>
      <c r="J59" s="152"/>
      <c r="K59" s="157"/>
      <c r="L59" s="154"/>
      <c r="M59" s="227"/>
      <c r="N59" s="157"/>
      <c r="O59" s="227">
        <f t="shared" si="3"/>
        <v>63505.711362009446</v>
      </c>
      <c r="P59" s="152">
        <f t="shared" si="4"/>
        <v>499686.6093620091</v>
      </c>
    </row>
    <row r="60" spans="1:16" hidden="1" x14ac:dyDescent="0.15">
      <c r="A60" s="154"/>
      <c r="B60" s="151"/>
      <c r="C60" s="152"/>
      <c r="D60" s="155"/>
      <c r="E60" s="154"/>
      <c r="F60" s="157"/>
      <c r="G60" s="151"/>
      <c r="H60" s="152"/>
      <c r="I60" s="155"/>
      <c r="J60" s="152"/>
      <c r="K60" s="157"/>
      <c r="L60" s="154"/>
      <c r="M60" s="227"/>
      <c r="N60" s="150"/>
      <c r="O60" s="227">
        <f t="shared" si="3"/>
        <v>63505.711362009446</v>
      </c>
      <c r="P60" s="152">
        <f t="shared" si="4"/>
        <v>499686.6093620091</v>
      </c>
    </row>
    <row r="61" spans="1:16" hidden="1" x14ac:dyDescent="0.15">
      <c r="A61" s="154"/>
      <c r="B61" s="151"/>
      <c r="C61" s="152"/>
      <c r="D61" s="155"/>
      <c r="E61" s="154"/>
      <c r="F61" s="160"/>
      <c r="G61" s="151"/>
      <c r="H61" s="152"/>
      <c r="I61" s="155"/>
      <c r="J61" s="152"/>
      <c r="K61" s="150"/>
      <c r="L61" s="154"/>
      <c r="M61" s="227"/>
      <c r="N61" s="157"/>
      <c r="O61" s="227">
        <f t="shared" si="3"/>
        <v>63505.711362009446</v>
      </c>
      <c r="P61" s="152">
        <f t="shared" si="4"/>
        <v>499686.6093620091</v>
      </c>
    </row>
    <row r="62" spans="1:16" x14ac:dyDescent="0.15">
      <c r="A62" s="173"/>
      <c r="B62" s="173"/>
      <c r="C62" s="174"/>
      <c r="D62" s="175"/>
      <c r="E62" s="173"/>
      <c r="F62" s="173"/>
      <c r="G62" s="176"/>
      <c r="H62" s="174"/>
      <c r="I62" s="175"/>
      <c r="J62" s="174"/>
      <c r="K62" s="173"/>
      <c r="L62" s="154"/>
      <c r="M62" s="228"/>
      <c r="N62" s="173"/>
      <c r="O62" s="227">
        <f t="shared" si="3"/>
        <v>63505.711362009446</v>
      </c>
      <c r="P62" s="152">
        <f t="shared" si="4"/>
        <v>499686.6093620091</v>
      </c>
    </row>
    <row r="63" spans="1:16" x14ac:dyDescent="0.15">
      <c r="A63" s="177"/>
      <c r="B63" s="177"/>
      <c r="C63" s="178">
        <f>SUM(C7:C61)</f>
        <v>529730.04236200941</v>
      </c>
      <c r="D63" s="177"/>
      <c r="E63" s="177"/>
      <c r="F63" s="177"/>
      <c r="G63" s="177"/>
      <c r="H63" s="178">
        <f>SUM(H7:H61)</f>
        <v>1347715.7970000003</v>
      </c>
      <c r="I63" s="179"/>
      <c r="J63" s="178">
        <f>SUM(J7:J61)</f>
        <v>13463.11</v>
      </c>
      <c r="K63" s="177"/>
      <c r="L63" s="177"/>
      <c r="M63" s="229">
        <f>SUM(M9:M61)</f>
        <v>1364296.1199999996</v>
      </c>
      <c r="N63" s="177"/>
      <c r="O63" s="180"/>
      <c r="P63" s="181">
        <f>C63+H63-J63-M63</f>
        <v>499686.60936200991</v>
      </c>
    </row>
    <row r="64" spans="1:16" x14ac:dyDescent="0.15">
      <c r="A64" s="182"/>
      <c r="B64" s="465"/>
      <c r="C64" s="465"/>
      <c r="D64" s="465"/>
      <c r="E64" s="183"/>
      <c r="F64" s="472"/>
      <c r="G64" s="472"/>
      <c r="H64" s="185"/>
      <c r="I64" s="186"/>
      <c r="J64" s="187"/>
      <c r="K64" s="188"/>
      <c r="L64" s="189" t="s">
        <v>139</v>
      </c>
      <c r="M64" s="190">
        <f>+M63+J63</f>
        <v>1377759.2299999997</v>
      </c>
      <c r="N64" s="197"/>
      <c r="O64" s="230">
        <f>+O62</f>
        <v>63505.711362009446</v>
      </c>
      <c r="P64" s="195" t="s">
        <v>845</v>
      </c>
    </row>
    <row r="65" spans="1:16" x14ac:dyDescent="0.15">
      <c r="A65" s="193"/>
      <c r="B65" s="470"/>
      <c r="C65" s="470"/>
      <c r="D65" s="470"/>
      <c r="E65" s="183"/>
      <c r="F65" s="472"/>
      <c r="G65" s="472"/>
      <c r="H65" s="219"/>
      <c r="I65" s="186"/>
      <c r="J65" s="187"/>
      <c r="K65" s="210"/>
      <c r="L65" s="210"/>
      <c r="O65" s="230">
        <v>196099.774</v>
      </c>
      <c r="P65" s="195" t="s">
        <v>846</v>
      </c>
    </row>
    <row r="66" spans="1:16" x14ac:dyDescent="0.15">
      <c r="A66" s="193" t="s">
        <v>791</v>
      </c>
      <c r="B66" s="470" t="s">
        <v>812</v>
      </c>
      <c r="C66" s="470"/>
      <c r="D66" s="470"/>
      <c r="E66" s="183" t="s">
        <v>55</v>
      </c>
      <c r="F66" s="472">
        <v>2602452.0699999998</v>
      </c>
      <c r="G66" s="472"/>
      <c r="H66" s="219" t="s">
        <v>56</v>
      </c>
      <c r="I66" s="186">
        <v>40791</v>
      </c>
      <c r="J66" s="187" t="s">
        <v>71</v>
      </c>
      <c r="K66" s="210">
        <v>101256.454</v>
      </c>
      <c r="L66" s="210"/>
      <c r="O66" s="230">
        <v>80066.512000000002</v>
      </c>
      <c r="P66" s="195" t="s">
        <v>847</v>
      </c>
    </row>
    <row r="67" spans="1:16" ht="12" thickBot="1" x14ac:dyDescent="0.2">
      <c r="A67" s="193"/>
      <c r="B67" s="240"/>
      <c r="C67" s="240"/>
      <c r="D67" s="240"/>
      <c r="E67" s="183"/>
      <c r="F67" s="241"/>
      <c r="G67" s="241"/>
      <c r="H67" s="219"/>
      <c r="I67" s="186"/>
      <c r="J67" s="217" t="s">
        <v>105</v>
      </c>
      <c r="K67" s="211">
        <f>SUM(K66)</f>
        <v>101256.454</v>
      </c>
      <c r="L67" s="210"/>
      <c r="O67" s="230">
        <v>80024.354000000007</v>
      </c>
      <c r="P67" s="195" t="s">
        <v>848</v>
      </c>
    </row>
    <row r="68" spans="1:16" ht="12" thickTop="1" x14ac:dyDescent="0.15">
      <c r="A68" s="193" t="s">
        <v>858</v>
      </c>
      <c r="B68" s="470" t="s">
        <v>853</v>
      </c>
      <c r="C68" s="470"/>
      <c r="D68" s="470"/>
      <c r="E68" s="183" t="s">
        <v>55</v>
      </c>
      <c r="F68" s="472">
        <v>2014302.38</v>
      </c>
      <c r="G68" s="472"/>
      <c r="H68" s="219" t="s">
        <v>56</v>
      </c>
      <c r="I68" s="186">
        <v>40857</v>
      </c>
      <c r="J68" s="187" t="s">
        <v>71</v>
      </c>
      <c r="K68" s="210">
        <v>79417.31</v>
      </c>
      <c r="L68" s="210"/>
      <c r="O68" s="230">
        <v>79990.258000000002</v>
      </c>
      <c r="P68" s="195" t="s">
        <v>849</v>
      </c>
    </row>
    <row r="69" spans="1:16" x14ac:dyDescent="0.15">
      <c r="A69" s="193" t="s">
        <v>859</v>
      </c>
      <c r="B69" s="470" t="s">
        <v>854</v>
      </c>
      <c r="C69" s="470"/>
      <c r="D69" s="470"/>
      <c r="E69" s="183" t="s">
        <v>55</v>
      </c>
      <c r="F69" s="472">
        <v>2029202.59</v>
      </c>
      <c r="G69" s="472"/>
      <c r="H69" s="219" t="s">
        <v>56</v>
      </c>
      <c r="I69" s="186">
        <v>40868</v>
      </c>
      <c r="J69" s="187" t="s">
        <v>71</v>
      </c>
      <c r="K69" s="210">
        <v>160047.04599999997</v>
      </c>
      <c r="L69" s="210"/>
      <c r="O69" s="230"/>
      <c r="P69" s="195"/>
    </row>
    <row r="70" spans="1:16" x14ac:dyDescent="0.15">
      <c r="A70" s="193" t="s">
        <v>860</v>
      </c>
      <c r="B70" s="470" t="s">
        <v>855</v>
      </c>
      <c r="C70" s="470"/>
      <c r="D70" s="470"/>
      <c r="E70" s="183" t="s">
        <v>55</v>
      </c>
      <c r="F70" s="472">
        <v>2081110.25</v>
      </c>
      <c r="G70" s="472"/>
      <c r="H70" s="219" t="s">
        <v>56</v>
      </c>
      <c r="I70" s="186">
        <v>40869</v>
      </c>
      <c r="J70" s="187" t="s">
        <v>71</v>
      </c>
      <c r="K70" s="210">
        <v>146911.85500000001</v>
      </c>
      <c r="L70" s="210"/>
      <c r="O70" s="230"/>
      <c r="P70" s="195"/>
    </row>
    <row r="71" spans="1:16" ht="12" thickBot="1" x14ac:dyDescent="0.2">
      <c r="A71" s="133"/>
      <c r="B71" s="133"/>
      <c r="C71" s="220"/>
      <c r="D71" s="220"/>
      <c r="F71" s="133"/>
      <c r="H71" s="219"/>
      <c r="I71" s="186"/>
      <c r="J71" s="217" t="s">
        <v>856</v>
      </c>
      <c r="K71" s="211">
        <f>SUM(K68:K70)</f>
        <v>386376.21100000001</v>
      </c>
      <c r="L71" s="210"/>
      <c r="O71" s="206" t="s">
        <v>33</v>
      </c>
      <c r="P71" s="207">
        <f>SUM(O64:O70)</f>
        <v>499686.60936200945</v>
      </c>
    </row>
    <row r="72" spans="1:16" ht="12" thickTop="1" x14ac:dyDescent="0.15">
      <c r="A72" s="193" t="s">
        <v>792</v>
      </c>
      <c r="B72" s="470" t="s">
        <v>861</v>
      </c>
      <c r="C72" s="470"/>
      <c r="D72" s="470"/>
      <c r="E72" s="183" t="s">
        <v>55</v>
      </c>
      <c r="F72" s="472">
        <v>25978345.719999999</v>
      </c>
      <c r="G72" s="472"/>
      <c r="H72" s="219" t="s">
        <v>56</v>
      </c>
      <c r="I72" s="186">
        <v>40807</v>
      </c>
      <c r="J72" s="187" t="s">
        <v>71</v>
      </c>
      <c r="K72" s="210">
        <v>39989.455999999998</v>
      </c>
      <c r="L72" s="210"/>
      <c r="P72" s="132">
        <f>+P63-P71</f>
        <v>4.6566128730773926E-10</v>
      </c>
    </row>
    <row r="73" spans="1:16" x14ac:dyDescent="0.15">
      <c r="A73" s="193" t="s">
        <v>809</v>
      </c>
      <c r="B73" s="470" t="s">
        <v>862</v>
      </c>
      <c r="C73" s="470"/>
      <c r="D73" s="470"/>
      <c r="E73" s="183" t="s">
        <v>55</v>
      </c>
      <c r="F73" s="472">
        <v>50073248.369999997</v>
      </c>
      <c r="G73" s="472"/>
      <c r="H73" s="219" t="s">
        <v>56</v>
      </c>
      <c r="I73" s="186">
        <v>40823</v>
      </c>
      <c r="J73" s="187" t="s">
        <v>71</v>
      </c>
      <c r="K73" s="210">
        <v>306659.098</v>
      </c>
      <c r="L73" s="210"/>
    </row>
    <row r="74" spans="1:16" x14ac:dyDescent="0.15">
      <c r="A74" s="193" t="s">
        <v>810</v>
      </c>
      <c r="B74" s="470" t="s">
        <v>863</v>
      </c>
      <c r="C74" s="470"/>
      <c r="D74" s="470"/>
      <c r="E74" s="183" t="s">
        <v>55</v>
      </c>
      <c r="F74" s="472">
        <v>123726491.81999999</v>
      </c>
      <c r="G74" s="472"/>
      <c r="H74" s="219" t="s">
        <v>56</v>
      </c>
      <c r="I74" s="186">
        <v>40854</v>
      </c>
      <c r="J74" s="187" t="s">
        <v>71</v>
      </c>
      <c r="K74" s="210">
        <v>117950.31299999999</v>
      </c>
      <c r="L74" s="210"/>
    </row>
    <row r="75" spans="1:16" x14ac:dyDescent="0.15">
      <c r="A75" s="193" t="s">
        <v>839</v>
      </c>
      <c r="B75" s="470" t="s">
        <v>864</v>
      </c>
      <c r="C75" s="470"/>
      <c r="D75" s="470"/>
      <c r="E75" s="183" t="s">
        <v>55</v>
      </c>
      <c r="F75" s="472">
        <v>36774195.960000001</v>
      </c>
      <c r="G75" s="472"/>
      <c r="H75" s="219" t="s">
        <v>56</v>
      </c>
      <c r="I75" s="186">
        <v>40861</v>
      </c>
      <c r="J75" s="187" t="s">
        <v>71</v>
      </c>
      <c r="K75" s="210">
        <v>79847.509999999995</v>
      </c>
      <c r="L75" s="210"/>
    </row>
    <row r="76" spans="1:16" x14ac:dyDescent="0.15">
      <c r="A76" s="133" t="s">
        <v>840</v>
      </c>
      <c r="B76" s="470" t="s">
        <v>865</v>
      </c>
      <c r="C76" s="470"/>
      <c r="D76" s="470"/>
      <c r="E76" s="183" t="s">
        <v>55</v>
      </c>
      <c r="F76" s="472">
        <v>226975918.37</v>
      </c>
      <c r="G76" s="472"/>
      <c r="H76" s="219" t="s">
        <v>56</v>
      </c>
      <c r="I76" s="186">
        <v>40861</v>
      </c>
      <c r="J76" s="187" t="s">
        <v>71</v>
      </c>
      <c r="K76" s="210">
        <v>79941.600000000006</v>
      </c>
      <c r="L76" s="210"/>
    </row>
    <row r="77" spans="1:16" s="132" customFormat="1" x14ac:dyDescent="0.15">
      <c r="A77" s="133" t="s">
        <v>841</v>
      </c>
      <c r="B77" s="470" t="s">
        <v>866</v>
      </c>
      <c r="C77" s="470"/>
      <c r="D77" s="470"/>
      <c r="E77" s="183" t="s">
        <v>55</v>
      </c>
      <c r="F77" s="472">
        <v>89924846.609999999</v>
      </c>
      <c r="G77" s="472"/>
      <c r="H77" s="219" t="s">
        <v>56</v>
      </c>
      <c r="I77" s="186">
        <v>40862</v>
      </c>
      <c r="J77" s="187" t="s">
        <v>71</v>
      </c>
      <c r="K77" s="210">
        <v>119892.11899999999</v>
      </c>
      <c r="L77" s="210"/>
      <c r="N77" s="134"/>
    </row>
    <row r="78" spans="1:16" s="132" customFormat="1" x14ac:dyDescent="0.15">
      <c r="A78" s="133" t="s">
        <v>844</v>
      </c>
      <c r="B78" s="470" t="s">
        <v>867</v>
      </c>
      <c r="C78" s="470"/>
      <c r="D78" s="470"/>
      <c r="E78" s="183" t="s">
        <v>55</v>
      </c>
      <c r="F78" s="472">
        <v>131216409.23</v>
      </c>
      <c r="G78" s="472"/>
      <c r="H78" s="219" t="s">
        <v>56</v>
      </c>
      <c r="I78" s="186">
        <v>40875</v>
      </c>
      <c r="J78" s="187" t="s">
        <v>71</v>
      </c>
      <c r="K78" s="210">
        <v>19985.302</v>
      </c>
    </row>
    <row r="79" spans="1:16" s="132" customFormat="1" x14ac:dyDescent="0.15">
      <c r="A79" s="133" t="s">
        <v>845</v>
      </c>
      <c r="B79" s="470" t="s">
        <v>868</v>
      </c>
      <c r="C79" s="470"/>
      <c r="D79" s="470"/>
      <c r="E79" s="183" t="s">
        <v>55</v>
      </c>
      <c r="F79" s="472">
        <v>44465553.509999998</v>
      </c>
      <c r="G79" s="472"/>
      <c r="H79" s="219" t="s">
        <v>56</v>
      </c>
      <c r="I79" s="186">
        <v>40875</v>
      </c>
      <c r="J79" s="187" t="s">
        <v>71</v>
      </c>
      <c r="K79" s="210">
        <v>112398.057</v>
      </c>
    </row>
    <row r="80" spans="1:16" s="132" customFormat="1" ht="12" thickBot="1" x14ac:dyDescent="0.2">
      <c r="A80" s="133"/>
      <c r="C80" s="134"/>
      <c r="D80" s="210"/>
      <c r="F80" s="134"/>
      <c r="J80" s="218" t="s">
        <v>106</v>
      </c>
      <c r="K80" s="218">
        <f>SUM(K72:K79)</f>
        <v>876663.45499999996</v>
      </c>
    </row>
    <row r="81" spans="1:16" ht="12" thickTop="1" x14ac:dyDescent="0.15">
      <c r="A81" s="133"/>
      <c r="B81" s="132"/>
      <c r="C81" s="134"/>
      <c r="E81" s="132"/>
      <c r="G81" s="132"/>
      <c r="I81" s="134"/>
      <c r="J81" s="134"/>
      <c r="K81" s="238"/>
      <c r="L81" s="134"/>
      <c r="M81" s="134"/>
      <c r="O81" s="238"/>
      <c r="P81" s="134"/>
    </row>
    <row r="82" spans="1:16" x14ac:dyDescent="0.15">
      <c r="A82" s="133"/>
      <c r="B82" s="133" t="s">
        <v>9</v>
      </c>
      <c r="C82" s="220" t="s">
        <v>729</v>
      </c>
      <c r="D82" s="220" t="s">
        <v>850</v>
      </c>
      <c r="E82" s="133" t="s">
        <v>570</v>
      </c>
      <c r="F82" s="133" t="s">
        <v>571</v>
      </c>
      <c r="G82" s="133" t="s">
        <v>16</v>
      </c>
      <c r="I82" s="134"/>
      <c r="J82" s="134"/>
      <c r="L82" s="134"/>
      <c r="M82" s="134"/>
      <c r="O82" s="238"/>
      <c r="P82" s="134"/>
    </row>
    <row r="83" spans="1:16" x14ac:dyDescent="0.15">
      <c r="A83" s="193" t="s">
        <v>791</v>
      </c>
      <c r="B83" s="210">
        <v>101256</v>
      </c>
      <c r="C83" s="221">
        <v>23.833300000000001</v>
      </c>
      <c r="D83" s="237">
        <f>+B83*C83</f>
        <v>2413264.6248000003</v>
      </c>
      <c r="E83" s="235">
        <f>+D83*0.01</f>
        <v>24132.646248000005</v>
      </c>
      <c r="F83" s="235">
        <f>+E83*0.1</f>
        <v>2413.2646248000005</v>
      </c>
      <c r="G83" s="236">
        <f>+E83+F83</f>
        <v>26545.910872800006</v>
      </c>
      <c r="I83" s="134"/>
      <c r="J83" s="134"/>
      <c r="L83" s="134"/>
      <c r="M83" s="134"/>
      <c r="O83" s="238"/>
      <c r="P83" s="134"/>
    </row>
    <row r="84" spans="1:16" ht="12" thickBot="1" x14ac:dyDescent="0.2">
      <c r="A84" s="133"/>
      <c r="B84" s="211">
        <f>SUM(B83)</f>
        <v>101256</v>
      </c>
      <c r="C84" s="221"/>
      <c r="D84" s="221"/>
      <c r="E84" s="224">
        <f>SUM(E83)</f>
        <v>24132.646248000005</v>
      </c>
      <c r="F84" s="224">
        <f t="shared" ref="F84:G84" si="25">SUM(F83)</f>
        <v>2413.2646248000005</v>
      </c>
      <c r="G84" s="224">
        <f t="shared" si="25"/>
        <v>26545.910872800006</v>
      </c>
    </row>
    <row r="85" spans="1:16" ht="12" thickTop="1" x14ac:dyDescent="0.15">
      <c r="A85" s="193" t="s">
        <v>858</v>
      </c>
      <c r="B85" s="210">
        <v>79417</v>
      </c>
      <c r="C85" s="221">
        <v>24.785699999999999</v>
      </c>
      <c r="D85" s="237">
        <f t="shared" ref="D85" si="26">+B85*C85</f>
        <v>1968405.9368999999</v>
      </c>
      <c r="E85" s="235">
        <f t="shared" ref="E85" si="27">+D85*0.01</f>
        <v>19684.059368999999</v>
      </c>
      <c r="F85" s="235">
        <f t="shared" ref="F85" si="28">+E85*0.1</f>
        <v>1968.4059368999999</v>
      </c>
      <c r="G85" s="236">
        <f t="shared" ref="G85" si="29">+E85+F85</f>
        <v>21652.465305899997</v>
      </c>
      <c r="I85" s="134"/>
      <c r="J85" s="134"/>
      <c r="L85" s="134"/>
      <c r="M85" s="134"/>
      <c r="O85" s="238"/>
      <c r="P85" s="134"/>
    </row>
    <row r="86" spans="1:16" x14ac:dyDescent="0.15">
      <c r="A86" s="193" t="s">
        <v>842</v>
      </c>
      <c r="B86" s="210">
        <v>160047</v>
      </c>
      <c r="C86" s="221">
        <v>25.452999999999999</v>
      </c>
      <c r="D86" s="237">
        <f>+B86*C86</f>
        <v>4073676.2909999997</v>
      </c>
      <c r="E86" s="235">
        <f>+D86*0.01</f>
        <v>40736.762909999998</v>
      </c>
      <c r="F86" s="235">
        <f>+E86*0.1</f>
        <v>4073.6762909999998</v>
      </c>
      <c r="G86" s="236">
        <f>+E86+F86</f>
        <v>44810.439201000001</v>
      </c>
    </row>
    <row r="87" spans="1:16" x14ac:dyDescent="0.15">
      <c r="A87" s="193" t="s">
        <v>843</v>
      </c>
      <c r="B87" s="210">
        <v>146912</v>
      </c>
      <c r="C87" s="221">
        <v>25.4894</v>
      </c>
      <c r="D87" s="237">
        <f t="shared" ref="D87" si="30">+B87*C87</f>
        <v>3744698.7327999999</v>
      </c>
      <c r="E87" s="235">
        <f t="shared" ref="E87" si="31">+D87*0.01</f>
        <v>37446.987328000003</v>
      </c>
      <c r="F87" s="235">
        <f t="shared" ref="F87" si="32">+E87*0.1</f>
        <v>3744.6987328000005</v>
      </c>
      <c r="G87" s="236">
        <f t="shared" ref="G87" si="33">+E87+F87</f>
        <v>41191.686060800006</v>
      </c>
    </row>
    <row r="88" spans="1:16" ht="12" thickBot="1" x14ac:dyDescent="0.2">
      <c r="A88" s="133"/>
      <c r="B88" s="211">
        <f>SUM(B85:B87)</f>
        <v>386376</v>
      </c>
      <c r="C88" s="221"/>
      <c r="D88" s="221"/>
      <c r="E88" s="224">
        <f>SUM(E85:E87)</f>
        <v>97867.809607000003</v>
      </c>
      <c r="F88" s="224">
        <f t="shared" ref="F88:G88" si="34">SUM(F85:F87)</f>
        <v>9786.7809606999999</v>
      </c>
      <c r="G88" s="224">
        <f t="shared" si="34"/>
        <v>107654.59056770001</v>
      </c>
    </row>
    <row r="89" spans="1:16" ht="12" thickTop="1" x14ac:dyDescent="0.15">
      <c r="A89" s="193" t="s">
        <v>792</v>
      </c>
      <c r="B89" s="210">
        <v>39989</v>
      </c>
      <c r="C89" s="221">
        <v>23.838999999999999</v>
      </c>
      <c r="D89" s="237">
        <f>+B89*C89</f>
        <v>953297.77099999995</v>
      </c>
      <c r="E89" s="235">
        <f>+D89*0.01</f>
        <v>9532.9777099999992</v>
      </c>
      <c r="F89" s="235">
        <f>+E89*0.1</f>
        <v>953.29777100000001</v>
      </c>
      <c r="G89" s="236">
        <f>+E89+F89</f>
        <v>10486.275480999999</v>
      </c>
    </row>
    <row r="90" spans="1:16" x14ac:dyDescent="0.15">
      <c r="A90" s="193" t="s">
        <v>809</v>
      </c>
      <c r="B90" s="210">
        <v>306659</v>
      </c>
      <c r="C90" s="221">
        <v>23.557700000000001</v>
      </c>
      <c r="D90" s="237">
        <f t="shared" ref="D90:D96" si="35">+B90*C90</f>
        <v>7224180.7242999999</v>
      </c>
      <c r="E90" s="235">
        <f t="shared" ref="E90:E96" si="36">+D90*0.01</f>
        <v>72241.807243000003</v>
      </c>
      <c r="F90" s="235">
        <f t="shared" ref="F90:F96" si="37">+E90*0.1</f>
        <v>7224.1807243000003</v>
      </c>
      <c r="G90" s="236">
        <f t="shared" ref="G90:G96" si="38">+E90+F90</f>
        <v>79465.987967299996</v>
      </c>
    </row>
    <row r="91" spans="1:16" x14ac:dyDescent="0.15">
      <c r="A91" s="193" t="s">
        <v>810</v>
      </c>
      <c r="B91" s="210">
        <v>117950</v>
      </c>
      <c r="C91" s="221">
        <v>24.971800000000002</v>
      </c>
      <c r="D91" s="237">
        <f t="shared" si="35"/>
        <v>2945423.81</v>
      </c>
      <c r="E91" s="235">
        <f t="shared" si="36"/>
        <v>29454.238100000002</v>
      </c>
      <c r="F91" s="235">
        <f t="shared" si="37"/>
        <v>2945.4238100000002</v>
      </c>
      <c r="G91" s="236">
        <f t="shared" si="38"/>
        <v>32399.661910000003</v>
      </c>
    </row>
    <row r="92" spans="1:16" x14ac:dyDescent="0.15">
      <c r="A92" s="193" t="s">
        <v>839</v>
      </c>
      <c r="B92" s="210">
        <v>79848</v>
      </c>
      <c r="C92" s="221">
        <v>24.738199999999999</v>
      </c>
      <c r="D92" s="237">
        <f t="shared" si="35"/>
        <v>1975295.7936</v>
      </c>
      <c r="E92" s="235">
        <f t="shared" si="36"/>
        <v>19752.957935999999</v>
      </c>
      <c r="F92" s="235">
        <f t="shared" si="37"/>
        <v>1975.2957936</v>
      </c>
      <c r="G92" s="236">
        <f t="shared" si="38"/>
        <v>21728.253729599997</v>
      </c>
    </row>
    <row r="93" spans="1:16" x14ac:dyDescent="0.15">
      <c r="A93" s="133" t="s">
        <v>840</v>
      </c>
      <c r="B93" s="210">
        <v>79942</v>
      </c>
      <c r="C93" s="221">
        <v>25.063800000000001</v>
      </c>
      <c r="D93" s="237">
        <f t="shared" si="35"/>
        <v>2003650.2996</v>
      </c>
      <c r="E93" s="235">
        <f t="shared" si="36"/>
        <v>20036.502995999999</v>
      </c>
      <c r="F93" s="235">
        <f t="shared" si="37"/>
        <v>2003.6502995999999</v>
      </c>
      <c r="G93" s="236">
        <f t="shared" si="38"/>
        <v>22040.153295600001</v>
      </c>
    </row>
    <row r="94" spans="1:16" x14ac:dyDescent="0.15">
      <c r="A94" s="133" t="s">
        <v>841</v>
      </c>
      <c r="B94" s="210">
        <v>119892</v>
      </c>
      <c r="C94" s="221">
        <v>25.063800000000001</v>
      </c>
      <c r="D94" s="237">
        <f t="shared" si="35"/>
        <v>3004949.1096000001</v>
      </c>
      <c r="E94" s="235">
        <f t="shared" si="36"/>
        <v>30049.491096000002</v>
      </c>
      <c r="F94" s="235">
        <f t="shared" si="37"/>
        <v>3004.9491096000002</v>
      </c>
      <c r="G94" s="236">
        <f t="shared" si="38"/>
        <v>33054.440205600004</v>
      </c>
    </row>
    <row r="95" spans="1:16" x14ac:dyDescent="0.15">
      <c r="A95" s="133" t="s">
        <v>844</v>
      </c>
      <c r="B95" s="210">
        <v>19985</v>
      </c>
      <c r="C95" s="221">
        <v>25.7362</v>
      </c>
      <c r="D95" s="237">
        <f t="shared" si="35"/>
        <v>514337.95699999999</v>
      </c>
      <c r="E95" s="235">
        <f t="shared" si="36"/>
        <v>5143.3795700000001</v>
      </c>
      <c r="F95" s="235">
        <f t="shared" si="37"/>
        <v>514.33795700000007</v>
      </c>
      <c r="G95" s="236">
        <f t="shared" si="38"/>
        <v>5657.7175269999998</v>
      </c>
    </row>
    <row r="96" spans="1:16" x14ac:dyDescent="0.15">
      <c r="A96" s="133" t="s">
        <v>845</v>
      </c>
      <c r="B96" s="210">
        <v>112398</v>
      </c>
      <c r="C96" s="221">
        <v>25.6114</v>
      </c>
      <c r="D96" s="237">
        <f t="shared" si="35"/>
        <v>2878670.1371999998</v>
      </c>
      <c r="E96" s="235">
        <f t="shared" si="36"/>
        <v>28786.701372</v>
      </c>
      <c r="F96" s="235">
        <f t="shared" si="37"/>
        <v>2878.6701372000002</v>
      </c>
      <c r="G96" s="236">
        <f t="shared" si="38"/>
        <v>31665.371509199998</v>
      </c>
    </row>
    <row r="97" spans="1:7" ht="12" thickBot="1" x14ac:dyDescent="0.2">
      <c r="B97" s="233">
        <f>SUM(B89:B96)</f>
        <v>876663</v>
      </c>
      <c r="E97" s="234">
        <f>SUM(E89:E96)</f>
        <v>214998.05602300001</v>
      </c>
      <c r="F97" s="234">
        <f t="shared" ref="F97:G97" si="39">SUM(F89:F96)</f>
        <v>21499.805602299999</v>
      </c>
      <c r="G97" s="234">
        <f t="shared" si="39"/>
        <v>236497.86162529999</v>
      </c>
    </row>
    <row r="98" spans="1:7" ht="12" thickTop="1" x14ac:dyDescent="0.15">
      <c r="B98" s="231"/>
    </row>
    <row r="99" spans="1:7" x14ac:dyDescent="0.15">
      <c r="B99" s="231"/>
    </row>
    <row r="100" spans="1:7" x14ac:dyDescent="0.15">
      <c r="A100" s="193"/>
    </row>
    <row r="101" spans="1:7" x14ac:dyDescent="0.15">
      <c r="A101" s="193"/>
    </row>
  </sheetData>
  <mergeCells count="34">
    <mergeCell ref="J3:L3"/>
    <mergeCell ref="A4:C4"/>
    <mergeCell ref="D4:H4"/>
    <mergeCell ref="I4:N4"/>
    <mergeCell ref="J5:K5"/>
    <mergeCell ref="L5:N5"/>
    <mergeCell ref="B64:D64"/>
    <mergeCell ref="F64:G64"/>
    <mergeCell ref="B65:D65"/>
    <mergeCell ref="F65:G65"/>
    <mergeCell ref="B66:D66"/>
    <mergeCell ref="F66:G66"/>
    <mergeCell ref="B69:D69"/>
    <mergeCell ref="F69:G69"/>
    <mergeCell ref="B70:D70"/>
    <mergeCell ref="F70:G70"/>
    <mergeCell ref="B68:D68"/>
    <mergeCell ref="F68:G68"/>
    <mergeCell ref="B72:D72"/>
    <mergeCell ref="F72:G72"/>
    <mergeCell ref="B73:D73"/>
    <mergeCell ref="F73:G73"/>
    <mergeCell ref="B74:D74"/>
    <mergeCell ref="F74:G74"/>
    <mergeCell ref="B78:D78"/>
    <mergeCell ref="F78:G78"/>
    <mergeCell ref="B79:D79"/>
    <mergeCell ref="F79:G79"/>
    <mergeCell ref="B75:D75"/>
    <mergeCell ref="F75:G75"/>
    <mergeCell ref="B76:D76"/>
    <mergeCell ref="F76:G76"/>
    <mergeCell ref="B77:D77"/>
    <mergeCell ref="F77:G77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7" activePane="bottomLeft" state="frozen"/>
      <selection pane="bottomLeft" activeCell="C64" sqref="C64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" style="132" customWidth="1"/>
    <col min="4" max="4" width="12.57031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1.8554687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794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724</v>
      </c>
      <c r="B7" s="146"/>
      <c r="C7" s="147">
        <v>2597.3533620094313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2597.3533620094313</v>
      </c>
      <c r="P7" s="147">
        <f>+C53</f>
        <v>238766.91036200945</v>
      </c>
    </row>
    <row r="8" spans="1:16" x14ac:dyDescent="0.15">
      <c r="A8" s="154" t="s">
        <v>725</v>
      </c>
      <c r="B8" s="151"/>
      <c r="C8" s="152">
        <v>76130.615000000005</v>
      </c>
      <c r="D8" s="155"/>
      <c r="E8" s="154"/>
      <c r="F8" s="154"/>
      <c r="G8" s="155"/>
      <c r="H8" s="152"/>
      <c r="I8" s="155"/>
      <c r="J8" s="152"/>
      <c r="K8" s="154"/>
      <c r="L8" s="156"/>
      <c r="M8" s="227"/>
      <c r="N8" s="154"/>
      <c r="O8" s="227">
        <f>+O7-J8-M8</f>
        <v>2597.3533620094313</v>
      </c>
      <c r="P8" s="152">
        <f t="shared" ref="P8:P9" si="0">P7+H8-J8-M8</f>
        <v>238766.91036200945</v>
      </c>
    </row>
    <row r="9" spans="1:16" x14ac:dyDescent="0.15">
      <c r="A9" s="154" t="s">
        <v>791</v>
      </c>
      <c r="B9" s="151"/>
      <c r="C9" s="152">
        <v>120049.486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2597.3533620094313</v>
      </c>
      <c r="P9" s="152">
        <f t="shared" si="0"/>
        <v>238766.91036200945</v>
      </c>
    </row>
    <row r="10" spans="1:16" x14ac:dyDescent="0.15">
      <c r="A10" s="154" t="s">
        <v>792</v>
      </c>
      <c r="B10" s="151"/>
      <c r="C10" s="152">
        <v>39989.455999999998</v>
      </c>
      <c r="D10" s="155"/>
      <c r="E10" s="154"/>
      <c r="F10" s="157"/>
      <c r="G10" s="154"/>
      <c r="H10" s="152"/>
      <c r="I10" s="155"/>
      <c r="J10" s="152"/>
      <c r="K10" s="150"/>
      <c r="L10" s="154"/>
      <c r="M10" s="227"/>
      <c r="N10" s="150"/>
      <c r="O10" s="227">
        <f t="shared" ref="O10:O52" si="2">+O9-J10-M10</f>
        <v>2597.3533620094313</v>
      </c>
      <c r="P10" s="152">
        <f t="shared" ref="P10:P52" si="3">P9+H10-J10-M10</f>
        <v>238766.91036200945</v>
      </c>
    </row>
    <row r="11" spans="1:16" x14ac:dyDescent="0.15">
      <c r="A11" s="154"/>
      <c r="B11" s="151"/>
      <c r="C11" s="152"/>
      <c r="D11" s="155"/>
      <c r="E11" s="154"/>
      <c r="F11" s="157"/>
      <c r="G11" s="154"/>
      <c r="H11" s="152"/>
      <c r="I11" s="155"/>
      <c r="J11" s="152"/>
      <c r="K11" s="150"/>
      <c r="L11" s="154"/>
      <c r="M11" s="227"/>
      <c r="N11" s="150"/>
      <c r="O11" s="227">
        <f t="shared" si="2"/>
        <v>2597.3533620094313</v>
      </c>
      <c r="P11" s="152">
        <f t="shared" si="3"/>
        <v>238766.91036200945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795</v>
      </c>
      <c r="J12" s="152">
        <v>703</v>
      </c>
      <c r="K12" s="150" t="s">
        <v>724</v>
      </c>
      <c r="L12" s="154" t="s">
        <v>813</v>
      </c>
      <c r="M12" s="227">
        <v>1500</v>
      </c>
      <c r="N12" s="154" t="s">
        <v>724</v>
      </c>
      <c r="O12" s="227">
        <f t="shared" si="2"/>
        <v>394.35336200943129</v>
      </c>
      <c r="P12" s="152">
        <f t="shared" si="3"/>
        <v>236563.91036200945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796</v>
      </c>
      <c r="J13" s="152"/>
      <c r="K13" s="150"/>
      <c r="L13" s="154" t="s">
        <v>813</v>
      </c>
      <c r="M13" s="227">
        <v>394.35300000000001</v>
      </c>
      <c r="N13" s="154" t="s">
        <v>724</v>
      </c>
      <c r="O13" s="227">
        <f t="shared" ref="O13:O17" si="4">+O12-J13-M13</f>
        <v>3.6200943128505969E-4</v>
      </c>
      <c r="P13" s="152">
        <f t="shared" ref="P13:P17" si="5">P12+H13-J13-M13</f>
        <v>236169.55736200945</v>
      </c>
    </row>
    <row r="14" spans="1:16" x14ac:dyDescent="0.15">
      <c r="A14" s="154"/>
      <c r="B14" s="151"/>
      <c r="C14" s="152"/>
      <c r="D14" s="155"/>
      <c r="E14" s="154"/>
      <c r="F14" s="157"/>
      <c r="G14" s="154"/>
      <c r="H14" s="152"/>
      <c r="I14" s="155" t="s">
        <v>796</v>
      </c>
      <c r="J14" s="152"/>
      <c r="K14" s="150"/>
      <c r="L14" s="154" t="s">
        <v>813</v>
      </c>
      <c r="M14" s="227">
        <v>552.64700000000005</v>
      </c>
      <c r="N14" s="154" t="s">
        <v>725</v>
      </c>
      <c r="O14" s="227">
        <f>C8+O13-J14-M14</f>
        <v>75577.968362009444</v>
      </c>
      <c r="P14" s="152">
        <f t="shared" si="5"/>
        <v>235616.91036200945</v>
      </c>
    </row>
    <row r="15" spans="1:16" x14ac:dyDescent="0.15">
      <c r="A15" s="154"/>
      <c r="B15" s="151"/>
      <c r="C15" s="152"/>
      <c r="D15" s="155" t="s">
        <v>805</v>
      </c>
      <c r="E15" s="155" t="s">
        <v>72</v>
      </c>
      <c r="F15" s="157" t="s">
        <v>809</v>
      </c>
      <c r="G15" s="154"/>
      <c r="H15" s="152">
        <v>76136.161999999997</v>
      </c>
      <c r="I15" s="155" t="s">
        <v>805</v>
      </c>
      <c r="J15" s="152"/>
      <c r="K15" s="154"/>
      <c r="L15" s="154"/>
      <c r="M15" s="227"/>
      <c r="N15" s="154"/>
      <c r="O15" s="227">
        <f t="shared" si="4"/>
        <v>75577.968362009444</v>
      </c>
      <c r="P15" s="152">
        <f t="shared" si="5"/>
        <v>311753.07236200944</v>
      </c>
    </row>
    <row r="16" spans="1:16" x14ac:dyDescent="0.15">
      <c r="A16" s="154"/>
      <c r="B16" s="151"/>
      <c r="C16" s="152"/>
      <c r="D16" s="155" t="s">
        <v>806</v>
      </c>
      <c r="E16" s="155" t="s">
        <v>72</v>
      </c>
      <c r="F16" s="157" t="s">
        <v>809</v>
      </c>
      <c r="G16" s="154"/>
      <c r="H16" s="152">
        <v>116134.643</v>
      </c>
      <c r="I16" s="155" t="s">
        <v>806</v>
      </c>
      <c r="J16" s="152"/>
      <c r="K16" s="154"/>
      <c r="L16" s="154"/>
      <c r="M16" s="227"/>
      <c r="N16" s="154"/>
      <c r="O16" s="227">
        <f t="shared" si="4"/>
        <v>75577.968362009444</v>
      </c>
      <c r="P16" s="152">
        <f t="shared" si="5"/>
        <v>427887.71536200942</v>
      </c>
    </row>
    <row r="17" spans="1:16" x14ac:dyDescent="0.15">
      <c r="A17" s="154"/>
      <c r="B17" s="151"/>
      <c r="C17" s="152"/>
      <c r="D17" s="155" t="s">
        <v>807</v>
      </c>
      <c r="E17" s="155" t="s">
        <v>72</v>
      </c>
      <c r="F17" s="157" t="s">
        <v>809</v>
      </c>
      <c r="G17" s="154"/>
      <c r="H17" s="152">
        <v>116239.283</v>
      </c>
      <c r="I17" s="155" t="s">
        <v>807</v>
      </c>
      <c r="J17" s="152"/>
      <c r="K17" s="154"/>
      <c r="L17" s="154"/>
      <c r="M17" s="227"/>
      <c r="N17" s="154"/>
      <c r="O17" s="227">
        <f t="shared" si="4"/>
        <v>75577.968362009444</v>
      </c>
      <c r="P17" s="152">
        <f t="shared" si="5"/>
        <v>544126.99836200941</v>
      </c>
    </row>
    <row r="18" spans="1:16" x14ac:dyDescent="0.15">
      <c r="A18" s="154"/>
      <c r="B18" s="151"/>
      <c r="C18" s="152"/>
      <c r="D18" s="155"/>
      <c r="E18" s="154"/>
      <c r="F18" s="157"/>
      <c r="G18" s="154"/>
      <c r="H18" s="152"/>
      <c r="I18" s="155" t="s">
        <v>797</v>
      </c>
      <c r="J18" s="152">
        <v>3833</v>
      </c>
      <c r="K18" s="154" t="s">
        <v>725</v>
      </c>
      <c r="L18" s="154"/>
      <c r="M18" s="227"/>
      <c r="N18" s="154"/>
      <c r="O18" s="227">
        <f t="shared" si="2"/>
        <v>71744.968362009444</v>
      </c>
      <c r="P18" s="152">
        <f t="shared" si="3"/>
        <v>540293.99836200941</v>
      </c>
    </row>
    <row r="19" spans="1:16" x14ac:dyDescent="0.15">
      <c r="A19" s="154"/>
      <c r="B19" s="151"/>
      <c r="C19" s="152"/>
      <c r="D19" s="155"/>
      <c r="E19" s="155"/>
      <c r="F19" s="157"/>
      <c r="G19" s="154"/>
      <c r="H19" s="152"/>
      <c r="I19" s="155" t="s">
        <v>798</v>
      </c>
      <c r="J19" s="152">
        <v>13290</v>
      </c>
      <c r="K19" s="154" t="s">
        <v>725</v>
      </c>
      <c r="L19" s="154"/>
      <c r="M19" s="227"/>
      <c r="N19" s="154"/>
      <c r="O19" s="227">
        <f t="shared" si="2"/>
        <v>58454.968362009444</v>
      </c>
      <c r="P19" s="152">
        <f t="shared" si="3"/>
        <v>527003.99836200941</v>
      </c>
    </row>
    <row r="20" spans="1:16" x14ac:dyDescent="0.15">
      <c r="A20" s="154"/>
      <c r="B20" s="151"/>
      <c r="C20" s="152"/>
      <c r="D20" s="155"/>
      <c r="E20" s="155"/>
      <c r="F20" s="157"/>
      <c r="G20" s="154"/>
      <c r="H20" s="152"/>
      <c r="I20" s="155" t="s">
        <v>799</v>
      </c>
      <c r="J20" s="152">
        <v>1821</v>
      </c>
      <c r="K20" s="154" t="s">
        <v>725</v>
      </c>
      <c r="L20" s="154" t="s">
        <v>813</v>
      </c>
      <c r="M20" s="227">
        <v>2757</v>
      </c>
      <c r="N20" s="154" t="s">
        <v>725</v>
      </c>
      <c r="O20" s="227">
        <f t="shared" si="2"/>
        <v>53876.968362009444</v>
      </c>
      <c r="P20" s="152">
        <f t="shared" si="3"/>
        <v>522425.99836200941</v>
      </c>
    </row>
    <row r="21" spans="1:16" x14ac:dyDescent="0.15">
      <c r="A21" s="154"/>
      <c r="B21" s="151"/>
      <c r="C21" s="152"/>
      <c r="D21" s="155"/>
      <c r="E21" s="155"/>
      <c r="F21" s="157"/>
      <c r="G21" s="154"/>
      <c r="H21" s="152"/>
      <c r="I21" s="155" t="s">
        <v>800</v>
      </c>
      <c r="J21" s="152">
        <v>3530</v>
      </c>
      <c r="K21" s="154" t="s">
        <v>725</v>
      </c>
      <c r="L21" s="154"/>
      <c r="M21" s="227"/>
      <c r="N21" s="154"/>
      <c r="O21" s="227">
        <f t="shared" si="2"/>
        <v>50346.968362009444</v>
      </c>
      <c r="P21" s="152">
        <f t="shared" si="3"/>
        <v>518895.99836200941</v>
      </c>
    </row>
    <row r="22" spans="1:16" x14ac:dyDescent="0.15">
      <c r="A22" s="154"/>
      <c r="B22" s="151"/>
      <c r="C22" s="152"/>
      <c r="D22" s="155"/>
      <c r="E22" s="155"/>
      <c r="F22" s="157"/>
      <c r="G22" s="154"/>
      <c r="H22" s="152"/>
      <c r="I22" s="155" t="s">
        <v>801</v>
      </c>
      <c r="J22" s="152">
        <v>1710</v>
      </c>
      <c r="K22" s="154" t="s">
        <v>725</v>
      </c>
      <c r="L22" s="154" t="s">
        <v>813</v>
      </c>
      <c r="M22" s="227">
        <v>1276</v>
      </c>
      <c r="N22" s="154" t="s">
        <v>725</v>
      </c>
      <c r="O22" s="227">
        <f t="shared" si="2"/>
        <v>47360.968362009444</v>
      </c>
      <c r="P22" s="152">
        <f t="shared" si="3"/>
        <v>515909.99836200941</v>
      </c>
    </row>
    <row r="23" spans="1:16" x14ac:dyDescent="0.15">
      <c r="A23" s="154"/>
      <c r="B23" s="151"/>
      <c r="C23" s="152"/>
      <c r="D23" s="155"/>
      <c r="E23" s="155"/>
      <c r="F23" s="157"/>
      <c r="G23" s="154"/>
      <c r="H23" s="152"/>
      <c r="I23" s="155" t="s">
        <v>802</v>
      </c>
      <c r="J23" s="152"/>
      <c r="K23" s="154"/>
      <c r="L23" s="154" t="s">
        <v>813</v>
      </c>
      <c r="M23" s="227">
        <v>2472</v>
      </c>
      <c r="N23" s="154" t="s">
        <v>725</v>
      </c>
      <c r="O23" s="227">
        <f t="shared" si="2"/>
        <v>44888.968362009444</v>
      </c>
      <c r="P23" s="152">
        <f t="shared" si="3"/>
        <v>513437.99836200941</v>
      </c>
    </row>
    <row r="24" spans="1:16" x14ac:dyDescent="0.15">
      <c r="A24" s="154"/>
      <c r="B24" s="151"/>
      <c r="C24" s="152"/>
      <c r="D24" s="155"/>
      <c r="E24" s="155"/>
      <c r="F24" s="157"/>
      <c r="G24" s="154"/>
      <c r="H24" s="152"/>
      <c r="I24" s="155" t="s">
        <v>803</v>
      </c>
      <c r="J24" s="152"/>
      <c r="K24" s="154"/>
      <c r="L24" s="154" t="s">
        <v>813</v>
      </c>
      <c r="M24" s="227">
        <v>605</v>
      </c>
      <c r="N24" s="154" t="s">
        <v>725</v>
      </c>
      <c r="O24" s="227">
        <f t="shared" si="2"/>
        <v>44283.968362009444</v>
      </c>
      <c r="P24" s="152">
        <f t="shared" si="3"/>
        <v>512832.99836200941</v>
      </c>
    </row>
    <row r="25" spans="1:16" x14ac:dyDescent="0.15">
      <c r="A25" s="154"/>
      <c r="B25" s="151"/>
      <c r="C25" s="152"/>
      <c r="D25" s="155"/>
      <c r="E25" s="154"/>
      <c r="F25" s="157"/>
      <c r="G25" s="154"/>
      <c r="H25" s="152"/>
      <c r="I25" s="155" t="s">
        <v>804</v>
      </c>
      <c r="J25" s="152"/>
      <c r="K25" s="154"/>
      <c r="L25" s="154" t="s">
        <v>813</v>
      </c>
      <c r="M25" s="227">
        <v>44283.968000000001</v>
      </c>
      <c r="N25" s="154" t="s">
        <v>725</v>
      </c>
      <c r="O25" s="227">
        <f t="shared" si="2"/>
        <v>3.6200944305164739E-4</v>
      </c>
      <c r="P25" s="152">
        <f t="shared" si="3"/>
        <v>468549.03036200942</v>
      </c>
    </row>
    <row r="26" spans="1:16" x14ac:dyDescent="0.15">
      <c r="A26" s="154"/>
      <c r="B26" s="151"/>
      <c r="C26" s="152"/>
      <c r="D26" s="155"/>
      <c r="E26" s="154"/>
      <c r="F26" s="157"/>
      <c r="G26" s="154"/>
      <c r="H26" s="152"/>
      <c r="I26" s="155" t="s">
        <v>804</v>
      </c>
      <c r="J26" s="152"/>
      <c r="K26" s="150"/>
      <c r="L26" s="154" t="s">
        <v>813</v>
      </c>
      <c r="M26" s="227">
        <v>18793.031999999999</v>
      </c>
      <c r="N26" s="157" t="s">
        <v>791</v>
      </c>
      <c r="O26" s="227">
        <f>C9+O25-J26-M26</f>
        <v>101256.45436200945</v>
      </c>
      <c r="P26" s="152">
        <f t="shared" si="3"/>
        <v>449755.99836200941</v>
      </c>
    </row>
    <row r="27" spans="1:16" x14ac:dyDescent="0.15">
      <c r="A27" s="154"/>
      <c r="B27" s="151"/>
      <c r="C27" s="152"/>
      <c r="D27" s="155" t="s">
        <v>808</v>
      </c>
      <c r="E27" s="155" t="s">
        <v>72</v>
      </c>
      <c r="F27" s="157" t="s">
        <v>810</v>
      </c>
      <c r="G27" s="154"/>
      <c r="H27" s="152">
        <v>79974.043999999994</v>
      </c>
      <c r="I27" s="155" t="s">
        <v>808</v>
      </c>
      <c r="J27" s="152"/>
      <c r="K27" s="154"/>
      <c r="L27" s="154"/>
      <c r="M27" s="227"/>
      <c r="N27" s="157"/>
      <c r="O27" s="227">
        <f t="shared" si="2"/>
        <v>101256.45436200945</v>
      </c>
      <c r="P27" s="152">
        <f t="shared" si="3"/>
        <v>529730.04236200941</v>
      </c>
    </row>
    <row r="28" spans="1:16" hidden="1" x14ac:dyDescent="0.15">
      <c r="A28" s="154"/>
      <c r="B28" s="151"/>
      <c r="C28" s="152"/>
      <c r="D28" s="155"/>
      <c r="E28" s="154"/>
      <c r="F28" s="157"/>
      <c r="G28" s="154"/>
      <c r="H28" s="152"/>
      <c r="I28" s="155"/>
      <c r="J28" s="152"/>
      <c r="K28" s="150"/>
      <c r="L28" s="154"/>
      <c r="M28" s="227"/>
      <c r="N28" s="157"/>
      <c r="O28" s="227">
        <f t="shared" si="2"/>
        <v>101256.45436200945</v>
      </c>
      <c r="P28" s="152">
        <f t="shared" si="3"/>
        <v>529730.04236200941</v>
      </c>
    </row>
    <row r="29" spans="1:16" hidden="1" x14ac:dyDescent="0.15">
      <c r="A29" s="154"/>
      <c r="B29" s="151"/>
      <c r="C29" s="152"/>
      <c r="D29" s="155"/>
      <c r="E29" s="154"/>
      <c r="F29" s="157"/>
      <c r="G29" s="154"/>
      <c r="H29" s="152"/>
      <c r="I29" s="155"/>
      <c r="J29" s="152"/>
      <c r="K29" s="157"/>
      <c r="L29" s="154"/>
      <c r="M29" s="227"/>
      <c r="N29" s="157"/>
      <c r="O29" s="227">
        <f t="shared" si="2"/>
        <v>101256.45436200945</v>
      </c>
      <c r="P29" s="152">
        <f t="shared" si="3"/>
        <v>529730.04236200941</v>
      </c>
    </row>
    <row r="30" spans="1:16" hidden="1" x14ac:dyDescent="0.15">
      <c r="A30" s="154"/>
      <c r="B30" s="151"/>
      <c r="C30" s="152"/>
      <c r="D30" s="155"/>
      <c r="E30" s="154"/>
      <c r="F30" s="157"/>
      <c r="G30" s="154"/>
      <c r="H30" s="152"/>
      <c r="I30" s="155"/>
      <c r="J30" s="152"/>
      <c r="K30" s="157"/>
      <c r="L30" s="154"/>
      <c r="M30" s="227"/>
      <c r="N30" s="157"/>
      <c r="O30" s="227">
        <f t="shared" si="2"/>
        <v>101256.45436200945</v>
      </c>
      <c r="P30" s="152">
        <f t="shared" si="3"/>
        <v>529730.04236200941</v>
      </c>
    </row>
    <row r="31" spans="1:16" hidden="1" x14ac:dyDescent="0.15">
      <c r="A31" s="154"/>
      <c r="B31" s="151"/>
      <c r="C31" s="152"/>
      <c r="D31" s="155"/>
      <c r="E31" s="154"/>
      <c r="F31" s="157"/>
      <c r="G31" s="154"/>
      <c r="H31" s="152"/>
      <c r="I31" s="155"/>
      <c r="J31" s="152"/>
      <c r="K31" s="157"/>
      <c r="L31" s="154"/>
      <c r="M31" s="227"/>
      <c r="N31" s="157"/>
      <c r="O31" s="227">
        <f t="shared" si="2"/>
        <v>101256.45436200945</v>
      </c>
      <c r="P31" s="152">
        <f t="shared" si="3"/>
        <v>529730.04236200941</v>
      </c>
    </row>
    <row r="32" spans="1:16" hidden="1" x14ac:dyDescent="0.15">
      <c r="A32" s="154"/>
      <c r="B32" s="151"/>
      <c r="C32" s="152"/>
      <c r="D32" s="155"/>
      <c r="E32" s="154"/>
      <c r="F32" s="157"/>
      <c r="G32" s="154"/>
      <c r="H32" s="152"/>
      <c r="I32" s="155"/>
      <c r="J32" s="152"/>
      <c r="K32" s="157"/>
      <c r="L32" s="154"/>
      <c r="M32" s="227"/>
      <c r="N32" s="157"/>
      <c r="O32" s="227">
        <f t="shared" si="2"/>
        <v>101256.45436200945</v>
      </c>
      <c r="P32" s="152">
        <f t="shared" si="3"/>
        <v>529730.04236200941</v>
      </c>
    </row>
    <row r="33" spans="1:16" hidden="1" x14ac:dyDescent="0.15">
      <c r="A33" s="154"/>
      <c r="B33" s="151"/>
      <c r="C33" s="152"/>
      <c r="D33" s="155"/>
      <c r="E33" s="154"/>
      <c r="F33" s="157"/>
      <c r="G33" s="154"/>
      <c r="H33" s="152"/>
      <c r="I33" s="155"/>
      <c r="J33" s="152"/>
      <c r="K33" s="157"/>
      <c r="L33" s="154"/>
      <c r="M33" s="227"/>
      <c r="N33" s="157"/>
      <c r="O33" s="227">
        <f t="shared" si="2"/>
        <v>101256.45436200945</v>
      </c>
      <c r="P33" s="152">
        <f t="shared" si="3"/>
        <v>529730.04236200941</v>
      </c>
    </row>
    <row r="34" spans="1:16" hidden="1" x14ac:dyDescent="0.15">
      <c r="A34" s="154"/>
      <c r="B34" s="151"/>
      <c r="C34" s="152"/>
      <c r="D34" s="155"/>
      <c r="E34" s="154"/>
      <c r="F34" s="157"/>
      <c r="G34" s="154"/>
      <c r="H34" s="152"/>
      <c r="I34" s="155"/>
      <c r="J34" s="152"/>
      <c r="K34" s="157"/>
      <c r="L34" s="154"/>
      <c r="M34" s="227"/>
      <c r="N34" s="157"/>
      <c r="O34" s="227">
        <f t="shared" si="2"/>
        <v>101256.45436200945</v>
      </c>
      <c r="P34" s="152">
        <f t="shared" si="3"/>
        <v>529730.04236200941</v>
      </c>
    </row>
    <row r="35" spans="1:16" hidden="1" x14ac:dyDescent="0.15">
      <c r="A35" s="154"/>
      <c r="B35" s="151"/>
      <c r="C35" s="152"/>
      <c r="D35" s="155"/>
      <c r="E35" s="154"/>
      <c r="F35" s="157"/>
      <c r="G35" s="154"/>
      <c r="H35" s="152"/>
      <c r="I35" s="155"/>
      <c r="J35" s="152"/>
      <c r="K35" s="157"/>
      <c r="L35" s="154"/>
      <c r="M35" s="227"/>
      <c r="N35" s="157"/>
      <c r="O35" s="227">
        <f t="shared" si="2"/>
        <v>101256.45436200945</v>
      </c>
      <c r="P35" s="152">
        <f t="shared" si="3"/>
        <v>529730.04236200941</v>
      </c>
    </row>
    <row r="36" spans="1:16" hidden="1" x14ac:dyDescent="0.15">
      <c r="A36" s="154"/>
      <c r="B36" s="151"/>
      <c r="C36" s="152"/>
      <c r="D36" s="155"/>
      <c r="E36" s="154"/>
      <c r="F36" s="157"/>
      <c r="G36" s="154"/>
      <c r="H36" s="152"/>
      <c r="I36" s="155"/>
      <c r="J36" s="152"/>
      <c r="K36" s="157"/>
      <c r="L36" s="154"/>
      <c r="M36" s="227"/>
      <c r="N36" s="157"/>
      <c r="O36" s="227">
        <f t="shared" si="2"/>
        <v>101256.45436200945</v>
      </c>
      <c r="P36" s="152">
        <f t="shared" si="3"/>
        <v>529730.04236200941</v>
      </c>
    </row>
    <row r="37" spans="1:16" hidden="1" x14ac:dyDescent="0.15">
      <c r="A37" s="154"/>
      <c r="B37" s="151"/>
      <c r="C37" s="152"/>
      <c r="D37" s="155"/>
      <c r="E37" s="154"/>
      <c r="F37" s="157"/>
      <c r="G37" s="154"/>
      <c r="H37" s="152"/>
      <c r="I37" s="155"/>
      <c r="J37" s="152"/>
      <c r="K37" s="150"/>
      <c r="L37" s="154"/>
      <c r="M37" s="227"/>
      <c r="N37" s="157"/>
      <c r="O37" s="227">
        <f t="shared" si="2"/>
        <v>101256.45436200945</v>
      </c>
      <c r="P37" s="152">
        <f t="shared" si="3"/>
        <v>529730.04236200941</v>
      </c>
    </row>
    <row r="38" spans="1:16" hidden="1" x14ac:dyDescent="0.15">
      <c r="A38" s="154"/>
      <c r="B38" s="151"/>
      <c r="C38" s="152"/>
      <c r="D38" s="155"/>
      <c r="E38" s="154"/>
      <c r="F38" s="157"/>
      <c r="G38" s="154"/>
      <c r="H38" s="152"/>
      <c r="I38" s="155"/>
      <c r="J38" s="152"/>
      <c r="K38" s="150"/>
      <c r="L38" s="154"/>
      <c r="M38" s="227"/>
      <c r="N38" s="157"/>
      <c r="O38" s="227">
        <f t="shared" si="2"/>
        <v>101256.45436200945</v>
      </c>
      <c r="P38" s="152">
        <f t="shared" si="3"/>
        <v>529730.04236200941</v>
      </c>
    </row>
    <row r="39" spans="1:16" hidden="1" x14ac:dyDescent="0.15">
      <c r="A39" s="154"/>
      <c r="B39" s="151"/>
      <c r="C39" s="152"/>
      <c r="D39" s="155"/>
      <c r="E39" s="154"/>
      <c r="F39" s="157"/>
      <c r="G39" s="154"/>
      <c r="H39" s="152"/>
      <c r="I39" s="155"/>
      <c r="J39" s="152"/>
      <c r="K39" s="150"/>
      <c r="L39" s="154"/>
      <c r="M39" s="227"/>
      <c r="N39" s="157"/>
      <c r="O39" s="227">
        <f t="shared" si="2"/>
        <v>101256.45436200945</v>
      </c>
      <c r="P39" s="152">
        <f t="shared" si="3"/>
        <v>529730.04236200941</v>
      </c>
    </row>
    <row r="40" spans="1:16" hidden="1" x14ac:dyDescent="0.15">
      <c r="A40" s="154"/>
      <c r="B40" s="151"/>
      <c r="C40" s="152"/>
      <c r="D40" s="155"/>
      <c r="E40" s="154"/>
      <c r="F40" s="157"/>
      <c r="G40" s="154"/>
      <c r="H40" s="152"/>
      <c r="I40" s="155"/>
      <c r="J40" s="152"/>
      <c r="K40" s="150"/>
      <c r="L40" s="154"/>
      <c r="M40" s="227"/>
      <c r="N40" s="157"/>
      <c r="O40" s="227">
        <f t="shared" si="2"/>
        <v>101256.45436200945</v>
      </c>
      <c r="P40" s="152">
        <f t="shared" si="3"/>
        <v>529730.04236200941</v>
      </c>
    </row>
    <row r="41" spans="1:16" hidden="1" x14ac:dyDescent="0.15">
      <c r="A41" s="154"/>
      <c r="B41" s="151"/>
      <c r="C41" s="152"/>
      <c r="D41" s="155"/>
      <c r="E41" s="154"/>
      <c r="F41" s="157"/>
      <c r="G41" s="154"/>
      <c r="H41" s="152"/>
      <c r="I41" s="155"/>
      <c r="J41" s="152"/>
      <c r="K41" s="150"/>
      <c r="L41" s="154"/>
      <c r="M41" s="227"/>
      <c r="N41" s="157"/>
      <c r="O41" s="227">
        <f t="shared" si="2"/>
        <v>101256.45436200945</v>
      </c>
      <c r="P41" s="152">
        <f t="shared" si="3"/>
        <v>529730.04236200941</v>
      </c>
    </row>
    <row r="42" spans="1:16" hidden="1" x14ac:dyDescent="0.15">
      <c r="A42" s="154"/>
      <c r="B42" s="151"/>
      <c r="C42" s="152"/>
      <c r="D42" s="155"/>
      <c r="E42" s="154"/>
      <c r="F42" s="157"/>
      <c r="G42" s="154"/>
      <c r="H42" s="152"/>
      <c r="I42" s="155"/>
      <c r="J42" s="152"/>
      <c r="K42" s="150"/>
      <c r="L42" s="154"/>
      <c r="M42" s="227"/>
      <c r="N42" s="157"/>
      <c r="O42" s="227">
        <f t="shared" si="2"/>
        <v>101256.45436200945</v>
      </c>
      <c r="P42" s="152">
        <f t="shared" si="3"/>
        <v>529730.04236200941</v>
      </c>
    </row>
    <row r="43" spans="1:16" hidden="1" x14ac:dyDescent="0.15">
      <c r="A43" s="154"/>
      <c r="B43" s="151"/>
      <c r="C43" s="152"/>
      <c r="D43" s="155"/>
      <c r="E43" s="154"/>
      <c r="F43" s="157"/>
      <c r="G43" s="154"/>
      <c r="H43" s="152"/>
      <c r="I43" s="155"/>
      <c r="J43" s="152"/>
      <c r="K43" s="150"/>
      <c r="L43" s="154"/>
      <c r="M43" s="227"/>
      <c r="N43" s="157"/>
      <c r="O43" s="227">
        <f t="shared" si="2"/>
        <v>101256.45436200945</v>
      </c>
      <c r="P43" s="152">
        <f t="shared" si="3"/>
        <v>529730.04236200941</v>
      </c>
    </row>
    <row r="44" spans="1:16" hidden="1" x14ac:dyDescent="0.15">
      <c r="A44" s="154"/>
      <c r="B44" s="151"/>
      <c r="C44" s="152"/>
      <c r="D44" s="155"/>
      <c r="E44" s="154"/>
      <c r="F44" s="157"/>
      <c r="G44" s="154"/>
      <c r="H44" s="152"/>
      <c r="I44" s="155"/>
      <c r="J44" s="152"/>
      <c r="K44" s="150"/>
      <c r="L44" s="154"/>
      <c r="M44" s="227"/>
      <c r="N44" s="157"/>
      <c r="O44" s="227">
        <f t="shared" si="2"/>
        <v>101256.45436200945</v>
      </c>
      <c r="P44" s="152">
        <f t="shared" si="3"/>
        <v>529730.04236200941</v>
      </c>
    </row>
    <row r="45" spans="1:16" hidden="1" x14ac:dyDescent="0.15">
      <c r="A45" s="154"/>
      <c r="B45" s="151"/>
      <c r="C45" s="152"/>
      <c r="D45" s="155"/>
      <c r="E45" s="154"/>
      <c r="F45" s="157"/>
      <c r="G45" s="154"/>
      <c r="H45" s="152"/>
      <c r="I45" s="155"/>
      <c r="J45" s="152"/>
      <c r="K45" s="150"/>
      <c r="L45" s="154"/>
      <c r="M45" s="227"/>
      <c r="N45" s="157"/>
      <c r="O45" s="227">
        <f t="shared" si="2"/>
        <v>101256.45436200945</v>
      </c>
      <c r="P45" s="152">
        <f t="shared" si="3"/>
        <v>529730.04236200941</v>
      </c>
    </row>
    <row r="46" spans="1:16" hidden="1" x14ac:dyDescent="0.15">
      <c r="A46" s="154"/>
      <c r="B46" s="151"/>
      <c r="C46" s="152"/>
      <c r="D46" s="155"/>
      <c r="E46" s="154"/>
      <c r="F46" s="157"/>
      <c r="G46" s="154"/>
      <c r="H46" s="152"/>
      <c r="I46" s="155"/>
      <c r="J46" s="152"/>
      <c r="K46" s="150"/>
      <c r="L46" s="154"/>
      <c r="M46" s="227"/>
      <c r="N46" s="157"/>
      <c r="O46" s="227">
        <f t="shared" si="2"/>
        <v>101256.45436200945</v>
      </c>
      <c r="P46" s="152">
        <f t="shared" si="3"/>
        <v>529730.04236200941</v>
      </c>
    </row>
    <row r="47" spans="1:16" hidden="1" x14ac:dyDescent="0.15">
      <c r="A47" s="154"/>
      <c r="B47" s="151"/>
      <c r="C47" s="152"/>
      <c r="D47" s="155"/>
      <c r="E47" s="154"/>
      <c r="F47" s="157"/>
      <c r="G47" s="154"/>
      <c r="H47" s="152"/>
      <c r="I47" s="155"/>
      <c r="J47" s="152"/>
      <c r="K47" s="150"/>
      <c r="L47" s="154"/>
      <c r="M47" s="227"/>
      <c r="N47" s="157"/>
      <c r="O47" s="227">
        <f t="shared" si="2"/>
        <v>101256.45436200945</v>
      </c>
      <c r="P47" s="152">
        <f t="shared" si="3"/>
        <v>529730.04236200941</v>
      </c>
    </row>
    <row r="48" spans="1:16" hidden="1" x14ac:dyDescent="0.15">
      <c r="A48" s="154"/>
      <c r="B48" s="151"/>
      <c r="C48" s="152"/>
      <c r="D48" s="155"/>
      <c r="E48" s="154"/>
      <c r="F48" s="157"/>
      <c r="G48" s="154"/>
      <c r="H48" s="152"/>
      <c r="I48" s="155"/>
      <c r="J48" s="152"/>
      <c r="K48" s="150"/>
      <c r="L48" s="154"/>
      <c r="M48" s="227"/>
      <c r="N48" s="157"/>
      <c r="O48" s="227">
        <f t="shared" si="2"/>
        <v>101256.45436200945</v>
      </c>
      <c r="P48" s="152">
        <f t="shared" si="3"/>
        <v>529730.04236200941</v>
      </c>
    </row>
    <row r="49" spans="1:16" hidden="1" x14ac:dyDescent="0.15">
      <c r="A49" s="154"/>
      <c r="B49" s="151"/>
      <c r="C49" s="152"/>
      <c r="D49" s="155"/>
      <c r="E49" s="154"/>
      <c r="F49" s="157"/>
      <c r="G49" s="154"/>
      <c r="H49" s="152"/>
      <c r="I49" s="155"/>
      <c r="J49" s="152"/>
      <c r="K49" s="157"/>
      <c r="L49" s="154"/>
      <c r="M49" s="227"/>
      <c r="N49" s="157"/>
      <c r="O49" s="227">
        <f t="shared" si="2"/>
        <v>101256.45436200945</v>
      </c>
      <c r="P49" s="152">
        <f t="shared" si="3"/>
        <v>529730.04236200941</v>
      </c>
    </row>
    <row r="50" spans="1:16" hidden="1" x14ac:dyDescent="0.15">
      <c r="A50" s="154"/>
      <c r="B50" s="151"/>
      <c r="C50" s="152"/>
      <c r="D50" s="155"/>
      <c r="E50" s="154"/>
      <c r="F50" s="157"/>
      <c r="G50" s="151"/>
      <c r="H50" s="152"/>
      <c r="I50" s="155"/>
      <c r="J50" s="152"/>
      <c r="K50" s="157"/>
      <c r="L50" s="154"/>
      <c r="M50" s="227"/>
      <c r="N50" s="150"/>
      <c r="O50" s="227">
        <f t="shared" si="2"/>
        <v>101256.45436200945</v>
      </c>
      <c r="P50" s="152">
        <f t="shared" si="3"/>
        <v>529730.04236200941</v>
      </c>
    </row>
    <row r="51" spans="1:16" hidden="1" x14ac:dyDescent="0.15">
      <c r="A51" s="154"/>
      <c r="B51" s="151"/>
      <c r="C51" s="152"/>
      <c r="D51" s="155"/>
      <c r="E51" s="154"/>
      <c r="F51" s="160"/>
      <c r="G51" s="151"/>
      <c r="H51" s="152"/>
      <c r="I51" s="155"/>
      <c r="J51" s="152"/>
      <c r="K51" s="150"/>
      <c r="L51" s="154"/>
      <c r="M51" s="227"/>
      <c r="N51" s="157"/>
      <c r="O51" s="227">
        <f t="shared" si="2"/>
        <v>101256.45436200945</v>
      </c>
      <c r="P51" s="152">
        <f t="shared" si="3"/>
        <v>529730.04236200941</v>
      </c>
    </row>
    <row r="52" spans="1:16" x14ac:dyDescent="0.15">
      <c r="A52" s="173"/>
      <c r="B52" s="173"/>
      <c r="C52" s="174"/>
      <c r="D52" s="175"/>
      <c r="E52" s="173"/>
      <c r="F52" s="173"/>
      <c r="G52" s="176"/>
      <c r="H52" s="174"/>
      <c r="I52" s="175"/>
      <c r="J52" s="174"/>
      <c r="K52" s="173"/>
      <c r="L52" s="154"/>
      <c r="M52" s="228"/>
      <c r="N52" s="173"/>
      <c r="O52" s="227">
        <f t="shared" si="2"/>
        <v>101256.45436200945</v>
      </c>
      <c r="P52" s="152">
        <f t="shared" si="3"/>
        <v>529730.04236200941</v>
      </c>
    </row>
    <row r="53" spans="1:16" x14ac:dyDescent="0.15">
      <c r="A53" s="177"/>
      <c r="B53" s="177"/>
      <c r="C53" s="178">
        <f>SUM(C7:C51)</f>
        <v>238766.91036200945</v>
      </c>
      <c r="D53" s="177"/>
      <c r="E53" s="177"/>
      <c r="F53" s="177"/>
      <c r="G53" s="177"/>
      <c r="H53" s="178">
        <f>SUM(H7:H51)</f>
        <v>388484.13199999998</v>
      </c>
      <c r="I53" s="179"/>
      <c r="J53" s="178">
        <f>SUM(J7:J51)</f>
        <v>24887</v>
      </c>
      <c r="K53" s="177"/>
      <c r="L53" s="177"/>
      <c r="M53" s="229">
        <f>SUM(M9:M51)</f>
        <v>72634</v>
      </c>
      <c r="N53" s="177"/>
      <c r="O53" s="180"/>
      <c r="P53" s="181">
        <f>C53+H53-J53-M53</f>
        <v>529730.04236200941</v>
      </c>
    </row>
    <row r="54" spans="1:16" x14ac:dyDescent="0.15">
      <c r="A54" s="182"/>
      <c r="B54" s="465"/>
      <c r="C54" s="465"/>
      <c r="D54" s="465"/>
      <c r="E54" s="183"/>
      <c r="F54" s="472"/>
      <c r="G54" s="472"/>
      <c r="H54" s="185"/>
      <c r="I54" s="186"/>
      <c r="J54" s="187"/>
      <c r="K54" s="188"/>
      <c r="L54" s="189" t="s">
        <v>139</v>
      </c>
      <c r="M54" s="190">
        <f>+M53+J53</f>
        <v>97521</v>
      </c>
      <c r="N54" s="197"/>
      <c r="O54" s="230">
        <f>+O52</f>
        <v>101256.45436200945</v>
      </c>
      <c r="P54" s="195" t="s">
        <v>791</v>
      </c>
    </row>
    <row r="55" spans="1:16" x14ac:dyDescent="0.15">
      <c r="A55" s="193"/>
      <c r="B55" s="470"/>
      <c r="C55" s="470"/>
      <c r="D55" s="470"/>
      <c r="E55" s="183"/>
      <c r="F55" s="472"/>
      <c r="G55" s="472"/>
      <c r="H55" s="219"/>
      <c r="I55" s="186"/>
      <c r="J55" s="187"/>
      <c r="K55" s="210"/>
      <c r="L55" s="210"/>
      <c r="O55" s="230">
        <f>+C10</f>
        <v>39989.455999999998</v>
      </c>
      <c r="P55" s="195" t="s">
        <v>792</v>
      </c>
    </row>
    <row r="56" spans="1:16" x14ac:dyDescent="0.15">
      <c r="A56" s="193" t="s">
        <v>724</v>
      </c>
      <c r="B56" s="470" t="s">
        <v>730</v>
      </c>
      <c r="C56" s="470"/>
      <c r="D56" s="470"/>
      <c r="E56" s="183" t="s">
        <v>55</v>
      </c>
      <c r="F56" s="472">
        <v>46087131.859999999</v>
      </c>
      <c r="G56" s="472"/>
      <c r="H56" s="219" t="s">
        <v>56</v>
      </c>
      <c r="I56" s="186">
        <v>40644</v>
      </c>
      <c r="J56" s="187" t="s">
        <v>71</v>
      </c>
      <c r="K56" s="210">
        <v>1894.3530000000001</v>
      </c>
      <c r="L56" s="210"/>
      <c r="O56" s="230">
        <f>+H15+H16+H17</f>
        <v>308510.08799999999</v>
      </c>
      <c r="P56" s="192" t="s">
        <v>809</v>
      </c>
    </row>
    <row r="57" spans="1:16" x14ac:dyDescent="0.15">
      <c r="A57" s="193" t="s">
        <v>725</v>
      </c>
      <c r="B57" s="470" t="s">
        <v>811</v>
      </c>
      <c r="C57" s="470"/>
      <c r="D57" s="470"/>
      <c r="E57" s="183" t="s">
        <v>55</v>
      </c>
      <c r="F57" s="472">
        <v>25517072.120000001</v>
      </c>
      <c r="G57" s="472"/>
      <c r="H57" s="219" t="s">
        <v>56</v>
      </c>
      <c r="I57" s="186">
        <v>40645</v>
      </c>
      <c r="J57" s="187" t="s">
        <v>71</v>
      </c>
      <c r="K57" s="210">
        <v>51946.614999999998</v>
      </c>
      <c r="L57" s="210"/>
      <c r="O57" s="230">
        <f>+H27</f>
        <v>79974.043999999994</v>
      </c>
      <c r="P57" s="192" t="s">
        <v>810</v>
      </c>
    </row>
    <row r="58" spans="1:16" x14ac:dyDescent="0.15">
      <c r="A58" s="193" t="s">
        <v>791</v>
      </c>
      <c r="B58" s="470" t="s">
        <v>812</v>
      </c>
      <c r="C58" s="470"/>
      <c r="D58" s="470"/>
      <c r="E58" s="183" t="s">
        <v>55</v>
      </c>
      <c r="F58" s="472">
        <v>2602452.0699999998</v>
      </c>
      <c r="G58" s="472"/>
      <c r="H58" s="219" t="s">
        <v>56</v>
      </c>
      <c r="I58" s="186">
        <v>40791</v>
      </c>
      <c r="J58" s="187" t="s">
        <v>71</v>
      </c>
      <c r="K58" s="210">
        <v>18793.031999999999</v>
      </c>
      <c r="L58" s="210"/>
      <c r="O58" s="230"/>
      <c r="P58" s="195"/>
    </row>
    <row r="59" spans="1:16" ht="12" thickBot="1" x14ac:dyDescent="0.2">
      <c r="A59" s="193"/>
      <c r="B59" s="470"/>
      <c r="C59" s="470"/>
      <c r="D59" s="470"/>
      <c r="E59" s="183"/>
      <c r="F59" s="472"/>
      <c r="G59" s="472"/>
      <c r="H59" s="219"/>
      <c r="I59" s="186"/>
      <c r="J59" s="187"/>
      <c r="K59" s="211">
        <f>SUM(K56:K58)</f>
        <v>72634</v>
      </c>
      <c r="L59" s="210"/>
      <c r="O59" s="230"/>
      <c r="P59" s="195"/>
    </row>
    <row r="60" spans="1:16" ht="12" thickTop="1" x14ac:dyDescent="0.15">
      <c r="A60" s="193"/>
      <c r="B60" s="470"/>
      <c r="C60" s="470"/>
      <c r="D60" s="470"/>
      <c r="E60" s="183"/>
      <c r="F60" s="472"/>
      <c r="G60" s="472"/>
      <c r="H60" s="219"/>
      <c r="I60" s="186"/>
      <c r="J60" s="187"/>
      <c r="K60" s="210"/>
      <c r="L60" s="210"/>
      <c r="O60" s="230"/>
      <c r="P60" s="195"/>
    </row>
    <row r="61" spans="1:16" x14ac:dyDescent="0.15">
      <c r="A61" s="133" t="s">
        <v>568</v>
      </c>
      <c r="B61" s="133" t="s">
        <v>9</v>
      </c>
      <c r="C61" s="220" t="s">
        <v>729</v>
      </c>
      <c r="D61" s="220" t="s">
        <v>729</v>
      </c>
      <c r="E61" s="133" t="s">
        <v>570</v>
      </c>
      <c r="F61" s="133" t="s">
        <v>571</v>
      </c>
      <c r="G61" s="133" t="s">
        <v>16</v>
      </c>
      <c r="H61" s="219"/>
      <c r="I61" s="186"/>
      <c r="J61" s="187"/>
      <c r="K61" s="210"/>
      <c r="L61" s="210"/>
      <c r="O61" s="206" t="s">
        <v>33</v>
      </c>
      <c r="P61" s="207">
        <f>SUM(O54:O60)</f>
        <v>529730.04236200941</v>
      </c>
    </row>
    <row r="62" spans="1:16" x14ac:dyDescent="0.15">
      <c r="A62" s="193" t="s">
        <v>724</v>
      </c>
      <c r="B62" s="210">
        <v>1894</v>
      </c>
      <c r="C62" s="221">
        <v>25.478200000000001</v>
      </c>
      <c r="D62" s="237">
        <f>+B62*C62</f>
        <v>48255.710800000001</v>
      </c>
      <c r="E62" s="235">
        <f>+D62*0.01</f>
        <v>482.55710800000003</v>
      </c>
      <c r="F62" s="235">
        <f>+E62*0.1</f>
        <v>48.255710800000003</v>
      </c>
      <c r="G62" s="236">
        <f>+E62+F62</f>
        <v>530.81281880000006</v>
      </c>
      <c r="H62" s="219"/>
      <c r="I62" s="186"/>
      <c r="J62" s="187"/>
      <c r="K62" s="210"/>
      <c r="L62" s="210"/>
      <c r="P62" s="132">
        <f>+P53-P61</f>
        <v>0</v>
      </c>
    </row>
    <row r="63" spans="1:16" x14ac:dyDescent="0.15">
      <c r="A63" s="193" t="s">
        <v>725</v>
      </c>
      <c r="B63" s="210">
        <v>51947</v>
      </c>
      <c r="C63" s="221">
        <v>25.907499999999999</v>
      </c>
      <c r="D63" s="237">
        <f t="shared" ref="D63:D64" si="6">+B63*C63</f>
        <v>1345816.9024999999</v>
      </c>
      <c r="E63" s="235">
        <f t="shared" ref="E63:E64" si="7">+D63*0.01</f>
        <v>13458.169024999999</v>
      </c>
      <c r="F63" s="235">
        <f t="shared" ref="F63:F64" si="8">+E63*0.1</f>
        <v>1345.8169025</v>
      </c>
      <c r="G63" s="236">
        <f t="shared" ref="G63:G64" si="9">+E63+F63</f>
        <v>14803.9859275</v>
      </c>
      <c r="H63" s="219"/>
      <c r="I63" s="186"/>
      <c r="J63" s="187"/>
      <c r="K63" s="210"/>
      <c r="L63" s="210"/>
    </row>
    <row r="64" spans="1:16" x14ac:dyDescent="0.15">
      <c r="A64" s="193" t="s">
        <v>791</v>
      </c>
      <c r="B64" s="210">
        <v>18793</v>
      </c>
      <c r="C64" s="221">
        <v>23.833300000000001</v>
      </c>
      <c r="D64" s="237">
        <f t="shared" si="6"/>
        <v>447899.20690000005</v>
      </c>
      <c r="E64" s="235">
        <f t="shared" si="7"/>
        <v>4478.9920690000008</v>
      </c>
      <c r="F64" s="235">
        <f t="shared" si="8"/>
        <v>447.89920690000008</v>
      </c>
      <c r="G64" s="236">
        <f t="shared" si="9"/>
        <v>4926.8912759000013</v>
      </c>
      <c r="H64" s="219"/>
      <c r="I64" s="186"/>
      <c r="J64" s="187"/>
      <c r="K64" s="210"/>
      <c r="L64" s="210"/>
    </row>
    <row r="65" spans="1:16" ht="12" thickBot="1" x14ac:dyDescent="0.2">
      <c r="A65" s="193"/>
      <c r="B65" s="211">
        <f>SUM(B62:B64)</f>
        <v>72634</v>
      </c>
      <c r="C65" s="221"/>
      <c r="D65" s="221"/>
      <c r="E65" s="224">
        <f>SUM(E62:E64)</f>
        <v>18419.718202</v>
      </c>
      <c r="F65" s="224">
        <f t="shared" ref="F65:G65" si="10">SUM(F62:F64)</f>
        <v>1841.9718202000001</v>
      </c>
      <c r="G65" s="224">
        <f t="shared" si="10"/>
        <v>20261.6900222</v>
      </c>
      <c r="L65" s="210"/>
    </row>
    <row r="66" spans="1:16" ht="12" thickTop="1" x14ac:dyDescent="0.15">
      <c r="A66" s="133"/>
      <c r="B66" s="133"/>
      <c r="C66" s="220"/>
      <c r="F66" s="133"/>
      <c r="L66" s="210"/>
    </row>
    <row r="67" spans="1:16" s="132" customFormat="1" x14ac:dyDescent="0.15">
      <c r="A67" s="133"/>
      <c r="B67" s="133"/>
      <c r="C67" s="220"/>
      <c r="D67" s="133"/>
      <c r="E67" s="133"/>
      <c r="F67" s="133"/>
      <c r="G67" s="133"/>
      <c r="I67" s="133"/>
      <c r="K67" s="134"/>
      <c r="L67" s="210"/>
      <c r="N67" s="134"/>
    </row>
    <row r="68" spans="1:16" s="132" customFormat="1" x14ac:dyDescent="0.15">
      <c r="A68" s="133"/>
      <c r="B68" s="133"/>
      <c r="C68" s="220"/>
      <c r="D68" s="133"/>
      <c r="E68" s="133"/>
      <c r="F68" s="133"/>
      <c r="G68" s="133"/>
    </row>
    <row r="69" spans="1:16" s="132" customFormat="1" x14ac:dyDescent="0.15">
      <c r="A69" s="133"/>
      <c r="C69" s="134"/>
      <c r="D69" s="210"/>
      <c r="F69" s="134"/>
    </row>
    <row r="70" spans="1:16" s="132" customFormat="1" x14ac:dyDescent="0.15">
      <c r="A70" s="133"/>
      <c r="C70" s="134"/>
      <c r="D70" s="210"/>
      <c r="F70" s="134"/>
    </row>
    <row r="71" spans="1:16" s="132" customFormat="1" x14ac:dyDescent="0.15">
      <c r="A71" s="133"/>
      <c r="C71" s="134"/>
      <c r="D71" s="210"/>
      <c r="F71" s="134"/>
    </row>
    <row r="72" spans="1:16" x14ac:dyDescent="0.15">
      <c r="A72" s="133"/>
      <c r="B72" s="132"/>
      <c r="C72" s="134"/>
      <c r="E72" s="132"/>
      <c r="G72" s="132"/>
      <c r="I72" s="134"/>
      <c r="J72" s="134"/>
      <c r="L72" s="134"/>
      <c r="M72" s="134"/>
      <c r="O72" s="238"/>
      <c r="P72" s="134"/>
    </row>
    <row r="73" spans="1:16" x14ac:dyDescent="0.15">
      <c r="A73" s="133"/>
      <c r="B73" s="132"/>
      <c r="C73" s="134"/>
      <c r="E73" s="132"/>
      <c r="G73" s="132"/>
      <c r="I73" s="134"/>
      <c r="J73" s="134"/>
      <c r="L73" s="134"/>
      <c r="M73" s="134"/>
      <c r="O73" s="238"/>
      <c r="P73" s="134"/>
    </row>
    <row r="74" spans="1:16" x14ac:dyDescent="0.15">
      <c r="A74" s="133"/>
      <c r="B74" s="132"/>
      <c r="C74" s="134"/>
      <c r="E74" s="132"/>
      <c r="G74" s="132"/>
      <c r="I74" s="134"/>
      <c r="J74" s="134"/>
      <c r="L74" s="134"/>
      <c r="M74" s="134"/>
      <c r="O74" s="238"/>
      <c r="P74" s="134"/>
    </row>
    <row r="75" spans="1:16" x14ac:dyDescent="0.15">
      <c r="A75" s="133"/>
      <c r="B75" s="132"/>
      <c r="C75" s="134"/>
      <c r="E75" s="132"/>
      <c r="G75" s="132"/>
      <c r="I75" s="134"/>
      <c r="J75" s="134"/>
      <c r="L75" s="134"/>
      <c r="M75" s="134"/>
      <c r="O75" s="238"/>
      <c r="P75" s="134"/>
    </row>
    <row r="76" spans="1:16" x14ac:dyDescent="0.15">
      <c r="A76" s="133"/>
      <c r="B76" s="132"/>
      <c r="C76" s="134"/>
      <c r="E76" s="132"/>
      <c r="G76" s="132"/>
      <c r="I76" s="134"/>
      <c r="J76" s="134"/>
      <c r="L76" s="134"/>
      <c r="M76" s="134"/>
      <c r="O76" s="238"/>
      <c r="P76" s="134"/>
    </row>
    <row r="77" spans="1:16" x14ac:dyDescent="0.15">
      <c r="A77" s="133"/>
      <c r="B77" s="132"/>
      <c r="C77" s="134"/>
      <c r="E77" s="132"/>
      <c r="G77" s="132"/>
      <c r="I77" s="134"/>
      <c r="J77" s="134"/>
      <c r="L77" s="134"/>
      <c r="M77" s="134"/>
      <c r="O77" s="238"/>
      <c r="P77" s="134"/>
    </row>
    <row r="78" spans="1:16" x14ac:dyDescent="0.15">
      <c r="A78" s="133"/>
      <c r="B78" s="132"/>
      <c r="C78" s="134"/>
      <c r="E78" s="132"/>
      <c r="G78" s="132"/>
      <c r="I78" s="134"/>
      <c r="J78" s="134"/>
      <c r="L78" s="134"/>
      <c r="M78" s="134"/>
      <c r="O78" s="238"/>
      <c r="P78" s="134"/>
    </row>
    <row r="79" spans="1:16" x14ac:dyDescent="0.15">
      <c r="A79" s="133"/>
      <c r="B79" s="132"/>
      <c r="C79" s="134"/>
      <c r="E79" s="132"/>
      <c r="G79" s="132"/>
      <c r="I79" s="134"/>
      <c r="J79" s="134"/>
      <c r="L79" s="134"/>
      <c r="M79" s="134"/>
      <c r="O79" s="238"/>
      <c r="P79" s="134"/>
    </row>
  </sheetData>
  <mergeCells count="20">
    <mergeCell ref="B60:D60"/>
    <mergeCell ref="F60:G60"/>
    <mergeCell ref="B57:D57"/>
    <mergeCell ref="F57:G57"/>
    <mergeCell ref="B58:D58"/>
    <mergeCell ref="F58:G58"/>
    <mergeCell ref="B59:D59"/>
    <mergeCell ref="F59:G59"/>
    <mergeCell ref="B54:D54"/>
    <mergeCell ref="F54:G54"/>
    <mergeCell ref="B55:D55"/>
    <mergeCell ref="F55:G55"/>
    <mergeCell ref="B56:D56"/>
    <mergeCell ref="F56:G56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zoomScale="115" zoomScaleNormal="115" workbookViewId="0">
      <pane ySplit="6" topLeftCell="A7" activePane="bottomLeft" state="frozen"/>
      <selection pane="bottomLeft" activeCell="B84" sqref="B84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0.8554687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1.8554687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782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724</v>
      </c>
      <c r="B7" s="146"/>
      <c r="C7" s="147">
        <v>9508.3533620094313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9508.3533620094313</v>
      </c>
      <c r="P7" s="147">
        <f>+C76</f>
        <v>85638.968362009444</v>
      </c>
    </row>
    <row r="8" spans="1:16" x14ac:dyDescent="0.15">
      <c r="A8" s="154" t="s">
        <v>725</v>
      </c>
      <c r="B8" s="151"/>
      <c r="C8" s="152">
        <v>76130.615000000005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9508.3533620094313</v>
      </c>
      <c r="P8" s="152">
        <f t="shared" ref="P8" si="0">P7+H8-J8-M8</f>
        <v>85638.968362009444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72" si="1">+O8-J9-M9</f>
        <v>9508.3533620094313</v>
      </c>
      <c r="P9" s="152">
        <f t="shared" ref="P9:P72" si="2">P8+H9-J9-M9</f>
        <v>85638.968362009444</v>
      </c>
    </row>
    <row r="10" spans="1:16" x14ac:dyDescent="0.15">
      <c r="A10" s="154"/>
      <c r="B10" s="151"/>
      <c r="C10" s="152"/>
      <c r="D10" s="153" t="s">
        <v>789</v>
      </c>
      <c r="E10" s="154" t="s">
        <v>72</v>
      </c>
      <c r="F10" s="157" t="s">
        <v>791</v>
      </c>
      <c r="G10" s="154"/>
      <c r="H10" s="152">
        <v>120049.486</v>
      </c>
      <c r="I10" s="153" t="s">
        <v>789</v>
      </c>
      <c r="J10" s="152"/>
      <c r="K10" s="150"/>
      <c r="L10" s="154"/>
      <c r="M10" s="227"/>
      <c r="N10" s="150"/>
      <c r="O10" s="227">
        <f t="shared" si="1"/>
        <v>9508.3533620094313</v>
      </c>
      <c r="P10" s="152">
        <f t="shared" si="2"/>
        <v>205688.45436200945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783</v>
      </c>
      <c r="J11" s="152"/>
      <c r="K11" s="150"/>
      <c r="L11" s="154" t="s">
        <v>793</v>
      </c>
      <c r="M11" s="227">
        <v>2523</v>
      </c>
      <c r="N11" s="150" t="s">
        <v>724</v>
      </c>
      <c r="O11" s="227">
        <f t="shared" si="1"/>
        <v>6985.3533620094313</v>
      </c>
      <c r="P11" s="152">
        <f t="shared" si="2"/>
        <v>203165.45436200945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784</v>
      </c>
      <c r="J12" s="152"/>
      <c r="K12" s="150"/>
      <c r="L12" s="154" t="s">
        <v>793</v>
      </c>
      <c r="M12" s="227">
        <v>479</v>
      </c>
      <c r="N12" s="154" t="s">
        <v>724</v>
      </c>
      <c r="O12" s="227">
        <f t="shared" si="1"/>
        <v>6506.3533620094313</v>
      </c>
      <c r="P12" s="152">
        <f t="shared" si="2"/>
        <v>202686.45436200945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785</v>
      </c>
      <c r="J13" s="152">
        <v>2071</v>
      </c>
      <c r="K13" s="150" t="s">
        <v>724</v>
      </c>
      <c r="L13" s="154"/>
      <c r="M13" s="227"/>
      <c r="N13" s="154"/>
      <c r="O13" s="227">
        <f t="shared" si="1"/>
        <v>4435.3533620094313</v>
      </c>
      <c r="P13" s="152">
        <f t="shared" si="2"/>
        <v>200615.45436200945</v>
      </c>
    </row>
    <row r="14" spans="1:16" x14ac:dyDescent="0.15">
      <c r="A14" s="154"/>
      <c r="B14" s="151"/>
      <c r="C14" s="152"/>
      <c r="D14" s="153"/>
      <c r="E14" s="153"/>
      <c r="F14" s="157"/>
      <c r="G14" s="154"/>
      <c r="H14" s="152"/>
      <c r="I14" s="153" t="s">
        <v>786</v>
      </c>
      <c r="J14" s="152"/>
      <c r="K14" s="154"/>
      <c r="L14" s="154" t="s">
        <v>793</v>
      </c>
      <c r="M14" s="227">
        <v>1025</v>
      </c>
      <c r="N14" s="154" t="s">
        <v>724</v>
      </c>
      <c r="O14" s="227">
        <f t="shared" si="1"/>
        <v>3410.3533620094313</v>
      </c>
      <c r="P14" s="152">
        <f t="shared" si="2"/>
        <v>199590.45436200945</v>
      </c>
    </row>
    <row r="15" spans="1:16" x14ac:dyDescent="0.15">
      <c r="A15" s="154"/>
      <c r="B15" s="151"/>
      <c r="C15" s="152"/>
      <c r="D15" s="153"/>
      <c r="E15" s="153"/>
      <c r="F15" s="157"/>
      <c r="G15" s="154"/>
      <c r="H15" s="152"/>
      <c r="I15" s="153" t="s">
        <v>787</v>
      </c>
      <c r="J15" s="152">
        <v>266</v>
      </c>
      <c r="K15" s="154" t="s">
        <v>724</v>
      </c>
      <c r="L15" s="154"/>
      <c r="M15" s="227"/>
      <c r="N15" s="154"/>
      <c r="O15" s="227">
        <f t="shared" si="1"/>
        <v>3144.3533620094313</v>
      </c>
      <c r="P15" s="152">
        <f t="shared" si="2"/>
        <v>199324.45436200945</v>
      </c>
    </row>
    <row r="16" spans="1:16" x14ac:dyDescent="0.15">
      <c r="A16" s="154"/>
      <c r="B16" s="151"/>
      <c r="C16" s="152"/>
      <c r="D16" s="153"/>
      <c r="E16" s="153"/>
      <c r="F16" s="157"/>
      <c r="G16" s="154"/>
      <c r="H16" s="152"/>
      <c r="I16" s="153" t="s">
        <v>788</v>
      </c>
      <c r="J16" s="152">
        <v>547</v>
      </c>
      <c r="K16" s="154" t="s">
        <v>724</v>
      </c>
      <c r="L16" s="154"/>
      <c r="M16" s="227"/>
      <c r="N16" s="154"/>
      <c r="O16" s="227">
        <f t="shared" si="1"/>
        <v>2597.3533620094313</v>
      </c>
      <c r="P16" s="152">
        <f t="shared" si="2"/>
        <v>198777.45436200945</v>
      </c>
    </row>
    <row r="17" spans="1:16" x14ac:dyDescent="0.15">
      <c r="A17" s="154"/>
      <c r="B17" s="151"/>
      <c r="C17" s="152"/>
      <c r="D17" s="153" t="s">
        <v>790</v>
      </c>
      <c r="E17" s="154" t="s">
        <v>72</v>
      </c>
      <c r="F17" s="157" t="s">
        <v>792</v>
      </c>
      <c r="G17" s="154"/>
      <c r="H17" s="152">
        <v>39989.455999999998</v>
      </c>
      <c r="I17" s="153" t="s">
        <v>790</v>
      </c>
      <c r="J17" s="152"/>
      <c r="K17" s="154"/>
      <c r="L17" s="154"/>
      <c r="M17" s="227"/>
      <c r="N17" s="154"/>
      <c r="O17" s="227">
        <f t="shared" si="1"/>
        <v>2597.3533620094313</v>
      </c>
      <c r="P17" s="152">
        <f t="shared" si="2"/>
        <v>238766.91036200945</v>
      </c>
    </row>
    <row r="18" spans="1:16" hidden="1" x14ac:dyDescent="0.15">
      <c r="A18" s="154"/>
      <c r="B18" s="151"/>
      <c r="C18" s="152"/>
      <c r="D18" s="153"/>
      <c r="E18" s="153"/>
      <c r="F18" s="157"/>
      <c r="G18" s="154"/>
      <c r="H18" s="152"/>
      <c r="I18" s="153"/>
      <c r="J18" s="152"/>
      <c r="K18" s="154"/>
      <c r="L18" s="154"/>
      <c r="M18" s="227"/>
      <c r="N18" s="154"/>
      <c r="O18" s="227">
        <f t="shared" si="1"/>
        <v>2597.3533620094313</v>
      </c>
      <c r="P18" s="152">
        <f t="shared" si="2"/>
        <v>238766.91036200945</v>
      </c>
    </row>
    <row r="19" spans="1:16" hidden="1" x14ac:dyDescent="0.15">
      <c r="A19" s="154"/>
      <c r="B19" s="151"/>
      <c r="C19" s="152"/>
      <c r="D19" s="153"/>
      <c r="E19" s="153"/>
      <c r="F19" s="157"/>
      <c r="G19" s="154"/>
      <c r="H19" s="152"/>
      <c r="I19" s="153"/>
      <c r="J19" s="152"/>
      <c r="K19" s="154"/>
      <c r="L19" s="154"/>
      <c r="M19" s="227"/>
      <c r="N19" s="154"/>
      <c r="O19" s="227">
        <f t="shared" si="1"/>
        <v>2597.3533620094313</v>
      </c>
      <c r="P19" s="152">
        <f t="shared" si="2"/>
        <v>238766.91036200945</v>
      </c>
    </row>
    <row r="20" spans="1:16" hidden="1" x14ac:dyDescent="0.15">
      <c r="A20" s="154"/>
      <c r="B20" s="151"/>
      <c r="C20" s="152"/>
      <c r="D20" s="153"/>
      <c r="E20" s="153"/>
      <c r="F20" s="157"/>
      <c r="G20" s="154"/>
      <c r="H20" s="152"/>
      <c r="I20" s="153"/>
      <c r="J20" s="152"/>
      <c r="K20" s="154"/>
      <c r="L20" s="154"/>
      <c r="M20" s="227"/>
      <c r="N20" s="154"/>
      <c r="O20" s="227">
        <f t="shared" si="1"/>
        <v>2597.3533620094313</v>
      </c>
      <c r="P20" s="152">
        <f t="shared" si="2"/>
        <v>238766.91036200945</v>
      </c>
    </row>
    <row r="21" spans="1:16" hidden="1" x14ac:dyDescent="0.15">
      <c r="A21" s="154"/>
      <c r="B21" s="151"/>
      <c r="C21" s="152"/>
      <c r="D21" s="153"/>
      <c r="E21" s="153"/>
      <c r="F21" s="157"/>
      <c r="G21" s="154"/>
      <c r="H21" s="152"/>
      <c r="I21" s="153"/>
      <c r="J21" s="152"/>
      <c r="K21" s="154"/>
      <c r="L21" s="154"/>
      <c r="M21" s="227"/>
      <c r="N21" s="154"/>
      <c r="O21" s="227">
        <f t="shared" si="1"/>
        <v>2597.3533620094313</v>
      </c>
      <c r="P21" s="152">
        <f t="shared" si="2"/>
        <v>238766.91036200945</v>
      </c>
    </row>
    <row r="22" spans="1:16" hidden="1" x14ac:dyDescent="0.15">
      <c r="A22" s="154"/>
      <c r="B22" s="151"/>
      <c r="C22" s="152"/>
      <c r="D22" s="153"/>
      <c r="E22" s="153"/>
      <c r="F22" s="157"/>
      <c r="G22" s="154"/>
      <c r="H22" s="152"/>
      <c r="I22" s="153"/>
      <c r="J22" s="152"/>
      <c r="K22" s="150"/>
      <c r="L22" s="154"/>
      <c r="M22" s="227"/>
      <c r="N22" s="154"/>
      <c r="O22" s="227">
        <f t="shared" si="1"/>
        <v>2597.3533620094313</v>
      </c>
      <c r="P22" s="152">
        <f t="shared" si="2"/>
        <v>238766.91036200945</v>
      </c>
    </row>
    <row r="23" spans="1:16" hidden="1" x14ac:dyDescent="0.15">
      <c r="A23" s="154"/>
      <c r="B23" s="151"/>
      <c r="C23" s="152"/>
      <c r="D23" s="153"/>
      <c r="E23" s="153"/>
      <c r="F23" s="157"/>
      <c r="G23" s="154"/>
      <c r="H23" s="152"/>
      <c r="I23" s="153"/>
      <c r="J23" s="152"/>
      <c r="K23" s="154"/>
      <c r="L23" s="154"/>
      <c r="M23" s="227"/>
      <c r="N23" s="154"/>
      <c r="O23" s="227">
        <f t="shared" si="1"/>
        <v>2597.3533620094313</v>
      </c>
      <c r="P23" s="152">
        <f t="shared" si="2"/>
        <v>238766.91036200945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4"/>
      <c r="L24" s="154"/>
      <c r="M24" s="227"/>
      <c r="N24" s="154"/>
      <c r="O24" s="227">
        <f t="shared" si="1"/>
        <v>2597.3533620094313</v>
      </c>
      <c r="P24" s="152">
        <f t="shared" si="2"/>
        <v>238766.91036200945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227"/>
      <c r="N25" s="154"/>
      <c r="O25" s="227">
        <f t="shared" si="1"/>
        <v>2597.3533620094313</v>
      </c>
      <c r="P25" s="152">
        <f t="shared" si="2"/>
        <v>238766.91036200945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4"/>
      <c r="L26" s="154"/>
      <c r="M26" s="227"/>
      <c r="N26" s="154"/>
      <c r="O26" s="227">
        <f t="shared" si="1"/>
        <v>2597.3533620094313</v>
      </c>
      <c r="P26" s="152">
        <f t="shared" si="2"/>
        <v>238766.91036200945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227"/>
      <c r="N27" s="157"/>
      <c r="O27" s="227">
        <f t="shared" si="1"/>
        <v>2597.3533620094313</v>
      </c>
      <c r="P27" s="152">
        <f t="shared" si="2"/>
        <v>238766.91036200945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4"/>
      <c r="L28" s="154"/>
      <c r="M28" s="227"/>
      <c r="N28" s="157"/>
      <c r="O28" s="227">
        <f t="shared" si="1"/>
        <v>2597.3533620094313</v>
      </c>
      <c r="P28" s="152">
        <f t="shared" si="2"/>
        <v>238766.91036200945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4"/>
      <c r="L29" s="154"/>
      <c r="M29" s="227"/>
      <c r="N29" s="154"/>
      <c r="O29" s="227">
        <f t="shared" si="1"/>
        <v>2597.3533620094313</v>
      </c>
      <c r="P29" s="152">
        <f t="shared" si="2"/>
        <v>238766.91036200945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4"/>
      <c r="L30" s="154"/>
      <c r="M30" s="227"/>
      <c r="N30" s="157"/>
      <c r="O30" s="227">
        <f t="shared" si="1"/>
        <v>2597.3533620094313</v>
      </c>
      <c r="P30" s="152">
        <f t="shared" si="2"/>
        <v>238766.91036200945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4"/>
      <c r="L31" s="154"/>
      <c r="M31" s="227"/>
      <c r="N31" s="157"/>
      <c r="O31" s="227">
        <f t="shared" si="1"/>
        <v>2597.3533620094313</v>
      </c>
      <c r="P31" s="152">
        <f t="shared" si="2"/>
        <v>238766.91036200945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227"/>
      <c r="N32" s="157"/>
      <c r="O32" s="227">
        <f t="shared" si="1"/>
        <v>2597.3533620094313</v>
      </c>
      <c r="P32" s="152">
        <f t="shared" si="2"/>
        <v>238766.91036200945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227"/>
      <c r="N33" s="157"/>
      <c r="O33" s="227">
        <f t="shared" si="1"/>
        <v>2597.3533620094313</v>
      </c>
      <c r="P33" s="152">
        <f t="shared" si="2"/>
        <v>238766.91036200945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7"/>
      <c r="L34" s="154"/>
      <c r="M34" s="227"/>
      <c r="N34" s="157"/>
      <c r="O34" s="227">
        <f t="shared" si="1"/>
        <v>2597.3533620094313</v>
      </c>
      <c r="P34" s="152">
        <f t="shared" si="2"/>
        <v>238766.91036200945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7"/>
      <c r="L35" s="154"/>
      <c r="M35" s="227"/>
      <c r="N35" s="157"/>
      <c r="O35" s="227">
        <f t="shared" si="1"/>
        <v>2597.3533620094313</v>
      </c>
      <c r="P35" s="152">
        <f t="shared" si="2"/>
        <v>238766.91036200945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227"/>
      <c r="N36" s="157"/>
      <c r="O36" s="227">
        <f t="shared" si="1"/>
        <v>2597.3533620094313</v>
      </c>
      <c r="P36" s="152">
        <f t="shared" si="2"/>
        <v>238766.91036200945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7"/>
      <c r="L37" s="154"/>
      <c r="M37" s="227"/>
      <c r="N37" s="157"/>
      <c r="O37" s="227">
        <f t="shared" si="1"/>
        <v>2597.3533620094313</v>
      </c>
      <c r="P37" s="152">
        <f t="shared" si="2"/>
        <v>238766.91036200945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7"/>
      <c r="L38" s="154"/>
      <c r="M38" s="227"/>
      <c r="N38" s="157"/>
      <c r="O38" s="227">
        <f t="shared" si="1"/>
        <v>2597.3533620094313</v>
      </c>
      <c r="P38" s="152">
        <f t="shared" si="2"/>
        <v>238766.91036200945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227"/>
      <c r="N39" s="157"/>
      <c r="O39" s="227">
        <f t="shared" si="1"/>
        <v>2597.3533620094313</v>
      </c>
      <c r="P39" s="152">
        <f t="shared" si="2"/>
        <v>238766.91036200945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227"/>
      <c r="N40" s="157"/>
      <c r="O40" s="227">
        <f t="shared" si="1"/>
        <v>2597.3533620094313</v>
      </c>
      <c r="P40" s="152">
        <f t="shared" si="2"/>
        <v>238766.91036200945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227"/>
      <c r="N41" s="157"/>
      <c r="O41" s="227">
        <f t="shared" si="1"/>
        <v>2597.3533620094313</v>
      </c>
      <c r="P41" s="152">
        <f t="shared" si="2"/>
        <v>238766.91036200945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227"/>
      <c r="N42" s="157"/>
      <c r="O42" s="227">
        <f t="shared" si="1"/>
        <v>2597.3533620094313</v>
      </c>
      <c r="P42" s="152">
        <f t="shared" si="2"/>
        <v>238766.91036200945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0"/>
      <c r="L43" s="154"/>
      <c r="M43" s="227"/>
      <c r="N43" s="157"/>
      <c r="O43" s="227">
        <f t="shared" si="1"/>
        <v>2597.3533620094313</v>
      </c>
      <c r="P43" s="152">
        <f t="shared" si="2"/>
        <v>238766.91036200945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0"/>
      <c r="L44" s="154"/>
      <c r="M44" s="227"/>
      <c r="N44" s="157"/>
      <c r="O44" s="227">
        <f t="shared" si="1"/>
        <v>2597.3533620094313</v>
      </c>
      <c r="P44" s="152">
        <f t="shared" si="2"/>
        <v>238766.91036200945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7"/>
      <c r="L45" s="154"/>
      <c r="M45" s="227"/>
      <c r="N45" s="157"/>
      <c r="O45" s="227">
        <f t="shared" si="1"/>
        <v>2597.3533620094313</v>
      </c>
      <c r="P45" s="152">
        <f t="shared" si="2"/>
        <v>238766.91036200945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7"/>
      <c r="L46" s="154"/>
      <c r="M46" s="227"/>
      <c r="N46" s="157"/>
      <c r="O46" s="227">
        <f t="shared" si="1"/>
        <v>2597.3533620094313</v>
      </c>
      <c r="P46" s="152">
        <f t="shared" si="2"/>
        <v>238766.91036200945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227"/>
      <c r="N47" s="157"/>
      <c r="O47" s="227">
        <f t="shared" si="1"/>
        <v>2597.3533620094313</v>
      </c>
      <c r="P47" s="152">
        <f t="shared" si="2"/>
        <v>238766.91036200945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227"/>
      <c r="N48" s="157"/>
      <c r="O48" s="227">
        <f t="shared" si="1"/>
        <v>2597.3533620094313</v>
      </c>
      <c r="P48" s="152">
        <f t="shared" si="2"/>
        <v>238766.91036200945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7"/>
      <c r="L49" s="154"/>
      <c r="M49" s="227"/>
      <c r="N49" s="157"/>
      <c r="O49" s="227">
        <f t="shared" si="1"/>
        <v>2597.3533620094313</v>
      </c>
      <c r="P49" s="152">
        <f t="shared" si="2"/>
        <v>238766.91036200945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0"/>
      <c r="L50" s="154"/>
      <c r="M50" s="227"/>
      <c r="N50" s="157"/>
      <c r="O50" s="227">
        <f t="shared" si="1"/>
        <v>2597.3533620094313</v>
      </c>
      <c r="P50" s="152">
        <f t="shared" si="2"/>
        <v>238766.91036200945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227"/>
      <c r="N51" s="157"/>
      <c r="O51" s="227">
        <f t="shared" si="1"/>
        <v>2597.3533620094313</v>
      </c>
      <c r="P51" s="152">
        <f t="shared" si="2"/>
        <v>238766.91036200945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7"/>
      <c r="L52" s="154"/>
      <c r="M52" s="227"/>
      <c r="N52" s="157"/>
      <c r="O52" s="227">
        <f t="shared" si="1"/>
        <v>2597.3533620094313</v>
      </c>
      <c r="P52" s="152">
        <f t="shared" si="2"/>
        <v>238766.91036200945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7"/>
      <c r="L53" s="154"/>
      <c r="M53" s="227"/>
      <c r="N53" s="157"/>
      <c r="O53" s="227">
        <f t="shared" si="1"/>
        <v>2597.3533620094313</v>
      </c>
      <c r="P53" s="152">
        <f t="shared" si="2"/>
        <v>238766.91036200945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227"/>
      <c r="N54" s="157"/>
      <c r="O54" s="227">
        <f t="shared" si="1"/>
        <v>2597.3533620094313</v>
      </c>
      <c r="P54" s="152">
        <f t="shared" si="2"/>
        <v>238766.91036200945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7"/>
      <c r="L55" s="154"/>
      <c r="M55" s="227"/>
      <c r="N55" s="157"/>
      <c r="O55" s="227">
        <f t="shared" si="1"/>
        <v>2597.3533620094313</v>
      </c>
      <c r="P55" s="152">
        <f t="shared" si="2"/>
        <v>238766.91036200945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227"/>
      <c r="N56" s="157"/>
      <c r="O56" s="227">
        <f t="shared" si="1"/>
        <v>2597.3533620094313</v>
      </c>
      <c r="P56" s="152">
        <f t="shared" si="2"/>
        <v>238766.91036200945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227"/>
      <c r="N57" s="157"/>
      <c r="O57" s="227">
        <f t="shared" si="1"/>
        <v>2597.3533620094313</v>
      </c>
      <c r="P57" s="152">
        <f t="shared" si="2"/>
        <v>238766.91036200945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227"/>
      <c r="N58" s="157"/>
      <c r="O58" s="227">
        <f t="shared" si="1"/>
        <v>2597.3533620094313</v>
      </c>
      <c r="P58" s="152">
        <f t="shared" si="2"/>
        <v>238766.91036200945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7"/>
      <c r="L59" s="154"/>
      <c r="M59" s="227"/>
      <c r="N59" s="157"/>
      <c r="O59" s="227">
        <f t="shared" si="1"/>
        <v>2597.3533620094313</v>
      </c>
      <c r="P59" s="152">
        <f t="shared" si="2"/>
        <v>238766.91036200945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0"/>
      <c r="L60" s="154"/>
      <c r="M60" s="227"/>
      <c r="N60" s="157"/>
      <c r="O60" s="227">
        <f t="shared" si="1"/>
        <v>2597.3533620094313</v>
      </c>
      <c r="P60" s="152">
        <f t="shared" si="2"/>
        <v>238766.91036200945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0"/>
      <c r="L61" s="154"/>
      <c r="M61" s="227"/>
      <c r="N61" s="157"/>
      <c r="O61" s="227">
        <f t="shared" si="1"/>
        <v>2597.3533620094313</v>
      </c>
      <c r="P61" s="152">
        <f t="shared" si="2"/>
        <v>238766.91036200945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0"/>
      <c r="L62" s="154"/>
      <c r="M62" s="227"/>
      <c r="N62" s="157"/>
      <c r="O62" s="227">
        <f t="shared" si="1"/>
        <v>2597.3533620094313</v>
      </c>
      <c r="P62" s="152">
        <f t="shared" si="2"/>
        <v>238766.91036200945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227"/>
      <c r="N63" s="157"/>
      <c r="O63" s="227">
        <f t="shared" si="1"/>
        <v>2597.3533620094313</v>
      </c>
      <c r="P63" s="152">
        <f t="shared" si="2"/>
        <v>238766.91036200945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227"/>
      <c r="N64" s="157"/>
      <c r="O64" s="227">
        <f t="shared" si="1"/>
        <v>2597.3533620094313</v>
      </c>
      <c r="P64" s="152">
        <f t="shared" si="2"/>
        <v>238766.91036200945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0"/>
      <c r="L65" s="154"/>
      <c r="M65" s="227"/>
      <c r="N65" s="157"/>
      <c r="O65" s="227">
        <f t="shared" si="1"/>
        <v>2597.3533620094313</v>
      </c>
      <c r="P65" s="152">
        <f t="shared" si="2"/>
        <v>238766.91036200945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227"/>
      <c r="N66" s="157"/>
      <c r="O66" s="227">
        <f t="shared" si="1"/>
        <v>2597.3533620094313</v>
      </c>
      <c r="P66" s="152">
        <f t="shared" si="2"/>
        <v>238766.91036200945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0"/>
      <c r="L67" s="154"/>
      <c r="M67" s="227"/>
      <c r="N67" s="157"/>
      <c r="O67" s="227">
        <f t="shared" si="1"/>
        <v>2597.3533620094313</v>
      </c>
      <c r="P67" s="152">
        <f t="shared" si="2"/>
        <v>238766.91036200945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0"/>
      <c r="L68" s="154"/>
      <c r="M68" s="227"/>
      <c r="N68" s="157"/>
      <c r="O68" s="227">
        <f t="shared" si="1"/>
        <v>2597.3533620094313</v>
      </c>
      <c r="P68" s="152">
        <f t="shared" si="2"/>
        <v>238766.91036200945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0"/>
      <c r="L69" s="154"/>
      <c r="M69" s="227"/>
      <c r="N69" s="157"/>
      <c r="O69" s="227">
        <f t="shared" si="1"/>
        <v>2597.3533620094313</v>
      </c>
      <c r="P69" s="152">
        <f t="shared" si="2"/>
        <v>238766.91036200945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0"/>
      <c r="L70" s="154"/>
      <c r="M70" s="227"/>
      <c r="N70" s="157"/>
      <c r="O70" s="227">
        <f t="shared" si="1"/>
        <v>2597.3533620094313</v>
      </c>
      <c r="P70" s="152">
        <f t="shared" si="2"/>
        <v>238766.91036200945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227"/>
      <c r="N71" s="157"/>
      <c r="O71" s="227">
        <f t="shared" si="1"/>
        <v>2597.3533620094313</v>
      </c>
      <c r="P71" s="152">
        <f t="shared" si="2"/>
        <v>238766.91036200945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227"/>
      <c r="N72" s="157"/>
      <c r="O72" s="227">
        <f t="shared" si="1"/>
        <v>2597.3533620094313</v>
      </c>
      <c r="P72" s="152">
        <f t="shared" si="2"/>
        <v>238766.91036200945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227"/>
      <c r="N73" s="150"/>
      <c r="O73" s="227">
        <f t="shared" ref="O73:O75" si="3">+O72-J73-M73</f>
        <v>2597.3533620094313</v>
      </c>
      <c r="P73" s="152">
        <f t="shared" ref="P73:P75" si="4">P72+H73-J73-M73</f>
        <v>238766.91036200945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227"/>
      <c r="N74" s="157"/>
      <c r="O74" s="227">
        <f t="shared" si="3"/>
        <v>2597.3533620094313</v>
      </c>
      <c r="P74" s="152">
        <f t="shared" si="4"/>
        <v>238766.91036200945</v>
      </c>
    </row>
    <row r="75" spans="1:16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3"/>
        <v>2597.3533620094313</v>
      </c>
      <c r="P75" s="152">
        <f t="shared" si="4"/>
        <v>238766.91036200945</v>
      </c>
    </row>
    <row r="76" spans="1:16" x14ac:dyDescent="0.15">
      <c r="A76" s="177"/>
      <c r="B76" s="177"/>
      <c r="C76" s="178">
        <f>SUM(C7:C74)</f>
        <v>85638.968362009444</v>
      </c>
      <c r="D76" s="177"/>
      <c r="E76" s="177"/>
      <c r="F76" s="177"/>
      <c r="G76" s="177"/>
      <c r="H76" s="178">
        <f>SUM(H7:H74)</f>
        <v>160038.94200000001</v>
      </c>
      <c r="I76" s="179"/>
      <c r="J76" s="178">
        <f>SUM(J7:J74)</f>
        <v>2884</v>
      </c>
      <c r="K76" s="177"/>
      <c r="L76" s="177"/>
      <c r="M76" s="229">
        <f>SUM(M9:M74)</f>
        <v>4027</v>
      </c>
      <c r="N76" s="177"/>
      <c r="O76" s="180"/>
      <c r="P76" s="181">
        <f>C76+H76-J76-M76</f>
        <v>238766.91036200945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6911</v>
      </c>
      <c r="N77" s="188"/>
      <c r="O77" s="230">
        <f>+O75</f>
        <v>2597.3533620094313</v>
      </c>
      <c r="P77" s="195" t="s">
        <v>724</v>
      </c>
    </row>
    <row r="78" spans="1:16" x14ac:dyDescent="0.15">
      <c r="A78" s="193"/>
      <c r="B78" s="470"/>
      <c r="C78" s="470"/>
      <c r="D78" s="470"/>
      <c r="E78" s="183"/>
      <c r="F78" s="472"/>
      <c r="G78" s="472"/>
      <c r="H78" s="219"/>
      <c r="I78" s="186"/>
      <c r="J78" s="187"/>
      <c r="K78" s="210"/>
      <c r="L78" s="210"/>
      <c r="O78" s="230">
        <v>76130.615000000005</v>
      </c>
      <c r="P78" s="195" t="s">
        <v>725</v>
      </c>
    </row>
    <row r="79" spans="1:16" x14ac:dyDescent="0.15">
      <c r="A79" s="193" t="s">
        <v>724</v>
      </c>
      <c r="B79" s="470" t="s">
        <v>730</v>
      </c>
      <c r="C79" s="470"/>
      <c r="D79" s="470"/>
      <c r="E79" s="183" t="s">
        <v>55</v>
      </c>
      <c r="F79" s="472">
        <v>46087131.859999999</v>
      </c>
      <c r="G79" s="472"/>
      <c r="H79" s="219" t="s">
        <v>56</v>
      </c>
      <c r="I79" s="186">
        <v>40644</v>
      </c>
      <c r="J79" s="187" t="s">
        <v>71</v>
      </c>
      <c r="K79" s="210">
        <f>SUM(M11:M14)</f>
        <v>4027</v>
      </c>
      <c r="L79" s="210"/>
      <c r="O79" s="230">
        <v>120049.486</v>
      </c>
      <c r="P79" s="192" t="s">
        <v>791</v>
      </c>
    </row>
    <row r="80" spans="1:16" x14ac:dyDescent="0.15">
      <c r="A80" s="193"/>
      <c r="B80" s="470"/>
      <c r="C80" s="470"/>
      <c r="D80" s="470"/>
      <c r="E80" s="183"/>
      <c r="F80" s="472"/>
      <c r="G80" s="472"/>
      <c r="H80" s="219"/>
      <c r="I80" s="186"/>
      <c r="J80" s="187"/>
      <c r="K80" s="210"/>
      <c r="L80" s="210"/>
      <c r="O80" s="230">
        <v>39989.455999999998</v>
      </c>
      <c r="P80" s="192" t="s">
        <v>792</v>
      </c>
    </row>
    <row r="81" spans="1:16" x14ac:dyDescent="0.15">
      <c r="A81" s="193"/>
      <c r="B81" s="470"/>
      <c r="C81" s="470"/>
      <c r="D81" s="470"/>
      <c r="E81" s="183"/>
      <c r="F81" s="472"/>
      <c r="G81" s="472"/>
      <c r="H81" s="219"/>
      <c r="I81" s="186"/>
      <c r="J81" s="187"/>
      <c r="K81" s="210"/>
      <c r="L81" s="210"/>
      <c r="O81" s="230"/>
      <c r="P81" s="195"/>
    </row>
    <row r="82" spans="1:16" x14ac:dyDescent="0.15">
      <c r="A82" s="133" t="s">
        <v>568</v>
      </c>
      <c r="B82" s="133" t="s">
        <v>9</v>
      </c>
      <c r="C82" s="220" t="s">
        <v>729</v>
      </c>
      <c r="D82" s="220" t="s">
        <v>729</v>
      </c>
      <c r="E82" s="133" t="s">
        <v>570</v>
      </c>
      <c r="F82" s="133" t="s">
        <v>571</v>
      </c>
      <c r="G82" s="133" t="s">
        <v>16</v>
      </c>
      <c r="H82" s="219"/>
      <c r="I82" s="186"/>
      <c r="J82" s="187"/>
      <c r="K82" s="210"/>
      <c r="L82" s="210"/>
      <c r="O82" s="230"/>
      <c r="P82" s="195"/>
    </row>
    <row r="83" spans="1:16" x14ac:dyDescent="0.15">
      <c r="A83" s="193" t="s">
        <v>724</v>
      </c>
      <c r="B83" s="210">
        <v>4027</v>
      </c>
      <c r="C83" s="221">
        <v>25.478200000000001</v>
      </c>
      <c r="D83" s="237">
        <f>+B83*C83</f>
        <v>102600.7114</v>
      </c>
      <c r="E83" s="235">
        <f>+D83*0.01</f>
        <v>1026.007114</v>
      </c>
      <c r="F83" s="235">
        <f>+E83*0.1</f>
        <v>102.60071140000001</v>
      </c>
      <c r="G83" s="236">
        <f>+E83+F83</f>
        <v>1128.6078253999999</v>
      </c>
      <c r="H83" s="219"/>
      <c r="I83" s="186"/>
      <c r="J83" s="187"/>
      <c r="K83" s="210"/>
      <c r="L83" s="210"/>
      <c r="O83" s="230"/>
      <c r="P83" s="195"/>
    </row>
    <row r="84" spans="1:16" ht="12" thickBot="1" x14ac:dyDescent="0.2">
      <c r="A84" s="193"/>
      <c r="B84" s="211">
        <f>SUM(B82:B83)</f>
        <v>4027</v>
      </c>
      <c r="C84" s="221"/>
      <c r="D84" s="221"/>
      <c r="E84" s="224">
        <f>SUM(E82:E83)</f>
        <v>1026.007114</v>
      </c>
      <c r="F84" s="224">
        <f t="shared" ref="F84:G84" si="5">SUM(F82:F83)</f>
        <v>102.60071140000001</v>
      </c>
      <c r="G84" s="224">
        <f t="shared" si="5"/>
        <v>1128.6078253999999</v>
      </c>
      <c r="H84" s="219"/>
      <c r="I84" s="186"/>
      <c r="J84" s="187"/>
      <c r="K84" s="210"/>
      <c r="L84" s="210"/>
      <c r="O84" s="206" t="s">
        <v>33</v>
      </c>
      <c r="P84" s="207">
        <f>SUM(O77:O83)</f>
        <v>238766.91036200945</v>
      </c>
    </row>
    <row r="85" spans="1:16" ht="12" thickTop="1" x14ac:dyDescent="0.15">
      <c r="A85" s="133"/>
      <c r="B85" s="133"/>
      <c r="C85" s="220"/>
      <c r="F85" s="133"/>
      <c r="H85" s="133"/>
      <c r="I85" s="187"/>
      <c r="J85" s="210"/>
      <c r="K85" s="210"/>
      <c r="L85" s="210"/>
      <c r="P85" s="132">
        <f>+P76-P84</f>
        <v>0</v>
      </c>
    </row>
    <row r="86" spans="1:16" x14ac:dyDescent="0.15">
      <c r="A86" s="133"/>
      <c r="B86" s="133"/>
      <c r="C86" s="220"/>
      <c r="F86" s="133"/>
      <c r="H86" s="133"/>
      <c r="I86" s="187"/>
      <c r="J86" s="210"/>
      <c r="K86" s="210"/>
      <c r="L86" s="210"/>
    </row>
    <row r="87" spans="1:16" x14ac:dyDescent="0.15">
      <c r="A87" s="133"/>
      <c r="B87" s="133"/>
      <c r="C87" s="220"/>
      <c r="F87" s="133"/>
      <c r="H87" s="133"/>
      <c r="I87" s="187"/>
      <c r="J87" s="210"/>
      <c r="K87" s="210"/>
      <c r="L87" s="210"/>
    </row>
    <row r="88" spans="1:16" x14ac:dyDescent="0.15">
      <c r="A88" s="133"/>
      <c r="B88" s="133"/>
      <c r="C88" s="220"/>
      <c r="F88" s="133"/>
      <c r="H88" s="133"/>
      <c r="I88" s="187"/>
      <c r="J88" s="210"/>
      <c r="K88" s="210"/>
      <c r="L88" s="210"/>
    </row>
    <row r="89" spans="1:16" x14ac:dyDescent="0.15">
      <c r="A89" s="133"/>
      <c r="B89" s="133"/>
      <c r="C89" s="220"/>
      <c r="F89" s="133"/>
      <c r="L89" s="210"/>
    </row>
    <row r="90" spans="1:16" x14ac:dyDescent="0.15">
      <c r="A90" s="133"/>
      <c r="B90" s="133"/>
      <c r="C90" s="220"/>
      <c r="F90" s="133"/>
      <c r="L90" s="210"/>
    </row>
    <row r="91" spans="1:16" x14ac:dyDescent="0.15">
      <c r="A91" s="133"/>
      <c r="B91" s="133"/>
      <c r="C91" s="220"/>
      <c r="F91" s="133"/>
      <c r="L91" s="210"/>
    </row>
    <row r="92" spans="1:16" x14ac:dyDescent="0.15">
      <c r="L92" s="210"/>
    </row>
    <row r="93" spans="1:16" x14ac:dyDescent="0.15">
      <c r="L93" s="210"/>
    </row>
    <row r="94" spans="1:16" s="132" customFormat="1" x14ac:dyDescent="0.15">
      <c r="A94" s="134"/>
      <c r="B94" s="131"/>
      <c r="D94" s="133"/>
      <c r="E94" s="133"/>
      <c r="F94" s="134"/>
      <c r="G94" s="133"/>
      <c r="I94" s="133"/>
      <c r="K94" s="134"/>
      <c r="L94" s="210"/>
      <c r="N94" s="134"/>
    </row>
    <row r="95" spans="1:16" s="132" customFormat="1" x14ac:dyDescent="0.15">
      <c r="A95" s="133"/>
      <c r="C95" s="134"/>
      <c r="D95" s="210"/>
      <c r="F95" s="134"/>
    </row>
    <row r="96" spans="1:16" s="132" customFormat="1" x14ac:dyDescent="0.15">
      <c r="A96" s="133"/>
      <c r="C96" s="134"/>
      <c r="D96" s="210"/>
      <c r="F96" s="134"/>
    </row>
    <row r="97" spans="1:16" s="132" customFormat="1" x14ac:dyDescent="0.15">
      <c r="A97" s="133"/>
      <c r="C97" s="134"/>
      <c r="D97" s="210"/>
      <c r="F97" s="134"/>
    </row>
    <row r="98" spans="1:16" s="132" customFormat="1" x14ac:dyDescent="0.15">
      <c r="A98" s="133"/>
      <c r="C98" s="134"/>
      <c r="D98" s="210"/>
      <c r="F98" s="134"/>
    </row>
    <row r="99" spans="1:16" x14ac:dyDescent="0.15">
      <c r="A99" s="133"/>
      <c r="B99" s="132"/>
      <c r="C99" s="134"/>
      <c r="E99" s="132"/>
      <c r="G99" s="132"/>
      <c r="I99" s="134"/>
      <c r="J99" s="134"/>
      <c r="L99" s="134"/>
      <c r="M99" s="134"/>
      <c r="O99" s="134"/>
      <c r="P99" s="134"/>
    </row>
    <row r="100" spans="1:16" x14ac:dyDescent="0.15">
      <c r="A100" s="133"/>
      <c r="B100" s="132"/>
      <c r="C100" s="134"/>
      <c r="E100" s="132"/>
      <c r="G100" s="132"/>
      <c r="I100" s="134"/>
      <c r="J100" s="134"/>
      <c r="L100" s="134"/>
      <c r="M100" s="134"/>
      <c r="O100" s="134"/>
      <c r="P100" s="134"/>
    </row>
    <row r="101" spans="1:16" x14ac:dyDescent="0.15">
      <c r="A101" s="133"/>
      <c r="B101" s="132"/>
      <c r="C101" s="134"/>
      <c r="E101" s="132"/>
      <c r="G101" s="132"/>
      <c r="I101" s="134"/>
      <c r="J101" s="134"/>
      <c r="L101" s="134"/>
      <c r="M101" s="134"/>
      <c r="O101" s="134"/>
      <c r="P101" s="134"/>
    </row>
    <row r="102" spans="1:16" x14ac:dyDescent="0.15">
      <c r="A102" s="133"/>
      <c r="B102" s="132"/>
      <c r="C102" s="134"/>
      <c r="E102" s="132"/>
      <c r="G102" s="132"/>
      <c r="I102" s="134"/>
      <c r="J102" s="134"/>
      <c r="L102" s="134"/>
      <c r="M102" s="134"/>
      <c r="O102" s="134"/>
      <c r="P102" s="134"/>
    </row>
    <row r="103" spans="1:16" x14ac:dyDescent="0.15">
      <c r="A103" s="133"/>
      <c r="B103" s="132"/>
      <c r="C103" s="134"/>
      <c r="E103" s="132"/>
      <c r="G103" s="132"/>
      <c r="I103" s="134"/>
      <c r="J103" s="134"/>
      <c r="L103" s="134"/>
      <c r="M103" s="134"/>
      <c r="O103" s="134"/>
      <c r="P103" s="134"/>
    </row>
    <row r="104" spans="1:16" x14ac:dyDescent="0.15">
      <c r="A104" s="133"/>
      <c r="B104" s="132"/>
      <c r="C104" s="134"/>
      <c r="E104" s="132"/>
      <c r="G104" s="132"/>
      <c r="I104" s="134"/>
      <c r="J104" s="134"/>
      <c r="L104" s="134"/>
      <c r="M104" s="134"/>
      <c r="O104" s="134"/>
      <c r="P104" s="134"/>
    </row>
    <row r="105" spans="1:16" x14ac:dyDescent="0.15">
      <c r="A105" s="133"/>
      <c r="B105" s="132"/>
      <c r="C105" s="134"/>
      <c r="E105" s="132"/>
      <c r="G105" s="132"/>
      <c r="I105" s="134"/>
      <c r="J105" s="134"/>
      <c r="L105" s="134"/>
      <c r="M105" s="134"/>
      <c r="O105" s="134"/>
      <c r="P105" s="134"/>
    </row>
    <row r="106" spans="1:16" x14ac:dyDescent="0.15">
      <c r="A106" s="133"/>
      <c r="B106" s="132"/>
      <c r="C106" s="134"/>
      <c r="E106" s="132"/>
      <c r="G106" s="132"/>
      <c r="I106" s="134"/>
      <c r="J106" s="134"/>
      <c r="L106" s="134"/>
      <c r="M106" s="134"/>
      <c r="O106" s="134"/>
      <c r="P106" s="134"/>
    </row>
  </sheetData>
  <mergeCells count="16">
    <mergeCell ref="J3:L3"/>
    <mergeCell ref="A4:C4"/>
    <mergeCell ref="D4:H4"/>
    <mergeCell ref="I4:N4"/>
    <mergeCell ref="J5:K5"/>
    <mergeCell ref="L5:N5"/>
    <mergeCell ref="B80:D80"/>
    <mergeCell ref="F80:G80"/>
    <mergeCell ref="B81:D81"/>
    <mergeCell ref="F81:G81"/>
    <mergeCell ref="B77:D77"/>
    <mergeCell ref="F77:G77"/>
    <mergeCell ref="B78:D78"/>
    <mergeCell ref="F78:G78"/>
    <mergeCell ref="B79:D79"/>
    <mergeCell ref="F79:G79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zoomScale="115" zoomScaleNormal="115" workbookViewId="0">
      <pane ySplit="6" topLeftCell="A7" activePane="bottomLeft" state="frozen"/>
      <selection pane="bottomLeft" activeCell="O78" sqref="O78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0.8554687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1.8554687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762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724</v>
      </c>
      <c r="B7" s="146"/>
      <c r="C7" s="147">
        <v>39785.353362009431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39785.353362009431</v>
      </c>
      <c r="P7" s="147">
        <f>+C76</f>
        <v>115915.96836200944</v>
      </c>
    </row>
    <row r="8" spans="1:16" x14ac:dyDescent="0.15">
      <c r="A8" s="154" t="s">
        <v>725</v>
      </c>
      <c r="B8" s="151"/>
      <c r="C8" s="152">
        <v>76130.615000000005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39785.353362009431</v>
      </c>
      <c r="P8" s="152">
        <f t="shared" ref="P8:P71" si="0">P7+H8-J8-M8</f>
        <v>115915.96836200944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72" si="1">+O8-J9-M9</f>
        <v>39785.353362009431</v>
      </c>
      <c r="P9" s="152">
        <f t="shared" si="0"/>
        <v>115915.96836200944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 t="s">
        <v>763</v>
      </c>
      <c r="J10" s="152"/>
      <c r="K10" s="150"/>
      <c r="L10" s="154" t="s">
        <v>781</v>
      </c>
      <c r="M10" s="227">
        <v>613</v>
      </c>
      <c r="N10" s="150" t="s">
        <v>724</v>
      </c>
      <c r="O10" s="227">
        <f t="shared" si="1"/>
        <v>39172.353362009431</v>
      </c>
      <c r="P10" s="152">
        <f t="shared" si="0"/>
        <v>115302.96836200944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764</v>
      </c>
      <c r="J11" s="152">
        <v>1510</v>
      </c>
      <c r="K11" s="150" t="s">
        <v>724</v>
      </c>
      <c r="L11" s="154"/>
      <c r="M11" s="227"/>
      <c r="N11" s="150"/>
      <c r="O11" s="227">
        <f t="shared" si="1"/>
        <v>37662.353362009431</v>
      </c>
      <c r="P11" s="152">
        <f t="shared" si="0"/>
        <v>113792.96836200944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765</v>
      </c>
      <c r="J12" s="152">
        <v>1870</v>
      </c>
      <c r="K12" s="150" t="s">
        <v>724</v>
      </c>
      <c r="L12" s="154"/>
      <c r="M12" s="227"/>
      <c r="N12" s="154"/>
      <c r="O12" s="227">
        <f t="shared" si="1"/>
        <v>35792.353362009431</v>
      </c>
      <c r="P12" s="152">
        <f t="shared" si="0"/>
        <v>111922.96836200944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766</v>
      </c>
      <c r="J13" s="152">
        <v>1250</v>
      </c>
      <c r="K13" s="150" t="s">
        <v>724</v>
      </c>
      <c r="L13" s="154"/>
      <c r="M13" s="227"/>
      <c r="N13" s="154"/>
      <c r="O13" s="227">
        <f t="shared" si="1"/>
        <v>34542.353362009431</v>
      </c>
      <c r="P13" s="152">
        <f t="shared" si="0"/>
        <v>110672.96836200944</v>
      </c>
    </row>
    <row r="14" spans="1:16" x14ac:dyDescent="0.15">
      <c r="A14" s="154"/>
      <c r="B14" s="151"/>
      <c r="C14" s="152"/>
      <c r="D14" s="153"/>
      <c r="E14" s="153"/>
      <c r="F14" s="157"/>
      <c r="G14" s="154"/>
      <c r="H14" s="152"/>
      <c r="I14" s="153" t="s">
        <v>767</v>
      </c>
      <c r="J14" s="152">
        <v>392</v>
      </c>
      <c r="K14" s="154" t="s">
        <v>724</v>
      </c>
      <c r="L14" s="154"/>
      <c r="M14" s="227"/>
      <c r="N14" s="154"/>
      <c r="O14" s="227">
        <f t="shared" si="1"/>
        <v>34150.353362009431</v>
      </c>
      <c r="P14" s="152">
        <f t="shared" si="0"/>
        <v>110280.96836200944</v>
      </c>
    </row>
    <row r="15" spans="1:16" x14ac:dyDescent="0.15">
      <c r="A15" s="154"/>
      <c r="B15" s="151"/>
      <c r="C15" s="152"/>
      <c r="D15" s="153"/>
      <c r="E15" s="153"/>
      <c r="F15" s="157"/>
      <c r="G15" s="154"/>
      <c r="H15" s="152"/>
      <c r="I15" s="153" t="s">
        <v>768</v>
      </c>
      <c r="J15" s="152">
        <v>1750</v>
      </c>
      <c r="K15" s="154" t="s">
        <v>724</v>
      </c>
      <c r="L15" s="154"/>
      <c r="M15" s="227"/>
      <c r="N15" s="154"/>
      <c r="O15" s="227">
        <f t="shared" si="1"/>
        <v>32400.353362009431</v>
      </c>
      <c r="P15" s="152">
        <f t="shared" si="0"/>
        <v>108530.96836200944</v>
      </c>
    </row>
    <row r="16" spans="1:16" x14ac:dyDescent="0.15">
      <c r="A16" s="154"/>
      <c r="B16" s="151"/>
      <c r="C16" s="152"/>
      <c r="D16" s="153"/>
      <c r="E16" s="153"/>
      <c r="F16" s="157"/>
      <c r="G16" s="154"/>
      <c r="H16" s="152"/>
      <c r="I16" s="153" t="s">
        <v>769</v>
      </c>
      <c r="J16" s="152"/>
      <c r="K16" s="154"/>
      <c r="L16" s="154" t="s">
        <v>781</v>
      </c>
      <c r="M16" s="227">
        <v>1391</v>
      </c>
      <c r="N16" s="154" t="s">
        <v>724</v>
      </c>
      <c r="O16" s="227">
        <f t="shared" si="1"/>
        <v>31009.353362009431</v>
      </c>
      <c r="P16" s="152">
        <f t="shared" si="0"/>
        <v>107139.96836200944</v>
      </c>
    </row>
    <row r="17" spans="1:16" x14ac:dyDescent="0.15">
      <c r="A17" s="154"/>
      <c r="B17" s="151"/>
      <c r="C17" s="152"/>
      <c r="D17" s="153"/>
      <c r="E17" s="153"/>
      <c r="F17" s="157"/>
      <c r="G17" s="154"/>
      <c r="H17" s="152"/>
      <c r="I17" s="153" t="s">
        <v>770</v>
      </c>
      <c r="J17" s="152">
        <v>2098</v>
      </c>
      <c r="K17" s="154" t="s">
        <v>724</v>
      </c>
      <c r="L17" s="154"/>
      <c r="M17" s="227"/>
      <c r="N17" s="154"/>
      <c r="O17" s="227">
        <f t="shared" si="1"/>
        <v>28911.353362009431</v>
      </c>
      <c r="P17" s="152">
        <f t="shared" si="0"/>
        <v>105041.96836200944</v>
      </c>
    </row>
    <row r="18" spans="1:16" x14ac:dyDescent="0.15">
      <c r="A18" s="154"/>
      <c r="B18" s="151"/>
      <c r="C18" s="152"/>
      <c r="D18" s="153"/>
      <c r="E18" s="153"/>
      <c r="F18" s="157"/>
      <c r="G18" s="154"/>
      <c r="H18" s="152"/>
      <c r="I18" s="153" t="s">
        <v>771</v>
      </c>
      <c r="J18" s="152">
        <v>2815</v>
      </c>
      <c r="K18" s="154" t="s">
        <v>724</v>
      </c>
      <c r="L18" s="154"/>
      <c r="M18" s="227"/>
      <c r="N18" s="154"/>
      <c r="O18" s="227">
        <f t="shared" si="1"/>
        <v>26096.353362009431</v>
      </c>
      <c r="P18" s="152">
        <f t="shared" si="0"/>
        <v>102226.96836200944</v>
      </c>
    </row>
    <row r="19" spans="1:16" x14ac:dyDescent="0.15">
      <c r="A19" s="154"/>
      <c r="B19" s="151"/>
      <c r="C19" s="152"/>
      <c r="D19" s="153"/>
      <c r="E19" s="153"/>
      <c r="F19" s="157"/>
      <c r="G19" s="154"/>
      <c r="H19" s="152"/>
      <c r="I19" s="153" t="s">
        <v>772</v>
      </c>
      <c r="J19" s="152">
        <v>807</v>
      </c>
      <c r="K19" s="154" t="s">
        <v>724</v>
      </c>
      <c r="L19" s="154"/>
      <c r="M19" s="227"/>
      <c r="N19" s="154"/>
      <c r="O19" s="227">
        <f t="shared" si="1"/>
        <v>25289.353362009431</v>
      </c>
      <c r="P19" s="152">
        <f t="shared" si="0"/>
        <v>101419.96836200944</v>
      </c>
    </row>
    <row r="20" spans="1:16" x14ac:dyDescent="0.15">
      <c r="A20" s="154"/>
      <c r="B20" s="151"/>
      <c r="C20" s="152"/>
      <c r="D20" s="153"/>
      <c r="E20" s="153"/>
      <c r="F20" s="157"/>
      <c r="G20" s="154"/>
      <c r="H20" s="152"/>
      <c r="I20" s="153" t="s">
        <v>773</v>
      </c>
      <c r="J20" s="152">
        <v>2951</v>
      </c>
      <c r="K20" s="154" t="s">
        <v>724</v>
      </c>
      <c r="L20" s="154"/>
      <c r="M20" s="227"/>
      <c r="N20" s="154"/>
      <c r="O20" s="227">
        <f t="shared" si="1"/>
        <v>22338.353362009431</v>
      </c>
      <c r="P20" s="152">
        <f t="shared" si="0"/>
        <v>98468.968362009444</v>
      </c>
    </row>
    <row r="21" spans="1:16" x14ac:dyDescent="0.15">
      <c r="A21" s="154"/>
      <c r="B21" s="151"/>
      <c r="C21" s="152"/>
      <c r="D21" s="153"/>
      <c r="E21" s="153"/>
      <c r="F21" s="157"/>
      <c r="G21" s="154"/>
      <c r="H21" s="152"/>
      <c r="I21" s="153" t="s">
        <v>774</v>
      </c>
      <c r="J21" s="152">
        <v>200</v>
      </c>
      <c r="K21" s="154" t="s">
        <v>724</v>
      </c>
      <c r="L21" s="154"/>
      <c r="M21" s="227"/>
      <c r="N21" s="154"/>
      <c r="O21" s="227">
        <f t="shared" si="1"/>
        <v>22138.353362009431</v>
      </c>
      <c r="P21" s="152">
        <f t="shared" si="0"/>
        <v>98268.968362009444</v>
      </c>
    </row>
    <row r="22" spans="1:16" x14ac:dyDescent="0.15">
      <c r="A22" s="154"/>
      <c r="B22" s="151"/>
      <c r="C22" s="152"/>
      <c r="D22" s="153"/>
      <c r="E22" s="153"/>
      <c r="F22" s="157"/>
      <c r="G22" s="154"/>
      <c r="H22" s="152"/>
      <c r="I22" s="153" t="s">
        <v>775</v>
      </c>
      <c r="J22" s="152">
        <v>3852</v>
      </c>
      <c r="K22" s="150" t="s">
        <v>724</v>
      </c>
      <c r="L22" s="154" t="s">
        <v>781</v>
      </c>
      <c r="M22" s="227">
        <v>564</v>
      </c>
      <c r="N22" s="154" t="s">
        <v>724</v>
      </c>
      <c r="O22" s="227">
        <f t="shared" si="1"/>
        <v>17722.353362009431</v>
      </c>
      <c r="P22" s="152">
        <f t="shared" si="0"/>
        <v>93852.968362009444</v>
      </c>
    </row>
    <row r="23" spans="1:16" x14ac:dyDescent="0.15">
      <c r="A23" s="154"/>
      <c r="B23" s="151"/>
      <c r="C23" s="152"/>
      <c r="D23" s="153"/>
      <c r="E23" s="153"/>
      <c r="F23" s="157"/>
      <c r="G23" s="154"/>
      <c r="H23" s="152"/>
      <c r="I23" s="153" t="s">
        <v>776</v>
      </c>
      <c r="J23" s="152">
        <v>1881</v>
      </c>
      <c r="K23" s="154" t="s">
        <v>724</v>
      </c>
      <c r="L23" s="154"/>
      <c r="M23" s="227"/>
      <c r="N23" s="154"/>
      <c r="O23" s="227">
        <f t="shared" si="1"/>
        <v>15841.353362009431</v>
      </c>
      <c r="P23" s="152">
        <f t="shared" si="0"/>
        <v>91971.968362009444</v>
      </c>
    </row>
    <row r="24" spans="1:16" x14ac:dyDescent="0.15">
      <c r="A24" s="154"/>
      <c r="B24" s="151"/>
      <c r="C24" s="152"/>
      <c r="D24" s="153"/>
      <c r="E24" s="154"/>
      <c r="F24" s="157"/>
      <c r="G24" s="154"/>
      <c r="H24" s="152"/>
      <c r="I24" s="153" t="s">
        <v>777</v>
      </c>
      <c r="J24" s="152">
        <v>406</v>
      </c>
      <c r="K24" s="154" t="s">
        <v>724</v>
      </c>
      <c r="L24" s="154"/>
      <c r="M24" s="227"/>
      <c r="N24" s="154"/>
      <c r="O24" s="227">
        <f t="shared" si="1"/>
        <v>15435.353362009431</v>
      </c>
      <c r="P24" s="152">
        <f t="shared" si="0"/>
        <v>91565.968362009444</v>
      </c>
    </row>
    <row r="25" spans="1:16" x14ac:dyDescent="0.15">
      <c r="A25" s="154"/>
      <c r="B25" s="151"/>
      <c r="C25" s="152"/>
      <c r="D25" s="153"/>
      <c r="E25" s="154"/>
      <c r="F25" s="157"/>
      <c r="G25" s="154"/>
      <c r="H25" s="152"/>
      <c r="I25" s="153" t="s">
        <v>778</v>
      </c>
      <c r="J25" s="152">
        <v>1991</v>
      </c>
      <c r="K25" s="154" t="s">
        <v>724</v>
      </c>
      <c r="L25" s="154"/>
      <c r="M25" s="227"/>
      <c r="N25" s="154"/>
      <c r="O25" s="227">
        <f t="shared" si="1"/>
        <v>13444.353362009431</v>
      </c>
      <c r="P25" s="152">
        <f t="shared" si="0"/>
        <v>89574.968362009444</v>
      </c>
    </row>
    <row r="26" spans="1:16" x14ac:dyDescent="0.15">
      <c r="A26" s="154"/>
      <c r="B26" s="151"/>
      <c r="C26" s="152"/>
      <c r="D26" s="153"/>
      <c r="E26" s="154"/>
      <c r="F26" s="157"/>
      <c r="G26" s="154"/>
      <c r="H26" s="152"/>
      <c r="I26" s="153" t="s">
        <v>779</v>
      </c>
      <c r="J26" s="152">
        <v>1221</v>
      </c>
      <c r="K26" s="154" t="s">
        <v>724</v>
      </c>
      <c r="L26" s="154"/>
      <c r="M26" s="227"/>
      <c r="N26" s="154"/>
      <c r="O26" s="227">
        <f t="shared" si="1"/>
        <v>12223.353362009431</v>
      </c>
      <c r="P26" s="152">
        <f t="shared" si="0"/>
        <v>88353.968362009444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780</v>
      </c>
      <c r="J27" s="152"/>
      <c r="K27" s="154"/>
      <c r="L27" s="154" t="s">
        <v>781</v>
      </c>
      <c r="M27" s="227">
        <v>2715</v>
      </c>
      <c r="N27" s="157" t="s">
        <v>724</v>
      </c>
      <c r="O27" s="227">
        <f t="shared" si="1"/>
        <v>9508.3533620094313</v>
      </c>
      <c r="P27" s="152">
        <f t="shared" si="0"/>
        <v>85638.968362009444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4"/>
      <c r="L28" s="154"/>
      <c r="M28" s="227"/>
      <c r="N28" s="157"/>
      <c r="O28" s="227">
        <f t="shared" si="1"/>
        <v>9508.3533620094313</v>
      </c>
      <c r="P28" s="152">
        <f t="shared" si="0"/>
        <v>85638.968362009444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4"/>
      <c r="L29" s="154"/>
      <c r="M29" s="227"/>
      <c r="N29" s="154"/>
      <c r="O29" s="227">
        <f t="shared" si="1"/>
        <v>9508.3533620094313</v>
      </c>
      <c r="P29" s="152">
        <f t="shared" si="0"/>
        <v>85638.968362009444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4"/>
      <c r="L30" s="154"/>
      <c r="M30" s="227"/>
      <c r="N30" s="157"/>
      <c r="O30" s="227">
        <f t="shared" si="1"/>
        <v>9508.3533620094313</v>
      </c>
      <c r="P30" s="152">
        <f t="shared" si="0"/>
        <v>85638.968362009444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4"/>
      <c r="L31" s="154"/>
      <c r="M31" s="227"/>
      <c r="N31" s="157"/>
      <c r="O31" s="227">
        <f t="shared" si="1"/>
        <v>9508.3533620094313</v>
      </c>
      <c r="P31" s="152">
        <f t="shared" si="0"/>
        <v>85638.968362009444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227"/>
      <c r="N32" s="157"/>
      <c r="O32" s="227">
        <f t="shared" si="1"/>
        <v>9508.3533620094313</v>
      </c>
      <c r="P32" s="152">
        <f t="shared" si="0"/>
        <v>85638.968362009444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227"/>
      <c r="N33" s="157"/>
      <c r="O33" s="227">
        <f t="shared" si="1"/>
        <v>9508.3533620094313</v>
      </c>
      <c r="P33" s="152">
        <f t="shared" si="0"/>
        <v>85638.968362009444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7"/>
      <c r="L34" s="154"/>
      <c r="M34" s="227"/>
      <c r="N34" s="157"/>
      <c r="O34" s="227">
        <f t="shared" si="1"/>
        <v>9508.3533620094313</v>
      </c>
      <c r="P34" s="152">
        <f t="shared" si="0"/>
        <v>85638.968362009444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7"/>
      <c r="L35" s="154"/>
      <c r="M35" s="227"/>
      <c r="N35" s="157"/>
      <c r="O35" s="227">
        <f t="shared" si="1"/>
        <v>9508.3533620094313</v>
      </c>
      <c r="P35" s="152">
        <f t="shared" si="0"/>
        <v>85638.968362009444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227"/>
      <c r="N36" s="157"/>
      <c r="O36" s="227">
        <f t="shared" si="1"/>
        <v>9508.3533620094313</v>
      </c>
      <c r="P36" s="152">
        <f t="shared" si="0"/>
        <v>85638.968362009444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7"/>
      <c r="L37" s="154"/>
      <c r="M37" s="227"/>
      <c r="N37" s="157"/>
      <c r="O37" s="227">
        <f t="shared" si="1"/>
        <v>9508.3533620094313</v>
      </c>
      <c r="P37" s="152">
        <f t="shared" si="0"/>
        <v>85638.968362009444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7"/>
      <c r="L38" s="154"/>
      <c r="M38" s="227"/>
      <c r="N38" s="157"/>
      <c r="O38" s="227">
        <f t="shared" si="1"/>
        <v>9508.3533620094313</v>
      </c>
      <c r="P38" s="152">
        <f t="shared" si="0"/>
        <v>85638.968362009444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227"/>
      <c r="N39" s="157"/>
      <c r="O39" s="227">
        <f t="shared" si="1"/>
        <v>9508.3533620094313</v>
      </c>
      <c r="P39" s="152">
        <f t="shared" si="0"/>
        <v>85638.968362009444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227"/>
      <c r="N40" s="157"/>
      <c r="O40" s="227">
        <f t="shared" si="1"/>
        <v>9508.3533620094313</v>
      </c>
      <c r="P40" s="152">
        <f t="shared" si="0"/>
        <v>85638.968362009444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227"/>
      <c r="N41" s="157"/>
      <c r="O41" s="227">
        <f t="shared" si="1"/>
        <v>9508.3533620094313</v>
      </c>
      <c r="P41" s="152">
        <f t="shared" si="0"/>
        <v>85638.968362009444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227"/>
      <c r="N42" s="157"/>
      <c r="O42" s="227">
        <f t="shared" si="1"/>
        <v>9508.3533620094313</v>
      </c>
      <c r="P42" s="152">
        <f t="shared" si="0"/>
        <v>85638.968362009444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0"/>
      <c r="L43" s="154"/>
      <c r="M43" s="227"/>
      <c r="N43" s="157"/>
      <c r="O43" s="227">
        <f t="shared" si="1"/>
        <v>9508.3533620094313</v>
      </c>
      <c r="P43" s="152">
        <f t="shared" si="0"/>
        <v>85638.968362009444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0"/>
      <c r="L44" s="154"/>
      <c r="M44" s="227"/>
      <c r="N44" s="157"/>
      <c r="O44" s="227">
        <f t="shared" si="1"/>
        <v>9508.3533620094313</v>
      </c>
      <c r="P44" s="152">
        <f t="shared" si="0"/>
        <v>85638.968362009444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7"/>
      <c r="L45" s="154"/>
      <c r="M45" s="227"/>
      <c r="N45" s="157"/>
      <c r="O45" s="227">
        <f t="shared" si="1"/>
        <v>9508.3533620094313</v>
      </c>
      <c r="P45" s="152">
        <f t="shared" si="0"/>
        <v>85638.968362009444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7"/>
      <c r="L46" s="154"/>
      <c r="M46" s="227"/>
      <c r="N46" s="157"/>
      <c r="O46" s="227">
        <f t="shared" si="1"/>
        <v>9508.3533620094313</v>
      </c>
      <c r="P46" s="152">
        <f t="shared" si="0"/>
        <v>85638.968362009444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227"/>
      <c r="N47" s="157"/>
      <c r="O47" s="227">
        <f t="shared" si="1"/>
        <v>9508.3533620094313</v>
      </c>
      <c r="P47" s="152">
        <f t="shared" si="0"/>
        <v>85638.968362009444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227"/>
      <c r="N48" s="157"/>
      <c r="O48" s="227">
        <f t="shared" si="1"/>
        <v>9508.3533620094313</v>
      </c>
      <c r="P48" s="152">
        <f t="shared" si="0"/>
        <v>85638.968362009444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7"/>
      <c r="L49" s="154"/>
      <c r="M49" s="227"/>
      <c r="N49" s="157"/>
      <c r="O49" s="227">
        <f t="shared" si="1"/>
        <v>9508.3533620094313</v>
      </c>
      <c r="P49" s="152">
        <f t="shared" si="0"/>
        <v>85638.968362009444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0"/>
      <c r="L50" s="154"/>
      <c r="M50" s="227"/>
      <c r="N50" s="157"/>
      <c r="O50" s="227">
        <f t="shared" si="1"/>
        <v>9508.3533620094313</v>
      </c>
      <c r="P50" s="152">
        <f t="shared" si="0"/>
        <v>85638.968362009444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227"/>
      <c r="N51" s="157"/>
      <c r="O51" s="227">
        <f t="shared" si="1"/>
        <v>9508.3533620094313</v>
      </c>
      <c r="P51" s="152">
        <f t="shared" si="0"/>
        <v>85638.968362009444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7"/>
      <c r="L52" s="154"/>
      <c r="M52" s="227"/>
      <c r="N52" s="157"/>
      <c r="O52" s="227">
        <f t="shared" si="1"/>
        <v>9508.3533620094313</v>
      </c>
      <c r="P52" s="152">
        <f t="shared" si="0"/>
        <v>85638.968362009444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7"/>
      <c r="L53" s="154"/>
      <c r="M53" s="227"/>
      <c r="N53" s="157"/>
      <c r="O53" s="227">
        <f t="shared" si="1"/>
        <v>9508.3533620094313</v>
      </c>
      <c r="P53" s="152">
        <f t="shared" si="0"/>
        <v>85638.968362009444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227"/>
      <c r="N54" s="157"/>
      <c r="O54" s="227">
        <f t="shared" si="1"/>
        <v>9508.3533620094313</v>
      </c>
      <c r="P54" s="152">
        <f t="shared" si="0"/>
        <v>85638.968362009444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7"/>
      <c r="L55" s="154"/>
      <c r="M55" s="227"/>
      <c r="N55" s="157"/>
      <c r="O55" s="227">
        <f t="shared" si="1"/>
        <v>9508.3533620094313</v>
      </c>
      <c r="P55" s="152">
        <f t="shared" si="0"/>
        <v>85638.968362009444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227"/>
      <c r="N56" s="157"/>
      <c r="O56" s="227">
        <f t="shared" si="1"/>
        <v>9508.3533620094313</v>
      </c>
      <c r="P56" s="152">
        <f t="shared" si="0"/>
        <v>85638.968362009444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227"/>
      <c r="N57" s="157"/>
      <c r="O57" s="227">
        <f t="shared" si="1"/>
        <v>9508.3533620094313</v>
      </c>
      <c r="P57" s="152">
        <f t="shared" si="0"/>
        <v>85638.968362009444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227"/>
      <c r="N58" s="157"/>
      <c r="O58" s="227">
        <f t="shared" si="1"/>
        <v>9508.3533620094313</v>
      </c>
      <c r="P58" s="152">
        <f t="shared" si="0"/>
        <v>85638.968362009444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7"/>
      <c r="L59" s="154"/>
      <c r="M59" s="227"/>
      <c r="N59" s="157"/>
      <c r="O59" s="227">
        <f t="shared" si="1"/>
        <v>9508.3533620094313</v>
      </c>
      <c r="P59" s="152">
        <f t="shared" si="0"/>
        <v>85638.968362009444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0"/>
      <c r="L60" s="154"/>
      <c r="M60" s="227"/>
      <c r="N60" s="157"/>
      <c r="O60" s="227">
        <f t="shared" si="1"/>
        <v>9508.3533620094313</v>
      </c>
      <c r="P60" s="152">
        <f t="shared" si="0"/>
        <v>85638.968362009444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0"/>
      <c r="L61" s="154"/>
      <c r="M61" s="227"/>
      <c r="N61" s="157"/>
      <c r="O61" s="227">
        <f t="shared" si="1"/>
        <v>9508.3533620094313</v>
      </c>
      <c r="P61" s="152">
        <f t="shared" si="0"/>
        <v>85638.968362009444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0"/>
      <c r="L62" s="154"/>
      <c r="M62" s="227"/>
      <c r="N62" s="157"/>
      <c r="O62" s="227">
        <f t="shared" si="1"/>
        <v>9508.3533620094313</v>
      </c>
      <c r="P62" s="152">
        <f t="shared" si="0"/>
        <v>85638.968362009444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227"/>
      <c r="N63" s="157"/>
      <c r="O63" s="227">
        <f t="shared" si="1"/>
        <v>9508.3533620094313</v>
      </c>
      <c r="P63" s="152">
        <f t="shared" si="0"/>
        <v>85638.968362009444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227"/>
      <c r="N64" s="157"/>
      <c r="O64" s="227">
        <f t="shared" si="1"/>
        <v>9508.3533620094313</v>
      </c>
      <c r="P64" s="152">
        <f t="shared" si="0"/>
        <v>85638.968362009444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0"/>
      <c r="L65" s="154"/>
      <c r="M65" s="227"/>
      <c r="N65" s="157"/>
      <c r="O65" s="227">
        <f t="shared" si="1"/>
        <v>9508.3533620094313</v>
      </c>
      <c r="P65" s="152">
        <f t="shared" si="0"/>
        <v>85638.968362009444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227"/>
      <c r="N66" s="157"/>
      <c r="O66" s="227">
        <f t="shared" si="1"/>
        <v>9508.3533620094313</v>
      </c>
      <c r="P66" s="152">
        <f t="shared" si="0"/>
        <v>85638.968362009444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0"/>
      <c r="L67" s="154"/>
      <c r="M67" s="227"/>
      <c r="N67" s="157"/>
      <c r="O67" s="227">
        <f t="shared" si="1"/>
        <v>9508.3533620094313</v>
      </c>
      <c r="P67" s="152">
        <f t="shared" si="0"/>
        <v>85638.968362009444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0"/>
      <c r="L68" s="154"/>
      <c r="M68" s="227"/>
      <c r="N68" s="157"/>
      <c r="O68" s="227">
        <f t="shared" si="1"/>
        <v>9508.3533620094313</v>
      </c>
      <c r="P68" s="152">
        <f t="shared" si="0"/>
        <v>85638.968362009444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0"/>
      <c r="L69" s="154"/>
      <c r="M69" s="227"/>
      <c r="N69" s="157"/>
      <c r="O69" s="227">
        <f t="shared" si="1"/>
        <v>9508.3533620094313</v>
      </c>
      <c r="P69" s="152">
        <f t="shared" si="0"/>
        <v>85638.968362009444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0"/>
      <c r="L70" s="154"/>
      <c r="M70" s="227"/>
      <c r="N70" s="157"/>
      <c r="O70" s="227">
        <f t="shared" si="1"/>
        <v>9508.3533620094313</v>
      </c>
      <c r="P70" s="152">
        <f t="shared" si="0"/>
        <v>85638.968362009444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227"/>
      <c r="N71" s="157"/>
      <c r="O71" s="227">
        <f t="shared" si="1"/>
        <v>9508.3533620094313</v>
      </c>
      <c r="P71" s="152">
        <f t="shared" si="0"/>
        <v>85638.968362009444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227"/>
      <c r="N72" s="157"/>
      <c r="O72" s="227">
        <f t="shared" si="1"/>
        <v>9508.3533620094313</v>
      </c>
      <c r="P72" s="152">
        <f t="shared" ref="P72:P75" si="2">P71+H72-J72-M72</f>
        <v>85638.968362009444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227"/>
      <c r="N73" s="150"/>
      <c r="O73" s="227">
        <f t="shared" ref="O73:O75" si="3">+O72-J73-M73</f>
        <v>9508.3533620094313</v>
      </c>
      <c r="P73" s="152">
        <f t="shared" si="2"/>
        <v>85638.968362009444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227"/>
      <c r="N74" s="157"/>
      <c r="O74" s="227">
        <f t="shared" si="3"/>
        <v>9508.3533620094313</v>
      </c>
      <c r="P74" s="152">
        <f t="shared" si="2"/>
        <v>85638.968362009444</v>
      </c>
    </row>
    <row r="75" spans="1:16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3"/>
        <v>9508.3533620094313</v>
      </c>
      <c r="P75" s="152">
        <f t="shared" si="2"/>
        <v>85638.968362009444</v>
      </c>
    </row>
    <row r="76" spans="1:16" x14ac:dyDescent="0.15">
      <c r="A76" s="177"/>
      <c r="B76" s="177"/>
      <c r="C76" s="178">
        <f>SUM(C7:C74)</f>
        <v>115915.96836200944</v>
      </c>
      <c r="D76" s="177"/>
      <c r="E76" s="177"/>
      <c r="F76" s="177"/>
      <c r="G76" s="177"/>
      <c r="H76" s="178">
        <f>SUM(H7:H74)</f>
        <v>0</v>
      </c>
      <c r="I76" s="179"/>
      <c r="J76" s="178">
        <f>SUM(J7:J74)</f>
        <v>24994</v>
      </c>
      <c r="K76" s="177"/>
      <c r="L76" s="177"/>
      <c r="M76" s="229">
        <f>SUM(M9:M74)</f>
        <v>5283</v>
      </c>
      <c r="N76" s="177"/>
      <c r="O76" s="180"/>
      <c r="P76" s="181">
        <f>C76+H76-J76-M76</f>
        <v>85638.968362009444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30277</v>
      </c>
      <c r="N77" s="188"/>
      <c r="O77" s="230">
        <f>+O75</f>
        <v>9508.3533620094313</v>
      </c>
      <c r="P77" s="195" t="s">
        <v>724</v>
      </c>
    </row>
    <row r="78" spans="1:16" x14ac:dyDescent="0.15">
      <c r="A78" s="193"/>
      <c r="B78" s="470"/>
      <c r="C78" s="470"/>
      <c r="D78" s="470"/>
      <c r="E78" s="183"/>
      <c r="F78" s="472"/>
      <c r="G78" s="472"/>
      <c r="H78" s="219"/>
      <c r="I78" s="186"/>
      <c r="J78" s="187"/>
      <c r="K78" s="210"/>
      <c r="L78" s="210"/>
      <c r="O78" s="230">
        <f>+C8</f>
        <v>76130.615000000005</v>
      </c>
      <c r="P78" s="195" t="s">
        <v>725</v>
      </c>
    </row>
    <row r="79" spans="1:16" x14ac:dyDescent="0.15">
      <c r="A79" s="193" t="s">
        <v>724</v>
      </c>
      <c r="B79" s="470" t="s">
        <v>730</v>
      </c>
      <c r="C79" s="470"/>
      <c r="D79" s="470"/>
      <c r="E79" s="183" t="s">
        <v>55</v>
      </c>
      <c r="F79" s="472">
        <v>46087131.859999999</v>
      </c>
      <c r="G79" s="472"/>
      <c r="H79" s="219" t="s">
        <v>56</v>
      </c>
      <c r="I79" s="186">
        <v>40644</v>
      </c>
      <c r="J79" s="187" t="s">
        <v>71</v>
      </c>
      <c r="K79" s="210">
        <v>30277</v>
      </c>
      <c r="L79" s="210"/>
      <c r="O79" s="230"/>
      <c r="P79" s="192"/>
    </row>
    <row r="80" spans="1:16" x14ac:dyDescent="0.15">
      <c r="A80" s="193"/>
      <c r="B80" s="470"/>
      <c r="C80" s="470"/>
      <c r="D80" s="470"/>
      <c r="E80" s="183"/>
      <c r="F80" s="472"/>
      <c r="G80" s="472"/>
      <c r="H80" s="219"/>
      <c r="I80" s="186"/>
      <c r="J80" s="187"/>
      <c r="K80" s="210"/>
      <c r="L80" s="210"/>
      <c r="O80" s="230"/>
      <c r="P80" s="192"/>
    </row>
    <row r="81" spans="1:16" x14ac:dyDescent="0.15">
      <c r="A81" s="193"/>
      <c r="B81" s="470"/>
      <c r="C81" s="470"/>
      <c r="D81" s="470"/>
      <c r="E81" s="183"/>
      <c r="F81" s="472"/>
      <c r="G81" s="472"/>
      <c r="H81" s="219"/>
      <c r="I81" s="186"/>
      <c r="J81" s="187"/>
      <c r="K81" s="210"/>
      <c r="L81" s="210"/>
      <c r="O81" s="230"/>
      <c r="P81" s="195"/>
    </row>
    <row r="82" spans="1:16" x14ac:dyDescent="0.15">
      <c r="A82" s="133" t="s">
        <v>568</v>
      </c>
      <c r="B82" s="133" t="s">
        <v>9</v>
      </c>
      <c r="C82" s="220" t="s">
        <v>729</v>
      </c>
      <c r="D82" s="220" t="s">
        <v>729</v>
      </c>
      <c r="E82" s="133" t="s">
        <v>570</v>
      </c>
      <c r="F82" s="133" t="s">
        <v>571</v>
      </c>
      <c r="G82" s="133" t="s">
        <v>16</v>
      </c>
      <c r="H82" s="219"/>
      <c r="I82" s="186"/>
      <c r="J82" s="187"/>
      <c r="K82" s="210"/>
      <c r="L82" s="210"/>
      <c r="O82" s="230"/>
      <c r="P82" s="195"/>
    </row>
    <row r="83" spans="1:16" x14ac:dyDescent="0.15">
      <c r="A83" s="193" t="s">
        <v>724</v>
      </c>
      <c r="B83" s="210">
        <v>30277</v>
      </c>
      <c r="C83" s="221">
        <v>25.478200000000001</v>
      </c>
      <c r="D83" s="237">
        <f>+B83*C83</f>
        <v>771403.46140000003</v>
      </c>
      <c r="E83" s="235">
        <f>+D83*0.01</f>
        <v>7714.0346140000001</v>
      </c>
      <c r="F83" s="235">
        <f>+E83*0.1</f>
        <v>771.40346140000008</v>
      </c>
      <c r="G83" s="236">
        <f>+E83+F83</f>
        <v>8485.4380753999994</v>
      </c>
      <c r="H83" s="219"/>
      <c r="I83" s="186"/>
      <c r="J83" s="187"/>
      <c r="K83" s="210"/>
      <c r="L83" s="210"/>
      <c r="O83" s="230"/>
      <c r="P83" s="195"/>
    </row>
    <row r="84" spans="1:16" ht="12" thickBot="1" x14ac:dyDescent="0.2">
      <c r="A84" s="193"/>
      <c r="B84" s="211">
        <f>SUM(B82:B83)</f>
        <v>30277</v>
      </c>
      <c r="C84" s="221"/>
      <c r="D84" s="221"/>
      <c r="E84" s="224">
        <f>SUM(E82:E83)</f>
        <v>7714.0346140000001</v>
      </c>
      <c r="F84" s="224">
        <f t="shared" ref="F84:G84" si="4">SUM(F82:F83)</f>
        <v>771.40346140000008</v>
      </c>
      <c r="G84" s="224">
        <f t="shared" si="4"/>
        <v>8485.4380753999994</v>
      </c>
      <c r="H84" s="219"/>
      <c r="I84" s="186"/>
      <c r="J84" s="187"/>
      <c r="K84" s="210"/>
      <c r="L84" s="210"/>
      <c r="O84" s="206" t="s">
        <v>33</v>
      </c>
      <c r="P84" s="207">
        <f>SUM(O77:O83)</f>
        <v>85638.968362009444</v>
      </c>
    </row>
    <row r="85" spans="1:16" ht="12" thickTop="1" x14ac:dyDescent="0.15">
      <c r="A85" s="133"/>
      <c r="B85" s="133"/>
      <c r="C85" s="220"/>
      <c r="F85" s="133"/>
      <c r="H85" s="133"/>
      <c r="I85" s="187"/>
      <c r="J85" s="210"/>
      <c r="K85" s="210"/>
      <c r="L85" s="210"/>
      <c r="P85" s="132">
        <f>+P76-P84</f>
        <v>0</v>
      </c>
    </row>
    <row r="86" spans="1:16" x14ac:dyDescent="0.15">
      <c r="A86" s="133"/>
      <c r="B86" s="133"/>
      <c r="C86" s="220"/>
      <c r="F86" s="133"/>
      <c r="H86" s="133"/>
      <c r="I86" s="187"/>
      <c r="J86" s="210"/>
      <c r="K86" s="210"/>
      <c r="L86" s="210"/>
    </row>
    <row r="87" spans="1:16" x14ac:dyDescent="0.15">
      <c r="A87" s="133"/>
      <c r="B87" s="133"/>
      <c r="C87" s="220"/>
      <c r="F87" s="133"/>
      <c r="H87" s="133"/>
      <c r="I87" s="187"/>
      <c r="J87" s="210"/>
      <c r="K87" s="210"/>
      <c r="L87" s="210"/>
    </row>
    <row r="88" spans="1:16" x14ac:dyDescent="0.15">
      <c r="A88" s="133"/>
      <c r="B88" s="133"/>
      <c r="C88" s="220"/>
      <c r="F88" s="133"/>
      <c r="H88" s="133"/>
      <c r="I88" s="187"/>
      <c r="J88" s="210"/>
      <c r="K88" s="210"/>
      <c r="L88" s="210"/>
    </row>
    <row r="89" spans="1:16" x14ac:dyDescent="0.15">
      <c r="A89" s="133"/>
      <c r="B89" s="133"/>
      <c r="C89" s="220"/>
      <c r="F89" s="133"/>
      <c r="L89" s="210"/>
    </row>
    <row r="90" spans="1:16" x14ac:dyDescent="0.15">
      <c r="A90" s="133"/>
      <c r="B90" s="133"/>
      <c r="C90" s="220"/>
      <c r="F90" s="133"/>
      <c r="L90" s="210"/>
    </row>
    <row r="91" spans="1:16" x14ac:dyDescent="0.15">
      <c r="A91" s="133"/>
      <c r="B91" s="133"/>
      <c r="C91" s="220"/>
      <c r="F91" s="133"/>
      <c r="L91" s="210"/>
    </row>
    <row r="92" spans="1:16" x14ac:dyDescent="0.15">
      <c r="L92" s="210"/>
    </row>
    <row r="93" spans="1:16" x14ac:dyDescent="0.15">
      <c r="L93" s="210"/>
    </row>
    <row r="94" spans="1:16" s="132" customFormat="1" x14ac:dyDescent="0.15">
      <c r="A94" s="134"/>
      <c r="B94" s="131"/>
      <c r="D94" s="133"/>
      <c r="E94" s="133"/>
      <c r="F94" s="134"/>
      <c r="G94" s="133"/>
      <c r="I94" s="133"/>
      <c r="K94" s="134"/>
      <c r="L94" s="210"/>
      <c r="N94" s="134"/>
    </row>
    <row r="95" spans="1:16" s="132" customFormat="1" x14ac:dyDescent="0.15">
      <c r="A95" s="133"/>
      <c r="C95" s="134"/>
      <c r="D95" s="210"/>
      <c r="F95" s="134"/>
    </row>
    <row r="96" spans="1:16" s="132" customFormat="1" x14ac:dyDescent="0.15">
      <c r="A96" s="133"/>
      <c r="C96" s="134"/>
      <c r="D96" s="210"/>
      <c r="F96" s="134"/>
    </row>
    <row r="97" spans="1:16" s="132" customFormat="1" x14ac:dyDescent="0.15">
      <c r="A97" s="133"/>
      <c r="C97" s="134"/>
      <c r="D97" s="210"/>
      <c r="F97" s="134"/>
    </row>
    <row r="98" spans="1:16" s="132" customFormat="1" x14ac:dyDescent="0.15">
      <c r="A98" s="133"/>
      <c r="C98" s="134"/>
      <c r="D98" s="210"/>
      <c r="F98" s="134"/>
    </row>
    <row r="99" spans="1:16" x14ac:dyDescent="0.15">
      <c r="A99" s="133"/>
      <c r="B99" s="132"/>
      <c r="C99" s="134"/>
      <c r="E99" s="132"/>
      <c r="G99" s="132"/>
      <c r="I99" s="134"/>
      <c r="J99" s="134"/>
      <c r="L99" s="134"/>
      <c r="M99" s="134"/>
      <c r="O99" s="134"/>
      <c r="P99" s="134"/>
    </row>
    <row r="100" spans="1:16" x14ac:dyDescent="0.15">
      <c r="A100" s="133"/>
      <c r="B100" s="132"/>
      <c r="C100" s="134"/>
      <c r="E100" s="132"/>
      <c r="G100" s="132"/>
      <c r="I100" s="134"/>
      <c r="J100" s="134"/>
      <c r="L100" s="134"/>
      <c r="M100" s="134"/>
      <c r="O100" s="134"/>
      <c r="P100" s="134"/>
    </row>
    <row r="101" spans="1:16" x14ac:dyDescent="0.15">
      <c r="A101" s="133"/>
      <c r="B101" s="132"/>
      <c r="C101" s="134"/>
      <c r="E101" s="132"/>
      <c r="G101" s="132"/>
      <c r="I101" s="134"/>
      <c r="J101" s="134"/>
      <c r="L101" s="134"/>
      <c r="M101" s="134"/>
      <c r="O101" s="134"/>
      <c r="P101" s="134"/>
    </row>
    <row r="102" spans="1:16" x14ac:dyDescent="0.15">
      <c r="A102" s="133"/>
      <c r="B102" s="132"/>
      <c r="C102" s="134"/>
      <c r="E102" s="132"/>
      <c r="G102" s="132"/>
      <c r="I102" s="134"/>
      <c r="J102" s="134"/>
      <c r="L102" s="134"/>
      <c r="M102" s="134"/>
      <c r="O102" s="134"/>
      <c r="P102" s="134"/>
    </row>
    <row r="103" spans="1:16" x14ac:dyDescent="0.15">
      <c r="A103" s="133"/>
      <c r="B103" s="132"/>
      <c r="C103" s="134"/>
      <c r="E103" s="132"/>
      <c r="G103" s="132"/>
      <c r="I103" s="134"/>
      <c r="J103" s="134"/>
      <c r="L103" s="134"/>
      <c r="M103" s="134"/>
      <c r="O103" s="134"/>
      <c r="P103" s="134"/>
    </row>
    <row r="104" spans="1:16" x14ac:dyDescent="0.15">
      <c r="A104" s="133"/>
      <c r="B104" s="132"/>
      <c r="C104" s="134"/>
      <c r="E104" s="132"/>
      <c r="G104" s="132"/>
      <c r="I104" s="134"/>
      <c r="J104" s="134"/>
      <c r="L104" s="134"/>
      <c r="M104" s="134"/>
      <c r="O104" s="134"/>
      <c r="P104" s="134"/>
    </row>
    <row r="105" spans="1:16" x14ac:dyDescent="0.15">
      <c r="A105" s="133"/>
      <c r="B105" s="132"/>
      <c r="C105" s="134"/>
      <c r="E105" s="132"/>
      <c r="G105" s="132"/>
      <c r="I105" s="134"/>
      <c r="J105" s="134"/>
      <c r="L105" s="134"/>
      <c r="M105" s="134"/>
      <c r="O105" s="134"/>
      <c r="P105" s="134"/>
    </row>
    <row r="106" spans="1:16" x14ac:dyDescent="0.15">
      <c r="A106" s="133"/>
      <c r="B106" s="132"/>
      <c r="C106" s="134"/>
      <c r="E106" s="132"/>
      <c r="G106" s="132"/>
      <c r="I106" s="134"/>
      <c r="J106" s="134"/>
      <c r="L106" s="134"/>
      <c r="M106" s="134"/>
      <c r="O106" s="134"/>
      <c r="P106" s="134"/>
    </row>
  </sheetData>
  <mergeCells count="16">
    <mergeCell ref="J3:L3"/>
    <mergeCell ref="A4:C4"/>
    <mergeCell ref="D4:H4"/>
    <mergeCell ref="I4:N4"/>
    <mergeCell ref="J5:K5"/>
    <mergeCell ref="L5:N5"/>
    <mergeCell ref="B80:D80"/>
    <mergeCell ref="F80:G80"/>
    <mergeCell ref="B81:D81"/>
    <mergeCell ref="F81:G81"/>
    <mergeCell ref="B77:D77"/>
    <mergeCell ref="F77:G77"/>
    <mergeCell ref="B78:D78"/>
    <mergeCell ref="F78:G78"/>
    <mergeCell ref="B79:D79"/>
    <mergeCell ref="F79:G79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opLeftCell="D1" zoomScale="115" zoomScaleNormal="115" workbookViewId="0">
      <pane ySplit="6" topLeftCell="A7" activePane="bottomLeft" state="frozen"/>
      <selection pane="bottomLeft" activeCell="N79" sqref="N79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0.8554687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1.8554687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747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724</v>
      </c>
      <c r="B7" s="146"/>
      <c r="C7" s="147">
        <v>56273.353362009431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56273.353362009431</v>
      </c>
      <c r="P7" s="147">
        <f>+C76</f>
        <v>132403.96836200944</v>
      </c>
    </row>
    <row r="8" spans="1:16" x14ac:dyDescent="0.15">
      <c r="A8" s="154" t="s">
        <v>725</v>
      </c>
      <c r="B8" s="151"/>
      <c r="C8" s="152">
        <v>76130.615000000005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56273.353362009431</v>
      </c>
      <c r="P8" s="152">
        <f t="shared" ref="P8:P71" si="0">P7+H8-J8-M8</f>
        <v>132403.96836200944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72" si="1">+O8-J9-M9</f>
        <v>56273.353362009431</v>
      </c>
      <c r="P9" s="152">
        <f t="shared" si="0"/>
        <v>132403.96836200944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 t="s">
        <v>748</v>
      </c>
      <c r="J10" s="152">
        <v>1060</v>
      </c>
      <c r="K10" s="150" t="s">
        <v>724</v>
      </c>
      <c r="L10" s="154"/>
      <c r="M10" s="227"/>
      <c r="N10" s="150"/>
      <c r="O10" s="227">
        <f t="shared" si="1"/>
        <v>55213.353362009431</v>
      </c>
      <c r="P10" s="152">
        <f t="shared" si="0"/>
        <v>131343.96836200944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749</v>
      </c>
      <c r="J11" s="152">
        <v>1398</v>
      </c>
      <c r="K11" s="150" t="s">
        <v>724</v>
      </c>
      <c r="L11" s="154"/>
      <c r="M11" s="227"/>
      <c r="N11" s="150"/>
      <c r="O11" s="227">
        <f t="shared" si="1"/>
        <v>53815.353362009431</v>
      </c>
      <c r="P11" s="152">
        <f t="shared" si="0"/>
        <v>129945.96836200944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750</v>
      </c>
      <c r="J12" s="152">
        <v>722</v>
      </c>
      <c r="K12" s="150" t="s">
        <v>724</v>
      </c>
      <c r="L12" s="154"/>
      <c r="M12" s="227"/>
      <c r="N12" s="154"/>
      <c r="O12" s="227">
        <f t="shared" si="1"/>
        <v>53093.353362009431</v>
      </c>
      <c r="P12" s="152">
        <f t="shared" si="0"/>
        <v>129223.96836200944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751</v>
      </c>
      <c r="J13" s="152">
        <v>1658</v>
      </c>
      <c r="K13" s="150" t="s">
        <v>724</v>
      </c>
      <c r="L13" s="154"/>
      <c r="M13" s="227"/>
      <c r="N13" s="154"/>
      <c r="O13" s="227">
        <f t="shared" si="1"/>
        <v>51435.353362009431</v>
      </c>
      <c r="P13" s="152">
        <f t="shared" si="0"/>
        <v>127565.96836200944</v>
      </c>
    </row>
    <row r="14" spans="1:16" x14ac:dyDescent="0.15">
      <c r="A14" s="154"/>
      <c r="B14" s="151"/>
      <c r="C14" s="152"/>
      <c r="D14" s="153"/>
      <c r="E14" s="153"/>
      <c r="F14" s="157"/>
      <c r="G14" s="154"/>
      <c r="H14" s="152"/>
      <c r="I14" s="153" t="s">
        <v>752</v>
      </c>
      <c r="J14" s="152">
        <v>1183</v>
      </c>
      <c r="K14" s="154" t="s">
        <v>724</v>
      </c>
      <c r="L14" s="154"/>
      <c r="M14" s="227"/>
      <c r="N14" s="154"/>
      <c r="O14" s="227">
        <f t="shared" si="1"/>
        <v>50252.353362009431</v>
      </c>
      <c r="P14" s="152">
        <f t="shared" si="0"/>
        <v>126382.96836200944</v>
      </c>
    </row>
    <row r="15" spans="1:16" x14ac:dyDescent="0.15">
      <c r="A15" s="154"/>
      <c r="B15" s="151"/>
      <c r="C15" s="152"/>
      <c r="D15" s="153"/>
      <c r="E15" s="153"/>
      <c r="F15" s="157"/>
      <c r="G15" s="154"/>
      <c r="H15" s="152"/>
      <c r="I15" s="153" t="s">
        <v>753</v>
      </c>
      <c r="J15" s="152">
        <v>2257</v>
      </c>
      <c r="K15" s="154" t="s">
        <v>724</v>
      </c>
      <c r="L15" s="154"/>
      <c r="M15" s="227"/>
      <c r="N15" s="154"/>
      <c r="O15" s="227">
        <f t="shared" si="1"/>
        <v>47995.353362009431</v>
      </c>
      <c r="P15" s="152">
        <f t="shared" si="0"/>
        <v>124125.96836200944</v>
      </c>
    </row>
    <row r="16" spans="1:16" x14ac:dyDescent="0.15">
      <c r="A16" s="154"/>
      <c r="B16" s="151"/>
      <c r="C16" s="152"/>
      <c r="D16" s="153"/>
      <c r="E16" s="153"/>
      <c r="F16" s="157"/>
      <c r="G16" s="154"/>
      <c r="H16" s="152"/>
      <c r="I16" s="153" t="s">
        <v>754</v>
      </c>
      <c r="J16" s="152"/>
      <c r="K16" s="154"/>
      <c r="L16" s="154" t="s">
        <v>761</v>
      </c>
      <c r="M16" s="227">
        <v>843</v>
      </c>
      <c r="N16" s="154" t="s">
        <v>724</v>
      </c>
      <c r="O16" s="227">
        <f t="shared" si="1"/>
        <v>47152.353362009431</v>
      </c>
      <c r="P16" s="152">
        <f t="shared" si="0"/>
        <v>123282.96836200944</v>
      </c>
    </row>
    <row r="17" spans="1:16" x14ac:dyDescent="0.15">
      <c r="A17" s="154"/>
      <c r="B17" s="151"/>
      <c r="C17" s="152"/>
      <c r="D17" s="153"/>
      <c r="E17" s="153"/>
      <c r="F17" s="157"/>
      <c r="G17" s="154"/>
      <c r="H17" s="152"/>
      <c r="I17" s="153" t="s">
        <v>755</v>
      </c>
      <c r="J17" s="152"/>
      <c r="K17" s="154"/>
      <c r="L17" s="154" t="s">
        <v>761</v>
      </c>
      <c r="M17" s="227">
        <v>1133</v>
      </c>
      <c r="N17" s="154" t="s">
        <v>724</v>
      </c>
      <c r="O17" s="227">
        <f t="shared" si="1"/>
        <v>46019.353362009431</v>
      </c>
      <c r="P17" s="152">
        <f t="shared" si="0"/>
        <v>122149.96836200944</v>
      </c>
    </row>
    <row r="18" spans="1:16" x14ac:dyDescent="0.15">
      <c r="A18" s="154"/>
      <c r="B18" s="151"/>
      <c r="C18" s="152"/>
      <c r="D18" s="153"/>
      <c r="E18" s="153"/>
      <c r="F18" s="157"/>
      <c r="G18" s="154"/>
      <c r="H18" s="152"/>
      <c r="I18" s="153" t="s">
        <v>756</v>
      </c>
      <c r="J18" s="152"/>
      <c r="K18" s="154"/>
      <c r="L18" s="154" t="s">
        <v>761</v>
      </c>
      <c r="M18" s="227">
        <v>752</v>
      </c>
      <c r="N18" s="154" t="s">
        <v>724</v>
      </c>
      <c r="O18" s="227">
        <f t="shared" si="1"/>
        <v>45267.353362009431</v>
      </c>
      <c r="P18" s="152">
        <f t="shared" si="0"/>
        <v>121397.96836200944</v>
      </c>
    </row>
    <row r="19" spans="1:16" x14ac:dyDescent="0.15">
      <c r="A19" s="154"/>
      <c r="B19" s="151"/>
      <c r="C19" s="152"/>
      <c r="D19" s="153"/>
      <c r="E19" s="153"/>
      <c r="F19" s="157"/>
      <c r="G19" s="154"/>
      <c r="H19" s="152"/>
      <c r="I19" s="153" t="s">
        <v>757</v>
      </c>
      <c r="J19" s="152">
        <v>456</v>
      </c>
      <c r="K19" s="154" t="s">
        <v>724</v>
      </c>
      <c r="L19" s="154" t="s">
        <v>761</v>
      </c>
      <c r="M19" s="227">
        <v>600</v>
      </c>
      <c r="N19" s="154" t="s">
        <v>724</v>
      </c>
      <c r="O19" s="227">
        <f t="shared" si="1"/>
        <v>44211.353362009431</v>
      </c>
      <c r="P19" s="152">
        <f t="shared" si="0"/>
        <v>120341.96836200944</v>
      </c>
    </row>
    <row r="20" spans="1:16" x14ac:dyDescent="0.15">
      <c r="A20" s="154"/>
      <c r="B20" s="151"/>
      <c r="C20" s="152"/>
      <c r="D20" s="153"/>
      <c r="E20" s="153"/>
      <c r="F20" s="157"/>
      <c r="G20" s="154"/>
      <c r="H20" s="152"/>
      <c r="I20" s="153" t="s">
        <v>758</v>
      </c>
      <c r="J20" s="152">
        <v>1080</v>
      </c>
      <c r="K20" s="154" t="s">
        <v>724</v>
      </c>
      <c r="L20" s="154" t="s">
        <v>761</v>
      </c>
      <c r="M20" s="227">
        <v>876</v>
      </c>
      <c r="N20" s="154" t="s">
        <v>724</v>
      </c>
      <c r="O20" s="227">
        <f t="shared" si="1"/>
        <v>42255.353362009431</v>
      </c>
      <c r="P20" s="152">
        <f t="shared" si="0"/>
        <v>118385.96836200944</v>
      </c>
    </row>
    <row r="21" spans="1:16" x14ac:dyDescent="0.15">
      <c r="A21" s="154"/>
      <c r="B21" s="151"/>
      <c r="C21" s="152"/>
      <c r="D21" s="153"/>
      <c r="E21" s="153"/>
      <c r="F21" s="157"/>
      <c r="G21" s="154"/>
      <c r="H21" s="152"/>
      <c r="I21" s="153" t="s">
        <v>759</v>
      </c>
      <c r="J21" s="152">
        <v>1410</v>
      </c>
      <c r="K21" s="154" t="s">
        <v>724</v>
      </c>
      <c r="L21" s="154"/>
      <c r="M21" s="227"/>
      <c r="N21" s="154"/>
      <c r="O21" s="227">
        <f t="shared" si="1"/>
        <v>40845.353362009431</v>
      </c>
      <c r="P21" s="152">
        <f t="shared" si="0"/>
        <v>116975.96836200944</v>
      </c>
    </row>
    <row r="22" spans="1:16" x14ac:dyDescent="0.15">
      <c r="A22" s="154"/>
      <c r="B22" s="151"/>
      <c r="C22" s="152"/>
      <c r="D22" s="153"/>
      <c r="E22" s="153"/>
      <c r="F22" s="157"/>
      <c r="G22" s="154"/>
      <c r="H22" s="152"/>
      <c r="I22" s="153" t="s">
        <v>760</v>
      </c>
      <c r="J22" s="152">
        <v>1060</v>
      </c>
      <c r="K22" s="150" t="s">
        <v>724</v>
      </c>
      <c r="L22" s="154"/>
      <c r="M22" s="227"/>
      <c r="N22" s="154"/>
      <c r="O22" s="227">
        <f t="shared" si="1"/>
        <v>39785.353362009431</v>
      </c>
      <c r="P22" s="152">
        <f t="shared" si="0"/>
        <v>115915.96836200944</v>
      </c>
    </row>
    <row r="23" spans="1:16" hidden="1" x14ac:dyDescent="0.15">
      <c r="A23" s="154"/>
      <c r="B23" s="151"/>
      <c r="C23" s="152"/>
      <c r="D23" s="153"/>
      <c r="E23" s="153"/>
      <c r="F23" s="157"/>
      <c r="G23" s="154"/>
      <c r="H23" s="152"/>
      <c r="I23" s="153"/>
      <c r="J23" s="152"/>
      <c r="K23" s="154"/>
      <c r="L23" s="154"/>
      <c r="M23" s="227"/>
      <c r="N23" s="154"/>
      <c r="O23" s="227">
        <f t="shared" si="1"/>
        <v>39785.353362009431</v>
      </c>
      <c r="P23" s="152">
        <f t="shared" si="0"/>
        <v>115915.96836200944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4"/>
      <c r="L24" s="154"/>
      <c r="M24" s="227"/>
      <c r="N24" s="154"/>
      <c r="O24" s="227">
        <f t="shared" si="1"/>
        <v>39785.353362009431</v>
      </c>
      <c r="P24" s="152">
        <f t="shared" si="0"/>
        <v>115915.96836200944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227"/>
      <c r="N25" s="154"/>
      <c r="O25" s="227">
        <f t="shared" si="1"/>
        <v>39785.353362009431</v>
      </c>
      <c r="P25" s="152">
        <f t="shared" si="0"/>
        <v>115915.96836200944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4"/>
      <c r="L26" s="154"/>
      <c r="M26" s="227"/>
      <c r="N26" s="154"/>
      <c r="O26" s="227">
        <f t="shared" si="1"/>
        <v>39785.353362009431</v>
      </c>
      <c r="P26" s="152">
        <f t="shared" si="0"/>
        <v>115915.96836200944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227"/>
      <c r="N27" s="157"/>
      <c r="O27" s="227">
        <f t="shared" si="1"/>
        <v>39785.353362009431</v>
      </c>
      <c r="P27" s="152">
        <f t="shared" si="0"/>
        <v>115915.96836200944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4"/>
      <c r="L28" s="154"/>
      <c r="M28" s="227"/>
      <c r="N28" s="157"/>
      <c r="O28" s="227">
        <f t="shared" si="1"/>
        <v>39785.353362009431</v>
      </c>
      <c r="P28" s="152">
        <f t="shared" si="0"/>
        <v>115915.96836200944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4"/>
      <c r="L29" s="154"/>
      <c r="M29" s="227"/>
      <c r="N29" s="154"/>
      <c r="O29" s="227">
        <f t="shared" si="1"/>
        <v>39785.353362009431</v>
      </c>
      <c r="P29" s="152">
        <f t="shared" si="0"/>
        <v>115915.96836200944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4"/>
      <c r="L30" s="154"/>
      <c r="M30" s="227"/>
      <c r="N30" s="157"/>
      <c r="O30" s="227">
        <f t="shared" si="1"/>
        <v>39785.353362009431</v>
      </c>
      <c r="P30" s="152">
        <f t="shared" si="0"/>
        <v>115915.96836200944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4"/>
      <c r="L31" s="154"/>
      <c r="M31" s="227"/>
      <c r="N31" s="157"/>
      <c r="O31" s="227">
        <f t="shared" si="1"/>
        <v>39785.353362009431</v>
      </c>
      <c r="P31" s="152">
        <f t="shared" si="0"/>
        <v>115915.96836200944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227"/>
      <c r="N32" s="157"/>
      <c r="O32" s="227">
        <f t="shared" si="1"/>
        <v>39785.353362009431</v>
      </c>
      <c r="P32" s="152">
        <f t="shared" si="0"/>
        <v>115915.96836200944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227"/>
      <c r="N33" s="157"/>
      <c r="O33" s="227">
        <f t="shared" si="1"/>
        <v>39785.353362009431</v>
      </c>
      <c r="P33" s="152">
        <f t="shared" si="0"/>
        <v>115915.96836200944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7"/>
      <c r="L34" s="154"/>
      <c r="M34" s="227"/>
      <c r="N34" s="157"/>
      <c r="O34" s="227">
        <f t="shared" si="1"/>
        <v>39785.353362009431</v>
      </c>
      <c r="P34" s="152">
        <f t="shared" si="0"/>
        <v>115915.96836200944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7"/>
      <c r="L35" s="154"/>
      <c r="M35" s="227"/>
      <c r="N35" s="157"/>
      <c r="O35" s="227">
        <f t="shared" si="1"/>
        <v>39785.353362009431</v>
      </c>
      <c r="P35" s="152">
        <f t="shared" si="0"/>
        <v>115915.96836200944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227"/>
      <c r="N36" s="157"/>
      <c r="O36" s="227">
        <f t="shared" si="1"/>
        <v>39785.353362009431</v>
      </c>
      <c r="P36" s="152">
        <f t="shared" si="0"/>
        <v>115915.96836200944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7"/>
      <c r="L37" s="154"/>
      <c r="M37" s="227"/>
      <c r="N37" s="157"/>
      <c r="O37" s="227">
        <f t="shared" si="1"/>
        <v>39785.353362009431</v>
      </c>
      <c r="P37" s="152">
        <f t="shared" si="0"/>
        <v>115915.96836200944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7"/>
      <c r="L38" s="154"/>
      <c r="M38" s="227"/>
      <c r="N38" s="157"/>
      <c r="O38" s="227">
        <f t="shared" si="1"/>
        <v>39785.353362009431</v>
      </c>
      <c r="P38" s="152">
        <f t="shared" si="0"/>
        <v>115915.96836200944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227"/>
      <c r="N39" s="157"/>
      <c r="O39" s="227">
        <f t="shared" si="1"/>
        <v>39785.353362009431</v>
      </c>
      <c r="P39" s="152">
        <f t="shared" si="0"/>
        <v>115915.96836200944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227"/>
      <c r="N40" s="157"/>
      <c r="O40" s="227">
        <f t="shared" si="1"/>
        <v>39785.353362009431</v>
      </c>
      <c r="P40" s="152">
        <f t="shared" si="0"/>
        <v>115915.96836200944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227"/>
      <c r="N41" s="157"/>
      <c r="O41" s="227">
        <f t="shared" si="1"/>
        <v>39785.353362009431</v>
      </c>
      <c r="P41" s="152">
        <f t="shared" si="0"/>
        <v>115915.96836200944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227"/>
      <c r="N42" s="157"/>
      <c r="O42" s="227">
        <f t="shared" si="1"/>
        <v>39785.353362009431</v>
      </c>
      <c r="P42" s="152">
        <f t="shared" si="0"/>
        <v>115915.96836200944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0"/>
      <c r="L43" s="154"/>
      <c r="M43" s="227"/>
      <c r="N43" s="157"/>
      <c r="O43" s="227">
        <f t="shared" si="1"/>
        <v>39785.353362009431</v>
      </c>
      <c r="P43" s="152">
        <f t="shared" si="0"/>
        <v>115915.96836200944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0"/>
      <c r="L44" s="154"/>
      <c r="M44" s="227"/>
      <c r="N44" s="157"/>
      <c r="O44" s="227">
        <f t="shared" si="1"/>
        <v>39785.353362009431</v>
      </c>
      <c r="P44" s="152">
        <f t="shared" si="0"/>
        <v>115915.96836200944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7"/>
      <c r="L45" s="154"/>
      <c r="M45" s="227"/>
      <c r="N45" s="157"/>
      <c r="O45" s="227">
        <f t="shared" si="1"/>
        <v>39785.353362009431</v>
      </c>
      <c r="P45" s="152">
        <f t="shared" si="0"/>
        <v>115915.96836200944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7"/>
      <c r="L46" s="154"/>
      <c r="M46" s="227"/>
      <c r="N46" s="157"/>
      <c r="O46" s="227">
        <f t="shared" si="1"/>
        <v>39785.353362009431</v>
      </c>
      <c r="P46" s="152">
        <f t="shared" si="0"/>
        <v>115915.96836200944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227"/>
      <c r="N47" s="157"/>
      <c r="O47" s="227">
        <f t="shared" si="1"/>
        <v>39785.353362009431</v>
      </c>
      <c r="P47" s="152">
        <f t="shared" si="0"/>
        <v>115915.96836200944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227"/>
      <c r="N48" s="157"/>
      <c r="O48" s="227">
        <f t="shared" si="1"/>
        <v>39785.353362009431</v>
      </c>
      <c r="P48" s="152">
        <f t="shared" si="0"/>
        <v>115915.96836200944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7"/>
      <c r="L49" s="154"/>
      <c r="M49" s="227"/>
      <c r="N49" s="157"/>
      <c r="O49" s="227">
        <f t="shared" si="1"/>
        <v>39785.353362009431</v>
      </c>
      <c r="P49" s="152">
        <f t="shared" si="0"/>
        <v>115915.96836200944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0"/>
      <c r="L50" s="154"/>
      <c r="M50" s="227"/>
      <c r="N50" s="157"/>
      <c r="O50" s="227">
        <f t="shared" si="1"/>
        <v>39785.353362009431</v>
      </c>
      <c r="P50" s="152">
        <f t="shared" si="0"/>
        <v>115915.96836200944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227"/>
      <c r="N51" s="157"/>
      <c r="O51" s="227">
        <f t="shared" si="1"/>
        <v>39785.353362009431</v>
      </c>
      <c r="P51" s="152">
        <f t="shared" si="0"/>
        <v>115915.96836200944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7"/>
      <c r="L52" s="154"/>
      <c r="M52" s="227"/>
      <c r="N52" s="157"/>
      <c r="O52" s="227">
        <f t="shared" si="1"/>
        <v>39785.353362009431</v>
      </c>
      <c r="P52" s="152">
        <f t="shared" si="0"/>
        <v>115915.96836200944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7"/>
      <c r="L53" s="154"/>
      <c r="M53" s="227"/>
      <c r="N53" s="157"/>
      <c r="O53" s="227">
        <f t="shared" si="1"/>
        <v>39785.353362009431</v>
      </c>
      <c r="P53" s="152">
        <f t="shared" si="0"/>
        <v>115915.96836200944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227"/>
      <c r="N54" s="157"/>
      <c r="O54" s="227">
        <f t="shared" si="1"/>
        <v>39785.353362009431</v>
      </c>
      <c r="P54" s="152">
        <f t="shared" si="0"/>
        <v>115915.96836200944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7"/>
      <c r="L55" s="154"/>
      <c r="M55" s="227"/>
      <c r="N55" s="157"/>
      <c r="O55" s="227">
        <f t="shared" si="1"/>
        <v>39785.353362009431</v>
      </c>
      <c r="P55" s="152">
        <f t="shared" si="0"/>
        <v>115915.96836200944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227"/>
      <c r="N56" s="157"/>
      <c r="O56" s="227">
        <f t="shared" si="1"/>
        <v>39785.353362009431</v>
      </c>
      <c r="P56" s="152">
        <f t="shared" si="0"/>
        <v>115915.96836200944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227"/>
      <c r="N57" s="157"/>
      <c r="O57" s="227">
        <f t="shared" si="1"/>
        <v>39785.353362009431</v>
      </c>
      <c r="P57" s="152">
        <f t="shared" si="0"/>
        <v>115915.96836200944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227"/>
      <c r="N58" s="157"/>
      <c r="O58" s="227">
        <f t="shared" si="1"/>
        <v>39785.353362009431</v>
      </c>
      <c r="P58" s="152">
        <f t="shared" si="0"/>
        <v>115915.96836200944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7"/>
      <c r="L59" s="154"/>
      <c r="M59" s="227"/>
      <c r="N59" s="157"/>
      <c r="O59" s="227">
        <f t="shared" si="1"/>
        <v>39785.353362009431</v>
      </c>
      <c r="P59" s="152">
        <f t="shared" si="0"/>
        <v>115915.96836200944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0"/>
      <c r="L60" s="154"/>
      <c r="M60" s="227"/>
      <c r="N60" s="157"/>
      <c r="O60" s="227">
        <f t="shared" si="1"/>
        <v>39785.353362009431</v>
      </c>
      <c r="P60" s="152">
        <f t="shared" si="0"/>
        <v>115915.96836200944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0"/>
      <c r="L61" s="154"/>
      <c r="M61" s="227"/>
      <c r="N61" s="157"/>
      <c r="O61" s="227">
        <f t="shared" si="1"/>
        <v>39785.353362009431</v>
      </c>
      <c r="P61" s="152">
        <f t="shared" si="0"/>
        <v>115915.96836200944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0"/>
      <c r="L62" s="154"/>
      <c r="M62" s="227"/>
      <c r="N62" s="157"/>
      <c r="O62" s="227">
        <f t="shared" si="1"/>
        <v>39785.353362009431</v>
      </c>
      <c r="P62" s="152">
        <f t="shared" si="0"/>
        <v>115915.96836200944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227"/>
      <c r="N63" s="157"/>
      <c r="O63" s="227">
        <f t="shared" si="1"/>
        <v>39785.353362009431</v>
      </c>
      <c r="P63" s="152">
        <f t="shared" si="0"/>
        <v>115915.96836200944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227"/>
      <c r="N64" s="157"/>
      <c r="O64" s="227">
        <f t="shared" si="1"/>
        <v>39785.353362009431</v>
      </c>
      <c r="P64" s="152">
        <f t="shared" si="0"/>
        <v>115915.96836200944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0"/>
      <c r="L65" s="154"/>
      <c r="M65" s="227"/>
      <c r="N65" s="157"/>
      <c r="O65" s="227">
        <f t="shared" si="1"/>
        <v>39785.353362009431</v>
      </c>
      <c r="P65" s="152">
        <f t="shared" si="0"/>
        <v>115915.96836200944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227"/>
      <c r="N66" s="157"/>
      <c r="O66" s="227">
        <f t="shared" si="1"/>
        <v>39785.353362009431</v>
      </c>
      <c r="P66" s="152">
        <f t="shared" si="0"/>
        <v>115915.96836200944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0"/>
      <c r="L67" s="154"/>
      <c r="M67" s="227"/>
      <c r="N67" s="157"/>
      <c r="O67" s="227">
        <f t="shared" si="1"/>
        <v>39785.353362009431</v>
      </c>
      <c r="P67" s="152">
        <f t="shared" si="0"/>
        <v>115915.96836200944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0"/>
      <c r="L68" s="154"/>
      <c r="M68" s="227"/>
      <c r="N68" s="157"/>
      <c r="O68" s="227">
        <f t="shared" si="1"/>
        <v>39785.353362009431</v>
      </c>
      <c r="P68" s="152">
        <f t="shared" si="0"/>
        <v>115915.96836200944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0"/>
      <c r="L69" s="154"/>
      <c r="M69" s="227"/>
      <c r="N69" s="157"/>
      <c r="O69" s="227">
        <f t="shared" si="1"/>
        <v>39785.353362009431</v>
      </c>
      <c r="P69" s="152">
        <f t="shared" si="0"/>
        <v>115915.96836200944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0"/>
      <c r="L70" s="154"/>
      <c r="M70" s="227"/>
      <c r="N70" s="157"/>
      <c r="O70" s="227">
        <f t="shared" si="1"/>
        <v>39785.353362009431</v>
      </c>
      <c r="P70" s="152">
        <f t="shared" si="0"/>
        <v>115915.96836200944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227"/>
      <c r="N71" s="157"/>
      <c r="O71" s="227">
        <f t="shared" si="1"/>
        <v>39785.353362009431</v>
      </c>
      <c r="P71" s="152">
        <f t="shared" si="0"/>
        <v>115915.96836200944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227"/>
      <c r="N72" s="157"/>
      <c r="O72" s="227">
        <f t="shared" si="1"/>
        <v>39785.353362009431</v>
      </c>
      <c r="P72" s="152">
        <f t="shared" ref="P72:P75" si="2">P71+H72-J72-M72</f>
        <v>115915.96836200944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227"/>
      <c r="N73" s="150"/>
      <c r="O73" s="227">
        <f t="shared" ref="O73:O75" si="3">+O72-J73-M73</f>
        <v>39785.353362009431</v>
      </c>
      <c r="P73" s="152">
        <f t="shared" si="2"/>
        <v>115915.96836200944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227"/>
      <c r="N74" s="157"/>
      <c r="O74" s="227">
        <f t="shared" si="3"/>
        <v>39785.353362009431</v>
      </c>
      <c r="P74" s="152">
        <f t="shared" si="2"/>
        <v>115915.96836200944</v>
      </c>
    </row>
    <row r="75" spans="1:16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3"/>
        <v>39785.353362009431</v>
      </c>
      <c r="P75" s="152">
        <f t="shared" si="2"/>
        <v>115915.96836200944</v>
      </c>
    </row>
    <row r="76" spans="1:16" x14ac:dyDescent="0.15">
      <c r="A76" s="177"/>
      <c r="B76" s="177"/>
      <c r="C76" s="178">
        <f>SUM(C7:C74)</f>
        <v>132403.96836200944</v>
      </c>
      <c r="D76" s="177"/>
      <c r="E76" s="177"/>
      <c r="F76" s="177"/>
      <c r="G76" s="177"/>
      <c r="H76" s="178">
        <f>SUM(H7:H74)</f>
        <v>0</v>
      </c>
      <c r="I76" s="179"/>
      <c r="J76" s="178">
        <f>SUM(J7:J74)</f>
        <v>12284</v>
      </c>
      <c r="K76" s="177"/>
      <c r="L76" s="177"/>
      <c r="M76" s="229">
        <f>SUM(M9:M74)</f>
        <v>4204</v>
      </c>
      <c r="N76" s="177"/>
      <c r="O76" s="180"/>
      <c r="P76" s="181">
        <f>C76+H76-J76-M76</f>
        <v>115915.96836200944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16488</v>
      </c>
      <c r="N77" s="188"/>
      <c r="O77" s="230">
        <f>+O75</f>
        <v>39785.353362009431</v>
      </c>
      <c r="P77" s="195" t="s">
        <v>724</v>
      </c>
    </row>
    <row r="78" spans="1:16" x14ac:dyDescent="0.15">
      <c r="A78" s="193"/>
      <c r="B78" s="470"/>
      <c r="C78" s="470"/>
      <c r="D78" s="470"/>
      <c r="E78" s="183"/>
      <c r="F78" s="472"/>
      <c r="G78" s="472"/>
      <c r="H78" s="219"/>
      <c r="I78" s="186"/>
      <c r="J78" s="187"/>
      <c r="K78" s="210"/>
      <c r="L78" s="210"/>
      <c r="O78" s="230">
        <f>+C8</f>
        <v>76130.615000000005</v>
      </c>
      <c r="P78" s="195" t="s">
        <v>725</v>
      </c>
    </row>
    <row r="79" spans="1:16" x14ac:dyDescent="0.15">
      <c r="A79" s="193" t="s">
        <v>724</v>
      </c>
      <c r="B79" s="470" t="s">
        <v>730</v>
      </c>
      <c r="C79" s="470"/>
      <c r="D79" s="470"/>
      <c r="E79" s="183" t="s">
        <v>55</v>
      </c>
      <c r="F79" s="472">
        <v>46087131.859999999</v>
      </c>
      <c r="G79" s="472"/>
      <c r="H79" s="219" t="s">
        <v>56</v>
      </c>
      <c r="I79" s="186">
        <v>40644</v>
      </c>
      <c r="J79" s="187" t="s">
        <v>71</v>
      </c>
      <c r="K79" s="210">
        <f>+M76</f>
        <v>4204</v>
      </c>
      <c r="L79" s="210"/>
      <c r="O79" s="230"/>
      <c r="P79" s="192"/>
    </row>
    <row r="80" spans="1:16" x14ac:dyDescent="0.15">
      <c r="A80" s="193"/>
      <c r="B80" s="470"/>
      <c r="C80" s="470"/>
      <c r="D80" s="470"/>
      <c r="E80" s="183"/>
      <c r="F80" s="472"/>
      <c r="G80" s="472"/>
      <c r="H80" s="219"/>
      <c r="I80" s="186"/>
      <c r="J80" s="187"/>
      <c r="K80" s="210"/>
      <c r="L80" s="210"/>
      <c r="O80" s="230"/>
      <c r="P80" s="192"/>
    </row>
    <row r="81" spans="1:16" x14ac:dyDescent="0.15">
      <c r="A81" s="193"/>
      <c r="B81" s="470"/>
      <c r="C81" s="470"/>
      <c r="D81" s="470"/>
      <c r="E81" s="183"/>
      <c r="F81" s="472"/>
      <c r="G81" s="472"/>
      <c r="H81" s="219"/>
      <c r="I81" s="186"/>
      <c r="J81" s="187"/>
      <c r="K81" s="210"/>
      <c r="L81" s="210"/>
      <c r="O81" s="230"/>
      <c r="P81" s="195"/>
    </row>
    <row r="82" spans="1:16" x14ac:dyDescent="0.15">
      <c r="A82" s="133" t="s">
        <v>568</v>
      </c>
      <c r="B82" s="133" t="s">
        <v>9</v>
      </c>
      <c r="C82" s="220" t="s">
        <v>729</v>
      </c>
      <c r="D82" s="220" t="s">
        <v>729</v>
      </c>
      <c r="E82" s="133" t="s">
        <v>570</v>
      </c>
      <c r="F82" s="133" t="s">
        <v>571</v>
      </c>
      <c r="G82" s="133" t="s">
        <v>16</v>
      </c>
      <c r="H82" s="219"/>
      <c r="I82" s="186"/>
      <c r="J82" s="187"/>
      <c r="K82" s="210"/>
      <c r="L82" s="210"/>
      <c r="O82" s="230"/>
      <c r="P82" s="195"/>
    </row>
    <row r="83" spans="1:16" x14ac:dyDescent="0.15">
      <c r="A83" s="193" t="s">
        <v>724</v>
      </c>
      <c r="B83" s="210">
        <v>4204</v>
      </c>
      <c r="C83" s="221">
        <v>25.478200000000001</v>
      </c>
      <c r="D83" s="237">
        <f>+B83*C83</f>
        <v>107110.35280000001</v>
      </c>
      <c r="E83" s="235">
        <f>+D83*0.01</f>
        <v>1071.1035280000001</v>
      </c>
      <c r="F83" s="235">
        <f>+E83*0.1</f>
        <v>107.11035280000002</v>
      </c>
      <c r="G83" s="236">
        <f>+E83+F83</f>
        <v>1178.2138808000002</v>
      </c>
      <c r="H83" s="219"/>
      <c r="I83" s="186"/>
      <c r="J83" s="187"/>
      <c r="K83" s="210"/>
      <c r="L83" s="210"/>
      <c r="O83" s="230"/>
      <c r="P83" s="195"/>
    </row>
    <row r="84" spans="1:16" ht="12" thickBot="1" x14ac:dyDescent="0.2">
      <c r="A84" s="193"/>
      <c r="B84" s="211">
        <f>SUM(B82:B83)</f>
        <v>4204</v>
      </c>
      <c r="C84" s="221"/>
      <c r="D84" s="221"/>
      <c r="E84" s="224">
        <f>SUM(E82:E83)</f>
        <v>1071.1035280000001</v>
      </c>
      <c r="F84" s="224">
        <f t="shared" ref="F84:G84" si="4">SUM(F82:F83)</f>
        <v>107.11035280000002</v>
      </c>
      <c r="G84" s="224">
        <f t="shared" si="4"/>
        <v>1178.2138808000002</v>
      </c>
      <c r="H84" s="219"/>
      <c r="I84" s="186"/>
      <c r="J84" s="187"/>
      <c r="K84" s="210"/>
      <c r="L84" s="210"/>
      <c r="O84" s="206" t="s">
        <v>33</v>
      </c>
      <c r="P84" s="207">
        <f>SUM(O77:O83)</f>
        <v>115915.96836200944</v>
      </c>
    </row>
    <row r="85" spans="1:16" ht="12" thickTop="1" x14ac:dyDescent="0.15">
      <c r="A85" s="133"/>
      <c r="B85" s="133"/>
      <c r="C85" s="220"/>
      <c r="F85" s="133"/>
      <c r="H85" s="133"/>
      <c r="I85" s="187"/>
      <c r="J85" s="210"/>
      <c r="K85" s="210"/>
      <c r="L85" s="210"/>
      <c r="P85" s="132">
        <f>+P76-P84</f>
        <v>0</v>
      </c>
    </row>
    <row r="86" spans="1:16" x14ac:dyDescent="0.15">
      <c r="A86" s="133"/>
      <c r="B86" s="133"/>
      <c r="C86" s="220"/>
      <c r="F86" s="133"/>
      <c r="H86" s="133"/>
      <c r="I86" s="187"/>
      <c r="J86" s="210"/>
      <c r="K86" s="210"/>
      <c r="L86" s="210"/>
    </row>
    <row r="87" spans="1:16" x14ac:dyDescent="0.15">
      <c r="A87" s="133"/>
      <c r="B87" s="133"/>
      <c r="C87" s="220"/>
      <c r="F87" s="133"/>
      <c r="H87" s="133"/>
      <c r="I87" s="187"/>
      <c r="J87" s="210"/>
      <c r="K87" s="210"/>
      <c r="L87" s="210"/>
    </row>
    <row r="88" spans="1:16" x14ac:dyDescent="0.15">
      <c r="A88" s="133"/>
      <c r="B88" s="133"/>
      <c r="C88" s="220"/>
      <c r="F88" s="133"/>
      <c r="H88" s="133"/>
      <c r="I88" s="187"/>
      <c r="J88" s="210"/>
      <c r="K88" s="210"/>
      <c r="L88" s="210"/>
    </row>
    <row r="89" spans="1:16" x14ac:dyDescent="0.15">
      <c r="A89" s="133"/>
      <c r="B89" s="133"/>
      <c r="C89" s="220"/>
      <c r="F89" s="133"/>
      <c r="L89" s="210"/>
    </row>
    <row r="90" spans="1:16" x14ac:dyDescent="0.15">
      <c r="A90" s="133"/>
      <c r="B90" s="133"/>
      <c r="C90" s="220"/>
      <c r="F90" s="133"/>
      <c r="L90" s="210"/>
    </row>
    <row r="91" spans="1:16" x14ac:dyDescent="0.15">
      <c r="A91" s="133"/>
      <c r="B91" s="133"/>
      <c r="C91" s="220"/>
      <c r="F91" s="133"/>
      <c r="L91" s="210"/>
    </row>
    <row r="92" spans="1:16" x14ac:dyDescent="0.15">
      <c r="L92" s="210"/>
    </row>
    <row r="93" spans="1:16" x14ac:dyDescent="0.15">
      <c r="L93" s="210"/>
    </row>
    <row r="94" spans="1:16" s="132" customFormat="1" x14ac:dyDescent="0.15">
      <c r="A94" s="134"/>
      <c r="B94" s="131"/>
      <c r="D94" s="133"/>
      <c r="E94" s="133"/>
      <c r="F94" s="134"/>
      <c r="G94" s="133"/>
      <c r="I94" s="133"/>
      <c r="K94" s="134"/>
      <c r="L94" s="210"/>
      <c r="N94" s="134"/>
    </row>
    <row r="95" spans="1:16" s="132" customFormat="1" x14ac:dyDescent="0.15">
      <c r="A95" s="133"/>
      <c r="C95" s="134"/>
      <c r="D95" s="210"/>
      <c r="F95" s="134"/>
    </row>
    <row r="96" spans="1:16" s="132" customFormat="1" x14ac:dyDescent="0.15">
      <c r="A96" s="133"/>
      <c r="C96" s="134"/>
      <c r="D96" s="210"/>
      <c r="F96" s="134"/>
    </row>
    <row r="97" spans="1:16" s="132" customFormat="1" x14ac:dyDescent="0.15">
      <c r="A97" s="133"/>
      <c r="C97" s="134"/>
      <c r="D97" s="210"/>
      <c r="F97" s="134"/>
    </row>
    <row r="98" spans="1:16" s="132" customFormat="1" x14ac:dyDescent="0.15">
      <c r="A98" s="133"/>
      <c r="C98" s="134"/>
      <c r="D98" s="210"/>
      <c r="F98" s="134"/>
    </row>
    <row r="99" spans="1:16" x14ac:dyDescent="0.15">
      <c r="A99" s="133"/>
      <c r="B99" s="132"/>
      <c r="C99" s="134"/>
      <c r="E99" s="132"/>
      <c r="G99" s="132"/>
      <c r="I99" s="134"/>
      <c r="J99" s="134"/>
      <c r="L99" s="134"/>
      <c r="M99" s="134"/>
      <c r="O99" s="134"/>
      <c r="P99" s="134"/>
    </row>
    <row r="100" spans="1:16" x14ac:dyDescent="0.15">
      <c r="A100" s="133"/>
      <c r="B100" s="132"/>
      <c r="C100" s="134"/>
      <c r="E100" s="132"/>
      <c r="G100" s="132"/>
      <c r="I100" s="134"/>
      <c r="J100" s="134"/>
      <c r="L100" s="134"/>
      <c r="M100" s="134"/>
      <c r="O100" s="134"/>
      <c r="P100" s="134"/>
    </row>
    <row r="101" spans="1:16" x14ac:dyDescent="0.15">
      <c r="A101" s="133"/>
      <c r="B101" s="132"/>
      <c r="C101" s="134"/>
      <c r="E101" s="132"/>
      <c r="G101" s="132"/>
      <c r="I101" s="134"/>
      <c r="J101" s="134"/>
      <c r="L101" s="134"/>
      <c r="M101" s="134"/>
      <c r="O101" s="134"/>
      <c r="P101" s="134"/>
    </row>
    <row r="102" spans="1:16" x14ac:dyDescent="0.15">
      <c r="A102" s="133"/>
      <c r="B102" s="132"/>
      <c r="C102" s="134"/>
      <c r="E102" s="132"/>
      <c r="G102" s="132"/>
      <c r="I102" s="134"/>
      <c r="J102" s="134"/>
      <c r="L102" s="134"/>
      <c r="M102" s="134"/>
      <c r="O102" s="134"/>
      <c r="P102" s="134"/>
    </row>
    <row r="103" spans="1:16" x14ac:dyDescent="0.15">
      <c r="A103" s="133"/>
      <c r="B103" s="132"/>
      <c r="C103" s="134"/>
      <c r="E103" s="132"/>
      <c r="G103" s="132"/>
      <c r="I103" s="134"/>
      <c r="J103" s="134"/>
      <c r="L103" s="134"/>
      <c r="M103" s="134"/>
      <c r="O103" s="134"/>
      <c r="P103" s="134"/>
    </row>
    <row r="104" spans="1:16" x14ac:dyDescent="0.15">
      <c r="A104" s="133"/>
      <c r="B104" s="132"/>
      <c r="C104" s="134"/>
      <c r="E104" s="132"/>
      <c r="G104" s="132"/>
      <c r="I104" s="134"/>
      <c r="J104" s="134"/>
      <c r="L104" s="134"/>
      <c r="M104" s="134"/>
      <c r="O104" s="134"/>
      <c r="P104" s="134"/>
    </row>
    <row r="105" spans="1:16" x14ac:dyDescent="0.15">
      <c r="A105" s="133"/>
      <c r="B105" s="132"/>
      <c r="C105" s="134"/>
      <c r="E105" s="132"/>
      <c r="G105" s="132"/>
      <c r="I105" s="134"/>
      <c r="J105" s="134"/>
      <c r="L105" s="134"/>
      <c r="M105" s="134"/>
      <c r="O105" s="134"/>
      <c r="P105" s="134"/>
    </row>
    <row r="106" spans="1:16" x14ac:dyDescent="0.15">
      <c r="A106" s="133"/>
      <c r="B106" s="132"/>
      <c r="C106" s="134"/>
      <c r="E106" s="132"/>
      <c r="G106" s="132"/>
      <c r="I106" s="134"/>
      <c r="J106" s="134"/>
      <c r="L106" s="134"/>
      <c r="M106" s="134"/>
      <c r="O106" s="134"/>
      <c r="P106" s="134"/>
    </row>
  </sheetData>
  <mergeCells count="16">
    <mergeCell ref="B80:D80"/>
    <mergeCell ref="F80:G80"/>
    <mergeCell ref="B81:D81"/>
    <mergeCell ref="F81:G81"/>
    <mergeCell ref="B77:D77"/>
    <mergeCell ref="F77:G77"/>
    <mergeCell ref="B78:D78"/>
    <mergeCell ref="F78:G78"/>
    <mergeCell ref="B79:D79"/>
    <mergeCell ref="F79:G79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373"/>
  <sheetViews>
    <sheetView zoomScale="115" zoomScaleNormal="115" workbookViewId="0">
      <pane ySplit="6" topLeftCell="A320" activePane="bottomLeft" state="frozen"/>
      <selection pane="bottomLeft" activeCell="B343" sqref="B343:H343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.85546875" style="132" bestFit="1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.5703125" style="132" bestFit="1" customWidth="1"/>
    <col min="16" max="16384" width="18.5703125" style="134"/>
  </cols>
  <sheetData>
    <row r="1" spans="1:15" x14ac:dyDescent="0.15">
      <c r="A1" s="130" t="s">
        <v>3442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3422</v>
      </c>
      <c r="B7" s="146"/>
      <c r="C7" s="152">
        <v>10777.578362011869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152">
        <f>+C7</f>
        <v>10777.578362011869</v>
      </c>
      <c r="O7" s="152">
        <f>+C335</f>
        <v>1726021.9013620119</v>
      </c>
    </row>
    <row r="8" spans="1:15" x14ac:dyDescent="0.15">
      <c r="A8" s="154" t="s">
        <v>3423</v>
      </c>
      <c r="B8" s="151"/>
      <c r="C8" s="152">
        <v>176047.14499999999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152">
        <f>+N7-I8-L8</f>
        <v>10777.578362011869</v>
      </c>
      <c r="O8" s="152">
        <f t="shared" ref="O8:O11" si="0">O7+G8-I8-L8</f>
        <v>1726021.9013620119</v>
      </c>
    </row>
    <row r="9" spans="1:15" x14ac:dyDescent="0.15">
      <c r="A9" s="157" t="s">
        <v>3424</v>
      </c>
      <c r="B9" s="151"/>
      <c r="C9" s="152">
        <v>132122.21299999999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152">
        <f t="shared" ref="N9:N11" si="1">+N8-I9-L9</f>
        <v>10777.578362011869</v>
      </c>
      <c r="O9" s="152">
        <f t="shared" si="0"/>
        <v>1726021.9013620119</v>
      </c>
    </row>
    <row r="10" spans="1:15" x14ac:dyDescent="0.15">
      <c r="A10" s="154" t="s">
        <v>3425</v>
      </c>
      <c r="B10" s="151"/>
      <c r="C10" s="152">
        <v>483720.08100000001</v>
      </c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152">
        <f t="shared" si="1"/>
        <v>10777.578362011869</v>
      </c>
      <c r="O10" s="152">
        <f t="shared" si="0"/>
        <v>1726021.9013620119</v>
      </c>
    </row>
    <row r="11" spans="1:15" x14ac:dyDescent="0.15">
      <c r="A11" s="154" t="s">
        <v>3426</v>
      </c>
      <c r="B11" s="151"/>
      <c r="C11" s="152">
        <v>395630.17499999999</v>
      </c>
      <c r="D11" s="323"/>
      <c r="E11" s="154"/>
      <c r="F11" s="157"/>
      <c r="G11" s="152"/>
      <c r="H11" s="323"/>
      <c r="I11" s="152"/>
      <c r="J11" s="154"/>
      <c r="K11" s="157"/>
      <c r="L11" s="227"/>
      <c r="M11" s="154"/>
      <c r="N11" s="152">
        <f t="shared" si="1"/>
        <v>10777.578362011869</v>
      </c>
      <c r="O11" s="152">
        <f t="shared" si="0"/>
        <v>1726021.9013620119</v>
      </c>
    </row>
    <row r="12" spans="1:15" x14ac:dyDescent="0.15">
      <c r="A12" s="154" t="s">
        <v>3427</v>
      </c>
      <c r="B12" s="151"/>
      <c r="C12" s="152">
        <v>308034.848</v>
      </c>
      <c r="D12" s="323"/>
      <c r="E12" s="154"/>
      <c r="F12" s="157"/>
      <c r="G12" s="152"/>
      <c r="H12" s="323"/>
      <c r="I12" s="152"/>
      <c r="J12" s="154"/>
      <c r="K12" s="157"/>
      <c r="L12" s="227"/>
      <c r="M12" s="154"/>
      <c r="N12" s="152">
        <f t="shared" ref="N12:N17" si="2">+N11-I12-L12</f>
        <v>10777.578362011869</v>
      </c>
      <c r="O12" s="152">
        <f t="shared" ref="O12:O17" si="3">O11+G12-I12-L12</f>
        <v>1726021.9013620119</v>
      </c>
    </row>
    <row r="13" spans="1:15" x14ac:dyDescent="0.15">
      <c r="A13" s="154" t="s">
        <v>3428</v>
      </c>
      <c r="B13" s="151"/>
      <c r="C13" s="152">
        <v>219689.861</v>
      </c>
      <c r="D13" s="323"/>
      <c r="E13" s="154"/>
      <c r="F13" s="157"/>
      <c r="G13" s="152"/>
      <c r="H13" s="323"/>
      <c r="I13" s="152"/>
      <c r="J13" s="157"/>
      <c r="K13" s="157"/>
      <c r="L13" s="227"/>
      <c r="M13" s="154"/>
      <c r="N13" s="152">
        <f t="shared" si="2"/>
        <v>10777.578362011869</v>
      </c>
      <c r="O13" s="152">
        <f t="shared" si="3"/>
        <v>1726021.9013620119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/>
      <c r="I14" s="152"/>
      <c r="J14" s="157"/>
      <c r="K14" s="157"/>
      <c r="L14" s="227"/>
      <c r="M14" s="157"/>
      <c r="N14" s="152">
        <f t="shared" si="2"/>
        <v>10777.578362011869</v>
      </c>
      <c r="O14" s="152">
        <f t="shared" si="3"/>
        <v>1726021.9013620119</v>
      </c>
    </row>
    <row r="15" spans="1:15" x14ac:dyDescent="0.15">
      <c r="A15" s="154"/>
      <c r="B15" s="151"/>
      <c r="C15" s="152"/>
      <c r="D15" s="323" t="s">
        <v>3443</v>
      </c>
      <c r="E15" s="154" t="s">
        <v>72</v>
      </c>
      <c r="F15" s="157" t="s">
        <v>3428</v>
      </c>
      <c r="G15" s="152">
        <v>175667.14199999999</v>
      </c>
      <c r="H15" s="323" t="s">
        <v>3443</v>
      </c>
      <c r="I15" s="152">
        <v>10777.578362011869</v>
      </c>
      <c r="J15" s="157" t="s">
        <v>3422</v>
      </c>
      <c r="K15" s="157"/>
      <c r="L15" s="227"/>
      <c r="M15" s="157"/>
      <c r="N15" s="152">
        <f t="shared" si="2"/>
        <v>0</v>
      </c>
      <c r="O15" s="152">
        <f t="shared" si="3"/>
        <v>1890911.4650000001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3443</v>
      </c>
      <c r="I16" s="152">
        <v>2757.9696379881302</v>
      </c>
      <c r="J16" s="157" t="s">
        <v>3423</v>
      </c>
      <c r="K16" s="157">
        <v>5800361500</v>
      </c>
      <c r="L16" s="227">
        <v>11910.678</v>
      </c>
      <c r="M16" s="154" t="s">
        <v>3423</v>
      </c>
      <c r="N16" s="152">
        <f>C8+N15-I16-L16</f>
        <v>161378.49736201187</v>
      </c>
      <c r="O16" s="152">
        <f t="shared" si="3"/>
        <v>1876242.8173620119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3443</v>
      </c>
      <c r="I17" s="152"/>
      <c r="J17" s="157"/>
      <c r="K17" s="157">
        <v>5800361500</v>
      </c>
      <c r="L17" s="227">
        <v>13999.428</v>
      </c>
      <c r="M17" s="154" t="s">
        <v>3423</v>
      </c>
      <c r="N17" s="152">
        <f t="shared" si="2"/>
        <v>147379.06936201185</v>
      </c>
      <c r="O17" s="152">
        <f t="shared" si="3"/>
        <v>1862243.3893620118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3443</v>
      </c>
      <c r="I18" s="152"/>
      <c r="J18" s="157"/>
      <c r="K18" s="157">
        <v>5800361500</v>
      </c>
      <c r="L18" s="227">
        <v>15123.907999999999</v>
      </c>
      <c r="M18" s="154" t="s">
        <v>3423</v>
      </c>
      <c r="N18" s="152">
        <f t="shared" ref="N18:N84" si="4">+N17-I18-L18</f>
        <v>132255.16136201186</v>
      </c>
      <c r="O18" s="152">
        <f t="shared" ref="O18:O84" si="5">O17+G18-I18-L18</f>
        <v>1847119.4813620117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3443</v>
      </c>
      <c r="I19" s="152"/>
      <c r="J19" s="157"/>
      <c r="K19" s="157">
        <v>5800361500</v>
      </c>
      <c r="L19" s="227">
        <v>16295.45</v>
      </c>
      <c r="M19" s="154" t="s">
        <v>3423</v>
      </c>
      <c r="N19" s="152">
        <f t="shared" si="4"/>
        <v>115959.71136201186</v>
      </c>
      <c r="O19" s="152">
        <f t="shared" si="5"/>
        <v>1830824.0313620118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3443</v>
      </c>
      <c r="I20" s="152"/>
      <c r="J20" s="157"/>
      <c r="K20" s="157">
        <v>5800361500</v>
      </c>
      <c r="L20" s="227">
        <v>11335.922</v>
      </c>
      <c r="M20" s="154" t="s">
        <v>3423</v>
      </c>
      <c r="N20" s="152">
        <f t="shared" si="4"/>
        <v>104623.78936201186</v>
      </c>
      <c r="O20" s="152">
        <f t="shared" si="5"/>
        <v>1819488.1093620118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3443</v>
      </c>
      <c r="I21" s="152"/>
      <c r="J21" s="157"/>
      <c r="K21" s="157">
        <v>5800361500</v>
      </c>
      <c r="L21" s="227">
        <v>14316.846</v>
      </c>
      <c r="M21" s="154" t="s">
        <v>3423</v>
      </c>
      <c r="N21" s="152">
        <f t="shared" si="4"/>
        <v>90306.943362011851</v>
      </c>
      <c r="O21" s="152">
        <f t="shared" si="5"/>
        <v>1805171.2633620119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3443</v>
      </c>
      <c r="I22" s="152"/>
      <c r="J22" s="157"/>
      <c r="K22" s="157">
        <v>5800361500</v>
      </c>
      <c r="L22" s="227">
        <v>9497.5020000000004</v>
      </c>
      <c r="M22" s="154" t="s">
        <v>3423</v>
      </c>
      <c r="N22" s="152">
        <f t="shared" si="4"/>
        <v>80809.441362011858</v>
      </c>
      <c r="O22" s="152">
        <f t="shared" si="5"/>
        <v>1795673.7613620118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3443</v>
      </c>
      <c r="I23" s="152"/>
      <c r="J23" s="157"/>
      <c r="K23" s="157">
        <v>5800361500</v>
      </c>
      <c r="L23" s="227">
        <v>7244.1189999999997</v>
      </c>
      <c r="M23" s="154" t="s">
        <v>3423</v>
      </c>
      <c r="N23" s="152">
        <f t="shared" si="4"/>
        <v>73565.322362011852</v>
      </c>
      <c r="O23" s="152">
        <f t="shared" si="5"/>
        <v>1788429.6423620118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3443</v>
      </c>
      <c r="I24" s="152"/>
      <c r="J24" s="154"/>
      <c r="K24" s="157">
        <v>5800361500</v>
      </c>
      <c r="L24" s="227">
        <v>14303.388999999999</v>
      </c>
      <c r="M24" s="154" t="s">
        <v>3423</v>
      </c>
      <c r="N24" s="152">
        <f t="shared" si="4"/>
        <v>59261.933362011856</v>
      </c>
      <c r="O24" s="152">
        <f t="shared" si="5"/>
        <v>1774126.2533620119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3443</v>
      </c>
      <c r="I25" s="152"/>
      <c r="J25" s="157"/>
      <c r="K25" s="157">
        <v>5800361500</v>
      </c>
      <c r="L25" s="227">
        <v>14761.017</v>
      </c>
      <c r="M25" s="154" t="s">
        <v>3423</v>
      </c>
      <c r="N25" s="152">
        <f t="shared" si="4"/>
        <v>44500.916362011856</v>
      </c>
      <c r="O25" s="152">
        <f t="shared" si="5"/>
        <v>1759365.2363620119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3443</v>
      </c>
      <c r="I26" s="152"/>
      <c r="J26" s="157"/>
      <c r="K26" s="157">
        <v>5800361500</v>
      </c>
      <c r="L26" s="227">
        <v>14376.33</v>
      </c>
      <c r="M26" s="154" t="s">
        <v>3423</v>
      </c>
      <c r="N26" s="152">
        <f t="shared" si="4"/>
        <v>30124.586362011854</v>
      </c>
      <c r="O26" s="152">
        <f t="shared" si="5"/>
        <v>1744988.9063620118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3443</v>
      </c>
      <c r="I27" s="152"/>
      <c r="J27" s="157"/>
      <c r="K27" s="157">
        <v>5800361500</v>
      </c>
      <c r="L27" s="227">
        <v>3485.1709999999998</v>
      </c>
      <c r="M27" s="154" t="s">
        <v>3423</v>
      </c>
      <c r="N27" s="152">
        <f t="shared" si="4"/>
        <v>26639.415362011856</v>
      </c>
      <c r="O27" s="152">
        <f t="shared" si="5"/>
        <v>1741503.7353620117</v>
      </c>
    </row>
    <row r="28" spans="1:15" x14ac:dyDescent="0.15">
      <c r="A28" s="154"/>
      <c r="B28" s="151"/>
      <c r="C28" s="152"/>
      <c r="D28" s="323" t="s">
        <v>3445</v>
      </c>
      <c r="E28" s="154" t="s">
        <v>72</v>
      </c>
      <c r="F28" s="157" t="s">
        <v>3428</v>
      </c>
      <c r="G28" s="152">
        <v>70620.023999999074</v>
      </c>
      <c r="H28" s="323" t="s">
        <v>3445</v>
      </c>
      <c r="I28" s="152">
        <v>20780.652000000002</v>
      </c>
      <c r="J28" s="154" t="s">
        <v>3423</v>
      </c>
      <c r="K28" s="157">
        <v>5800361500</v>
      </c>
      <c r="L28" s="227">
        <v>5858.763362011854</v>
      </c>
      <c r="M28" s="154" t="s">
        <v>3423</v>
      </c>
      <c r="N28" s="152">
        <f t="shared" ref="N28:N33" si="6">+N27-I28-L28</f>
        <v>0</v>
      </c>
      <c r="O28" s="152">
        <f t="shared" ref="O28:O33" si="7">O27+G28-I28-L28</f>
        <v>1785484.3439999989</v>
      </c>
    </row>
    <row r="29" spans="1:15" x14ac:dyDescent="0.15">
      <c r="A29" s="154"/>
      <c r="B29" s="151"/>
      <c r="C29" s="152"/>
      <c r="D29" s="323" t="s">
        <v>3445</v>
      </c>
      <c r="E29" s="154" t="s">
        <v>72</v>
      </c>
      <c r="F29" s="157" t="s">
        <v>3505</v>
      </c>
      <c r="G29" s="152">
        <v>105239.954000001</v>
      </c>
      <c r="H29" s="323" t="s">
        <v>3445</v>
      </c>
      <c r="I29" s="152"/>
      <c r="J29" s="157"/>
      <c r="K29" s="157">
        <v>5800361798</v>
      </c>
      <c r="L29" s="227">
        <v>7449.7166379881501</v>
      </c>
      <c r="M29" s="157" t="s">
        <v>3424</v>
      </c>
      <c r="N29" s="152">
        <f>C9+N28-I29-L29</f>
        <v>124672.49636201184</v>
      </c>
      <c r="O29" s="152">
        <f t="shared" si="7"/>
        <v>1883274.5813620118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3445</v>
      </c>
      <c r="I30" s="152"/>
      <c r="J30" s="154"/>
      <c r="K30" s="157">
        <v>5800361798</v>
      </c>
      <c r="L30" s="227">
        <v>13817.995999999999</v>
      </c>
      <c r="M30" s="157" t="s">
        <v>3424</v>
      </c>
      <c r="N30" s="152">
        <f t="shared" si="6"/>
        <v>110854.50036201184</v>
      </c>
      <c r="O30" s="152">
        <f t="shared" si="7"/>
        <v>1869456.5853620118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3445</v>
      </c>
      <c r="I31" s="152"/>
      <c r="J31" s="157"/>
      <c r="K31" s="157">
        <v>5800361798</v>
      </c>
      <c r="L31" s="227">
        <v>17335.559000000001</v>
      </c>
      <c r="M31" s="157" t="s">
        <v>3424</v>
      </c>
      <c r="N31" s="152">
        <f t="shared" si="6"/>
        <v>93518.941362011828</v>
      </c>
      <c r="O31" s="152">
        <f t="shared" si="7"/>
        <v>1852121.0263620119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3445</v>
      </c>
      <c r="I32" s="152"/>
      <c r="J32" s="157"/>
      <c r="K32" s="157">
        <v>5800361798</v>
      </c>
      <c r="L32" s="227">
        <v>13203.373</v>
      </c>
      <c r="M32" s="157" t="s">
        <v>3424</v>
      </c>
      <c r="N32" s="152">
        <f t="shared" si="6"/>
        <v>80315.568362011836</v>
      </c>
      <c r="O32" s="152">
        <f t="shared" si="7"/>
        <v>1838917.653362012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3445</v>
      </c>
      <c r="I33" s="152"/>
      <c r="J33" s="157"/>
      <c r="K33" s="157">
        <v>5800361798</v>
      </c>
      <c r="L33" s="227">
        <v>14211.394</v>
      </c>
      <c r="M33" s="157" t="s">
        <v>3424</v>
      </c>
      <c r="N33" s="152">
        <f t="shared" si="6"/>
        <v>66104.174362011836</v>
      </c>
      <c r="O33" s="152">
        <f t="shared" si="7"/>
        <v>1824706.2593620119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3445</v>
      </c>
      <c r="I34" s="152"/>
      <c r="J34" s="157"/>
      <c r="K34" s="157">
        <v>5800361798</v>
      </c>
      <c r="L34" s="227">
        <v>36627.097999999998</v>
      </c>
      <c r="M34" s="157" t="s">
        <v>3424</v>
      </c>
      <c r="N34" s="152">
        <f t="shared" si="4"/>
        <v>29477.076362011838</v>
      </c>
      <c r="O34" s="152">
        <f t="shared" si="5"/>
        <v>1788079.1613620119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3445</v>
      </c>
      <c r="I35" s="152"/>
      <c r="J35" s="154"/>
      <c r="K35" s="157">
        <v>5800361798</v>
      </c>
      <c r="L35" s="227">
        <v>15877.081</v>
      </c>
      <c r="M35" s="157" t="s">
        <v>3424</v>
      </c>
      <c r="N35" s="152">
        <f t="shared" si="4"/>
        <v>13599.995362011838</v>
      </c>
      <c r="O35" s="152">
        <f t="shared" si="5"/>
        <v>1772202.0803620119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3445</v>
      </c>
      <c r="I36" s="152"/>
      <c r="J36" s="154"/>
      <c r="K36" s="157">
        <v>5800361798</v>
      </c>
      <c r="L36" s="227">
        <v>12580.743</v>
      </c>
      <c r="M36" s="157" t="s">
        <v>3424</v>
      </c>
      <c r="N36" s="152">
        <f t="shared" si="4"/>
        <v>1019.2523620118372</v>
      </c>
      <c r="O36" s="152">
        <f t="shared" si="5"/>
        <v>1759621.3373620119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3445</v>
      </c>
      <c r="I37" s="152"/>
      <c r="J37" s="154"/>
      <c r="K37" s="157">
        <v>5800361798</v>
      </c>
      <c r="L37" s="227">
        <v>1019.2523620118372</v>
      </c>
      <c r="M37" s="157" t="s">
        <v>3424</v>
      </c>
      <c r="N37" s="152">
        <f t="shared" ref="N37:N42" si="8">+N36-I37-L37</f>
        <v>0</v>
      </c>
      <c r="O37" s="152">
        <f t="shared" ref="O37:O42" si="9">O36+G37-I37-L37</f>
        <v>1758602.085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3445</v>
      </c>
      <c r="I38" s="152"/>
      <c r="J38" s="154"/>
      <c r="K38" s="157">
        <v>5800361500</v>
      </c>
      <c r="L38" s="227">
        <v>8689.5816379881599</v>
      </c>
      <c r="M38" s="154" t="s">
        <v>3425</v>
      </c>
      <c r="N38" s="152">
        <f>C10+N37-I38-L38</f>
        <v>475030.49936201185</v>
      </c>
      <c r="O38" s="152">
        <f t="shared" si="9"/>
        <v>1749912.5033620119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3445</v>
      </c>
      <c r="I39" s="152"/>
      <c r="J39" s="157"/>
      <c r="K39" s="157">
        <v>5800361500</v>
      </c>
      <c r="L39" s="227">
        <v>1047.0609999999999</v>
      </c>
      <c r="M39" s="154" t="s">
        <v>3425</v>
      </c>
      <c r="N39" s="152">
        <f t="shared" si="8"/>
        <v>473983.43836201186</v>
      </c>
      <c r="O39" s="152">
        <f t="shared" si="9"/>
        <v>1748865.4423620119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3445</v>
      </c>
      <c r="I40" s="152"/>
      <c r="J40" s="157"/>
      <c r="K40" s="157">
        <v>5800361500</v>
      </c>
      <c r="L40" s="227">
        <v>11834.796</v>
      </c>
      <c r="M40" s="154" t="s">
        <v>3425</v>
      </c>
      <c r="N40" s="152">
        <f t="shared" si="8"/>
        <v>462148.64236201189</v>
      </c>
      <c r="O40" s="152">
        <f t="shared" si="9"/>
        <v>1737030.6463620118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3445</v>
      </c>
      <c r="I41" s="152"/>
      <c r="J41" s="157"/>
      <c r="K41" s="157">
        <v>5800361500</v>
      </c>
      <c r="L41" s="227">
        <v>12175.589</v>
      </c>
      <c r="M41" s="154" t="s">
        <v>3425</v>
      </c>
      <c r="N41" s="152">
        <f t="shared" si="8"/>
        <v>449973.05336201191</v>
      </c>
      <c r="O41" s="152">
        <f t="shared" si="9"/>
        <v>1724855.0573620119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3445</v>
      </c>
      <c r="I42" s="152"/>
      <c r="J42" s="157"/>
      <c r="K42" s="157">
        <v>5800361500</v>
      </c>
      <c r="L42" s="227">
        <v>20209.698</v>
      </c>
      <c r="M42" s="154" t="s">
        <v>3425</v>
      </c>
      <c r="N42" s="152">
        <f t="shared" si="8"/>
        <v>429763.35536201193</v>
      </c>
      <c r="O42" s="152">
        <f t="shared" si="9"/>
        <v>1704645.3593620118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3445</v>
      </c>
      <c r="I43" s="152"/>
      <c r="J43" s="157"/>
      <c r="K43" s="157">
        <v>5800361500</v>
      </c>
      <c r="L43" s="227">
        <v>437.73399999999998</v>
      </c>
      <c r="M43" s="154" t="s">
        <v>3425</v>
      </c>
      <c r="N43" s="152">
        <f t="shared" si="4"/>
        <v>429325.62136201194</v>
      </c>
      <c r="O43" s="152">
        <f t="shared" si="5"/>
        <v>1704207.6253620118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3449</v>
      </c>
      <c r="I44" s="152">
        <v>13532.892</v>
      </c>
      <c r="J44" s="154" t="s">
        <v>3425</v>
      </c>
      <c r="K44" s="157">
        <v>5800361500</v>
      </c>
      <c r="L44" s="227">
        <v>13675.732</v>
      </c>
      <c r="M44" s="154" t="s">
        <v>3425</v>
      </c>
      <c r="N44" s="152">
        <f t="shared" si="4"/>
        <v>402116.99736201193</v>
      </c>
      <c r="O44" s="152">
        <f t="shared" si="5"/>
        <v>1676999.0013620118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3449</v>
      </c>
      <c r="I45" s="152"/>
      <c r="J45" s="157"/>
      <c r="K45" s="157">
        <v>5800361500</v>
      </c>
      <c r="L45" s="227">
        <v>12637.891</v>
      </c>
      <c r="M45" s="154" t="s">
        <v>3425</v>
      </c>
      <c r="N45" s="152">
        <f t="shared" si="4"/>
        <v>389479.10636201192</v>
      </c>
      <c r="O45" s="152">
        <f t="shared" si="5"/>
        <v>1664361.1103620117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3449</v>
      </c>
      <c r="I46" s="152"/>
      <c r="J46" s="157"/>
      <c r="K46" s="157">
        <v>5800361500</v>
      </c>
      <c r="L46" s="227">
        <v>14206.14</v>
      </c>
      <c r="M46" s="154" t="s">
        <v>3425</v>
      </c>
      <c r="N46" s="152">
        <f t="shared" si="4"/>
        <v>375272.96636201191</v>
      </c>
      <c r="O46" s="152">
        <f t="shared" si="5"/>
        <v>1650154.9703620118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3449</v>
      </c>
      <c r="I47" s="152"/>
      <c r="J47" s="157"/>
      <c r="K47" s="157">
        <v>5800361500</v>
      </c>
      <c r="L47" s="227">
        <v>15736.432000000001</v>
      </c>
      <c r="M47" s="154" t="s">
        <v>3425</v>
      </c>
      <c r="N47" s="152">
        <f t="shared" si="4"/>
        <v>359536.53436201194</v>
      </c>
      <c r="O47" s="152">
        <f t="shared" si="5"/>
        <v>1634418.5383620118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3449</v>
      </c>
      <c r="I48" s="152"/>
      <c r="J48" s="157"/>
      <c r="K48" s="157">
        <v>5800361500</v>
      </c>
      <c r="L48" s="227">
        <v>13504.923000000001</v>
      </c>
      <c r="M48" s="154" t="s">
        <v>3425</v>
      </c>
      <c r="N48" s="152">
        <f t="shared" si="4"/>
        <v>346031.61136201193</v>
      </c>
      <c r="O48" s="152">
        <f t="shared" si="5"/>
        <v>1620913.6153620118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3449</v>
      </c>
      <c r="I49" s="152"/>
      <c r="J49" s="157"/>
      <c r="K49" s="157">
        <v>5800361500</v>
      </c>
      <c r="L49" s="227">
        <v>12533.008</v>
      </c>
      <c r="M49" s="154" t="s">
        <v>3425</v>
      </c>
      <c r="N49" s="152">
        <f t="shared" si="4"/>
        <v>333498.60336201196</v>
      </c>
      <c r="O49" s="152">
        <f t="shared" si="5"/>
        <v>1608380.6073620119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3449</v>
      </c>
      <c r="I50" s="152"/>
      <c r="J50" s="157"/>
      <c r="K50" s="157">
        <v>5800361500</v>
      </c>
      <c r="L50" s="227">
        <v>16042.09</v>
      </c>
      <c r="M50" s="154" t="s">
        <v>3425</v>
      </c>
      <c r="N50" s="152">
        <f t="shared" si="4"/>
        <v>317456.51336201193</v>
      </c>
      <c r="O50" s="152">
        <f t="shared" si="5"/>
        <v>1592338.5173620118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3449</v>
      </c>
      <c r="I51" s="152"/>
      <c r="J51" s="157"/>
      <c r="K51" s="157">
        <v>5800361500</v>
      </c>
      <c r="L51" s="227">
        <v>8632.3629999999994</v>
      </c>
      <c r="M51" s="154" t="s">
        <v>3425</v>
      </c>
      <c r="N51" s="152">
        <f t="shared" si="4"/>
        <v>308824.15036201192</v>
      </c>
      <c r="O51" s="152">
        <f t="shared" si="5"/>
        <v>1583706.1543620119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3449</v>
      </c>
      <c r="I52" s="152"/>
      <c r="J52" s="157"/>
      <c r="K52" s="157">
        <v>5800361500</v>
      </c>
      <c r="L52" s="227">
        <v>14391.933000000001</v>
      </c>
      <c r="M52" s="154" t="s">
        <v>3425</v>
      </c>
      <c r="N52" s="152">
        <f t="shared" si="4"/>
        <v>294432.2173620119</v>
      </c>
      <c r="O52" s="152">
        <f t="shared" si="5"/>
        <v>1569314.221362012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3449</v>
      </c>
      <c r="I53" s="152"/>
      <c r="J53" s="157"/>
      <c r="K53" s="157">
        <v>5800361500</v>
      </c>
      <c r="L53" s="227">
        <v>14225.119000000001</v>
      </c>
      <c r="M53" s="154" t="s">
        <v>3425</v>
      </c>
      <c r="N53" s="152">
        <f t="shared" si="4"/>
        <v>280207.09836201189</v>
      </c>
      <c r="O53" s="152">
        <f t="shared" si="5"/>
        <v>1555089.102362012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3449</v>
      </c>
      <c r="I54" s="152"/>
      <c r="J54" s="157"/>
      <c r="K54" s="157">
        <v>5800361500</v>
      </c>
      <c r="L54" s="227">
        <v>14520.789000000001</v>
      </c>
      <c r="M54" s="154" t="s">
        <v>3425</v>
      </c>
      <c r="N54" s="152">
        <f t="shared" si="4"/>
        <v>265686.3093620119</v>
      </c>
      <c r="O54" s="152">
        <f t="shared" si="5"/>
        <v>1540568.3133620119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3449</v>
      </c>
      <c r="I55" s="152"/>
      <c r="J55" s="157"/>
      <c r="K55" s="157">
        <v>5800361500</v>
      </c>
      <c r="L55" s="227">
        <v>6679.5429999999997</v>
      </c>
      <c r="M55" s="154" t="s">
        <v>3425</v>
      </c>
      <c r="N55" s="152">
        <f t="shared" si="4"/>
        <v>259006.7663620119</v>
      </c>
      <c r="O55" s="152">
        <f t="shared" si="5"/>
        <v>1533888.7703620119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3451</v>
      </c>
      <c r="I56" s="152">
        <v>14375.71</v>
      </c>
      <c r="J56" s="154" t="s">
        <v>3425</v>
      </c>
      <c r="K56" s="157">
        <v>5800361500</v>
      </c>
      <c r="L56" s="227">
        <v>13192.31</v>
      </c>
      <c r="M56" s="154" t="s">
        <v>3425</v>
      </c>
      <c r="N56" s="152">
        <f t="shared" si="4"/>
        <v>231438.74636201191</v>
      </c>
      <c r="O56" s="152">
        <f t="shared" si="5"/>
        <v>1506320.7503620118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3451</v>
      </c>
      <c r="I57" s="152"/>
      <c r="J57" s="157"/>
      <c r="K57" s="157">
        <v>5800361500</v>
      </c>
      <c r="L57" s="227">
        <v>16301.733</v>
      </c>
      <c r="M57" s="154" t="s">
        <v>3425</v>
      </c>
      <c r="N57" s="152">
        <f t="shared" si="4"/>
        <v>215137.0133620119</v>
      </c>
      <c r="O57" s="152">
        <f t="shared" si="5"/>
        <v>1490019.0173620118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3451</v>
      </c>
      <c r="I58" s="152"/>
      <c r="J58" s="157"/>
      <c r="K58" s="157">
        <v>5800361500</v>
      </c>
      <c r="L58" s="227">
        <v>11451.192999999999</v>
      </c>
      <c r="M58" s="154" t="s">
        <v>3425</v>
      </c>
      <c r="N58" s="152">
        <f t="shared" si="4"/>
        <v>203685.8203620119</v>
      </c>
      <c r="O58" s="152">
        <f t="shared" si="5"/>
        <v>1478567.8243620119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3451</v>
      </c>
      <c r="I59" s="152"/>
      <c r="J59" s="157"/>
      <c r="K59" s="157">
        <v>5800361500</v>
      </c>
      <c r="L59" s="227">
        <v>15188.297</v>
      </c>
      <c r="M59" s="154" t="s">
        <v>3425</v>
      </c>
      <c r="N59" s="152">
        <f t="shared" si="4"/>
        <v>188497.52336201191</v>
      </c>
      <c r="O59" s="152">
        <f t="shared" si="5"/>
        <v>1463379.5273620118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3451</v>
      </c>
      <c r="I60" s="152"/>
      <c r="J60" s="157"/>
      <c r="K60" s="157">
        <v>5800361500</v>
      </c>
      <c r="L60" s="227">
        <v>15944.914000000001</v>
      </c>
      <c r="M60" s="154" t="s">
        <v>3425</v>
      </c>
      <c r="N60" s="152">
        <f t="shared" si="4"/>
        <v>172552.60936201192</v>
      </c>
      <c r="O60" s="152">
        <f t="shared" si="5"/>
        <v>1447434.6133620117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3451</v>
      </c>
      <c r="I61" s="152"/>
      <c r="J61" s="157"/>
      <c r="K61" s="157">
        <v>5800361500</v>
      </c>
      <c r="L61" s="227">
        <v>34312.597999999998</v>
      </c>
      <c r="M61" s="154" t="s">
        <v>3425</v>
      </c>
      <c r="N61" s="152">
        <f t="shared" si="4"/>
        <v>138240.01136201192</v>
      </c>
      <c r="O61" s="152">
        <f t="shared" si="5"/>
        <v>1413122.0153620117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3451</v>
      </c>
      <c r="I62" s="152"/>
      <c r="J62" s="157"/>
      <c r="K62" s="157">
        <v>5800361500</v>
      </c>
      <c r="L62" s="227">
        <v>32351.593000000001</v>
      </c>
      <c r="M62" s="154" t="s">
        <v>3425</v>
      </c>
      <c r="N62" s="152">
        <f t="shared" si="4"/>
        <v>105888.41836201193</v>
      </c>
      <c r="O62" s="152">
        <f t="shared" si="5"/>
        <v>1380770.4223620116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3451</v>
      </c>
      <c r="I63" s="152"/>
      <c r="J63" s="157"/>
      <c r="K63" s="157">
        <v>5800361500</v>
      </c>
      <c r="L63" s="227">
        <v>12108.859</v>
      </c>
      <c r="M63" s="154" t="s">
        <v>3425</v>
      </c>
      <c r="N63" s="152">
        <f t="shared" si="4"/>
        <v>93779.559362011933</v>
      </c>
      <c r="O63" s="152">
        <f t="shared" si="5"/>
        <v>1368661.5633620117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3451</v>
      </c>
      <c r="I64" s="152"/>
      <c r="J64" s="157"/>
      <c r="K64" s="157">
        <v>5800361500</v>
      </c>
      <c r="L64" s="227">
        <v>11744.044</v>
      </c>
      <c r="M64" s="154" t="s">
        <v>3425</v>
      </c>
      <c r="N64" s="152">
        <f t="shared" si="4"/>
        <v>82035.515362011938</v>
      </c>
      <c r="O64" s="152">
        <f t="shared" si="5"/>
        <v>1356917.5193620117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3451</v>
      </c>
      <c r="I65" s="152"/>
      <c r="J65" s="157"/>
      <c r="K65" s="157">
        <v>5800361500</v>
      </c>
      <c r="L65" s="227">
        <v>12709.554</v>
      </c>
      <c r="M65" s="154" t="s">
        <v>3425</v>
      </c>
      <c r="N65" s="152">
        <f t="shared" si="4"/>
        <v>69325.961362011934</v>
      </c>
      <c r="O65" s="152">
        <f t="shared" si="5"/>
        <v>1344207.9653620117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3451</v>
      </c>
      <c r="I66" s="152"/>
      <c r="J66" s="157"/>
      <c r="K66" s="157">
        <v>5800361500</v>
      </c>
      <c r="L66" s="227">
        <v>6961.47</v>
      </c>
      <c r="M66" s="154" t="s">
        <v>3425</v>
      </c>
      <c r="N66" s="152">
        <f t="shared" si="4"/>
        <v>62364.491362011933</v>
      </c>
      <c r="O66" s="152">
        <f t="shared" si="5"/>
        <v>1337246.4953620117</v>
      </c>
    </row>
    <row r="67" spans="1:15" x14ac:dyDescent="0.15">
      <c r="A67" s="154"/>
      <c r="B67" s="151"/>
      <c r="C67" s="152"/>
      <c r="D67" s="323" t="s">
        <v>3452</v>
      </c>
      <c r="E67" s="154" t="s">
        <v>72</v>
      </c>
      <c r="F67" s="157" t="s">
        <v>3506</v>
      </c>
      <c r="G67" s="152">
        <v>175787.34299999999</v>
      </c>
      <c r="H67" s="323" t="s">
        <v>3452</v>
      </c>
      <c r="I67" s="152">
        <v>12889.013999999999</v>
      </c>
      <c r="J67" s="154" t="s">
        <v>3425</v>
      </c>
      <c r="K67" s="157">
        <v>5800361500</v>
      </c>
      <c r="L67" s="227">
        <v>12442.602999999999</v>
      </c>
      <c r="M67" s="154" t="s">
        <v>3425</v>
      </c>
      <c r="N67" s="152">
        <f t="shared" si="4"/>
        <v>37032.874362011935</v>
      </c>
      <c r="O67" s="152">
        <f t="shared" si="5"/>
        <v>1487702.2213620117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3452</v>
      </c>
      <c r="I68" s="152"/>
      <c r="J68" s="157"/>
      <c r="K68" s="157">
        <v>5800361500</v>
      </c>
      <c r="L68" s="227">
        <v>12620.782999999999</v>
      </c>
      <c r="M68" s="154" t="s">
        <v>3425</v>
      </c>
      <c r="N68" s="152">
        <f t="shared" si="4"/>
        <v>24412.091362011935</v>
      </c>
      <c r="O68" s="152">
        <f t="shared" si="5"/>
        <v>1475081.4383620117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3452</v>
      </c>
      <c r="I69" s="152"/>
      <c r="J69" s="157"/>
      <c r="K69" s="157">
        <v>5800361500</v>
      </c>
      <c r="L69" s="227">
        <v>13615.790999999999</v>
      </c>
      <c r="M69" s="154" t="s">
        <v>3425</v>
      </c>
      <c r="N69" s="152">
        <f t="shared" si="4"/>
        <v>10796.300362011936</v>
      </c>
      <c r="O69" s="152">
        <f t="shared" si="5"/>
        <v>1461465.6473620117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3452</v>
      </c>
      <c r="I70" s="152"/>
      <c r="J70" s="157"/>
      <c r="K70" s="157">
        <v>5800361500</v>
      </c>
      <c r="L70" s="227">
        <v>10796.300362011936</v>
      </c>
      <c r="M70" s="154" t="s">
        <v>3425</v>
      </c>
      <c r="N70" s="152">
        <f t="shared" ref="N70:N77" si="10">+N69-I70-L70</f>
        <v>0</v>
      </c>
      <c r="O70" s="152">
        <f t="shared" ref="O70:O77" si="11">O69+G70-I70-L70</f>
        <v>1450669.3469999998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3452</v>
      </c>
      <c r="I71" s="152"/>
      <c r="J71" s="157"/>
      <c r="K71" s="157">
        <v>5800361500</v>
      </c>
      <c r="L71" s="227">
        <v>3768.4516379880602</v>
      </c>
      <c r="M71" s="154" t="s">
        <v>3426</v>
      </c>
      <c r="N71" s="152">
        <f>C11+N70-I71-L71</f>
        <v>391861.72336201195</v>
      </c>
      <c r="O71" s="152">
        <f t="shared" si="11"/>
        <v>1446900.8953620119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3452</v>
      </c>
      <c r="I72" s="152"/>
      <c r="J72" s="157"/>
      <c r="K72" s="157">
        <v>5800361500</v>
      </c>
      <c r="L72" s="227">
        <v>9231.35</v>
      </c>
      <c r="M72" s="154" t="s">
        <v>3426</v>
      </c>
      <c r="N72" s="152">
        <f t="shared" si="10"/>
        <v>382630.37336201197</v>
      </c>
      <c r="O72" s="152">
        <f t="shared" si="11"/>
        <v>1437669.5453620118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3452</v>
      </c>
      <c r="I73" s="152"/>
      <c r="J73" s="157"/>
      <c r="K73" s="157">
        <v>5800361500</v>
      </c>
      <c r="L73" s="227">
        <v>11346.093999999999</v>
      </c>
      <c r="M73" s="154" t="s">
        <v>3426</v>
      </c>
      <c r="N73" s="152">
        <f t="shared" si="10"/>
        <v>371284.27936201199</v>
      </c>
      <c r="O73" s="152">
        <f t="shared" si="11"/>
        <v>1426323.4513620117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3452</v>
      </c>
      <c r="I74" s="152"/>
      <c r="J74" s="157"/>
      <c r="K74" s="157">
        <v>5800361500</v>
      </c>
      <c r="L74" s="227">
        <v>14409.228999999999</v>
      </c>
      <c r="M74" s="154" t="s">
        <v>3426</v>
      </c>
      <c r="N74" s="152">
        <f t="shared" si="10"/>
        <v>356875.050362012</v>
      </c>
      <c r="O74" s="152">
        <f t="shared" si="11"/>
        <v>1411914.2223620117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3452</v>
      </c>
      <c r="I75" s="152"/>
      <c r="J75" s="157"/>
      <c r="K75" s="157">
        <v>5800361500</v>
      </c>
      <c r="L75" s="227">
        <v>6411.098</v>
      </c>
      <c r="M75" s="154" t="s">
        <v>3426</v>
      </c>
      <c r="N75" s="152">
        <f t="shared" si="10"/>
        <v>350463.952362012</v>
      </c>
      <c r="O75" s="152">
        <f t="shared" si="11"/>
        <v>1405503.1243620117</v>
      </c>
    </row>
    <row r="76" spans="1:15" x14ac:dyDescent="0.15">
      <c r="A76" s="154"/>
      <c r="B76" s="151"/>
      <c r="C76" s="152"/>
      <c r="D76" s="323" t="s">
        <v>3454</v>
      </c>
      <c r="E76" s="154" t="s">
        <v>72</v>
      </c>
      <c r="F76" s="157" t="s">
        <v>3506</v>
      </c>
      <c r="G76" s="152">
        <v>219672.37900000002</v>
      </c>
      <c r="H76" s="323" t="s">
        <v>3454</v>
      </c>
      <c r="I76" s="152">
        <v>8544.0519999999997</v>
      </c>
      <c r="J76" s="154" t="s">
        <v>3426</v>
      </c>
      <c r="K76" s="157">
        <v>5800361500</v>
      </c>
      <c r="L76" s="227">
        <v>13564.123</v>
      </c>
      <c r="M76" s="154" t="s">
        <v>3426</v>
      </c>
      <c r="N76" s="152">
        <f t="shared" si="10"/>
        <v>328355.77736201196</v>
      </c>
      <c r="O76" s="152">
        <f t="shared" si="11"/>
        <v>1603067.3283620118</v>
      </c>
    </row>
    <row r="77" spans="1:15" x14ac:dyDescent="0.15">
      <c r="A77" s="154"/>
      <c r="B77" s="151"/>
      <c r="C77" s="152"/>
      <c r="D77" s="323" t="s">
        <v>3454</v>
      </c>
      <c r="E77" s="154" t="s">
        <v>72</v>
      </c>
      <c r="F77" s="157" t="s">
        <v>3507</v>
      </c>
      <c r="G77" s="152">
        <v>43954.563999999998</v>
      </c>
      <c r="H77" s="323" t="s">
        <v>3454</v>
      </c>
      <c r="I77" s="152"/>
      <c r="J77" s="157"/>
      <c r="K77" s="157">
        <v>5800361500</v>
      </c>
      <c r="L77" s="227">
        <v>15635.753000000001</v>
      </c>
      <c r="M77" s="154" t="s">
        <v>3426</v>
      </c>
      <c r="N77" s="152">
        <f t="shared" si="10"/>
        <v>312720.02436201193</v>
      </c>
      <c r="O77" s="152">
        <f t="shared" si="11"/>
        <v>1631386.1393620118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3454</v>
      </c>
      <c r="I78" s="152"/>
      <c r="J78" s="157"/>
      <c r="K78" s="157">
        <v>5800361500</v>
      </c>
      <c r="L78" s="227">
        <v>13593.132</v>
      </c>
      <c r="M78" s="154" t="s">
        <v>3426</v>
      </c>
      <c r="N78" s="152">
        <f t="shared" si="4"/>
        <v>299126.89236201195</v>
      </c>
      <c r="O78" s="152">
        <f t="shared" si="5"/>
        <v>1617793.0073620118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3454</v>
      </c>
      <c r="I79" s="152"/>
      <c r="J79" s="157"/>
      <c r="K79" s="157">
        <v>5800361500</v>
      </c>
      <c r="L79" s="227">
        <v>14599.438</v>
      </c>
      <c r="M79" s="154" t="s">
        <v>3426</v>
      </c>
      <c r="N79" s="152">
        <f t="shared" si="4"/>
        <v>284527.45436201192</v>
      </c>
      <c r="O79" s="152">
        <f t="shared" si="5"/>
        <v>1603193.5693620117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3454</v>
      </c>
      <c r="I80" s="152"/>
      <c r="J80" s="157"/>
      <c r="K80" s="157">
        <v>5800361500</v>
      </c>
      <c r="L80" s="227">
        <v>13720.171</v>
      </c>
      <c r="M80" s="154" t="s">
        <v>3426</v>
      </c>
      <c r="N80" s="152">
        <f t="shared" si="4"/>
        <v>270807.28336201195</v>
      </c>
      <c r="O80" s="152">
        <f t="shared" si="5"/>
        <v>1589473.3983620116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3454</v>
      </c>
      <c r="I81" s="152"/>
      <c r="J81" s="157"/>
      <c r="K81" s="157">
        <v>5800361500</v>
      </c>
      <c r="L81" s="227">
        <v>13742.177</v>
      </c>
      <c r="M81" s="154" t="s">
        <v>3426</v>
      </c>
      <c r="N81" s="152">
        <f t="shared" si="4"/>
        <v>257065.10636201195</v>
      </c>
      <c r="O81" s="152">
        <f t="shared" si="5"/>
        <v>1575731.2213620117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3454</v>
      </c>
      <c r="I82" s="152"/>
      <c r="J82" s="157"/>
      <c r="K82" s="157">
        <v>5800361500</v>
      </c>
      <c r="L82" s="227">
        <v>11318.441000000001</v>
      </c>
      <c r="M82" s="154" t="s">
        <v>3426</v>
      </c>
      <c r="N82" s="152">
        <f t="shared" si="4"/>
        <v>245746.66536201196</v>
      </c>
      <c r="O82" s="152">
        <f t="shared" si="5"/>
        <v>1564412.7803620116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3454</v>
      </c>
      <c r="I83" s="152"/>
      <c r="J83" s="157"/>
      <c r="K83" s="157">
        <v>5800361500</v>
      </c>
      <c r="L83" s="227">
        <v>14434.388000000001</v>
      </c>
      <c r="M83" s="154" t="s">
        <v>3426</v>
      </c>
      <c r="N83" s="152">
        <f t="shared" si="4"/>
        <v>231312.27736201196</v>
      </c>
      <c r="O83" s="152">
        <f t="shared" si="5"/>
        <v>1549978.3923620116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3454</v>
      </c>
      <c r="I84" s="152"/>
      <c r="J84" s="157"/>
      <c r="K84" s="157">
        <v>5800361500</v>
      </c>
      <c r="L84" s="227">
        <v>35730.862000000001</v>
      </c>
      <c r="M84" s="154" t="s">
        <v>3426</v>
      </c>
      <c r="N84" s="152">
        <f t="shared" si="4"/>
        <v>195581.41536201196</v>
      </c>
      <c r="O84" s="152">
        <f t="shared" si="5"/>
        <v>1514247.5303620116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3454</v>
      </c>
      <c r="I85" s="152"/>
      <c r="J85" s="157"/>
      <c r="K85" s="157">
        <v>5800361500</v>
      </c>
      <c r="L85" s="227">
        <v>14416.615</v>
      </c>
      <c r="M85" s="154" t="s">
        <v>3426</v>
      </c>
      <c r="N85" s="152">
        <f t="shared" ref="N85:N150" si="12">+N84-I85-L85</f>
        <v>181164.80036201197</v>
      </c>
      <c r="O85" s="152">
        <f t="shared" ref="O85:O150" si="13">O84+G85-I85-L85</f>
        <v>1499830.9153620116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3454</v>
      </c>
      <c r="I86" s="152"/>
      <c r="J86" s="157"/>
      <c r="K86" s="157">
        <v>5800361500</v>
      </c>
      <c r="L86" s="227">
        <v>10494.808000000001</v>
      </c>
      <c r="M86" s="154" t="s">
        <v>3426</v>
      </c>
      <c r="N86" s="152">
        <f t="shared" si="12"/>
        <v>170669.99236201198</v>
      </c>
      <c r="O86" s="152">
        <f t="shared" si="13"/>
        <v>1489336.1073620117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3454</v>
      </c>
      <c r="I87" s="152"/>
      <c r="J87" s="157"/>
      <c r="K87" s="157">
        <v>5800361500</v>
      </c>
      <c r="L87" s="227">
        <v>14357.632</v>
      </c>
      <c r="M87" s="154" t="s">
        <v>3426</v>
      </c>
      <c r="N87" s="152">
        <f t="shared" si="12"/>
        <v>156312.36036201197</v>
      </c>
      <c r="O87" s="152">
        <f t="shared" si="13"/>
        <v>1474978.4753620117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3454</v>
      </c>
      <c r="I88" s="152"/>
      <c r="J88" s="157"/>
      <c r="K88" s="157">
        <v>5800361500</v>
      </c>
      <c r="L88" s="227">
        <v>5540.3149999999996</v>
      </c>
      <c r="M88" s="154" t="s">
        <v>3426</v>
      </c>
      <c r="N88" s="152">
        <f t="shared" si="12"/>
        <v>150772.04536201197</v>
      </c>
      <c r="O88" s="152">
        <f t="shared" si="13"/>
        <v>1469438.1603620118</v>
      </c>
    </row>
    <row r="89" spans="1:15" x14ac:dyDescent="0.15">
      <c r="A89" s="154"/>
      <c r="B89" s="151"/>
      <c r="C89" s="152"/>
      <c r="D89" s="323" t="s">
        <v>3456</v>
      </c>
      <c r="E89" s="154" t="s">
        <v>72</v>
      </c>
      <c r="F89" s="157" t="s">
        <v>3507</v>
      </c>
      <c r="G89" s="152">
        <v>263491.04599999997</v>
      </c>
      <c r="H89" s="323" t="s">
        <v>3456</v>
      </c>
      <c r="I89" s="152">
        <v>19495.294999999998</v>
      </c>
      <c r="J89" s="154" t="s">
        <v>3426</v>
      </c>
      <c r="K89" s="157">
        <v>5800361500</v>
      </c>
      <c r="L89" s="227">
        <v>13449.623</v>
      </c>
      <c r="M89" s="154" t="s">
        <v>3426</v>
      </c>
      <c r="N89" s="152">
        <f t="shared" si="12"/>
        <v>117827.12736201196</v>
      </c>
      <c r="O89" s="152">
        <f t="shared" si="13"/>
        <v>1699984.288362012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3456</v>
      </c>
      <c r="I90" s="152"/>
      <c r="J90" s="157"/>
      <c r="K90" s="157">
        <v>5800361500</v>
      </c>
      <c r="L90" s="227">
        <v>13171.341</v>
      </c>
      <c r="M90" s="154" t="s">
        <v>3426</v>
      </c>
      <c r="N90" s="152">
        <f t="shared" si="12"/>
        <v>104655.78636201196</v>
      </c>
      <c r="O90" s="152">
        <f t="shared" si="13"/>
        <v>1686812.947362012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3456</v>
      </c>
      <c r="I91" s="152"/>
      <c r="J91" s="157"/>
      <c r="K91" s="157">
        <v>5800361500</v>
      </c>
      <c r="L91" s="227">
        <v>16696.912</v>
      </c>
      <c r="M91" s="154" t="s">
        <v>3426</v>
      </c>
      <c r="N91" s="152">
        <f t="shared" si="12"/>
        <v>87958.874362011964</v>
      </c>
      <c r="O91" s="152">
        <f t="shared" si="13"/>
        <v>1670116.035362012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3456</v>
      </c>
      <c r="I92" s="152"/>
      <c r="J92" s="154"/>
      <c r="K92" s="157">
        <v>5800361500</v>
      </c>
      <c r="L92" s="227">
        <v>12042.197</v>
      </c>
      <c r="M92" s="154" t="s">
        <v>3426</v>
      </c>
      <c r="N92" s="152">
        <f t="shared" si="12"/>
        <v>75916.677362011964</v>
      </c>
      <c r="O92" s="152">
        <f t="shared" si="13"/>
        <v>1658073.8383620121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3456</v>
      </c>
      <c r="I93" s="152"/>
      <c r="J93" s="157"/>
      <c r="K93" s="157">
        <v>5800361500</v>
      </c>
      <c r="L93" s="227">
        <v>16683.899000000001</v>
      </c>
      <c r="M93" s="154" t="s">
        <v>3426</v>
      </c>
      <c r="N93" s="152">
        <f t="shared" si="12"/>
        <v>59232.778362011959</v>
      </c>
      <c r="O93" s="152">
        <f t="shared" si="13"/>
        <v>1641389.9393620121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3456</v>
      </c>
      <c r="I94" s="152"/>
      <c r="J94" s="157"/>
      <c r="K94" s="157">
        <v>5800361500</v>
      </c>
      <c r="L94" s="227">
        <v>35556.012999999999</v>
      </c>
      <c r="M94" s="154" t="s">
        <v>3426</v>
      </c>
      <c r="N94" s="152">
        <f t="shared" si="12"/>
        <v>23676.76536201196</v>
      </c>
      <c r="O94" s="152">
        <f t="shared" si="13"/>
        <v>1605833.926362012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3456</v>
      </c>
      <c r="I95" s="152"/>
      <c r="J95" s="157"/>
      <c r="K95" s="157">
        <v>5800361500</v>
      </c>
      <c r="L95" s="227">
        <v>15608.81</v>
      </c>
      <c r="M95" s="154" t="s">
        <v>3426</v>
      </c>
      <c r="N95" s="152">
        <f t="shared" si="12"/>
        <v>8067.9553620119605</v>
      </c>
      <c r="O95" s="152">
        <f t="shared" si="13"/>
        <v>1590225.116362012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3456</v>
      </c>
      <c r="I96" s="152"/>
      <c r="J96" s="157"/>
      <c r="K96" s="157">
        <v>5800361500</v>
      </c>
      <c r="L96" s="227">
        <v>8067.9553620119605</v>
      </c>
      <c r="M96" s="154" t="s">
        <v>3426</v>
      </c>
      <c r="N96" s="152">
        <f t="shared" ref="N96:N102" si="14">+N95-I96-L96</f>
        <v>0</v>
      </c>
      <c r="O96" s="152">
        <f t="shared" ref="O96:O102" si="15">O95+G96-I96-L96</f>
        <v>1582157.1610000001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3456</v>
      </c>
      <c r="I97" s="152"/>
      <c r="J97" s="157"/>
      <c r="K97" s="157">
        <v>5800361500</v>
      </c>
      <c r="L97" s="227">
        <v>7336.6476379880396</v>
      </c>
      <c r="M97" s="154" t="s">
        <v>3427</v>
      </c>
      <c r="N97" s="152">
        <f>C12+N96-I97-L97</f>
        <v>300698.20036201196</v>
      </c>
      <c r="O97" s="152">
        <f t="shared" si="15"/>
        <v>1574820.5133620121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3456</v>
      </c>
      <c r="I98" s="152"/>
      <c r="J98" s="157"/>
      <c r="K98" s="157">
        <v>5800361500</v>
      </c>
      <c r="L98" s="227">
        <v>7993.0959999999995</v>
      </c>
      <c r="M98" s="154" t="s">
        <v>3427</v>
      </c>
      <c r="N98" s="152">
        <f t="shared" si="14"/>
        <v>292705.10436201195</v>
      </c>
      <c r="O98" s="152">
        <f t="shared" si="15"/>
        <v>1566827.4173620122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3456</v>
      </c>
      <c r="I99" s="152"/>
      <c r="J99" s="157"/>
      <c r="K99" s="157">
        <v>5800361500</v>
      </c>
      <c r="L99" s="227">
        <v>2236.2649999999999</v>
      </c>
      <c r="M99" s="154" t="s">
        <v>3427</v>
      </c>
      <c r="N99" s="152">
        <f t="shared" si="14"/>
        <v>290468.83936201193</v>
      </c>
      <c r="O99" s="152">
        <f t="shared" si="15"/>
        <v>1564591.1523620123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3456</v>
      </c>
      <c r="I100" s="152"/>
      <c r="J100" s="157"/>
      <c r="K100" s="157">
        <v>5800361500</v>
      </c>
      <c r="L100" s="227">
        <v>1108.1220000000001</v>
      </c>
      <c r="M100" s="154" t="s">
        <v>3427</v>
      </c>
      <c r="N100" s="152">
        <f t="shared" si="14"/>
        <v>289360.71736201196</v>
      </c>
      <c r="O100" s="152">
        <f t="shared" si="15"/>
        <v>1563483.0303620123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3456</v>
      </c>
      <c r="I101" s="152"/>
      <c r="J101" s="157"/>
      <c r="K101" s="157">
        <v>5800361500</v>
      </c>
      <c r="L101" s="227">
        <v>12405.449000000001</v>
      </c>
      <c r="M101" s="154" t="s">
        <v>3427</v>
      </c>
      <c r="N101" s="152">
        <f t="shared" si="14"/>
        <v>276955.26836201194</v>
      </c>
      <c r="O101" s="152">
        <f t="shared" si="15"/>
        <v>1551077.5813620123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3456</v>
      </c>
      <c r="I102" s="152"/>
      <c r="J102" s="157"/>
      <c r="K102" s="157">
        <v>5800361500</v>
      </c>
      <c r="L102" s="227">
        <v>13960.502</v>
      </c>
      <c r="M102" s="154" t="s">
        <v>3427</v>
      </c>
      <c r="N102" s="152">
        <f t="shared" si="14"/>
        <v>262994.76636201196</v>
      </c>
      <c r="O102" s="152">
        <f t="shared" si="15"/>
        <v>1537117.0793620122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3456</v>
      </c>
      <c r="I103" s="152"/>
      <c r="J103" s="154"/>
      <c r="K103" s="157">
        <v>5800361500</v>
      </c>
      <c r="L103" s="227">
        <v>14966.89</v>
      </c>
      <c r="M103" s="154" t="s">
        <v>3427</v>
      </c>
      <c r="N103" s="152">
        <f t="shared" si="12"/>
        <v>248027.87636201194</v>
      </c>
      <c r="O103" s="152">
        <f t="shared" si="13"/>
        <v>1522150.1893620123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3456</v>
      </c>
      <c r="I104" s="152"/>
      <c r="J104" s="157"/>
      <c r="K104" s="157">
        <v>5800361500</v>
      </c>
      <c r="L104" s="227">
        <v>4453.2889999999998</v>
      </c>
      <c r="M104" s="154" t="s">
        <v>3427</v>
      </c>
      <c r="N104" s="152">
        <f t="shared" si="12"/>
        <v>243574.58736201195</v>
      </c>
      <c r="O104" s="152">
        <f t="shared" si="13"/>
        <v>1517696.9003620122</v>
      </c>
    </row>
    <row r="105" spans="1:15" x14ac:dyDescent="0.15">
      <c r="A105" s="154"/>
      <c r="B105" s="151"/>
      <c r="C105" s="152"/>
      <c r="D105" s="323" t="s">
        <v>3457</v>
      </c>
      <c r="E105" s="154" t="s">
        <v>72</v>
      </c>
      <c r="F105" s="157" t="s">
        <v>3507</v>
      </c>
      <c r="G105" s="152">
        <v>263728.288</v>
      </c>
      <c r="H105" s="323" t="s">
        <v>3457</v>
      </c>
      <c r="I105" s="152">
        <v>8074.3919999999998</v>
      </c>
      <c r="J105" s="154" t="s">
        <v>3427</v>
      </c>
      <c r="K105" s="157">
        <v>5800361500</v>
      </c>
      <c r="L105" s="227">
        <v>12877.162</v>
      </c>
      <c r="M105" s="154" t="s">
        <v>3427</v>
      </c>
      <c r="N105" s="152">
        <f t="shared" si="12"/>
        <v>222623.03336201195</v>
      </c>
      <c r="O105" s="152">
        <f t="shared" si="13"/>
        <v>1760473.6343620121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3457</v>
      </c>
      <c r="I106" s="152"/>
      <c r="J106" s="157"/>
      <c r="K106" s="157">
        <v>5800361500</v>
      </c>
      <c r="L106" s="227">
        <v>11352.091</v>
      </c>
      <c r="M106" s="154" t="s">
        <v>3427</v>
      </c>
      <c r="N106" s="152">
        <f t="shared" si="12"/>
        <v>211270.94236201193</v>
      </c>
      <c r="O106" s="152">
        <f t="shared" si="13"/>
        <v>1749121.5433620121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3457</v>
      </c>
      <c r="I107" s="152"/>
      <c r="J107" s="157"/>
      <c r="K107" s="157">
        <v>5800361500</v>
      </c>
      <c r="L107" s="227">
        <v>13088.034</v>
      </c>
      <c r="M107" s="154" t="s">
        <v>3427</v>
      </c>
      <c r="N107" s="152">
        <f t="shared" si="12"/>
        <v>198182.90836201195</v>
      </c>
      <c r="O107" s="152">
        <f t="shared" si="13"/>
        <v>1736033.5093620121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3457</v>
      </c>
      <c r="I108" s="152"/>
      <c r="J108" s="157"/>
      <c r="K108" s="157">
        <v>5800361500</v>
      </c>
      <c r="L108" s="227">
        <v>13622.709000000001</v>
      </c>
      <c r="M108" s="154" t="s">
        <v>3427</v>
      </c>
      <c r="N108" s="152">
        <f t="shared" si="12"/>
        <v>184560.19936201195</v>
      </c>
      <c r="O108" s="152">
        <f t="shared" si="13"/>
        <v>1722410.8003620121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3457</v>
      </c>
      <c r="I109" s="152"/>
      <c r="J109" s="154"/>
      <c r="K109" s="157">
        <v>5800361500</v>
      </c>
      <c r="L109" s="227">
        <v>12829.191999999999</v>
      </c>
      <c r="M109" s="154" t="s">
        <v>3427</v>
      </c>
      <c r="N109" s="152">
        <f t="shared" si="12"/>
        <v>171731.00736201194</v>
      </c>
      <c r="O109" s="152">
        <f t="shared" si="13"/>
        <v>1709581.6083620121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3457</v>
      </c>
      <c r="I110" s="152"/>
      <c r="J110" s="154"/>
      <c r="K110" s="157">
        <v>5800361500</v>
      </c>
      <c r="L110" s="227">
        <v>10835.405000000001</v>
      </c>
      <c r="M110" s="154" t="s">
        <v>3427</v>
      </c>
      <c r="N110" s="152">
        <f t="shared" si="12"/>
        <v>160895.60236201194</v>
      </c>
      <c r="O110" s="152">
        <f t="shared" si="13"/>
        <v>1698746.203362012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3457</v>
      </c>
      <c r="I111" s="152"/>
      <c r="J111" s="154"/>
      <c r="K111" s="157">
        <v>5800361500</v>
      </c>
      <c r="L111" s="227">
        <v>14199.915999999999</v>
      </c>
      <c r="M111" s="154" t="s">
        <v>3427</v>
      </c>
      <c r="N111" s="152">
        <f t="shared" si="12"/>
        <v>146695.68636201194</v>
      </c>
      <c r="O111" s="152">
        <f t="shared" si="13"/>
        <v>1684546.2873620121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3457</v>
      </c>
      <c r="I112" s="152"/>
      <c r="J112" s="157"/>
      <c r="K112" s="157">
        <v>5800361500</v>
      </c>
      <c r="L112" s="227">
        <v>13081.71</v>
      </c>
      <c r="M112" s="154" t="s">
        <v>3427</v>
      </c>
      <c r="N112" s="152">
        <f t="shared" si="12"/>
        <v>133613.97636201195</v>
      </c>
      <c r="O112" s="152">
        <f t="shared" si="13"/>
        <v>1671464.5773620121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3457</v>
      </c>
      <c r="I113" s="152"/>
      <c r="J113" s="154"/>
      <c r="K113" s="157">
        <v>5800361500</v>
      </c>
      <c r="L113" s="227">
        <v>14338.816999999999</v>
      </c>
      <c r="M113" s="154" t="s">
        <v>3427</v>
      </c>
      <c r="N113" s="152">
        <f t="shared" si="12"/>
        <v>119275.15936201195</v>
      </c>
      <c r="O113" s="152">
        <f t="shared" si="13"/>
        <v>1657125.7603620121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3457</v>
      </c>
      <c r="I114" s="152"/>
      <c r="J114" s="157"/>
      <c r="K114" s="157">
        <v>5800361500</v>
      </c>
      <c r="L114" s="227">
        <v>16322.409</v>
      </c>
      <c r="M114" s="154" t="s">
        <v>3427</v>
      </c>
      <c r="N114" s="152">
        <f t="shared" si="12"/>
        <v>102952.75036201195</v>
      </c>
      <c r="O114" s="152">
        <f t="shared" si="13"/>
        <v>1640803.3513620121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3457</v>
      </c>
      <c r="I115" s="152"/>
      <c r="J115" s="157"/>
      <c r="K115" s="157">
        <v>5800361500</v>
      </c>
      <c r="L115" s="227">
        <v>13720.257</v>
      </c>
      <c r="M115" s="154" t="s">
        <v>3427</v>
      </c>
      <c r="N115" s="152">
        <f t="shared" si="12"/>
        <v>89232.493362011955</v>
      </c>
      <c r="O115" s="152">
        <f t="shared" si="13"/>
        <v>1627083.0943620121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3457</v>
      </c>
      <c r="I116" s="152"/>
      <c r="J116" s="154"/>
      <c r="K116" s="157">
        <v>5800361500</v>
      </c>
      <c r="L116" s="227">
        <v>2584.165</v>
      </c>
      <c r="M116" s="154" t="s">
        <v>3427</v>
      </c>
      <c r="N116" s="152">
        <f t="shared" si="12"/>
        <v>86648.328362011962</v>
      </c>
      <c r="O116" s="152">
        <f t="shared" si="13"/>
        <v>1624498.9293620121</v>
      </c>
    </row>
    <row r="117" spans="1:15" x14ac:dyDescent="0.15">
      <c r="A117" s="154"/>
      <c r="B117" s="151"/>
      <c r="C117" s="152"/>
      <c r="D117" s="323" t="s">
        <v>3458</v>
      </c>
      <c r="E117" s="154" t="s">
        <v>72</v>
      </c>
      <c r="F117" s="157" t="s">
        <v>3507</v>
      </c>
      <c r="G117" s="152">
        <v>87878.909999999974</v>
      </c>
      <c r="H117" s="323" t="s">
        <v>3458</v>
      </c>
      <c r="I117" s="152">
        <v>12743.95</v>
      </c>
      <c r="J117" s="154" t="s">
        <v>3427</v>
      </c>
      <c r="K117" s="157">
        <v>5800361500</v>
      </c>
      <c r="L117" s="227">
        <v>12937.812</v>
      </c>
      <c r="M117" s="154" t="s">
        <v>3427</v>
      </c>
      <c r="N117" s="152">
        <f t="shared" si="12"/>
        <v>60966.566362011967</v>
      </c>
      <c r="O117" s="152">
        <f t="shared" si="13"/>
        <v>1686696.0773620121</v>
      </c>
    </row>
    <row r="118" spans="1:15" x14ac:dyDescent="0.15">
      <c r="A118" s="154"/>
      <c r="B118" s="151"/>
      <c r="C118" s="152"/>
      <c r="D118" s="323" t="s">
        <v>3458</v>
      </c>
      <c r="E118" s="154" t="s">
        <v>72</v>
      </c>
      <c r="F118" s="157" t="s">
        <v>3508</v>
      </c>
      <c r="G118" s="152">
        <v>175819.17</v>
      </c>
      <c r="H118" s="323" t="s">
        <v>3458</v>
      </c>
      <c r="I118" s="152"/>
      <c r="J118" s="154"/>
      <c r="K118" s="157">
        <v>5800361500</v>
      </c>
      <c r="L118" s="227">
        <v>17408.636999999999</v>
      </c>
      <c r="M118" s="154" t="s">
        <v>3427</v>
      </c>
      <c r="N118" s="152">
        <f t="shared" si="12"/>
        <v>43557.929362011972</v>
      </c>
      <c r="O118" s="152">
        <f t="shared" si="13"/>
        <v>1845106.6103620119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3458</v>
      </c>
      <c r="I119" s="152"/>
      <c r="J119" s="154"/>
      <c r="K119" s="157">
        <v>5800361500</v>
      </c>
      <c r="L119" s="227">
        <v>13234.601000000001</v>
      </c>
      <c r="M119" s="154" t="s">
        <v>3427</v>
      </c>
      <c r="N119" s="152">
        <f t="shared" si="12"/>
        <v>30323.328362011969</v>
      </c>
      <c r="O119" s="152">
        <f t="shared" si="13"/>
        <v>1831872.0093620119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3458</v>
      </c>
      <c r="I120" s="152"/>
      <c r="J120" s="154"/>
      <c r="K120" s="157">
        <v>5800361500</v>
      </c>
      <c r="L120" s="227">
        <v>30323.328362011969</v>
      </c>
      <c r="M120" s="154" t="s">
        <v>3427</v>
      </c>
      <c r="N120" s="152">
        <f t="shared" si="12"/>
        <v>0</v>
      </c>
      <c r="O120" s="152">
        <f t="shared" si="13"/>
        <v>1801548.6809999999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3458</v>
      </c>
      <c r="I121" s="152"/>
      <c r="J121" s="154"/>
      <c r="K121" s="157">
        <v>5800361500</v>
      </c>
      <c r="L121" s="227">
        <v>7054.1276379880301</v>
      </c>
      <c r="M121" s="154" t="s">
        <v>3428</v>
      </c>
      <c r="N121" s="152">
        <f>C13+G15+G28+N120-I121-L121</f>
        <v>458922.89936201106</v>
      </c>
      <c r="O121" s="152">
        <f t="shared" ref="O121:O126" si="16">O120+G121-I121-L121</f>
        <v>1794494.5533620119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3458</v>
      </c>
      <c r="I122" s="152"/>
      <c r="J122" s="157"/>
      <c r="K122" s="157">
        <v>5800361500</v>
      </c>
      <c r="L122" s="227">
        <v>17921.273000000001</v>
      </c>
      <c r="M122" s="157" t="s">
        <v>3428</v>
      </c>
      <c r="N122" s="152">
        <f t="shared" ref="N122:N126" si="17">+N121-I122-L122</f>
        <v>441001.62636201107</v>
      </c>
      <c r="O122" s="152">
        <f t="shared" si="16"/>
        <v>1776573.2803620119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3458</v>
      </c>
      <c r="I123" s="152"/>
      <c r="J123" s="157"/>
      <c r="K123" s="157">
        <v>5800361500</v>
      </c>
      <c r="L123" s="227">
        <v>12635.027</v>
      </c>
      <c r="M123" s="157" t="s">
        <v>3428</v>
      </c>
      <c r="N123" s="152">
        <f t="shared" si="17"/>
        <v>428366.59936201107</v>
      </c>
      <c r="O123" s="152">
        <f t="shared" si="16"/>
        <v>1763938.2533620119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3458</v>
      </c>
      <c r="I124" s="152"/>
      <c r="J124" s="154"/>
      <c r="K124" s="157">
        <v>5800361500</v>
      </c>
      <c r="L124" s="227">
        <v>9581.1959999999999</v>
      </c>
      <c r="M124" s="157" t="s">
        <v>3428</v>
      </c>
      <c r="N124" s="152">
        <f t="shared" si="17"/>
        <v>418785.40336201107</v>
      </c>
      <c r="O124" s="152">
        <f t="shared" si="16"/>
        <v>1754357.0573620119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3458</v>
      </c>
      <c r="I125" s="152"/>
      <c r="J125" s="157"/>
      <c r="K125" s="157">
        <v>5800361500</v>
      </c>
      <c r="L125" s="227">
        <v>12281.278</v>
      </c>
      <c r="M125" s="157" t="s">
        <v>3428</v>
      </c>
      <c r="N125" s="152">
        <f t="shared" si="17"/>
        <v>406504.12536201108</v>
      </c>
      <c r="O125" s="152">
        <f t="shared" si="16"/>
        <v>1742075.7793620119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3458</v>
      </c>
      <c r="I126" s="152"/>
      <c r="J126" s="154"/>
      <c r="K126" s="157">
        <v>5800361500</v>
      </c>
      <c r="L126" s="227">
        <v>16320.41</v>
      </c>
      <c r="M126" s="157" t="s">
        <v>3428</v>
      </c>
      <c r="N126" s="152">
        <f t="shared" si="17"/>
        <v>390183.71536201111</v>
      </c>
      <c r="O126" s="152">
        <f t="shared" si="16"/>
        <v>1725755.369362012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3458</v>
      </c>
      <c r="I127" s="152"/>
      <c r="J127" s="154"/>
      <c r="K127" s="157">
        <v>5800361500</v>
      </c>
      <c r="L127" s="227">
        <v>5059.4070000000002</v>
      </c>
      <c r="M127" s="157" t="s">
        <v>3428</v>
      </c>
      <c r="N127" s="152">
        <f t="shared" si="12"/>
        <v>385124.3083620111</v>
      </c>
      <c r="O127" s="152">
        <f t="shared" si="13"/>
        <v>1720695.9623620121</v>
      </c>
    </row>
    <row r="128" spans="1:15" x14ac:dyDescent="0.15">
      <c r="A128" s="154"/>
      <c r="B128" s="151"/>
      <c r="C128" s="152"/>
      <c r="D128" s="323" t="s">
        <v>3460</v>
      </c>
      <c r="E128" s="154" t="s">
        <v>72</v>
      </c>
      <c r="F128" s="157" t="s">
        <v>3508</v>
      </c>
      <c r="G128" s="152">
        <v>87874.551999999996</v>
      </c>
      <c r="H128" s="323" t="s">
        <v>3460</v>
      </c>
      <c r="I128" s="152">
        <v>13748.117999999999</v>
      </c>
      <c r="J128" s="157" t="s">
        <v>3428</v>
      </c>
      <c r="K128" s="157">
        <v>5800361500</v>
      </c>
      <c r="L128" s="227">
        <v>12901.308000000001</v>
      </c>
      <c r="M128" s="157" t="s">
        <v>3428</v>
      </c>
      <c r="N128" s="152">
        <f t="shared" si="12"/>
        <v>358474.88236201106</v>
      </c>
      <c r="O128" s="152">
        <f t="shared" si="13"/>
        <v>1781921.0883620121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3460</v>
      </c>
      <c r="I129" s="152"/>
      <c r="J129" s="154"/>
      <c r="K129" s="157">
        <v>5800361500</v>
      </c>
      <c r="L129" s="227">
        <v>13491.368</v>
      </c>
      <c r="M129" s="157" t="s">
        <v>3428</v>
      </c>
      <c r="N129" s="152">
        <f t="shared" si="12"/>
        <v>344983.51436201105</v>
      </c>
      <c r="O129" s="152">
        <f t="shared" si="13"/>
        <v>1768429.720362012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3460</v>
      </c>
      <c r="I130" s="152"/>
      <c r="J130" s="154"/>
      <c r="K130" s="157">
        <v>5800361500</v>
      </c>
      <c r="L130" s="227">
        <v>13959.415000000001</v>
      </c>
      <c r="M130" s="157" t="s">
        <v>3428</v>
      </c>
      <c r="N130" s="152">
        <f t="shared" si="12"/>
        <v>331024.09936201107</v>
      </c>
      <c r="O130" s="152">
        <f t="shared" si="13"/>
        <v>1754470.305362012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3460</v>
      </c>
      <c r="I131" s="152"/>
      <c r="J131" s="154"/>
      <c r="K131" s="157">
        <v>5800361500</v>
      </c>
      <c r="L131" s="227">
        <v>10002.013999999999</v>
      </c>
      <c r="M131" s="157" t="s">
        <v>3428</v>
      </c>
      <c r="N131" s="152">
        <f t="shared" si="12"/>
        <v>321022.08536201104</v>
      </c>
      <c r="O131" s="152">
        <f t="shared" si="13"/>
        <v>1744468.291362012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3460</v>
      </c>
      <c r="I132" s="152"/>
      <c r="J132" s="154"/>
      <c r="K132" s="157">
        <v>5800361500</v>
      </c>
      <c r="L132" s="227">
        <v>15163.387000000001</v>
      </c>
      <c r="M132" s="157" t="s">
        <v>3428</v>
      </c>
      <c r="N132" s="152">
        <f t="shared" si="12"/>
        <v>305858.69836201105</v>
      </c>
      <c r="O132" s="152">
        <f t="shared" si="13"/>
        <v>1729304.9043620119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3460</v>
      </c>
      <c r="I133" s="152"/>
      <c r="J133" s="154"/>
      <c r="K133" s="157">
        <v>5800361500</v>
      </c>
      <c r="L133" s="227">
        <v>14755.511</v>
      </c>
      <c r="M133" s="157" t="s">
        <v>3428</v>
      </c>
      <c r="N133" s="152">
        <f t="shared" si="12"/>
        <v>291103.18736201106</v>
      </c>
      <c r="O133" s="152">
        <f t="shared" si="13"/>
        <v>1714549.393362012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3460</v>
      </c>
      <c r="I134" s="152"/>
      <c r="J134" s="157"/>
      <c r="K134" s="157">
        <v>5800361500</v>
      </c>
      <c r="L134" s="227">
        <v>14301.65</v>
      </c>
      <c r="M134" s="157" t="s">
        <v>3428</v>
      </c>
      <c r="N134" s="152">
        <f t="shared" si="12"/>
        <v>276801.53736201103</v>
      </c>
      <c r="O134" s="152">
        <f t="shared" si="13"/>
        <v>1700247.7433620121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3460</v>
      </c>
      <c r="I135" s="152"/>
      <c r="J135" s="157"/>
      <c r="K135" s="157">
        <v>5800361500</v>
      </c>
      <c r="L135" s="227">
        <v>6653.9759999999997</v>
      </c>
      <c r="M135" s="157" t="s">
        <v>3428</v>
      </c>
      <c r="N135" s="152">
        <f t="shared" si="12"/>
        <v>270147.56136201101</v>
      </c>
      <c r="O135" s="152">
        <f t="shared" si="13"/>
        <v>1693593.7673620121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3461</v>
      </c>
      <c r="I136" s="152">
        <v>11471.001</v>
      </c>
      <c r="J136" s="157" t="s">
        <v>3428</v>
      </c>
      <c r="K136" s="157">
        <v>5800361500</v>
      </c>
      <c r="L136" s="227">
        <v>17343.566999999999</v>
      </c>
      <c r="M136" s="157" t="s">
        <v>3428</v>
      </c>
      <c r="N136" s="152">
        <f t="shared" si="12"/>
        <v>241332.99336201101</v>
      </c>
      <c r="O136" s="152">
        <f t="shared" si="13"/>
        <v>1664779.1993620121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3461</v>
      </c>
      <c r="I137" s="152"/>
      <c r="J137" s="157"/>
      <c r="K137" s="157">
        <v>5800361500</v>
      </c>
      <c r="L137" s="227">
        <v>14702.892</v>
      </c>
      <c r="M137" s="157" t="s">
        <v>3428</v>
      </c>
      <c r="N137" s="152">
        <f t="shared" si="12"/>
        <v>226630.10136201102</v>
      </c>
      <c r="O137" s="152">
        <f t="shared" si="13"/>
        <v>1650076.3073620121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3461</v>
      </c>
      <c r="I138" s="152"/>
      <c r="J138" s="157"/>
      <c r="K138" s="157">
        <v>5800361500</v>
      </c>
      <c r="L138" s="227">
        <v>10903.043</v>
      </c>
      <c r="M138" s="157" t="s">
        <v>3428</v>
      </c>
      <c r="N138" s="152">
        <f t="shared" si="12"/>
        <v>215727.05836201101</v>
      </c>
      <c r="O138" s="152">
        <f t="shared" si="13"/>
        <v>1639173.264362012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3461</v>
      </c>
      <c r="I139" s="152"/>
      <c r="J139" s="157"/>
      <c r="K139" s="157">
        <v>5800361500</v>
      </c>
      <c r="L139" s="227">
        <v>15400.599</v>
      </c>
      <c r="M139" s="157" t="s">
        <v>3428</v>
      </c>
      <c r="N139" s="152">
        <f t="shared" si="12"/>
        <v>200326.45936201102</v>
      </c>
      <c r="O139" s="152">
        <f t="shared" si="13"/>
        <v>1623772.6653620121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3461</v>
      </c>
      <c r="I140" s="152"/>
      <c r="J140" s="157"/>
      <c r="K140" s="157">
        <v>5800361500</v>
      </c>
      <c r="L140" s="227">
        <v>12470.409</v>
      </c>
      <c r="M140" s="157" t="s">
        <v>3428</v>
      </c>
      <c r="N140" s="152">
        <f t="shared" si="12"/>
        <v>187856.05036201101</v>
      </c>
      <c r="O140" s="152">
        <f t="shared" si="13"/>
        <v>1611302.2563620121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3461</v>
      </c>
      <c r="I141" s="152"/>
      <c r="J141" s="154"/>
      <c r="K141" s="157">
        <v>5800361500</v>
      </c>
      <c r="L141" s="227">
        <v>9104.4580000000005</v>
      </c>
      <c r="M141" s="157" t="s">
        <v>3428</v>
      </c>
      <c r="N141" s="152">
        <f t="shared" si="12"/>
        <v>178751.592362011</v>
      </c>
      <c r="O141" s="152">
        <f t="shared" si="13"/>
        <v>1602197.798362012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3461</v>
      </c>
      <c r="I142" s="152"/>
      <c r="J142" s="157"/>
      <c r="K142" s="157">
        <v>5800361500</v>
      </c>
      <c r="L142" s="227">
        <v>3915.6170000000002</v>
      </c>
      <c r="M142" s="157" t="s">
        <v>3428</v>
      </c>
      <c r="N142" s="152">
        <f t="shared" si="12"/>
        <v>174835.975362011</v>
      </c>
      <c r="O142" s="152">
        <f t="shared" si="13"/>
        <v>1598282.1813620119</v>
      </c>
    </row>
    <row r="143" spans="1:15" x14ac:dyDescent="0.15">
      <c r="A143" s="154"/>
      <c r="B143" s="151"/>
      <c r="C143" s="152"/>
      <c r="D143" s="323" t="s">
        <v>3463</v>
      </c>
      <c r="E143" s="154" t="s">
        <v>72</v>
      </c>
      <c r="F143" s="157" t="s">
        <v>3509</v>
      </c>
      <c r="G143" s="152">
        <v>219754.948</v>
      </c>
      <c r="H143" s="323" t="s">
        <v>3463</v>
      </c>
      <c r="I143" s="152">
        <v>10657.349</v>
      </c>
      <c r="J143" s="157" t="s">
        <v>3428</v>
      </c>
      <c r="K143" s="157">
        <v>5800361500</v>
      </c>
      <c r="L143" s="227">
        <v>11414.735000000001</v>
      </c>
      <c r="M143" s="157" t="s">
        <v>3428</v>
      </c>
      <c r="N143" s="152">
        <f t="shared" si="12"/>
        <v>152763.89136201103</v>
      </c>
      <c r="O143" s="152">
        <f t="shared" si="13"/>
        <v>1795965.045362012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3463</v>
      </c>
      <c r="I144" s="152"/>
      <c r="J144" s="157"/>
      <c r="K144" s="157">
        <v>5800361500</v>
      </c>
      <c r="L144" s="227">
        <v>12060.210999999999</v>
      </c>
      <c r="M144" s="157" t="s">
        <v>3428</v>
      </c>
      <c r="N144" s="152">
        <f t="shared" si="12"/>
        <v>140703.68036201101</v>
      </c>
      <c r="O144" s="152">
        <f t="shared" si="13"/>
        <v>1783904.8343620121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3463</v>
      </c>
      <c r="I145" s="152"/>
      <c r="J145" s="154"/>
      <c r="K145" s="157">
        <v>5800361500</v>
      </c>
      <c r="L145" s="227">
        <v>14239.441999999999</v>
      </c>
      <c r="M145" s="157" t="s">
        <v>3428</v>
      </c>
      <c r="N145" s="152">
        <f t="shared" si="12"/>
        <v>126464.23836201102</v>
      </c>
      <c r="O145" s="152">
        <f t="shared" si="13"/>
        <v>1769665.3923620121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3463</v>
      </c>
      <c r="I146" s="152"/>
      <c r="J146" s="157"/>
      <c r="K146" s="157">
        <v>5800361500</v>
      </c>
      <c r="L146" s="227">
        <v>8840.8240000000005</v>
      </c>
      <c r="M146" s="157" t="s">
        <v>3428</v>
      </c>
      <c r="N146" s="152">
        <f t="shared" si="12"/>
        <v>117623.41436201101</v>
      </c>
      <c r="O146" s="152">
        <f t="shared" si="13"/>
        <v>1760824.568362012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3463</v>
      </c>
      <c r="I147" s="152"/>
      <c r="J147" s="157"/>
      <c r="K147" s="157">
        <v>5800361500</v>
      </c>
      <c r="L147" s="227">
        <v>12097.181</v>
      </c>
      <c r="M147" s="157" t="s">
        <v>3428</v>
      </c>
      <c r="N147" s="152">
        <f t="shared" si="12"/>
        <v>105526.23336201101</v>
      </c>
      <c r="O147" s="152">
        <f t="shared" si="13"/>
        <v>1748727.3873620119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3463</v>
      </c>
      <c r="I148" s="152"/>
      <c r="J148" s="154"/>
      <c r="K148" s="157">
        <v>5800361500</v>
      </c>
      <c r="L148" s="227">
        <v>4069.6970000000001</v>
      </c>
      <c r="M148" s="157" t="s">
        <v>3428</v>
      </c>
      <c r="N148" s="152">
        <f t="shared" si="12"/>
        <v>101456.53636201101</v>
      </c>
      <c r="O148" s="152">
        <f t="shared" si="13"/>
        <v>1744657.690362012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3463</v>
      </c>
      <c r="I149" s="152"/>
      <c r="J149" s="157"/>
      <c r="K149" s="157">
        <v>5800361500</v>
      </c>
      <c r="L149" s="227">
        <v>11764.450999999999</v>
      </c>
      <c r="M149" s="157" t="s">
        <v>3428</v>
      </c>
      <c r="N149" s="152">
        <f t="shared" si="12"/>
        <v>89692.085362011014</v>
      </c>
      <c r="O149" s="152">
        <f t="shared" si="13"/>
        <v>1732893.2393620121</v>
      </c>
    </row>
    <row r="150" spans="1:15" x14ac:dyDescent="0.15">
      <c r="A150" s="154"/>
      <c r="B150" s="151"/>
      <c r="C150" s="152"/>
      <c r="D150" s="323" t="s">
        <v>3465</v>
      </c>
      <c r="E150" s="154" t="s">
        <v>72</v>
      </c>
      <c r="F150" s="157" t="s">
        <v>3509</v>
      </c>
      <c r="G150" s="152">
        <v>219706.821</v>
      </c>
      <c r="H150" s="323" t="s">
        <v>3465</v>
      </c>
      <c r="I150" s="152">
        <v>11093.135</v>
      </c>
      <c r="J150" s="157" t="s">
        <v>3428</v>
      </c>
      <c r="K150" s="157">
        <v>5800361500</v>
      </c>
      <c r="L150" s="227">
        <v>13078.627</v>
      </c>
      <c r="M150" s="157" t="s">
        <v>3428</v>
      </c>
      <c r="N150" s="152">
        <f t="shared" si="12"/>
        <v>65520.323362011019</v>
      </c>
      <c r="O150" s="152">
        <f t="shared" si="13"/>
        <v>1928428.298362012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3465</v>
      </c>
      <c r="I151" s="152"/>
      <c r="J151" s="157"/>
      <c r="K151" s="157">
        <v>5800361500</v>
      </c>
      <c r="L151" s="227">
        <v>14041.115</v>
      </c>
      <c r="M151" s="157" t="s">
        <v>3428</v>
      </c>
      <c r="N151" s="152">
        <f t="shared" ref="N151:N217" si="18">+N150-I151-L151</f>
        <v>51479.208362011021</v>
      </c>
      <c r="O151" s="152">
        <f t="shared" ref="O151:O217" si="19">O150+G151-I151-L151</f>
        <v>1914387.183362012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3465</v>
      </c>
      <c r="I152" s="152"/>
      <c r="J152" s="157"/>
      <c r="K152" s="157">
        <v>5800361500</v>
      </c>
      <c r="L152" s="227">
        <v>11111.63</v>
      </c>
      <c r="M152" s="157" t="s">
        <v>3428</v>
      </c>
      <c r="N152" s="152">
        <f t="shared" ref="N152:N161" si="20">+N151-I152-L152</f>
        <v>40367.578362011023</v>
      </c>
      <c r="O152" s="152">
        <f t="shared" ref="O152:O161" si="21">O151+G152-I152-L152</f>
        <v>1903275.5533620121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3465</v>
      </c>
      <c r="I153" s="152"/>
      <c r="J153" s="157"/>
      <c r="K153" s="157">
        <v>5800361500</v>
      </c>
      <c r="L153" s="227">
        <v>14729.463</v>
      </c>
      <c r="M153" s="157" t="s">
        <v>3428</v>
      </c>
      <c r="N153" s="152">
        <f t="shared" si="20"/>
        <v>25638.115362011024</v>
      </c>
      <c r="O153" s="152">
        <f t="shared" si="21"/>
        <v>1888546.0903620122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3465</v>
      </c>
      <c r="I154" s="152"/>
      <c r="J154" s="157"/>
      <c r="K154" s="157">
        <v>5800361500</v>
      </c>
      <c r="L154" s="227">
        <v>13053.614</v>
      </c>
      <c r="M154" s="157" t="s">
        <v>3428</v>
      </c>
      <c r="N154" s="152">
        <f t="shared" si="20"/>
        <v>12584.501362011024</v>
      </c>
      <c r="O154" s="152">
        <f t="shared" si="21"/>
        <v>1875492.4763620121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3465</v>
      </c>
      <c r="I155" s="152"/>
      <c r="J155" s="157"/>
      <c r="K155" s="157">
        <v>5800361500</v>
      </c>
      <c r="L155" s="227">
        <v>12584.501362011024</v>
      </c>
      <c r="M155" s="157" t="s">
        <v>3428</v>
      </c>
      <c r="N155" s="152">
        <f t="shared" si="20"/>
        <v>0</v>
      </c>
      <c r="O155" s="152">
        <f t="shared" si="21"/>
        <v>1862907.975000001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3465</v>
      </c>
      <c r="I156" s="152"/>
      <c r="J156" s="157"/>
      <c r="K156" s="157">
        <v>5800361798</v>
      </c>
      <c r="L156" s="227">
        <v>1231.4986379889799</v>
      </c>
      <c r="M156" s="157" t="s">
        <v>3505</v>
      </c>
      <c r="N156" s="152">
        <f>G29+N155-I156-L156</f>
        <v>104008.45536201203</v>
      </c>
      <c r="O156" s="152">
        <f t="shared" si="21"/>
        <v>1861676.4763620121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3465</v>
      </c>
      <c r="I157" s="152"/>
      <c r="J157" s="157"/>
      <c r="K157" s="157">
        <v>5800361798</v>
      </c>
      <c r="L157" s="227">
        <v>15060.630999999999</v>
      </c>
      <c r="M157" s="157" t="s">
        <v>3505</v>
      </c>
      <c r="N157" s="152">
        <f t="shared" si="20"/>
        <v>88947.824362012034</v>
      </c>
      <c r="O157" s="152">
        <f t="shared" si="21"/>
        <v>1846615.845362012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3465</v>
      </c>
      <c r="I158" s="152"/>
      <c r="J158" s="157"/>
      <c r="K158" s="157">
        <v>5800361798</v>
      </c>
      <c r="L158" s="227">
        <v>12437.302</v>
      </c>
      <c r="M158" s="157" t="s">
        <v>3505</v>
      </c>
      <c r="N158" s="152">
        <f t="shared" si="20"/>
        <v>76510.522362012038</v>
      </c>
      <c r="O158" s="152">
        <f t="shared" si="21"/>
        <v>1834178.5433620121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3465</v>
      </c>
      <c r="I159" s="152"/>
      <c r="J159" s="157"/>
      <c r="K159" s="157">
        <v>5800361798</v>
      </c>
      <c r="L159" s="227">
        <v>8073.0910000000003</v>
      </c>
      <c r="M159" s="157" t="s">
        <v>3505</v>
      </c>
      <c r="N159" s="152">
        <f t="shared" si="20"/>
        <v>68437.431362012037</v>
      </c>
      <c r="O159" s="152">
        <f t="shared" si="21"/>
        <v>1826105.4523620121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3465</v>
      </c>
      <c r="I160" s="152"/>
      <c r="J160" s="157"/>
      <c r="K160" s="157">
        <v>5800361798</v>
      </c>
      <c r="L160" s="227">
        <v>2222.1260000000002</v>
      </c>
      <c r="M160" s="157" t="s">
        <v>3505</v>
      </c>
      <c r="N160" s="152">
        <f t="shared" si="20"/>
        <v>66215.305362012034</v>
      </c>
      <c r="O160" s="152">
        <f t="shared" si="21"/>
        <v>1823883.3263620122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3465</v>
      </c>
      <c r="I161" s="152"/>
      <c r="J161" s="157"/>
      <c r="K161" s="157">
        <v>5800361798</v>
      </c>
      <c r="L161" s="227">
        <v>9522.27</v>
      </c>
      <c r="M161" s="157" t="s">
        <v>3505</v>
      </c>
      <c r="N161" s="152">
        <f t="shared" si="20"/>
        <v>56693.03536201203</v>
      </c>
      <c r="O161" s="152">
        <f t="shared" si="21"/>
        <v>1814361.0563620122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3465</v>
      </c>
      <c r="I162" s="152"/>
      <c r="J162" s="157"/>
      <c r="K162" s="157">
        <v>5800361798</v>
      </c>
      <c r="L162" s="227">
        <v>1068.133</v>
      </c>
      <c r="M162" s="157" t="s">
        <v>3505</v>
      </c>
      <c r="N162" s="152">
        <f t="shared" si="18"/>
        <v>55624.902362012028</v>
      </c>
      <c r="O162" s="152">
        <f t="shared" si="19"/>
        <v>1813292.9233620123</v>
      </c>
    </row>
    <row r="163" spans="1:15" x14ac:dyDescent="0.15">
      <c r="A163" s="154"/>
      <c r="B163" s="151"/>
      <c r="C163" s="152"/>
      <c r="D163" s="323" t="s">
        <v>3466</v>
      </c>
      <c r="E163" s="154" t="s">
        <v>72</v>
      </c>
      <c r="F163" s="157" t="s">
        <v>3509</v>
      </c>
      <c r="G163" s="152">
        <v>219806.97700000001</v>
      </c>
      <c r="H163" s="323" t="s">
        <v>3466</v>
      </c>
      <c r="I163" s="152">
        <v>10122.894</v>
      </c>
      <c r="J163" s="157" t="s">
        <v>3505</v>
      </c>
      <c r="K163" s="157">
        <v>5800361798</v>
      </c>
      <c r="L163" s="227">
        <v>12521.269</v>
      </c>
      <c r="M163" s="157" t="s">
        <v>3505</v>
      </c>
      <c r="N163" s="152">
        <f t="shared" si="18"/>
        <v>32980.739362012027</v>
      </c>
      <c r="O163" s="152">
        <f t="shared" si="19"/>
        <v>2010455.737362012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3466</v>
      </c>
      <c r="I164" s="152"/>
      <c r="J164" s="157"/>
      <c r="K164" s="157">
        <v>5800361798</v>
      </c>
      <c r="L164" s="227">
        <v>17863.810000000001</v>
      </c>
      <c r="M164" s="157" t="s">
        <v>3505</v>
      </c>
      <c r="N164" s="152">
        <f t="shared" si="18"/>
        <v>15116.929362012026</v>
      </c>
      <c r="O164" s="152">
        <f t="shared" si="19"/>
        <v>1992591.927362012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3466</v>
      </c>
      <c r="I165" s="152"/>
      <c r="J165" s="157"/>
      <c r="K165" s="157">
        <v>5800361798</v>
      </c>
      <c r="L165" s="227">
        <v>13148.332</v>
      </c>
      <c r="M165" s="157" t="s">
        <v>3505</v>
      </c>
      <c r="N165" s="152">
        <f t="shared" si="18"/>
        <v>1968.5973620120258</v>
      </c>
      <c r="O165" s="152">
        <f t="shared" si="19"/>
        <v>1979443.595362012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3466</v>
      </c>
      <c r="I166" s="152"/>
      <c r="J166" s="157"/>
      <c r="K166" s="157">
        <v>5800361798</v>
      </c>
      <c r="L166" s="227">
        <v>1968.5973620120258</v>
      </c>
      <c r="M166" s="157" t="s">
        <v>3505</v>
      </c>
      <c r="N166" s="152">
        <f t="shared" ref="N166:N172" si="22">+N165-I166-L166</f>
        <v>0</v>
      </c>
      <c r="O166" s="152">
        <f t="shared" ref="O166:O172" si="23">O165+G166-I166-L166</f>
        <v>1977474.9979999999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3466</v>
      </c>
      <c r="I167" s="152"/>
      <c r="J167" s="157"/>
      <c r="K167" s="157">
        <v>5800361798</v>
      </c>
      <c r="L167" s="227">
        <v>31927.837637987999</v>
      </c>
      <c r="M167" s="157" t="s">
        <v>3506</v>
      </c>
      <c r="N167" s="152">
        <f>G67+G76+N166-I167-L167</f>
        <v>363531.88436201203</v>
      </c>
      <c r="O167" s="152">
        <f t="shared" si="23"/>
        <v>1945547.160362012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3466</v>
      </c>
      <c r="I168" s="152"/>
      <c r="J168" s="157"/>
      <c r="K168" s="157">
        <v>5800361798</v>
      </c>
      <c r="L168" s="227">
        <v>15278.548000000001</v>
      </c>
      <c r="M168" s="157" t="s">
        <v>3506</v>
      </c>
      <c r="N168" s="152">
        <f t="shared" si="22"/>
        <v>348253.33636201202</v>
      </c>
      <c r="O168" s="152">
        <f t="shared" si="23"/>
        <v>1930268.612362012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3466</v>
      </c>
      <c r="I169" s="152"/>
      <c r="J169" s="157"/>
      <c r="K169" s="157">
        <v>5800361798</v>
      </c>
      <c r="L169" s="227">
        <v>15657.587</v>
      </c>
      <c r="M169" s="157" t="s">
        <v>3506</v>
      </c>
      <c r="N169" s="152">
        <f t="shared" si="22"/>
        <v>332595.74936201202</v>
      </c>
      <c r="O169" s="152">
        <f t="shared" si="23"/>
        <v>1914611.025362012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3466</v>
      </c>
      <c r="I170" s="152"/>
      <c r="J170" s="157"/>
      <c r="K170" s="157">
        <v>5800361798</v>
      </c>
      <c r="L170" s="227">
        <v>9124.9249999999993</v>
      </c>
      <c r="M170" s="157" t="s">
        <v>3506</v>
      </c>
      <c r="N170" s="152">
        <f t="shared" si="22"/>
        <v>323470.82436201203</v>
      </c>
      <c r="O170" s="152">
        <f t="shared" si="23"/>
        <v>1905486.1003620119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3466</v>
      </c>
      <c r="I171" s="152"/>
      <c r="J171" s="157"/>
      <c r="K171" s="157">
        <v>5800361798</v>
      </c>
      <c r="L171" s="227">
        <v>13949.342000000001</v>
      </c>
      <c r="M171" s="157" t="s">
        <v>3506</v>
      </c>
      <c r="N171" s="152">
        <f t="shared" si="22"/>
        <v>309521.48236201203</v>
      </c>
      <c r="O171" s="152">
        <f t="shared" si="23"/>
        <v>1891536.758362012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3466</v>
      </c>
      <c r="I172" s="152"/>
      <c r="J172" s="157"/>
      <c r="K172" s="157">
        <v>5800361798</v>
      </c>
      <c r="L172" s="227">
        <v>15603.671</v>
      </c>
      <c r="M172" s="157" t="s">
        <v>3506</v>
      </c>
      <c r="N172" s="152">
        <f t="shared" si="22"/>
        <v>293917.81136201206</v>
      </c>
      <c r="O172" s="152">
        <f t="shared" si="23"/>
        <v>1875933.0873620119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3466</v>
      </c>
      <c r="I173" s="152"/>
      <c r="J173" s="157"/>
      <c r="K173" s="157">
        <v>5800361798</v>
      </c>
      <c r="L173" s="227">
        <v>3069.7550000000001</v>
      </c>
      <c r="M173" s="157" t="s">
        <v>3506</v>
      </c>
      <c r="N173" s="152">
        <f t="shared" si="18"/>
        <v>290848.05636201205</v>
      </c>
      <c r="O173" s="152">
        <f t="shared" si="19"/>
        <v>1872863.332362012</v>
      </c>
    </row>
    <row r="174" spans="1:15" x14ac:dyDescent="0.15">
      <c r="A174" s="154"/>
      <c r="B174" s="151"/>
      <c r="C174" s="152"/>
      <c r="D174" s="323" t="s">
        <v>3468</v>
      </c>
      <c r="E174" s="154" t="s">
        <v>72</v>
      </c>
      <c r="F174" s="157" t="s">
        <v>3509</v>
      </c>
      <c r="G174" s="152">
        <v>87947.343000000052</v>
      </c>
      <c r="H174" s="323" t="s">
        <v>3468</v>
      </c>
      <c r="I174" s="152">
        <v>9766.2999999999993</v>
      </c>
      <c r="J174" s="157" t="s">
        <v>3506</v>
      </c>
      <c r="K174" s="157">
        <v>5800361798</v>
      </c>
      <c r="L174" s="227">
        <v>12260.138000000001</v>
      </c>
      <c r="M174" s="157" t="s">
        <v>3506</v>
      </c>
      <c r="N174" s="152">
        <f t="shared" si="18"/>
        <v>268821.61836201209</v>
      </c>
      <c r="O174" s="152">
        <f t="shared" si="19"/>
        <v>1938784.237362012</v>
      </c>
    </row>
    <row r="175" spans="1:15" x14ac:dyDescent="0.15">
      <c r="A175" s="154"/>
      <c r="B175" s="151"/>
      <c r="C175" s="152"/>
      <c r="D175" s="323" t="s">
        <v>3468</v>
      </c>
      <c r="E175" s="154" t="s">
        <v>72</v>
      </c>
      <c r="F175" s="157" t="s">
        <v>3510</v>
      </c>
      <c r="G175" s="152">
        <v>131828.22700000001</v>
      </c>
      <c r="H175" s="323" t="s">
        <v>3468</v>
      </c>
      <c r="I175" s="152"/>
      <c r="J175" s="157"/>
      <c r="K175" s="157">
        <v>5800361798</v>
      </c>
      <c r="L175" s="227">
        <v>14051.495999999999</v>
      </c>
      <c r="M175" s="157" t="s">
        <v>3506</v>
      </c>
      <c r="N175" s="152">
        <f t="shared" si="18"/>
        <v>254770.1223620121</v>
      </c>
      <c r="O175" s="152">
        <f t="shared" si="19"/>
        <v>2056560.9683620119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3468</v>
      </c>
      <c r="I176" s="152"/>
      <c r="J176" s="157"/>
      <c r="K176" s="157">
        <v>5800361798</v>
      </c>
      <c r="L176" s="227">
        <v>10737.134</v>
      </c>
      <c r="M176" s="157" t="s">
        <v>3506</v>
      </c>
      <c r="N176" s="152">
        <f t="shared" si="18"/>
        <v>244032.98836201211</v>
      </c>
      <c r="O176" s="152">
        <f t="shared" si="19"/>
        <v>2045823.8343620119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3468</v>
      </c>
      <c r="I177" s="152"/>
      <c r="J177" s="157"/>
      <c r="K177" s="157">
        <v>5800361798</v>
      </c>
      <c r="L177" s="227">
        <v>13227.412</v>
      </c>
      <c r="M177" s="157" t="s">
        <v>3506</v>
      </c>
      <c r="N177" s="152">
        <f t="shared" si="18"/>
        <v>230805.5763620121</v>
      </c>
      <c r="O177" s="152">
        <f t="shared" si="19"/>
        <v>2032596.4223620119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3468</v>
      </c>
      <c r="I178" s="152"/>
      <c r="J178" s="157"/>
      <c r="K178" s="157">
        <v>5800361798</v>
      </c>
      <c r="L178" s="227">
        <v>15086.816999999999</v>
      </c>
      <c r="M178" s="157" t="s">
        <v>3506</v>
      </c>
      <c r="N178" s="152">
        <f t="shared" si="18"/>
        <v>215718.75936201209</v>
      </c>
      <c r="O178" s="152">
        <f t="shared" si="19"/>
        <v>2017509.6053620118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3468</v>
      </c>
      <c r="I179" s="152"/>
      <c r="J179" s="157"/>
      <c r="K179" s="157">
        <v>5800361798</v>
      </c>
      <c r="L179" s="227">
        <v>16030.242</v>
      </c>
      <c r="M179" s="157" t="s">
        <v>3506</v>
      </c>
      <c r="N179" s="152">
        <f t="shared" si="18"/>
        <v>199688.51736201209</v>
      </c>
      <c r="O179" s="152">
        <f t="shared" si="19"/>
        <v>2001479.3633620117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3468</v>
      </c>
      <c r="I180" s="152"/>
      <c r="J180" s="157"/>
      <c r="K180" s="157">
        <v>5800361798</v>
      </c>
      <c r="L180" s="227">
        <v>12812.200999999999</v>
      </c>
      <c r="M180" s="157" t="s">
        <v>3506</v>
      </c>
      <c r="N180" s="152">
        <f t="shared" si="18"/>
        <v>186876.31636201209</v>
      </c>
      <c r="O180" s="152">
        <f t="shared" si="19"/>
        <v>1988667.1623620118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3468</v>
      </c>
      <c r="I181" s="152"/>
      <c r="J181" s="157"/>
      <c r="K181" s="157">
        <v>5800361798</v>
      </c>
      <c r="L181" s="227">
        <v>8973.5380000000005</v>
      </c>
      <c r="M181" s="157" t="s">
        <v>3506</v>
      </c>
      <c r="N181" s="152">
        <f t="shared" si="18"/>
        <v>177902.77836201209</v>
      </c>
      <c r="O181" s="152">
        <f t="shared" si="19"/>
        <v>1979693.6243620119</v>
      </c>
    </row>
    <row r="182" spans="1:15" x14ac:dyDescent="0.15">
      <c r="A182" s="154"/>
      <c r="B182" s="151"/>
      <c r="C182" s="152"/>
      <c r="D182" s="323" t="s">
        <v>3470</v>
      </c>
      <c r="E182" s="154" t="s">
        <v>72</v>
      </c>
      <c r="F182" s="157" t="s">
        <v>3510</v>
      </c>
      <c r="G182" s="152">
        <v>175746.277</v>
      </c>
      <c r="H182" s="323" t="s">
        <v>3470</v>
      </c>
      <c r="I182" s="152">
        <v>13454.108</v>
      </c>
      <c r="J182" s="157" t="s">
        <v>3506</v>
      </c>
      <c r="K182" s="157">
        <v>5800361798</v>
      </c>
      <c r="L182" s="227">
        <v>12746.457</v>
      </c>
      <c r="M182" s="157" t="s">
        <v>3506</v>
      </c>
      <c r="N182" s="152">
        <f t="shared" si="18"/>
        <v>151702.21336201209</v>
      </c>
      <c r="O182" s="152">
        <f t="shared" si="19"/>
        <v>2129239.3363620122</v>
      </c>
    </row>
    <row r="183" spans="1:15" x14ac:dyDescent="0.15">
      <c r="A183" s="154"/>
      <c r="B183" s="151"/>
      <c r="C183" s="152"/>
      <c r="D183" s="323" t="s">
        <v>3470</v>
      </c>
      <c r="E183" s="154" t="s">
        <v>72</v>
      </c>
      <c r="F183" s="157" t="s">
        <v>3511</v>
      </c>
      <c r="G183" s="152">
        <v>43954.877</v>
      </c>
      <c r="H183" s="323" t="s">
        <v>3470</v>
      </c>
      <c r="I183" s="152"/>
      <c r="J183" s="157"/>
      <c r="K183" s="157">
        <v>5800361798</v>
      </c>
      <c r="L183" s="227">
        <v>18005.120999999999</v>
      </c>
      <c r="M183" s="157" t="s">
        <v>3506</v>
      </c>
      <c r="N183" s="152">
        <f t="shared" si="18"/>
        <v>133697.09236201207</v>
      </c>
      <c r="O183" s="152">
        <f t="shared" si="19"/>
        <v>2155189.0923620122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3470</v>
      </c>
      <c r="I184" s="152"/>
      <c r="J184" s="157"/>
      <c r="K184" s="157">
        <v>5800361798</v>
      </c>
      <c r="L184" s="227">
        <v>12576.370999999999</v>
      </c>
      <c r="M184" s="157" t="s">
        <v>3506</v>
      </c>
      <c r="N184" s="152">
        <f t="shared" si="18"/>
        <v>121120.72136201207</v>
      </c>
      <c r="O184" s="152">
        <f t="shared" si="19"/>
        <v>2142612.7213620124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3470</v>
      </c>
      <c r="I185" s="152"/>
      <c r="J185" s="157"/>
      <c r="K185" s="157">
        <v>5800361798</v>
      </c>
      <c r="L185" s="227">
        <v>14517.353999999999</v>
      </c>
      <c r="M185" s="157" t="s">
        <v>3506</v>
      </c>
      <c r="N185" s="152">
        <f t="shared" si="18"/>
        <v>106603.36736201207</v>
      </c>
      <c r="O185" s="152">
        <f t="shared" si="19"/>
        <v>2128095.3673620126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3470</v>
      </c>
      <c r="I186" s="152"/>
      <c r="J186" s="157"/>
      <c r="K186" s="157">
        <v>5800361798</v>
      </c>
      <c r="L186" s="227">
        <v>16053.132</v>
      </c>
      <c r="M186" s="157" t="s">
        <v>3506</v>
      </c>
      <c r="N186" s="152">
        <f t="shared" si="18"/>
        <v>90550.23536201207</v>
      </c>
      <c r="O186" s="152">
        <f t="shared" si="19"/>
        <v>2112042.2353620124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3470</v>
      </c>
      <c r="I187" s="152"/>
      <c r="J187" s="157"/>
      <c r="K187" s="157">
        <v>5800361798</v>
      </c>
      <c r="L187" s="227">
        <v>8247.1779999999999</v>
      </c>
      <c r="M187" s="157" t="s">
        <v>3506</v>
      </c>
      <c r="N187" s="152">
        <f t="shared" si="18"/>
        <v>82303.05736201207</v>
      </c>
      <c r="O187" s="152">
        <f t="shared" si="19"/>
        <v>2103795.0573620126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3470</v>
      </c>
      <c r="I188" s="152"/>
      <c r="J188" s="157"/>
      <c r="K188" s="157">
        <v>5800361798</v>
      </c>
      <c r="L188" s="227">
        <v>283.14299999999997</v>
      </c>
      <c r="M188" s="157" t="s">
        <v>3506</v>
      </c>
      <c r="N188" s="152">
        <f t="shared" si="18"/>
        <v>82019.914362012074</v>
      </c>
      <c r="O188" s="152">
        <f t="shared" si="19"/>
        <v>2103511.9143620124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3470</v>
      </c>
      <c r="I189" s="152"/>
      <c r="J189" s="157"/>
      <c r="K189" s="157">
        <v>5800361798</v>
      </c>
      <c r="L189" s="227">
        <v>12799.509</v>
      </c>
      <c r="M189" s="157" t="s">
        <v>3506</v>
      </c>
      <c r="N189" s="152">
        <f t="shared" si="18"/>
        <v>69220.405362012069</v>
      </c>
      <c r="O189" s="152">
        <f t="shared" si="19"/>
        <v>2090712.4053620123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3470</v>
      </c>
      <c r="I190" s="152"/>
      <c r="J190" s="157"/>
      <c r="K190" s="157">
        <v>5800361798</v>
      </c>
      <c r="L190" s="227">
        <v>13575.116</v>
      </c>
      <c r="M190" s="157" t="s">
        <v>3506</v>
      </c>
      <c r="N190" s="152">
        <f t="shared" si="18"/>
        <v>55645.289362012067</v>
      </c>
      <c r="O190" s="152">
        <f t="shared" si="19"/>
        <v>2077137.2893620124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3470</v>
      </c>
      <c r="I191" s="152"/>
      <c r="J191" s="157"/>
      <c r="K191" s="157">
        <v>5800361798</v>
      </c>
      <c r="L191" s="227">
        <v>3490.23</v>
      </c>
      <c r="M191" s="157" t="s">
        <v>3506</v>
      </c>
      <c r="N191" s="152">
        <f t="shared" si="18"/>
        <v>52155.059362012064</v>
      </c>
      <c r="O191" s="152">
        <f t="shared" si="19"/>
        <v>2073647.0593620124</v>
      </c>
    </row>
    <row r="192" spans="1:15" x14ac:dyDescent="0.15">
      <c r="A192" s="154"/>
      <c r="B192" s="151"/>
      <c r="C192" s="152"/>
      <c r="D192" s="323" t="s">
        <v>3471</v>
      </c>
      <c r="E192" s="154" t="s">
        <v>72</v>
      </c>
      <c r="F192" s="157" t="s">
        <v>3511</v>
      </c>
      <c r="G192" s="152">
        <v>87865.370999999999</v>
      </c>
      <c r="H192" s="323" t="s">
        <v>3471</v>
      </c>
      <c r="I192" s="152">
        <v>14063.214</v>
      </c>
      <c r="J192" s="157" t="s">
        <v>3506</v>
      </c>
      <c r="K192" s="157">
        <v>5800361798</v>
      </c>
      <c r="L192" s="227">
        <v>13386.643</v>
      </c>
      <c r="M192" s="157" t="s">
        <v>3506</v>
      </c>
      <c r="N192" s="152">
        <f t="shared" si="18"/>
        <v>24705.202362012064</v>
      </c>
      <c r="O192" s="152">
        <f t="shared" si="19"/>
        <v>2134062.5733620119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3471</v>
      </c>
      <c r="I193" s="152"/>
      <c r="J193" s="157"/>
      <c r="K193" s="157">
        <v>5800361798</v>
      </c>
      <c r="L193" s="227">
        <v>12624.72</v>
      </c>
      <c r="M193" s="157" t="s">
        <v>3506</v>
      </c>
      <c r="N193" s="152">
        <f t="shared" si="18"/>
        <v>12080.482362012064</v>
      </c>
      <c r="O193" s="152">
        <f t="shared" si="19"/>
        <v>2121437.8533620117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3471</v>
      </c>
      <c r="I194" s="152"/>
      <c r="J194" s="157"/>
      <c r="K194" s="157">
        <v>5800361798</v>
      </c>
      <c r="L194" s="227">
        <v>11157.869000000001</v>
      </c>
      <c r="M194" s="157" t="s">
        <v>3506</v>
      </c>
      <c r="N194" s="152">
        <f t="shared" ref="N194:N201" si="24">+N193-I194-L194</f>
        <v>922.61336201206359</v>
      </c>
      <c r="O194" s="152">
        <f t="shared" ref="O194:O201" si="25">O193+G194-I194-L194</f>
        <v>2110279.9843620118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3471</v>
      </c>
      <c r="I195" s="152"/>
      <c r="J195" s="157"/>
      <c r="K195" s="157">
        <v>5800361798</v>
      </c>
      <c r="L195" s="227">
        <v>922.61336201206359</v>
      </c>
      <c r="M195" s="157" t="s">
        <v>3506</v>
      </c>
      <c r="N195" s="152">
        <f t="shared" si="24"/>
        <v>0</v>
      </c>
      <c r="O195" s="152">
        <f t="shared" si="25"/>
        <v>2109357.3709999998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3471</v>
      </c>
      <c r="I196" s="152"/>
      <c r="J196" s="157"/>
      <c r="K196" s="157">
        <v>5800361798</v>
      </c>
      <c r="L196" s="227">
        <v>13069.9686379879</v>
      </c>
      <c r="M196" s="157" t="s">
        <v>3507</v>
      </c>
      <c r="N196" s="152">
        <f>G77+G89+G105+G117+N195-I196-L196</f>
        <v>645982.83936201211</v>
      </c>
      <c r="O196" s="152">
        <f t="shared" si="25"/>
        <v>2096287.4023620118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3471</v>
      </c>
      <c r="I197" s="152"/>
      <c r="J197" s="157"/>
      <c r="K197" s="157">
        <v>5800361798</v>
      </c>
      <c r="L197" s="227">
        <v>14825.496999999999</v>
      </c>
      <c r="M197" s="157" t="s">
        <v>3507</v>
      </c>
      <c r="N197" s="152">
        <f t="shared" si="24"/>
        <v>631157.34236201213</v>
      </c>
      <c r="O197" s="152">
        <f t="shared" si="25"/>
        <v>2081461.9053620119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3471</v>
      </c>
      <c r="I198" s="152"/>
      <c r="J198" s="157"/>
      <c r="K198" s="157">
        <v>5800361798</v>
      </c>
      <c r="L198" s="227">
        <v>11414.843000000001</v>
      </c>
      <c r="M198" s="157" t="s">
        <v>3507</v>
      </c>
      <c r="N198" s="152">
        <f t="shared" si="24"/>
        <v>619742.49936201214</v>
      </c>
      <c r="O198" s="152">
        <f t="shared" si="25"/>
        <v>2070047.0623620118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3471</v>
      </c>
      <c r="I199" s="152"/>
      <c r="J199" s="157"/>
      <c r="K199" s="157">
        <v>5800361798</v>
      </c>
      <c r="L199" s="227">
        <v>10600.924999999999</v>
      </c>
      <c r="M199" s="157" t="s">
        <v>3507</v>
      </c>
      <c r="N199" s="152">
        <f t="shared" si="24"/>
        <v>609141.57436201209</v>
      </c>
      <c r="O199" s="152">
        <f t="shared" si="25"/>
        <v>2059446.1373620117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3471</v>
      </c>
      <c r="I200" s="152"/>
      <c r="J200" s="157"/>
      <c r="K200" s="157">
        <v>5800361798</v>
      </c>
      <c r="L200" s="227">
        <v>2981.6979999999999</v>
      </c>
      <c r="M200" s="157" t="s">
        <v>3507</v>
      </c>
      <c r="N200" s="152">
        <f t="shared" si="24"/>
        <v>606159.87636201212</v>
      </c>
      <c r="O200" s="152">
        <f t="shared" si="25"/>
        <v>2056464.4393620116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3471</v>
      </c>
      <c r="I201" s="152"/>
      <c r="J201" s="157"/>
      <c r="K201" s="157">
        <v>5800361798</v>
      </c>
      <c r="L201" s="227">
        <v>16108.831</v>
      </c>
      <c r="M201" s="157" t="s">
        <v>3507</v>
      </c>
      <c r="N201" s="152">
        <f t="shared" si="24"/>
        <v>590051.04536201211</v>
      </c>
      <c r="O201" s="152">
        <f t="shared" si="25"/>
        <v>2040355.6083620116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3471</v>
      </c>
      <c r="I202" s="152"/>
      <c r="J202" s="157"/>
      <c r="K202" s="157">
        <v>5800361798</v>
      </c>
      <c r="L202" s="227">
        <v>4482.7269999999999</v>
      </c>
      <c r="M202" s="157" t="s">
        <v>3507</v>
      </c>
      <c r="N202" s="152">
        <f t="shared" si="18"/>
        <v>585568.31836201216</v>
      </c>
      <c r="O202" s="152">
        <f t="shared" si="19"/>
        <v>2035872.8813620117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3472</v>
      </c>
      <c r="I203" s="152">
        <v>11980.859</v>
      </c>
      <c r="J203" s="157" t="s">
        <v>3507</v>
      </c>
      <c r="K203" s="157">
        <v>5800361798</v>
      </c>
      <c r="L203" s="227">
        <v>12153.369000000001</v>
      </c>
      <c r="M203" s="157" t="s">
        <v>3507</v>
      </c>
      <c r="N203" s="152">
        <f t="shared" si="18"/>
        <v>561434.09036201215</v>
      </c>
      <c r="O203" s="152">
        <f t="shared" si="19"/>
        <v>2011738.6533620118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3472</v>
      </c>
      <c r="I204" s="152"/>
      <c r="J204" s="157"/>
      <c r="K204" s="157">
        <v>5800361798</v>
      </c>
      <c r="L204" s="227">
        <v>13320.54</v>
      </c>
      <c r="M204" s="157" t="s">
        <v>3507</v>
      </c>
      <c r="N204" s="152">
        <f t="shared" si="18"/>
        <v>548113.55036201212</v>
      </c>
      <c r="O204" s="152">
        <f t="shared" si="19"/>
        <v>1998418.1133620117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3472</v>
      </c>
      <c r="I205" s="152"/>
      <c r="J205" s="157"/>
      <c r="K205" s="157">
        <v>5800361798</v>
      </c>
      <c r="L205" s="227">
        <v>18097.148000000001</v>
      </c>
      <c r="M205" s="157" t="s">
        <v>3507</v>
      </c>
      <c r="N205" s="152">
        <f t="shared" si="18"/>
        <v>530016.40236201207</v>
      </c>
      <c r="O205" s="152">
        <f t="shared" si="19"/>
        <v>1980320.9653620117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3472</v>
      </c>
      <c r="I206" s="152"/>
      <c r="J206" s="157"/>
      <c r="K206" s="157">
        <v>5800361798</v>
      </c>
      <c r="L206" s="227">
        <v>12409.188</v>
      </c>
      <c r="M206" s="157" t="s">
        <v>3507</v>
      </c>
      <c r="N206" s="152">
        <f t="shared" si="18"/>
        <v>517607.21436201205</v>
      </c>
      <c r="O206" s="152">
        <f t="shared" si="19"/>
        <v>1967911.7773620116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3472</v>
      </c>
      <c r="I207" s="152"/>
      <c r="J207" s="157"/>
      <c r="K207" s="157">
        <v>5800361798</v>
      </c>
      <c r="L207" s="227">
        <v>35400.86</v>
      </c>
      <c r="M207" s="157" t="s">
        <v>3507</v>
      </c>
      <c r="N207" s="152">
        <f t="shared" si="18"/>
        <v>482206.35436201206</v>
      </c>
      <c r="O207" s="152">
        <f t="shared" si="19"/>
        <v>1932510.9173620115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3472</v>
      </c>
      <c r="I208" s="152"/>
      <c r="J208" s="157"/>
      <c r="K208" s="157">
        <v>5800361798</v>
      </c>
      <c r="L208" s="227">
        <v>14498.704</v>
      </c>
      <c r="M208" s="157" t="s">
        <v>3507</v>
      </c>
      <c r="N208" s="152">
        <f t="shared" si="18"/>
        <v>467707.65036201203</v>
      </c>
      <c r="O208" s="152">
        <f t="shared" si="19"/>
        <v>1918012.2133620116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3472</v>
      </c>
      <c r="I209" s="152"/>
      <c r="J209" s="157"/>
      <c r="K209" s="157">
        <v>5800361798</v>
      </c>
      <c r="L209" s="227">
        <v>35331.322</v>
      </c>
      <c r="M209" s="157" t="s">
        <v>3507</v>
      </c>
      <c r="N209" s="152">
        <f t="shared" si="18"/>
        <v>432376.32836201205</v>
      </c>
      <c r="O209" s="152">
        <f t="shared" si="19"/>
        <v>1882680.8913620117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3472</v>
      </c>
      <c r="I210" s="152"/>
      <c r="J210" s="157"/>
      <c r="K210" s="157">
        <v>5800361798</v>
      </c>
      <c r="L210" s="227">
        <v>12447.896000000001</v>
      </c>
      <c r="M210" s="157" t="s">
        <v>3507</v>
      </c>
      <c r="N210" s="152">
        <f t="shared" si="18"/>
        <v>419928.43236201204</v>
      </c>
      <c r="O210" s="152">
        <f t="shared" si="19"/>
        <v>1870232.9953620117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3472</v>
      </c>
      <c r="I211" s="152"/>
      <c r="J211" s="157"/>
      <c r="K211" s="157">
        <v>5800361798</v>
      </c>
      <c r="L211" s="227">
        <v>13292.210999999999</v>
      </c>
      <c r="M211" s="157" t="s">
        <v>3507</v>
      </c>
      <c r="N211" s="152">
        <f t="shared" si="18"/>
        <v>406636.22136201203</v>
      </c>
      <c r="O211" s="152">
        <f t="shared" si="19"/>
        <v>1856940.7843620118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3472</v>
      </c>
      <c r="I212" s="152"/>
      <c r="J212" s="157"/>
      <c r="K212" s="157">
        <v>5800361798</v>
      </c>
      <c r="L212" s="227">
        <v>14601.147999999999</v>
      </c>
      <c r="M212" s="157" t="s">
        <v>3507</v>
      </c>
      <c r="N212" s="152">
        <f t="shared" si="18"/>
        <v>392035.07336201204</v>
      </c>
      <c r="O212" s="152">
        <f t="shared" si="19"/>
        <v>1842339.6363620118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3472</v>
      </c>
      <c r="I213" s="152"/>
      <c r="J213" s="157"/>
      <c r="K213" s="157">
        <v>5800361798</v>
      </c>
      <c r="L213" s="227">
        <v>5606.4489999999996</v>
      </c>
      <c r="M213" s="157" t="s">
        <v>3507</v>
      </c>
      <c r="N213" s="152">
        <f t="shared" si="18"/>
        <v>386428.62436201202</v>
      </c>
      <c r="O213" s="152">
        <f t="shared" si="19"/>
        <v>1836733.1873620118</v>
      </c>
    </row>
    <row r="214" spans="1:15" x14ac:dyDescent="0.15">
      <c r="A214" s="154"/>
      <c r="B214" s="151"/>
      <c r="C214" s="152"/>
      <c r="D214" s="323" t="s">
        <v>3473</v>
      </c>
      <c r="E214" s="154" t="s">
        <v>72</v>
      </c>
      <c r="F214" s="157" t="s">
        <v>3512</v>
      </c>
      <c r="G214" s="152">
        <v>175878.66899999999</v>
      </c>
      <c r="H214" s="323" t="s">
        <v>3473</v>
      </c>
      <c r="I214" s="152">
        <v>14567.380000000001</v>
      </c>
      <c r="J214" s="157" t="s">
        <v>3507</v>
      </c>
      <c r="K214" s="157">
        <v>5800361798</v>
      </c>
      <c r="L214" s="227">
        <v>12442.261</v>
      </c>
      <c r="M214" s="157" t="s">
        <v>3507</v>
      </c>
      <c r="N214" s="152">
        <f t="shared" si="18"/>
        <v>359418.98336201202</v>
      </c>
      <c r="O214" s="152">
        <f t="shared" si="19"/>
        <v>1985602.2153620119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3473</v>
      </c>
      <c r="I215" s="152"/>
      <c r="J215" s="157"/>
      <c r="K215" s="157">
        <v>5800361798</v>
      </c>
      <c r="L215" s="227">
        <v>13275.344999999999</v>
      </c>
      <c r="M215" s="157" t="s">
        <v>3507</v>
      </c>
      <c r="N215" s="152">
        <f t="shared" si="18"/>
        <v>346143.63836201205</v>
      </c>
      <c r="O215" s="152">
        <f t="shared" si="19"/>
        <v>1972326.8703620119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3473</v>
      </c>
      <c r="I216" s="152"/>
      <c r="J216" s="157"/>
      <c r="K216" s="157">
        <v>5800361798</v>
      </c>
      <c r="L216" s="227">
        <v>13637.382</v>
      </c>
      <c r="M216" s="157" t="s">
        <v>3507</v>
      </c>
      <c r="N216" s="152">
        <f t="shared" si="18"/>
        <v>332506.25636201206</v>
      </c>
      <c r="O216" s="152">
        <f t="shared" si="19"/>
        <v>1958689.488362012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3473</v>
      </c>
      <c r="I217" s="152"/>
      <c r="J217" s="157"/>
      <c r="K217" s="157">
        <v>5800361798</v>
      </c>
      <c r="L217" s="227">
        <v>12001.216</v>
      </c>
      <c r="M217" s="157" t="s">
        <v>3507</v>
      </c>
      <c r="N217" s="152">
        <f t="shared" si="18"/>
        <v>320505.04036201205</v>
      </c>
      <c r="O217" s="152">
        <f t="shared" si="19"/>
        <v>1946688.272362012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3473</v>
      </c>
      <c r="I218" s="152"/>
      <c r="J218" s="157"/>
      <c r="K218" s="157">
        <v>5800361798</v>
      </c>
      <c r="L218" s="227">
        <v>1946.1969999999999</v>
      </c>
      <c r="M218" s="157" t="s">
        <v>3507</v>
      </c>
      <c r="N218" s="152">
        <f t="shared" ref="N218:N283" si="26">+N217-I218-L218</f>
        <v>318558.84336201206</v>
      </c>
      <c r="O218" s="152">
        <f t="shared" ref="O218:O283" si="27">O217+G218-I218-L218</f>
        <v>1944742.075362012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3473</v>
      </c>
      <c r="I219" s="152"/>
      <c r="J219" s="157"/>
      <c r="K219" s="157">
        <v>5800361798</v>
      </c>
      <c r="L219" s="227">
        <v>8222.8330000000005</v>
      </c>
      <c r="M219" s="157" t="s">
        <v>3507</v>
      </c>
      <c r="N219" s="152">
        <f t="shared" si="26"/>
        <v>310336.01036201208</v>
      </c>
      <c r="O219" s="152">
        <f t="shared" si="27"/>
        <v>1936519.2423620119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3473</v>
      </c>
      <c r="I220" s="152"/>
      <c r="J220" s="157"/>
      <c r="K220" s="157">
        <v>5800361798</v>
      </c>
      <c r="L220" s="227">
        <v>16068.852000000001</v>
      </c>
      <c r="M220" s="157" t="s">
        <v>3507</v>
      </c>
      <c r="N220" s="152">
        <f t="shared" si="26"/>
        <v>294267.15836201207</v>
      </c>
      <c r="O220" s="152">
        <f t="shared" si="27"/>
        <v>1920450.390362012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3473</v>
      </c>
      <c r="I221" s="152"/>
      <c r="J221" s="157"/>
      <c r="K221" s="157">
        <v>5800361798</v>
      </c>
      <c r="L221" s="227">
        <v>4418.759</v>
      </c>
      <c r="M221" s="157" t="s">
        <v>3507</v>
      </c>
      <c r="N221" s="152">
        <f t="shared" si="26"/>
        <v>289848.39936201205</v>
      </c>
      <c r="O221" s="152">
        <f t="shared" si="27"/>
        <v>1916031.6313620119</v>
      </c>
    </row>
    <row r="222" spans="1:15" x14ac:dyDescent="0.15">
      <c r="A222" s="154"/>
      <c r="B222" s="151"/>
      <c r="C222" s="152"/>
      <c r="D222" s="323" t="s">
        <v>3474</v>
      </c>
      <c r="E222" s="154" t="s">
        <v>72</v>
      </c>
      <c r="F222" s="157" t="s">
        <v>3512</v>
      </c>
      <c r="G222" s="152">
        <v>175834.375</v>
      </c>
      <c r="H222" s="323" t="s">
        <v>3474</v>
      </c>
      <c r="I222" s="152">
        <v>12222.947</v>
      </c>
      <c r="J222" s="157" t="s">
        <v>3507</v>
      </c>
      <c r="K222" s="157">
        <v>5800361798</v>
      </c>
      <c r="L222" s="227">
        <v>12746.242</v>
      </c>
      <c r="M222" s="157" t="s">
        <v>3507</v>
      </c>
      <c r="N222" s="152">
        <f t="shared" si="26"/>
        <v>264879.21036201203</v>
      </c>
      <c r="O222" s="152">
        <f t="shared" si="27"/>
        <v>2066896.8173620119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3474</v>
      </c>
      <c r="I223" s="152"/>
      <c r="J223" s="157"/>
      <c r="K223" s="157">
        <v>5800361798</v>
      </c>
      <c r="L223" s="227">
        <v>14391.241</v>
      </c>
      <c r="M223" s="157" t="s">
        <v>3507</v>
      </c>
      <c r="N223" s="152">
        <f t="shared" si="26"/>
        <v>250487.96936201202</v>
      </c>
      <c r="O223" s="152">
        <f t="shared" si="27"/>
        <v>2052505.576362012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3474</v>
      </c>
      <c r="I224" s="152"/>
      <c r="J224" s="157"/>
      <c r="K224" s="157">
        <v>5800361798</v>
      </c>
      <c r="L224" s="227">
        <v>12700.27</v>
      </c>
      <c r="M224" s="157" t="s">
        <v>3507</v>
      </c>
      <c r="N224" s="152">
        <f t="shared" si="26"/>
        <v>237787.69936201203</v>
      </c>
      <c r="O224" s="152">
        <f t="shared" si="27"/>
        <v>2039805.3063620119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3474</v>
      </c>
      <c r="I225" s="152"/>
      <c r="J225" s="157"/>
      <c r="K225" s="157">
        <v>5800361798</v>
      </c>
      <c r="L225" s="227">
        <v>9276.3539999999994</v>
      </c>
      <c r="M225" s="157" t="s">
        <v>3507</v>
      </c>
      <c r="N225" s="152">
        <f t="shared" si="26"/>
        <v>228511.34536201204</v>
      </c>
      <c r="O225" s="152">
        <f t="shared" si="27"/>
        <v>2030528.9523620119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3474</v>
      </c>
      <c r="I226" s="152"/>
      <c r="J226" s="157"/>
      <c r="K226" s="157">
        <v>5800361798</v>
      </c>
      <c r="L226" s="227">
        <v>13432.460999999999</v>
      </c>
      <c r="M226" s="157" t="s">
        <v>3507</v>
      </c>
      <c r="N226" s="152">
        <f t="shared" si="26"/>
        <v>215078.88436201203</v>
      </c>
      <c r="O226" s="152">
        <f t="shared" si="27"/>
        <v>2017096.491362012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3474</v>
      </c>
      <c r="I227" s="152"/>
      <c r="J227" s="157"/>
      <c r="K227" s="157">
        <v>5800361798</v>
      </c>
      <c r="L227" s="227">
        <v>14011.05</v>
      </c>
      <c r="M227" s="157" t="s">
        <v>3507</v>
      </c>
      <c r="N227" s="152">
        <f t="shared" si="26"/>
        <v>201067.83436201204</v>
      </c>
      <c r="O227" s="152">
        <f t="shared" si="27"/>
        <v>2003085.4413620119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3474</v>
      </c>
      <c r="I228" s="152"/>
      <c r="J228" s="157"/>
      <c r="K228" s="157">
        <v>5800361798</v>
      </c>
      <c r="L228" s="227">
        <v>10787.339</v>
      </c>
      <c r="M228" s="157" t="s">
        <v>3507</v>
      </c>
      <c r="N228" s="152">
        <f t="shared" si="26"/>
        <v>190280.49536201204</v>
      </c>
      <c r="O228" s="152">
        <f t="shared" si="27"/>
        <v>1992298.102362012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3474</v>
      </c>
      <c r="I229" s="152"/>
      <c r="J229" s="157"/>
      <c r="K229" s="157">
        <v>5800361798</v>
      </c>
      <c r="L229" s="227">
        <v>3041.84</v>
      </c>
      <c r="M229" s="157" t="s">
        <v>3507</v>
      </c>
      <c r="N229" s="152">
        <f t="shared" si="26"/>
        <v>187238.65536201204</v>
      </c>
      <c r="O229" s="152">
        <f t="shared" si="27"/>
        <v>1989256.2623620119</v>
      </c>
    </row>
    <row r="230" spans="1:15" x14ac:dyDescent="0.15">
      <c r="A230" s="154"/>
      <c r="B230" s="151"/>
      <c r="C230" s="152"/>
      <c r="D230" s="323" t="s">
        <v>3475</v>
      </c>
      <c r="E230" s="154" t="s">
        <v>72</v>
      </c>
      <c r="F230" s="157" t="s">
        <v>3512</v>
      </c>
      <c r="G230" s="152">
        <v>175773.58799999999</v>
      </c>
      <c r="H230" s="323" t="s">
        <v>3475</v>
      </c>
      <c r="I230" s="152">
        <v>16530.616999999998</v>
      </c>
      <c r="J230" s="157" t="s">
        <v>3507</v>
      </c>
      <c r="K230" s="157">
        <v>5800361798</v>
      </c>
      <c r="L230" s="227">
        <v>13169.321</v>
      </c>
      <c r="M230" s="157" t="s">
        <v>3507</v>
      </c>
      <c r="N230" s="152">
        <f t="shared" si="26"/>
        <v>157538.71736201204</v>
      </c>
      <c r="O230" s="152">
        <f t="shared" si="27"/>
        <v>2135329.9123620121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3475</v>
      </c>
      <c r="I231" s="152"/>
      <c r="J231" s="157"/>
      <c r="K231" s="157">
        <v>5800361798</v>
      </c>
      <c r="L231" s="227">
        <v>17820.962</v>
      </c>
      <c r="M231" s="157" t="s">
        <v>3507</v>
      </c>
      <c r="N231" s="152">
        <f t="shared" si="26"/>
        <v>139717.75536201205</v>
      </c>
      <c r="O231" s="152">
        <f t="shared" si="27"/>
        <v>2117508.9503620123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3475</v>
      </c>
      <c r="I232" s="152"/>
      <c r="J232" s="157"/>
      <c r="K232" s="157">
        <v>5800361798</v>
      </c>
      <c r="L232" s="227">
        <v>11318.26</v>
      </c>
      <c r="M232" s="157" t="s">
        <v>3507</v>
      </c>
      <c r="N232" s="152">
        <f t="shared" si="26"/>
        <v>128399.49536201205</v>
      </c>
      <c r="O232" s="152">
        <f t="shared" si="27"/>
        <v>2106190.6903620125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3475</v>
      </c>
      <c r="I233" s="152"/>
      <c r="J233" s="157"/>
      <c r="K233" s="157">
        <v>5800361798</v>
      </c>
      <c r="L233" s="227">
        <v>13088.361999999999</v>
      </c>
      <c r="M233" s="157" t="s">
        <v>3507</v>
      </c>
      <c r="N233" s="152">
        <f t="shared" si="26"/>
        <v>115311.13336201206</v>
      </c>
      <c r="O233" s="152">
        <f t="shared" si="27"/>
        <v>2093102.3283620125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3475</v>
      </c>
      <c r="I234" s="152"/>
      <c r="J234" s="157"/>
      <c r="K234" s="157">
        <v>5800361798</v>
      </c>
      <c r="L234" s="227">
        <v>16284.741</v>
      </c>
      <c r="M234" s="157" t="s">
        <v>3507</v>
      </c>
      <c r="N234" s="152">
        <f t="shared" si="26"/>
        <v>99026.392362012062</v>
      </c>
      <c r="O234" s="152">
        <f t="shared" si="27"/>
        <v>2076817.5873620126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3475</v>
      </c>
      <c r="I235" s="152"/>
      <c r="J235" s="157"/>
      <c r="K235" s="157">
        <v>5800361798</v>
      </c>
      <c r="L235" s="227">
        <v>7624.1329999999998</v>
      </c>
      <c r="M235" s="157" t="s">
        <v>3507</v>
      </c>
      <c r="N235" s="152">
        <f t="shared" si="26"/>
        <v>91402.259362012061</v>
      </c>
      <c r="O235" s="152">
        <f t="shared" si="27"/>
        <v>2069193.4543620127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3475</v>
      </c>
      <c r="I236" s="152"/>
      <c r="J236" s="157"/>
      <c r="K236" s="157">
        <v>5800361798</v>
      </c>
      <c r="L236" s="227">
        <v>12895.46</v>
      </c>
      <c r="M236" s="157" t="s">
        <v>3507</v>
      </c>
      <c r="N236" s="152">
        <f t="shared" si="26"/>
        <v>78506.799362012069</v>
      </c>
      <c r="O236" s="152">
        <f t="shared" si="27"/>
        <v>2056297.9943620127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3475</v>
      </c>
      <c r="I237" s="152"/>
      <c r="J237" s="157"/>
      <c r="K237" s="157">
        <v>5800361798</v>
      </c>
      <c r="L237" s="227">
        <v>16376.695</v>
      </c>
      <c r="M237" s="157" t="s">
        <v>3507</v>
      </c>
      <c r="N237" s="152">
        <f t="shared" si="26"/>
        <v>62130.104362012069</v>
      </c>
      <c r="O237" s="152">
        <f t="shared" si="27"/>
        <v>2039921.2993620127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3475</v>
      </c>
      <c r="I238" s="152"/>
      <c r="J238" s="157"/>
      <c r="K238" s="157">
        <v>5800361798</v>
      </c>
      <c r="L238" s="227">
        <v>4217.8609999999999</v>
      </c>
      <c r="M238" s="157" t="s">
        <v>3507</v>
      </c>
      <c r="N238" s="152">
        <f t="shared" si="26"/>
        <v>57912.243362012072</v>
      </c>
      <c r="O238" s="152">
        <f t="shared" si="27"/>
        <v>2035703.4383620126</v>
      </c>
    </row>
    <row r="239" spans="1:15" x14ac:dyDescent="0.15">
      <c r="A239" s="154"/>
      <c r="B239" s="151"/>
      <c r="C239" s="152"/>
      <c r="D239" s="323" t="s">
        <v>3477</v>
      </c>
      <c r="E239" s="154" t="s">
        <v>72</v>
      </c>
      <c r="F239" s="157" t="s">
        <v>3513</v>
      </c>
      <c r="G239" s="152">
        <v>175662.06899999999</v>
      </c>
      <c r="H239" s="323" t="s">
        <v>3477</v>
      </c>
      <c r="I239" s="152">
        <v>14367.626</v>
      </c>
      <c r="J239" s="157" t="s">
        <v>3507</v>
      </c>
      <c r="K239" s="157">
        <v>5800361798</v>
      </c>
      <c r="L239" s="227">
        <v>13794.194</v>
      </c>
      <c r="M239" s="157" t="s">
        <v>3507</v>
      </c>
      <c r="N239" s="152">
        <f t="shared" si="26"/>
        <v>29750.423362012069</v>
      </c>
      <c r="O239" s="152">
        <f t="shared" si="27"/>
        <v>2183203.6873620125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3477</v>
      </c>
      <c r="I240" s="152"/>
      <c r="J240" s="157"/>
      <c r="K240" s="157">
        <v>5800361798</v>
      </c>
      <c r="L240" s="227">
        <v>13165.002</v>
      </c>
      <c r="M240" s="157" t="s">
        <v>3507</v>
      </c>
      <c r="N240" s="152">
        <f t="shared" si="26"/>
        <v>16585.421362012068</v>
      </c>
      <c r="O240" s="152">
        <f t="shared" si="27"/>
        <v>2170038.6853620126</v>
      </c>
    </row>
    <row r="241" spans="1:15" x14ac:dyDescent="0.15">
      <c r="A241" s="154"/>
      <c r="B241" s="151"/>
      <c r="C241" s="152"/>
      <c r="D241" s="323"/>
      <c r="E241" s="154"/>
      <c r="F241" s="157"/>
      <c r="G241" s="152"/>
      <c r="H241" s="323" t="s">
        <v>3477</v>
      </c>
      <c r="I241" s="152"/>
      <c r="J241" s="154"/>
      <c r="K241" s="157">
        <v>5800361798</v>
      </c>
      <c r="L241" s="227">
        <v>13960.244000000001</v>
      </c>
      <c r="M241" s="157" t="s">
        <v>3507</v>
      </c>
      <c r="N241" s="152">
        <f t="shared" si="26"/>
        <v>2625.1773620120675</v>
      </c>
      <c r="O241" s="152">
        <f t="shared" si="27"/>
        <v>2156078.4413620126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3477</v>
      </c>
      <c r="I242" s="152"/>
      <c r="J242" s="157"/>
      <c r="K242" s="157">
        <v>5800361798</v>
      </c>
      <c r="L242" s="227">
        <v>2625.1773620120675</v>
      </c>
      <c r="M242" s="157" t="s">
        <v>3507</v>
      </c>
      <c r="N242" s="152">
        <f t="shared" ref="N242:N248" si="28">+N241-I242-L242</f>
        <v>0</v>
      </c>
      <c r="O242" s="152">
        <f t="shared" ref="O242:O248" si="29">O241+G242-I242-L242</f>
        <v>2153453.2640000004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3477</v>
      </c>
      <c r="I243" s="152"/>
      <c r="J243" s="157"/>
      <c r="K243" s="157">
        <v>5800361798</v>
      </c>
      <c r="L243" s="227">
        <v>10877.927637987899</v>
      </c>
      <c r="M243" s="157" t="s">
        <v>3508</v>
      </c>
      <c r="N243" s="152">
        <f>G118+G128+N242-I243-L243</f>
        <v>252815.79436201212</v>
      </c>
      <c r="O243" s="152">
        <f t="shared" si="29"/>
        <v>2142575.3363620127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3477</v>
      </c>
      <c r="I244" s="152"/>
      <c r="J244" s="157"/>
      <c r="K244" s="157">
        <v>5800361798</v>
      </c>
      <c r="L244" s="227">
        <v>13141.995000000001</v>
      </c>
      <c r="M244" s="157" t="s">
        <v>3508</v>
      </c>
      <c r="N244" s="152">
        <f t="shared" si="28"/>
        <v>239673.79936201213</v>
      </c>
      <c r="O244" s="152">
        <f t="shared" si="29"/>
        <v>2129433.3413620126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3477</v>
      </c>
      <c r="I245" s="152"/>
      <c r="J245" s="157"/>
      <c r="K245" s="157">
        <v>5800361798</v>
      </c>
      <c r="L245" s="227">
        <v>11711.561</v>
      </c>
      <c r="M245" s="157" t="s">
        <v>3508</v>
      </c>
      <c r="N245" s="152">
        <f t="shared" si="28"/>
        <v>227962.23836201214</v>
      </c>
      <c r="O245" s="152">
        <f t="shared" si="29"/>
        <v>2117721.7803620123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3477</v>
      </c>
      <c r="I246" s="152"/>
      <c r="J246" s="157"/>
      <c r="K246" s="157">
        <v>5800361798</v>
      </c>
      <c r="L246" s="227">
        <v>9675.9419999999991</v>
      </c>
      <c r="M246" s="157" t="s">
        <v>3508</v>
      </c>
      <c r="N246" s="152">
        <f t="shared" si="28"/>
        <v>218286.29636201213</v>
      </c>
      <c r="O246" s="152">
        <f t="shared" si="29"/>
        <v>2108045.8383620125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3477</v>
      </c>
      <c r="I247" s="152"/>
      <c r="J247" s="157"/>
      <c r="K247" s="157">
        <v>5800361798</v>
      </c>
      <c r="L247" s="227">
        <v>832.25300000000004</v>
      </c>
      <c r="M247" s="157" t="s">
        <v>3508</v>
      </c>
      <c r="N247" s="152">
        <f t="shared" si="28"/>
        <v>217454.04336201213</v>
      </c>
      <c r="O247" s="152">
        <f t="shared" si="29"/>
        <v>2107213.5853620125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3477</v>
      </c>
      <c r="I248" s="152"/>
      <c r="J248" s="157"/>
      <c r="K248" s="157">
        <v>5800361798</v>
      </c>
      <c r="L248" s="227">
        <v>16135.817999999999</v>
      </c>
      <c r="M248" s="157" t="s">
        <v>3508</v>
      </c>
      <c r="N248" s="152">
        <f t="shared" si="28"/>
        <v>201318.22536201213</v>
      </c>
      <c r="O248" s="152">
        <f t="shared" si="29"/>
        <v>2091077.7673620125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3477</v>
      </c>
      <c r="I249" s="152"/>
      <c r="J249" s="157"/>
      <c r="K249" s="157">
        <v>5800361798</v>
      </c>
      <c r="L249" s="227">
        <v>2955.5010000000002</v>
      </c>
      <c r="M249" s="157" t="s">
        <v>3508</v>
      </c>
      <c r="N249" s="152">
        <f t="shared" si="26"/>
        <v>198362.72436201214</v>
      </c>
      <c r="O249" s="152">
        <f t="shared" si="27"/>
        <v>2088122.2663620126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3478</v>
      </c>
      <c r="I250" s="152">
        <v>14890.209000000003</v>
      </c>
      <c r="J250" s="157" t="s">
        <v>3508</v>
      </c>
      <c r="K250" s="157">
        <v>5800361798</v>
      </c>
      <c r="L250" s="227">
        <v>15336.187</v>
      </c>
      <c r="M250" s="157" t="s">
        <v>3508</v>
      </c>
      <c r="N250" s="152">
        <f t="shared" si="26"/>
        <v>168136.32836201214</v>
      </c>
      <c r="O250" s="152">
        <f t="shared" si="27"/>
        <v>2057895.8703620126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3478</v>
      </c>
      <c r="I251" s="152"/>
      <c r="J251" s="157"/>
      <c r="K251" s="157">
        <v>5800361798</v>
      </c>
      <c r="L251" s="227">
        <v>16799.113000000001</v>
      </c>
      <c r="M251" s="157" t="s">
        <v>3508</v>
      </c>
      <c r="N251" s="152">
        <f t="shared" si="26"/>
        <v>151337.21536201212</v>
      </c>
      <c r="O251" s="152">
        <f t="shared" si="27"/>
        <v>2041096.7573620128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3478</v>
      </c>
      <c r="I252" s="152"/>
      <c r="J252" s="157"/>
      <c r="K252" s="157">
        <v>5800361798</v>
      </c>
      <c r="L252" s="227">
        <v>12970.073</v>
      </c>
      <c r="M252" s="157" t="s">
        <v>3508</v>
      </c>
      <c r="N252" s="152">
        <f t="shared" si="26"/>
        <v>138367.14236201212</v>
      </c>
      <c r="O252" s="152">
        <f t="shared" si="27"/>
        <v>2028126.6843620127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3478</v>
      </c>
      <c r="I253" s="152"/>
      <c r="J253" s="157"/>
      <c r="K253" s="157">
        <v>5800361798</v>
      </c>
      <c r="L253" s="227">
        <v>12955.053</v>
      </c>
      <c r="M253" s="157" t="s">
        <v>3508</v>
      </c>
      <c r="N253" s="152">
        <f t="shared" si="26"/>
        <v>125412.08936201212</v>
      </c>
      <c r="O253" s="152">
        <f t="shared" si="27"/>
        <v>2015171.6313620126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3478</v>
      </c>
      <c r="I254" s="152"/>
      <c r="J254" s="157"/>
      <c r="K254" s="157">
        <v>5800361798</v>
      </c>
      <c r="L254" s="227">
        <v>37823.788</v>
      </c>
      <c r="M254" s="157" t="s">
        <v>3508</v>
      </c>
      <c r="N254" s="152">
        <f t="shared" si="26"/>
        <v>87588.30136201212</v>
      </c>
      <c r="O254" s="152">
        <f t="shared" si="27"/>
        <v>1977347.8433620126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3478</v>
      </c>
      <c r="I255" s="152"/>
      <c r="J255" s="157"/>
      <c r="K255" s="157">
        <v>5800361798</v>
      </c>
      <c r="L255" s="227">
        <v>22910.156999999999</v>
      </c>
      <c r="M255" s="157" t="s">
        <v>3508</v>
      </c>
      <c r="N255" s="152">
        <f t="shared" si="26"/>
        <v>64678.144362012121</v>
      </c>
      <c r="O255" s="152">
        <f t="shared" si="27"/>
        <v>1954437.6863620128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3478</v>
      </c>
      <c r="I256" s="152"/>
      <c r="J256" s="157"/>
      <c r="K256" s="157">
        <v>5800361798</v>
      </c>
      <c r="L256" s="227">
        <v>15252.076999999999</v>
      </c>
      <c r="M256" s="157" t="s">
        <v>3508</v>
      </c>
      <c r="N256" s="152">
        <f t="shared" si="26"/>
        <v>49426.067362012123</v>
      </c>
      <c r="O256" s="152">
        <f t="shared" si="27"/>
        <v>1939185.6093620127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3478</v>
      </c>
      <c r="I257" s="152"/>
      <c r="J257" s="157"/>
      <c r="K257" s="157">
        <v>5800361798</v>
      </c>
      <c r="L257" s="227">
        <v>14075.528</v>
      </c>
      <c r="M257" s="157" t="s">
        <v>3508</v>
      </c>
      <c r="N257" s="152">
        <f t="shared" si="26"/>
        <v>35350.539362012125</v>
      </c>
      <c r="O257" s="152">
        <f t="shared" si="27"/>
        <v>1925110.0813620128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3478</v>
      </c>
      <c r="I258" s="152"/>
      <c r="J258" s="157"/>
      <c r="K258" s="157">
        <v>5800361798</v>
      </c>
      <c r="L258" s="227">
        <v>8341.9809999999998</v>
      </c>
      <c r="M258" s="157" t="s">
        <v>3508</v>
      </c>
      <c r="N258" s="152">
        <f t="shared" si="26"/>
        <v>27008.558362012125</v>
      </c>
      <c r="O258" s="152">
        <f t="shared" si="27"/>
        <v>1916768.1003620129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3478</v>
      </c>
      <c r="I259" s="152"/>
      <c r="J259" s="157"/>
      <c r="K259" s="157">
        <v>5800361798</v>
      </c>
      <c r="L259" s="227">
        <v>527.69500000000005</v>
      </c>
      <c r="M259" s="157" t="s">
        <v>3508</v>
      </c>
      <c r="N259" s="152">
        <f t="shared" si="26"/>
        <v>26480.863362012125</v>
      </c>
      <c r="O259" s="152">
        <f t="shared" si="27"/>
        <v>1916240.4053620128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3478</v>
      </c>
      <c r="I260" s="152"/>
      <c r="J260" s="157"/>
      <c r="K260" s="157">
        <v>5800361798</v>
      </c>
      <c r="L260" s="227">
        <v>13041.413</v>
      </c>
      <c r="M260" s="157" t="s">
        <v>3508</v>
      </c>
      <c r="N260" s="152">
        <f t="shared" si="26"/>
        <v>13439.450362012125</v>
      </c>
      <c r="O260" s="152">
        <f t="shared" si="27"/>
        <v>1903198.9923620129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3478</v>
      </c>
      <c r="I261" s="152"/>
      <c r="J261" s="157"/>
      <c r="K261" s="157">
        <v>5800361798</v>
      </c>
      <c r="L261" s="227">
        <v>13141.332</v>
      </c>
      <c r="M261" s="157" t="s">
        <v>3508</v>
      </c>
      <c r="N261" s="152">
        <f t="shared" si="26"/>
        <v>298.11836201212463</v>
      </c>
      <c r="O261" s="152">
        <f t="shared" si="27"/>
        <v>1890057.6603620129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3478</v>
      </c>
      <c r="I262" s="152"/>
      <c r="J262" s="157"/>
      <c r="K262" s="157">
        <v>5800361798</v>
      </c>
      <c r="L262" s="227">
        <v>298.11836201212463</v>
      </c>
      <c r="M262" s="157" t="s">
        <v>3508</v>
      </c>
      <c r="N262" s="152">
        <f t="shared" ref="N262:N268" si="30">+N261-I262-L262</f>
        <v>0</v>
      </c>
      <c r="O262" s="152">
        <f t="shared" ref="O262:O268" si="31">O261+G262-I262-L262</f>
        <v>1889759.5420000008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3478</v>
      </c>
      <c r="I263" s="152"/>
      <c r="J263" s="157"/>
      <c r="K263" s="157">
        <v>5800361500</v>
      </c>
      <c r="L263" s="227">
        <v>14713.695637987899</v>
      </c>
      <c r="M263" s="157" t="s">
        <v>3509</v>
      </c>
      <c r="N263" s="152">
        <f>G143+G150+G163+G174+N262-I263-L263</f>
        <v>732502.39336201223</v>
      </c>
      <c r="O263" s="152">
        <f t="shared" si="31"/>
        <v>1875045.8463620129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3478</v>
      </c>
      <c r="I264" s="152"/>
      <c r="J264" s="157"/>
      <c r="K264" s="157">
        <v>5800361500</v>
      </c>
      <c r="L264" s="227">
        <v>6302.884</v>
      </c>
      <c r="M264" s="157" t="s">
        <v>3509</v>
      </c>
      <c r="N264" s="152">
        <f t="shared" si="30"/>
        <v>726199.50936201226</v>
      </c>
      <c r="O264" s="152">
        <f t="shared" si="31"/>
        <v>1868742.9623620128</v>
      </c>
    </row>
    <row r="265" spans="1:15" x14ac:dyDescent="0.15">
      <c r="A265" s="154"/>
      <c r="B265" s="151"/>
      <c r="C265" s="152"/>
      <c r="D265" s="323"/>
      <c r="E265" s="154"/>
      <c r="F265" s="157"/>
      <c r="G265" s="152"/>
      <c r="H265" s="323" t="s">
        <v>3481</v>
      </c>
      <c r="I265" s="152">
        <v>12464.646000000001</v>
      </c>
      <c r="J265" s="157" t="s">
        <v>3509</v>
      </c>
      <c r="K265" s="157">
        <v>5800361500</v>
      </c>
      <c r="L265" s="227">
        <v>12132.971</v>
      </c>
      <c r="M265" s="157" t="s">
        <v>3509</v>
      </c>
      <c r="N265" s="152">
        <f t="shared" si="30"/>
        <v>701601.8923620123</v>
      </c>
      <c r="O265" s="152">
        <f t="shared" si="31"/>
        <v>1844145.345362013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3481</v>
      </c>
      <c r="I266" s="152"/>
      <c r="J266" s="157"/>
      <c r="K266" s="157">
        <v>5800361500</v>
      </c>
      <c r="L266" s="227">
        <v>14087.544</v>
      </c>
      <c r="M266" s="157" t="s">
        <v>3509</v>
      </c>
      <c r="N266" s="152">
        <f t="shared" si="30"/>
        <v>687514.3483620123</v>
      </c>
      <c r="O266" s="152">
        <f t="shared" si="31"/>
        <v>1830057.801362013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3481</v>
      </c>
      <c r="I267" s="152"/>
      <c r="J267" s="157"/>
      <c r="K267" s="157">
        <v>5800361500</v>
      </c>
      <c r="L267" s="227">
        <v>12893.973</v>
      </c>
      <c r="M267" s="157" t="s">
        <v>3509</v>
      </c>
      <c r="N267" s="152">
        <f t="shared" si="30"/>
        <v>674620.3753620123</v>
      </c>
      <c r="O267" s="152">
        <f t="shared" si="31"/>
        <v>1817163.828362013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3481</v>
      </c>
      <c r="I268" s="152"/>
      <c r="J268" s="157"/>
      <c r="K268" s="157">
        <v>5800361500</v>
      </c>
      <c r="L268" s="227">
        <v>14515.107</v>
      </c>
      <c r="M268" s="157" t="s">
        <v>3509</v>
      </c>
      <c r="N268" s="152">
        <f t="shared" si="30"/>
        <v>660105.26836201234</v>
      </c>
      <c r="O268" s="152">
        <f t="shared" si="31"/>
        <v>1802648.7213620129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3481</v>
      </c>
      <c r="I269" s="152"/>
      <c r="J269" s="157"/>
      <c r="K269" s="157">
        <v>5800361500</v>
      </c>
      <c r="L269" s="227">
        <v>10733.128000000001</v>
      </c>
      <c r="M269" s="157" t="s">
        <v>3509</v>
      </c>
      <c r="N269" s="152">
        <f t="shared" si="26"/>
        <v>649372.14036201232</v>
      </c>
      <c r="O269" s="152">
        <f t="shared" si="27"/>
        <v>1791915.5933620129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3481</v>
      </c>
      <c r="I270" s="152"/>
      <c r="J270" s="157"/>
      <c r="K270" s="157">
        <v>5800361500</v>
      </c>
      <c r="L270" s="227">
        <v>734.96799999999996</v>
      </c>
      <c r="M270" s="157" t="s">
        <v>3509</v>
      </c>
      <c r="N270" s="152">
        <f t="shared" si="26"/>
        <v>648637.17236201232</v>
      </c>
      <c r="O270" s="152">
        <f t="shared" si="27"/>
        <v>1791180.6253620128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3481</v>
      </c>
      <c r="I271" s="152"/>
      <c r="J271" s="157"/>
      <c r="K271" s="157">
        <v>5800361500</v>
      </c>
      <c r="L271" s="227">
        <v>14351.807000000001</v>
      </c>
      <c r="M271" s="157" t="s">
        <v>3509</v>
      </c>
      <c r="N271" s="152">
        <f t="shared" si="26"/>
        <v>634285.36536201229</v>
      </c>
      <c r="O271" s="152">
        <f t="shared" si="27"/>
        <v>1776828.8183620127</v>
      </c>
    </row>
    <row r="272" spans="1:15" x14ac:dyDescent="0.15">
      <c r="A272" s="154"/>
      <c r="B272" s="151"/>
      <c r="C272" s="152"/>
      <c r="D272" s="323"/>
      <c r="E272" s="154"/>
      <c r="F272" s="157"/>
      <c r="G272" s="152"/>
      <c r="H272" s="323" t="s">
        <v>3481</v>
      </c>
      <c r="I272" s="152"/>
      <c r="J272" s="157"/>
      <c r="K272" s="157">
        <v>5800361500</v>
      </c>
      <c r="L272" s="227">
        <v>14673.578</v>
      </c>
      <c r="M272" s="157" t="s">
        <v>3509</v>
      </c>
      <c r="N272" s="152">
        <f t="shared" si="26"/>
        <v>619611.78736201231</v>
      </c>
      <c r="O272" s="152">
        <f t="shared" si="27"/>
        <v>1762155.2403620128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3481</v>
      </c>
      <c r="I273" s="152"/>
      <c r="J273" s="157"/>
      <c r="K273" s="157">
        <v>5800361500</v>
      </c>
      <c r="L273" s="227">
        <v>4985.4589999999998</v>
      </c>
      <c r="M273" s="157" t="s">
        <v>3509</v>
      </c>
      <c r="N273" s="152">
        <f t="shared" si="26"/>
        <v>614626.32836201228</v>
      </c>
      <c r="O273" s="152">
        <f t="shared" si="27"/>
        <v>1757169.7813620127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3482</v>
      </c>
      <c r="I274" s="152">
        <v>10874.460999999999</v>
      </c>
      <c r="J274" s="157" t="s">
        <v>3509</v>
      </c>
      <c r="K274" s="157">
        <v>5800361500</v>
      </c>
      <c r="L274" s="227">
        <v>13863.040999999999</v>
      </c>
      <c r="M274" s="157" t="s">
        <v>3509</v>
      </c>
      <c r="N274" s="152">
        <f t="shared" si="26"/>
        <v>589888.8263620123</v>
      </c>
      <c r="O274" s="152">
        <f t="shared" si="27"/>
        <v>1732432.2793620129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3482</v>
      </c>
      <c r="I275" s="152"/>
      <c r="J275" s="157"/>
      <c r="K275" s="157">
        <v>5800361500</v>
      </c>
      <c r="L275" s="227">
        <v>13347.519</v>
      </c>
      <c r="M275" s="157" t="s">
        <v>3509</v>
      </c>
      <c r="N275" s="152">
        <f t="shared" si="26"/>
        <v>576541.30736201233</v>
      </c>
      <c r="O275" s="152">
        <f t="shared" si="27"/>
        <v>1719084.7603620128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3482</v>
      </c>
      <c r="I276" s="152"/>
      <c r="J276" s="157"/>
      <c r="K276" s="157">
        <v>5800361500</v>
      </c>
      <c r="L276" s="227">
        <v>16817.032999999999</v>
      </c>
      <c r="M276" s="157" t="s">
        <v>3509</v>
      </c>
      <c r="N276" s="152">
        <f t="shared" si="26"/>
        <v>559724.27436201228</v>
      </c>
      <c r="O276" s="152">
        <f t="shared" si="27"/>
        <v>1702267.7273620127</v>
      </c>
    </row>
    <row r="277" spans="1:15" x14ac:dyDescent="0.15">
      <c r="A277" s="154"/>
      <c r="B277" s="151"/>
      <c r="C277" s="152"/>
      <c r="D277" s="323"/>
      <c r="E277" s="154"/>
      <c r="F277" s="157"/>
      <c r="G277" s="152"/>
      <c r="H277" s="323" t="s">
        <v>3482</v>
      </c>
      <c r="I277" s="152"/>
      <c r="J277" s="157"/>
      <c r="K277" s="157">
        <v>5800361500</v>
      </c>
      <c r="L277" s="227">
        <v>12365.525</v>
      </c>
      <c r="M277" s="157" t="s">
        <v>3509</v>
      </c>
      <c r="N277" s="152">
        <f t="shared" si="26"/>
        <v>547358.74936201226</v>
      </c>
      <c r="O277" s="152">
        <f t="shared" si="27"/>
        <v>1689902.2023620128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3482</v>
      </c>
      <c r="I278" s="152"/>
      <c r="J278" s="157"/>
      <c r="K278" s="157">
        <v>5800361500</v>
      </c>
      <c r="L278" s="227">
        <v>14628.816999999999</v>
      </c>
      <c r="M278" s="157" t="s">
        <v>3509</v>
      </c>
      <c r="N278" s="152">
        <f t="shared" si="26"/>
        <v>532729.93236201222</v>
      </c>
      <c r="O278" s="152">
        <f t="shared" si="27"/>
        <v>1675273.3853620128</v>
      </c>
    </row>
    <row r="279" spans="1:15" x14ac:dyDescent="0.15">
      <c r="A279" s="154"/>
      <c r="B279" s="151"/>
      <c r="C279" s="152"/>
      <c r="D279" s="323"/>
      <c r="E279" s="154"/>
      <c r="F279" s="157"/>
      <c r="G279" s="152"/>
      <c r="H279" s="323" t="s">
        <v>3482</v>
      </c>
      <c r="I279" s="152"/>
      <c r="J279" s="157"/>
      <c r="K279" s="157">
        <v>5800361500</v>
      </c>
      <c r="L279" s="227">
        <v>14877.923000000001</v>
      </c>
      <c r="M279" s="157" t="s">
        <v>3509</v>
      </c>
      <c r="N279" s="152">
        <f t="shared" si="26"/>
        <v>517852.00936201221</v>
      </c>
      <c r="O279" s="152">
        <f t="shared" si="27"/>
        <v>1660395.4623620128</v>
      </c>
    </row>
    <row r="280" spans="1:15" x14ac:dyDescent="0.15">
      <c r="A280" s="154"/>
      <c r="B280" s="151"/>
      <c r="C280" s="152"/>
      <c r="D280" s="323"/>
      <c r="E280" s="154"/>
      <c r="F280" s="157"/>
      <c r="G280" s="152"/>
      <c r="H280" s="323" t="s">
        <v>3482</v>
      </c>
      <c r="I280" s="152"/>
      <c r="J280" s="157"/>
      <c r="K280" s="157">
        <v>5800361500</v>
      </c>
      <c r="L280" s="227">
        <v>11812.411</v>
      </c>
      <c r="M280" s="157" t="s">
        <v>3509</v>
      </c>
      <c r="N280" s="152">
        <f t="shared" si="26"/>
        <v>506039.59836201218</v>
      </c>
      <c r="O280" s="152">
        <f t="shared" si="27"/>
        <v>1648583.0513620127</v>
      </c>
    </row>
    <row r="281" spans="1:15" x14ac:dyDescent="0.15">
      <c r="A281" s="154"/>
      <c r="B281" s="151"/>
      <c r="C281" s="152"/>
      <c r="D281" s="323"/>
      <c r="E281" s="154"/>
      <c r="F281" s="157"/>
      <c r="G281" s="152"/>
      <c r="H281" s="323" t="s">
        <v>3482</v>
      </c>
      <c r="I281" s="152"/>
      <c r="J281" s="157"/>
      <c r="K281" s="157">
        <v>5800361500</v>
      </c>
      <c r="L281" s="227">
        <v>3548.12</v>
      </c>
      <c r="M281" s="157" t="s">
        <v>3509</v>
      </c>
      <c r="N281" s="152">
        <f t="shared" si="26"/>
        <v>502491.47836201219</v>
      </c>
      <c r="O281" s="152">
        <f t="shared" si="27"/>
        <v>1645034.9313620126</v>
      </c>
    </row>
    <row r="282" spans="1:15" x14ac:dyDescent="0.15">
      <c r="A282" s="154"/>
      <c r="B282" s="151"/>
      <c r="C282" s="152"/>
      <c r="D282" s="323" t="s">
        <v>3483</v>
      </c>
      <c r="E282" s="154" t="s">
        <v>72</v>
      </c>
      <c r="F282" s="157" t="s">
        <v>3514</v>
      </c>
      <c r="G282" s="152">
        <v>175815.861</v>
      </c>
      <c r="H282" s="323" t="s">
        <v>3483</v>
      </c>
      <c r="I282" s="152">
        <v>8906.8689999999988</v>
      </c>
      <c r="J282" s="157" t="s">
        <v>3509</v>
      </c>
      <c r="K282" s="157">
        <v>5800361500</v>
      </c>
      <c r="L282" s="227">
        <v>12592.723</v>
      </c>
      <c r="M282" s="157" t="s">
        <v>3509</v>
      </c>
      <c r="N282" s="152">
        <f t="shared" si="26"/>
        <v>480991.88636201218</v>
      </c>
      <c r="O282" s="152">
        <f t="shared" si="27"/>
        <v>1799351.2003620127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3483</v>
      </c>
      <c r="I283" s="152"/>
      <c r="J283" s="157"/>
      <c r="K283" s="157">
        <v>5800361500</v>
      </c>
      <c r="L283" s="227">
        <v>12865.695</v>
      </c>
      <c r="M283" s="157" t="s">
        <v>3509</v>
      </c>
      <c r="N283" s="152">
        <f t="shared" si="26"/>
        <v>468126.19136201218</v>
      </c>
      <c r="O283" s="152">
        <f t="shared" si="27"/>
        <v>1786485.5053620127</v>
      </c>
    </row>
    <row r="284" spans="1:15" x14ac:dyDescent="0.15">
      <c r="A284" s="154"/>
      <c r="B284" s="151"/>
      <c r="C284" s="152"/>
      <c r="D284" s="323"/>
      <c r="E284" s="154"/>
      <c r="F284" s="157"/>
      <c r="G284" s="152"/>
      <c r="H284" s="323" t="s">
        <v>3483</v>
      </c>
      <c r="I284" s="152"/>
      <c r="J284" s="157"/>
      <c r="K284" s="157">
        <v>5800361500</v>
      </c>
      <c r="L284" s="227">
        <v>13078.674000000001</v>
      </c>
      <c r="M284" s="157" t="s">
        <v>3509</v>
      </c>
      <c r="N284" s="152">
        <f t="shared" ref="N284:N306" si="32">+N283-I284-L284</f>
        <v>455047.51736201218</v>
      </c>
      <c r="O284" s="152">
        <f t="shared" ref="O284:O306" si="33">O283+G284-I284-L284</f>
        <v>1773406.8313620125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3483</v>
      </c>
      <c r="I285" s="152"/>
      <c r="J285" s="157"/>
      <c r="K285" s="157">
        <v>5800361500</v>
      </c>
      <c r="L285" s="227">
        <v>12151.768</v>
      </c>
      <c r="M285" s="157" t="s">
        <v>3509</v>
      </c>
      <c r="N285" s="152">
        <f t="shared" si="32"/>
        <v>442895.7493620122</v>
      </c>
      <c r="O285" s="152">
        <f t="shared" si="33"/>
        <v>1761255.0633620126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3483</v>
      </c>
      <c r="I286" s="152"/>
      <c r="J286" s="157"/>
      <c r="K286" s="157">
        <v>5800361500</v>
      </c>
      <c r="L286" s="227">
        <v>65965.311000000002</v>
      </c>
      <c r="M286" s="157" t="s">
        <v>3509</v>
      </c>
      <c r="N286" s="152">
        <f t="shared" si="32"/>
        <v>376930.43836201221</v>
      </c>
      <c r="O286" s="152">
        <f t="shared" si="33"/>
        <v>1695289.7523620126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3483</v>
      </c>
      <c r="I287" s="152"/>
      <c r="J287" s="157"/>
      <c r="K287" s="157">
        <v>5800361500</v>
      </c>
      <c r="L287" s="227">
        <v>14048.575999999999</v>
      </c>
      <c r="M287" s="157" t="s">
        <v>3509</v>
      </c>
      <c r="N287" s="152">
        <f t="shared" si="32"/>
        <v>362881.86236201221</v>
      </c>
      <c r="O287" s="152">
        <f t="shared" si="33"/>
        <v>1681241.1763620127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3483</v>
      </c>
      <c r="I288" s="152"/>
      <c r="J288" s="157"/>
      <c r="K288" s="157">
        <v>5800361500</v>
      </c>
      <c r="L288" s="227">
        <v>3644.19</v>
      </c>
      <c r="M288" s="157" t="s">
        <v>3509</v>
      </c>
      <c r="N288" s="152">
        <f t="shared" si="32"/>
        <v>359237.67236201221</v>
      </c>
      <c r="O288" s="152">
        <f t="shared" si="33"/>
        <v>1677596.9863620128</v>
      </c>
    </row>
    <row r="289" spans="1:15" x14ac:dyDescent="0.15">
      <c r="A289" s="154"/>
      <c r="B289" s="151"/>
      <c r="C289" s="152"/>
      <c r="D289" s="323" t="s">
        <v>3485</v>
      </c>
      <c r="E289" s="154" t="s">
        <v>72</v>
      </c>
      <c r="F289" s="157" t="s">
        <v>3514</v>
      </c>
      <c r="G289" s="152">
        <v>87841.631000000023</v>
      </c>
      <c r="H289" s="323" t="s">
        <v>3485</v>
      </c>
      <c r="I289" s="152">
        <v>12357.944</v>
      </c>
      <c r="J289" s="157" t="s">
        <v>3509</v>
      </c>
      <c r="K289" s="157">
        <v>5800361500</v>
      </c>
      <c r="L289" s="227">
        <v>14636.266</v>
      </c>
      <c r="M289" s="157" t="s">
        <v>3509</v>
      </c>
      <c r="N289" s="152">
        <f t="shared" si="32"/>
        <v>332243.46236201219</v>
      </c>
      <c r="O289" s="152">
        <f t="shared" si="33"/>
        <v>1738444.4073620129</v>
      </c>
    </row>
    <row r="290" spans="1:15" x14ac:dyDescent="0.15">
      <c r="A290" s="154"/>
      <c r="B290" s="151"/>
      <c r="C290" s="152"/>
      <c r="D290" s="323" t="s">
        <v>3485</v>
      </c>
      <c r="E290" s="154" t="s">
        <v>72</v>
      </c>
      <c r="F290" s="157" t="s">
        <v>3515</v>
      </c>
      <c r="G290" s="152">
        <v>87963.095000000001</v>
      </c>
      <c r="H290" s="323" t="s">
        <v>3485</v>
      </c>
      <c r="I290" s="152"/>
      <c r="J290" s="157"/>
      <c r="K290" s="157">
        <v>5800361500</v>
      </c>
      <c r="L290" s="227">
        <v>11515.157999999999</v>
      </c>
      <c r="M290" s="157" t="s">
        <v>3509</v>
      </c>
      <c r="N290" s="152">
        <f t="shared" si="32"/>
        <v>320728.30436201219</v>
      </c>
      <c r="O290" s="152">
        <f t="shared" si="33"/>
        <v>1814892.3443620128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3485</v>
      </c>
      <c r="I291" s="152"/>
      <c r="J291" s="157"/>
      <c r="K291" s="157">
        <v>5800361500</v>
      </c>
      <c r="L291" s="227">
        <v>14052.498</v>
      </c>
      <c r="M291" s="157" t="s">
        <v>3509</v>
      </c>
      <c r="N291" s="152">
        <f t="shared" si="32"/>
        <v>306675.80636201217</v>
      </c>
      <c r="O291" s="152">
        <f t="shared" si="33"/>
        <v>1800839.8463620129</v>
      </c>
    </row>
    <row r="292" spans="1:15" x14ac:dyDescent="0.15">
      <c r="A292" s="154"/>
      <c r="B292" s="151"/>
      <c r="C292" s="152"/>
      <c r="D292" s="323"/>
      <c r="E292" s="154"/>
      <c r="F292" s="157"/>
      <c r="G292" s="152"/>
      <c r="H292" s="323" t="s">
        <v>3485</v>
      </c>
      <c r="I292" s="152"/>
      <c r="J292" s="157"/>
      <c r="K292" s="157">
        <v>5800361500</v>
      </c>
      <c r="L292" s="227">
        <v>13657.977999999999</v>
      </c>
      <c r="M292" s="157" t="s">
        <v>3509</v>
      </c>
      <c r="N292" s="152">
        <f t="shared" si="32"/>
        <v>293017.82836201217</v>
      </c>
      <c r="O292" s="152">
        <f t="shared" si="33"/>
        <v>1787181.868362013</v>
      </c>
    </row>
    <row r="293" spans="1:15" x14ac:dyDescent="0.15">
      <c r="A293" s="154"/>
      <c r="B293" s="151"/>
      <c r="C293" s="152"/>
      <c r="D293" s="323"/>
      <c r="E293" s="154"/>
      <c r="F293" s="157"/>
      <c r="G293" s="152"/>
      <c r="H293" s="323" t="s">
        <v>3485</v>
      </c>
      <c r="I293" s="152"/>
      <c r="J293" s="157"/>
      <c r="K293" s="157">
        <v>5800361500</v>
      </c>
      <c r="L293" s="227">
        <v>10416.712</v>
      </c>
      <c r="M293" s="157" t="s">
        <v>3509</v>
      </c>
      <c r="N293" s="152">
        <f t="shared" si="32"/>
        <v>282601.11636201217</v>
      </c>
      <c r="O293" s="152">
        <f t="shared" si="33"/>
        <v>1776765.156362013</v>
      </c>
    </row>
    <row r="294" spans="1:15" x14ac:dyDescent="0.15">
      <c r="A294" s="154"/>
      <c r="B294" s="151"/>
      <c r="C294" s="152"/>
      <c r="D294" s="323"/>
      <c r="E294" s="154"/>
      <c r="F294" s="157"/>
      <c r="G294" s="152"/>
      <c r="H294" s="323" t="s">
        <v>3485</v>
      </c>
      <c r="I294" s="152"/>
      <c r="J294" s="157"/>
      <c r="K294" s="157">
        <v>5800361500</v>
      </c>
      <c r="L294" s="227">
        <v>4179.607</v>
      </c>
      <c r="M294" s="157" t="s">
        <v>3509</v>
      </c>
      <c r="N294" s="152">
        <f t="shared" si="32"/>
        <v>278421.50936201215</v>
      </c>
      <c r="O294" s="152">
        <f t="shared" si="33"/>
        <v>1772585.5493620129</v>
      </c>
    </row>
    <row r="295" spans="1:15" x14ac:dyDescent="0.15">
      <c r="A295" s="154"/>
      <c r="B295" s="151"/>
      <c r="C295" s="152"/>
      <c r="D295" s="323" t="s">
        <v>3486</v>
      </c>
      <c r="E295" s="154" t="s">
        <v>72</v>
      </c>
      <c r="F295" s="157" t="s">
        <v>3515</v>
      </c>
      <c r="G295" s="152">
        <v>175964.033</v>
      </c>
      <c r="H295" s="323" t="s">
        <v>3486</v>
      </c>
      <c r="I295" s="152">
        <v>19929.5</v>
      </c>
      <c r="J295" s="157" t="s">
        <v>3509</v>
      </c>
      <c r="K295" s="157">
        <v>5800361500</v>
      </c>
      <c r="L295" s="227">
        <v>15581.737999999999</v>
      </c>
      <c r="M295" s="157" t="s">
        <v>3509</v>
      </c>
      <c r="N295" s="152">
        <f t="shared" si="32"/>
        <v>242910.27136201214</v>
      </c>
      <c r="O295" s="152">
        <f t="shared" si="33"/>
        <v>1913038.344362013</v>
      </c>
    </row>
    <row r="296" spans="1:15" x14ac:dyDescent="0.15">
      <c r="A296" s="154"/>
      <c r="B296" s="151"/>
      <c r="C296" s="152"/>
      <c r="D296" s="323"/>
      <c r="E296" s="154"/>
      <c r="F296" s="157"/>
      <c r="G296" s="152"/>
      <c r="H296" s="323" t="s">
        <v>3486</v>
      </c>
      <c r="I296" s="152"/>
      <c r="J296" s="157"/>
      <c r="K296" s="157">
        <v>5800361500</v>
      </c>
      <c r="L296" s="227">
        <v>16765.098000000002</v>
      </c>
      <c r="M296" s="157" t="s">
        <v>3509</v>
      </c>
      <c r="N296" s="152">
        <f t="shared" si="32"/>
        <v>226145.17336201214</v>
      </c>
      <c r="O296" s="152">
        <f t="shared" si="33"/>
        <v>1896273.246362013</v>
      </c>
    </row>
    <row r="297" spans="1:15" x14ac:dyDescent="0.15">
      <c r="A297" s="154"/>
      <c r="B297" s="151"/>
      <c r="C297" s="152"/>
      <c r="D297" s="323"/>
      <c r="E297" s="154"/>
      <c r="F297" s="157"/>
      <c r="G297" s="152"/>
      <c r="H297" s="323" t="s">
        <v>3486</v>
      </c>
      <c r="I297" s="152"/>
      <c r="J297" s="157"/>
      <c r="K297" s="157">
        <v>5800361500</v>
      </c>
      <c r="L297" s="227">
        <v>12671.852999999999</v>
      </c>
      <c r="M297" s="157" t="s">
        <v>3509</v>
      </c>
      <c r="N297" s="152">
        <f t="shared" si="32"/>
        <v>213473.32036201213</v>
      </c>
      <c r="O297" s="152">
        <f t="shared" si="33"/>
        <v>1883601.3933620132</v>
      </c>
    </row>
    <row r="298" spans="1:15" ht="12" customHeight="1" x14ac:dyDescent="0.15">
      <c r="A298" s="154"/>
      <c r="B298" s="151"/>
      <c r="C298" s="152"/>
      <c r="D298" s="323"/>
      <c r="E298" s="154"/>
      <c r="F298" s="157"/>
      <c r="G298" s="152"/>
      <c r="H298" s="323" t="s">
        <v>3486</v>
      </c>
      <c r="I298" s="152"/>
      <c r="J298" s="157"/>
      <c r="K298" s="157">
        <v>5800361500</v>
      </c>
      <c r="L298" s="227">
        <v>12133.69</v>
      </c>
      <c r="M298" s="157" t="s">
        <v>3509</v>
      </c>
      <c r="N298" s="152">
        <f t="shared" si="32"/>
        <v>201339.63036201213</v>
      </c>
      <c r="O298" s="152">
        <f t="shared" si="33"/>
        <v>1871467.7033620132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3486</v>
      </c>
      <c r="I299" s="152"/>
      <c r="J299" s="157"/>
      <c r="K299" s="157">
        <v>5800361500</v>
      </c>
      <c r="L299" s="227">
        <v>36325.046000000002</v>
      </c>
      <c r="M299" s="157" t="s">
        <v>3509</v>
      </c>
      <c r="N299" s="152">
        <f t="shared" si="32"/>
        <v>165014.58436201213</v>
      </c>
      <c r="O299" s="152">
        <f t="shared" si="33"/>
        <v>1835142.6573620131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3486</v>
      </c>
      <c r="I300" s="152"/>
      <c r="J300" s="157"/>
      <c r="K300" s="157">
        <v>5800361500</v>
      </c>
      <c r="L300" s="227">
        <v>17254.246999999999</v>
      </c>
      <c r="M300" s="157" t="s">
        <v>3509</v>
      </c>
      <c r="N300" s="152">
        <f t="shared" si="32"/>
        <v>147760.33736201213</v>
      </c>
      <c r="O300" s="152">
        <f t="shared" si="33"/>
        <v>1817888.4103620132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3486</v>
      </c>
      <c r="I301" s="152"/>
      <c r="J301" s="157"/>
      <c r="K301" s="157">
        <v>5800361500</v>
      </c>
      <c r="L301" s="227">
        <v>13354.061</v>
      </c>
      <c r="M301" s="157" t="s">
        <v>3509</v>
      </c>
      <c r="N301" s="152">
        <f t="shared" si="32"/>
        <v>134406.27636201214</v>
      </c>
      <c r="O301" s="152">
        <f t="shared" si="33"/>
        <v>1804534.3493620132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3486</v>
      </c>
      <c r="I302" s="152"/>
      <c r="J302" s="157"/>
      <c r="K302" s="157">
        <v>5800361500</v>
      </c>
      <c r="L302" s="227">
        <v>14586.678</v>
      </c>
      <c r="M302" s="157" t="s">
        <v>3509</v>
      </c>
      <c r="N302" s="152">
        <f t="shared" si="32"/>
        <v>119819.59836201214</v>
      </c>
      <c r="O302" s="152">
        <f t="shared" si="33"/>
        <v>1789947.6713620131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3486</v>
      </c>
      <c r="I303" s="152"/>
      <c r="J303" s="157"/>
      <c r="K303" s="157">
        <v>5800361500</v>
      </c>
      <c r="L303" s="227">
        <v>4930.4970000000003</v>
      </c>
      <c r="M303" s="157" t="s">
        <v>3509</v>
      </c>
      <c r="N303" s="152">
        <f t="shared" si="32"/>
        <v>114889.10136201214</v>
      </c>
      <c r="O303" s="152">
        <f t="shared" si="33"/>
        <v>1785017.1743620131</v>
      </c>
    </row>
    <row r="304" spans="1:15" x14ac:dyDescent="0.15">
      <c r="A304" s="154"/>
      <c r="B304" s="151"/>
      <c r="C304" s="152"/>
      <c r="D304" s="323" t="s">
        <v>3490</v>
      </c>
      <c r="E304" s="154" t="s">
        <v>72</v>
      </c>
      <c r="F304" s="157" t="s">
        <v>3515</v>
      </c>
      <c r="G304" s="152">
        <v>175784.64900000003</v>
      </c>
      <c r="H304" s="323" t="s">
        <v>3490</v>
      </c>
      <c r="I304" s="152">
        <v>14465.831</v>
      </c>
      <c r="J304" s="157" t="s">
        <v>3509</v>
      </c>
      <c r="K304" s="157">
        <v>5800361500</v>
      </c>
      <c r="L304" s="227">
        <v>13200.055</v>
      </c>
      <c r="M304" s="157" t="s">
        <v>3509</v>
      </c>
      <c r="N304" s="152">
        <f t="shared" si="32"/>
        <v>87223.215362012124</v>
      </c>
      <c r="O304" s="152">
        <f t="shared" si="33"/>
        <v>1933135.9373620132</v>
      </c>
    </row>
    <row r="305" spans="1:15" x14ac:dyDescent="0.15">
      <c r="A305" s="154"/>
      <c r="B305" s="151"/>
      <c r="C305" s="152"/>
      <c r="D305" s="323" t="s">
        <v>3490</v>
      </c>
      <c r="E305" s="154" t="s">
        <v>72</v>
      </c>
      <c r="F305" s="157" t="s">
        <v>3516</v>
      </c>
      <c r="G305" s="152">
        <v>43900.334999999897</v>
      </c>
      <c r="H305" s="323" t="s">
        <v>3490</v>
      </c>
      <c r="I305" s="152"/>
      <c r="J305" s="157"/>
      <c r="K305" s="157">
        <v>5800361500</v>
      </c>
      <c r="L305" s="227">
        <v>15986.257</v>
      </c>
      <c r="M305" s="157" t="s">
        <v>3509</v>
      </c>
      <c r="N305" s="152">
        <f t="shared" si="32"/>
        <v>71236.958362012127</v>
      </c>
      <c r="O305" s="152">
        <f t="shared" si="33"/>
        <v>1961050.0153620131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3490</v>
      </c>
      <c r="I306" s="152"/>
      <c r="J306" s="157"/>
      <c r="K306" s="157">
        <v>5800361500</v>
      </c>
      <c r="L306" s="227">
        <v>10371.035</v>
      </c>
      <c r="M306" s="157" t="s">
        <v>3509</v>
      </c>
      <c r="N306" s="152">
        <f t="shared" si="32"/>
        <v>60865.923362012123</v>
      </c>
      <c r="O306" s="152">
        <f t="shared" si="33"/>
        <v>1950678.9803620132</v>
      </c>
    </row>
    <row r="307" spans="1:15" x14ac:dyDescent="0.15">
      <c r="A307" s="154"/>
      <c r="B307" s="151"/>
      <c r="C307" s="152"/>
      <c r="D307" s="323"/>
      <c r="E307" s="154"/>
      <c r="F307" s="157"/>
      <c r="G307" s="152"/>
      <c r="H307" s="323" t="s">
        <v>3490</v>
      </c>
      <c r="I307" s="152"/>
      <c r="J307" s="157"/>
      <c r="K307" s="157">
        <v>5800361500</v>
      </c>
      <c r="L307" s="227">
        <v>55562.974000000002</v>
      </c>
      <c r="M307" s="157" t="s">
        <v>3509</v>
      </c>
      <c r="N307" s="152">
        <f t="shared" ref="N307:N317" si="34">+N306-I307-L307</f>
        <v>5302.9493620121211</v>
      </c>
      <c r="O307" s="152">
        <f t="shared" ref="O307:O317" si="35">O306+G307-I307-L307</f>
        <v>1895116.0063620133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3490</v>
      </c>
      <c r="I308" s="152"/>
      <c r="J308" s="157"/>
      <c r="K308" s="157">
        <v>5800361500</v>
      </c>
      <c r="L308" s="227">
        <v>3833.8879999999999</v>
      </c>
      <c r="M308" s="157" t="s">
        <v>3509</v>
      </c>
      <c r="N308" s="152">
        <f t="shared" si="34"/>
        <v>1469.0613620121212</v>
      </c>
      <c r="O308" s="152">
        <f t="shared" si="35"/>
        <v>1891282.1183620133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3490</v>
      </c>
      <c r="I309" s="152"/>
      <c r="J309" s="157"/>
      <c r="K309" s="157">
        <v>5800361500</v>
      </c>
      <c r="L309" s="227">
        <v>1469.0613620121212</v>
      </c>
      <c r="M309" s="157" t="s">
        <v>3509</v>
      </c>
      <c r="N309" s="152">
        <f t="shared" si="34"/>
        <v>0</v>
      </c>
      <c r="O309" s="152">
        <f t="shared" si="35"/>
        <v>1889813.0570000012</v>
      </c>
    </row>
    <row r="310" spans="1:15" x14ac:dyDescent="0.15">
      <c r="A310" s="154"/>
      <c r="B310" s="151"/>
      <c r="C310" s="152"/>
      <c r="D310" s="323"/>
      <c r="E310" s="154"/>
      <c r="F310" s="157"/>
      <c r="G310" s="152"/>
      <c r="H310" s="323" t="s">
        <v>3490</v>
      </c>
      <c r="I310" s="152"/>
      <c r="J310" s="157"/>
      <c r="K310" s="157">
        <v>5800361500</v>
      </c>
      <c r="L310" s="227">
        <v>13188.0406379879</v>
      </c>
      <c r="M310" s="157" t="s">
        <v>3510</v>
      </c>
      <c r="N310" s="152">
        <f>G175+G182+N309-I310-L310</f>
        <v>294386.46336201212</v>
      </c>
      <c r="O310" s="152">
        <f t="shared" si="35"/>
        <v>1876625.0163620133</v>
      </c>
    </row>
    <row r="311" spans="1:15" x14ac:dyDescent="0.15">
      <c r="A311" s="154"/>
      <c r="B311" s="151"/>
      <c r="C311" s="152"/>
      <c r="D311" s="323"/>
      <c r="E311" s="154"/>
      <c r="F311" s="157"/>
      <c r="G311" s="152"/>
      <c r="H311" s="323" t="s">
        <v>3490</v>
      </c>
      <c r="I311" s="152"/>
      <c r="J311" s="157"/>
      <c r="K311" s="157">
        <v>5800361500</v>
      </c>
      <c r="L311" s="227">
        <v>5091.8670000000002</v>
      </c>
      <c r="M311" s="157" t="s">
        <v>3510</v>
      </c>
      <c r="N311" s="152">
        <f t="shared" si="34"/>
        <v>289294.59636201209</v>
      </c>
      <c r="O311" s="152">
        <f t="shared" si="35"/>
        <v>1871533.1493620132</v>
      </c>
    </row>
    <row r="312" spans="1:15" x14ac:dyDescent="0.15">
      <c r="A312" s="154"/>
      <c r="B312" s="151"/>
      <c r="C312" s="152"/>
      <c r="D312" s="323" t="s">
        <v>3493</v>
      </c>
      <c r="E312" s="154" t="s">
        <v>72</v>
      </c>
      <c r="F312" s="157" t="s">
        <v>3516</v>
      </c>
      <c r="G312" s="152">
        <v>131631.13</v>
      </c>
      <c r="H312" s="323" t="s">
        <v>3493</v>
      </c>
      <c r="I312" s="152">
        <v>13993.572</v>
      </c>
      <c r="J312" s="157" t="s">
        <v>3510</v>
      </c>
      <c r="K312" s="157">
        <v>5800361500</v>
      </c>
      <c r="L312" s="227">
        <v>17176.516</v>
      </c>
      <c r="M312" s="157" t="s">
        <v>3510</v>
      </c>
      <c r="N312" s="152">
        <f t="shared" si="34"/>
        <v>258124.5083620121</v>
      </c>
      <c r="O312" s="152">
        <f t="shared" si="35"/>
        <v>1971994.1913620131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3493</v>
      </c>
      <c r="I313" s="152"/>
      <c r="J313" s="157"/>
      <c r="K313" s="157">
        <v>5800361500</v>
      </c>
      <c r="L313" s="227">
        <v>14283.102999999999</v>
      </c>
      <c r="M313" s="157" t="s">
        <v>3510</v>
      </c>
      <c r="N313" s="152">
        <f t="shared" si="34"/>
        <v>243841.4053620121</v>
      </c>
      <c r="O313" s="152">
        <f t="shared" si="35"/>
        <v>1957711.0883620132</v>
      </c>
    </row>
    <row r="314" spans="1:15" x14ac:dyDescent="0.15">
      <c r="A314" s="154"/>
      <c r="B314" s="151"/>
      <c r="C314" s="152"/>
      <c r="D314" s="323"/>
      <c r="E314" s="154"/>
      <c r="F314" s="157"/>
      <c r="G314" s="152"/>
      <c r="H314" s="323" t="s">
        <v>3493</v>
      </c>
      <c r="I314" s="152"/>
      <c r="J314" s="157"/>
      <c r="K314" s="157">
        <v>5800361500</v>
      </c>
      <c r="L314" s="227">
        <v>11433.681</v>
      </c>
      <c r="M314" s="157" t="s">
        <v>3510</v>
      </c>
      <c r="N314" s="152">
        <f t="shared" si="34"/>
        <v>232407.72436201209</v>
      </c>
      <c r="O314" s="152">
        <f t="shared" si="35"/>
        <v>1946277.4073620131</v>
      </c>
    </row>
    <row r="315" spans="1:15" x14ac:dyDescent="0.15">
      <c r="A315" s="154"/>
      <c r="B315" s="151"/>
      <c r="C315" s="152"/>
      <c r="D315" s="323"/>
      <c r="E315" s="154"/>
      <c r="F315" s="157"/>
      <c r="G315" s="152"/>
      <c r="H315" s="323" t="s">
        <v>3493</v>
      </c>
      <c r="I315" s="152"/>
      <c r="J315" s="157"/>
      <c r="K315" s="157">
        <v>5800361500</v>
      </c>
      <c r="L315" s="227">
        <v>15686.817999999999</v>
      </c>
      <c r="M315" s="157" t="s">
        <v>3510</v>
      </c>
      <c r="N315" s="152">
        <f t="shared" si="34"/>
        <v>216720.90636201209</v>
      </c>
      <c r="O315" s="152">
        <f t="shared" si="35"/>
        <v>1930590.5893620132</v>
      </c>
    </row>
    <row r="316" spans="1:15" x14ac:dyDescent="0.15">
      <c r="A316" s="154"/>
      <c r="B316" s="151"/>
      <c r="C316" s="152"/>
      <c r="D316" s="323"/>
      <c r="E316" s="154"/>
      <c r="F316" s="157"/>
      <c r="G316" s="152"/>
      <c r="H316" s="323" t="s">
        <v>3493</v>
      </c>
      <c r="I316" s="152"/>
      <c r="J316" s="157"/>
      <c r="K316" s="157">
        <v>5800361500</v>
      </c>
      <c r="L316" s="227">
        <v>15796.796</v>
      </c>
      <c r="M316" s="157" t="s">
        <v>3510</v>
      </c>
      <c r="N316" s="152">
        <f t="shared" si="34"/>
        <v>200924.11036201208</v>
      </c>
      <c r="O316" s="152">
        <f t="shared" si="35"/>
        <v>1914793.7933620131</v>
      </c>
    </row>
    <row r="317" spans="1:15" x14ac:dyDescent="0.15">
      <c r="A317" s="154"/>
      <c r="B317" s="151"/>
      <c r="C317" s="152"/>
      <c r="D317" s="323"/>
      <c r="E317" s="154"/>
      <c r="F317" s="157"/>
      <c r="G317" s="152"/>
      <c r="H317" s="323" t="s">
        <v>3493</v>
      </c>
      <c r="I317" s="152"/>
      <c r="J317" s="157"/>
      <c r="K317" s="157">
        <v>5800361500</v>
      </c>
      <c r="L317" s="227">
        <v>13438.275</v>
      </c>
      <c r="M317" s="157" t="s">
        <v>3510</v>
      </c>
      <c r="N317" s="152">
        <f t="shared" si="34"/>
        <v>187485.83536201209</v>
      </c>
      <c r="O317" s="152">
        <f t="shared" si="35"/>
        <v>1901355.5183620132</v>
      </c>
    </row>
    <row r="318" spans="1:15" x14ac:dyDescent="0.15">
      <c r="A318" s="154"/>
      <c r="B318" s="151"/>
      <c r="C318" s="152"/>
      <c r="D318" s="323"/>
      <c r="E318" s="154"/>
      <c r="F318" s="157"/>
      <c r="G318" s="152"/>
      <c r="H318" s="323" t="s">
        <v>3493</v>
      </c>
      <c r="I318" s="152"/>
      <c r="J318" s="157"/>
      <c r="K318" s="157">
        <v>5800361500</v>
      </c>
      <c r="L318" s="227">
        <v>13420.106</v>
      </c>
      <c r="M318" s="157" t="s">
        <v>3510</v>
      </c>
      <c r="N318" s="152">
        <f t="shared" ref="N318:N334" si="36">+N317-I318-L318</f>
        <v>174065.72936201209</v>
      </c>
      <c r="O318" s="152">
        <f t="shared" ref="O318:O334" si="37">O317+G318-I318-L318</f>
        <v>1887935.4123620132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3493</v>
      </c>
      <c r="I319" s="152"/>
      <c r="J319" s="157"/>
      <c r="K319" s="157">
        <v>5800361500</v>
      </c>
      <c r="L319" s="227">
        <v>14338.361000000001</v>
      </c>
      <c r="M319" s="157" t="s">
        <v>3510</v>
      </c>
      <c r="N319" s="152">
        <f t="shared" si="36"/>
        <v>159727.36836201209</v>
      </c>
      <c r="O319" s="152">
        <f t="shared" si="37"/>
        <v>1873597.0513620132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3493</v>
      </c>
      <c r="I320" s="152"/>
      <c r="J320" s="157"/>
      <c r="K320" s="157">
        <v>5800361500</v>
      </c>
      <c r="L320" s="227">
        <v>3664.0259999999998</v>
      </c>
      <c r="M320" s="157" t="s">
        <v>3510</v>
      </c>
      <c r="N320" s="152">
        <f t="shared" si="36"/>
        <v>156063.34236201207</v>
      </c>
      <c r="O320" s="152">
        <f t="shared" si="37"/>
        <v>1869933.0253620131</v>
      </c>
    </row>
    <row r="321" spans="1:15" x14ac:dyDescent="0.15">
      <c r="A321" s="154"/>
      <c r="B321" s="151"/>
      <c r="C321" s="152"/>
      <c r="D321" s="323" t="s">
        <v>3494</v>
      </c>
      <c r="E321" s="154" t="s">
        <v>72</v>
      </c>
      <c r="F321" s="157" t="s">
        <v>3516</v>
      </c>
      <c r="G321" s="152">
        <v>175608.628</v>
      </c>
      <c r="H321" s="323" t="s">
        <v>3494</v>
      </c>
      <c r="I321" s="152">
        <v>13588.791999999999</v>
      </c>
      <c r="J321" s="157" t="s">
        <v>3510</v>
      </c>
      <c r="K321" s="157">
        <v>5800361500</v>
      </c>
      <c r="L321" s="227">
        <v>14464.723</v>
      </c>
      <c r="M321" s="157" t="s">
        <v>3510</v>
      </c>
      <c r="N321" s="152">
        <f t="shared" si="36"/>
        <v>128009.82736201209</v>
      </c>
      <c r="O321" s="152">
        <f t="shared" si="37"/>
        <v>2017488.1383620133</v>
      </c>
    </row>
    <row r="322" spans="1:15" x14ac:dyDescent="0.15">
      <c r="A322" s="154"/>
      <c r="B322" s="151"/>
      <c r="C322" s="152"/>
      <c r="D322" s="323"/>
      <c r="E322" s="154"/>
      <c r="F322" s="157"/>
      <c r="G322" s="152"/>
      <c r="H322" s="323" t="s">
        <v>3494</v>
      </c>
      <c r="I322" s="152"/>
      <c r="J322" s="157"/>
      <c r="K322" s="157">
        <v>5800361500</v>
      </c>
      <c r="L322" s="227">
        <v>12772.351000000001</v>
      </c>
      <c r="M322" s="157" t="s">
        <v>3510</v>
      </c>
      <c r="N322" s="152">
        <f t="shared" si="36"/>
        <v>115237.47636201209</v>
      </c>
      <c r="O322" s="152">
        <f t="shared" si="37"/>
        <v>2004715.7873620132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3494</v>
      </c>
      <c r="I323" s="152"/>
      <c r="J323" s="157"/>
      <c r="K323" s="157">
        <v>5800361500</v>
      </c>
      <c r="L323" s="227">
        <v>12291.962</v>
      </c>
      <c r="M323" s="157" t="s">
        <v>3510</v>
      </c>
      <c r="N323" s="152">
        <f t="shared" si="36"/>
        <v>102945.51436201209</v>
      </c>
      <c r="O323" s="152">
        <f t="shared" si="37"/>
        <v>1992423.8253620132</v>
      </c>
    </row>
    <row r="324" spans="1:15" x14ac:dyDescent="0.15">
      <c r="A324" s="154"/>
      <c r="B324" s="151"/>
      <c r="C324" s="152"/>
      <c r="D324" s="323"/>
      <c r="E324" s="154"/>
      <c r="F324" s="157"/>
      <c r="G324" s="152"/>
      <c r="H324" s="323" t="s">
        <v>3494</v>
      </c>
      <c r="I324" s="152"/>
      <c r="J324" s="157"/>
      <c r="K324" s="157">
        <v>5800361500</v>
      </c>
      <c r="L324" s="227">
        <v>15508.569</v>
      </c>
      <c r="M324" s="157" t="s">
        <v>3510</v>
      </c>
      <c r="N324" s="152">
        <f t="shared" si="36"/>
        <v>87436.945362012091</v>
      </c>
      <c r="O324" s="152">
        <f t="shared" si="37"/>
        <v>1976915.2563620133</v>
      </c>
    </row>
    <row r="325" spans="1:15" x14ac:dyDescent="0.15">
      <c r="A325" s="154"/>
      <c r="B325" s="151"/>
      <c r="C325" s="152"/>
      <c r="D325" s="323"/>
      <c r="E325" s="154"/>
      <c r="F325" s="157"/>
      <c r="G325" s="152"/>
      <c r="H325" s="323" t="s">
        <v>3494</v>
      </c>
      <c r="I325" s="152"/>
      <c r="J325" s="157"/>
      <c r="K325" s="157">
        <v>5800361500</v>
      </c>
      <c r="L325" s="227">
        <v>10683.659</v>
      </c>
      <c r="M325" s="157" t="s">
        <v>3510</v>
      </c>
      <c r="N325" s="152">
        <f t="shared" si="36"/>
        <v>76753.286362012092</v>
      </c>
      <c r="O325" s="152">
        <f t="shared" si="37"/>
        <v>1966231.5973620133</v>
      </c>
    </row>
    <row r="326" spans="1:15" x14ac:dyDescent="0.15">
      <c r="A326" s="154"/>
      <c r="B326" s="151"/>
      <c r="C326" s="152"/>
      <c r="D326" s="323"/>
      <c r="E326" s="154"/>
      <c r="F326" s="157"/>
      <c r="G326" s="152"/>
      <c r="H326" s="323" t="s">
        <v>3494</v>
      </c>
      <c r="I326" s="152"/>
      <c r="J326" s="157"/>
      <c r="K326" s="157">
        <v>5800361500</v>
      </c>
      <c r="L326" s="227">
        <v>316.64699999999999</v>
      </c>
      <c r="M326" s="157" t="s">
        <v>3510</v>
      </c>
      <c r="N326" s="152">
        <f t="shared" si="36"/>
        <v>76436.639362012094</v>
      </c>
      <c r="O326" s="152">
        <f t="shared" si="37"/>
        <v>1965914.9503620132</v>
      </c>
    </row>
    <row r="327" spans="1:15" hidden="1" x14ac:dyDescent="0.15">
      <c r="A327" s="154"/>
      <c r="B327" s="151"/>
      <c r="C327" s="152"/>
      <c r="D327" s="323"/>
      <c r="E327" s="154"/>
      <c r="F327" s="157"/>
      <c r="G327" s="152"/>
      <c r="H327" s="323"/>
      <c r="I327" s="152"/>
      <c r="J327" s="157"/>
      <c r="K327" s="157"/>
      <c r="L327" s="227"/>
      <c r="M327" s="157"/>
      <c r="N327" s="152">
        <f t="shared" si="36"/>
        <v>76436.639362012094</v>
      </c>
      <c r="O327" s="152">
        <f t="shared" si="37"/>
        <v>1965914.9503620132</v>
      </c>
    </row>
    <row r="328" spans="1:15" hidden="1" x14ac:dyDescent="0.15">
      <c r="A328" s="154"/>
      <c r="B328" s="151"/>
      <c r="C328" s="152"/>
      <c r="D328" s="323"/>
      <c r="E328" s="154"/>
      <c r="F328" s="157"/>
      <c r="G328" s="152"/>
      <c r="H328" s="323"/>
      <c r="I328" s="152"/>
      <c r="J328" s="157"/>
      <c r="K328" s="157"/>
      <c r="L328" s="227"/>
      <c r="M328" s="157"/>
      <c r="N328" s="152">
        <f t="shared" si="36"/>
        <v>76436.639362012094</v>
      </c>
      <c r="O328" s="152">
        <f t="shared" si="37"/>
        <v>1965914.9503620132</v>
      </c>
    </row>
    <row r="329" spans="1:15" hidden="1" x14ac:dyDescent="0.15">
      <c r="A329" s="154"/>
      <c r="B329" s="151"/>
      <c r="C329" s="152"/>
      <c r="D329" s="323"/>
      <c r="E329" s="154"/>
      <c r="F329" s="157"/>
      <c r="G329" s="152"/>
      <c r="H329" s="323"/>
      <c r="I329" s="152"/>
      <c r="J329" s="157"/>
      <c r="K329" s="157"/>
      <c r="L329" s="227"/>
      <c r="M329" s="157"/>
      <c r="N329" s="152">
        <f t="shared" si="36"/>
        <v>76436.639362012094</v>
      </c>
      <c r="O329" s="152">
        <f t="shared" si="37"/>
        <v>1965914.9503620132</v>
      </c>
    </row>
    <row r="330" spans="1:15" hidden="1" x14ac:dyDescent="0.15">
      <c r="A330" s="154"/>
      <c r="B330" s="151"/>
      <c r="C330" s="151"/>
      <c r="D330" s="323"/>
      <c r="E330" s="154"/>
      <c r="F330" s="157"/>
      <c r="G330" s="152"/>
      <c r="H330" s="323"/>
      <c r="I330" s="152"/>
      <c r="J330" s="154"/>
      <c r="K330" s="154"/>
      <c r="L330" s="227"/>
      <c r="M330" s="157"/>
      <c r="N330" s="152">
        <f t="shared" si="36"/>
        <v>76436.639362012094</v>
      </c>
      <c r="O330" s="152">
        <f t="shared" si="37"/>
        <v>1965914.9503620132</v>
      </c>
    </row>
    <row r="331" spans="1:15" hidden="1" x14ac:dyDescent="0.15">
      <c r="A331" s="154"/>
      <c r="B331" s="151"/>
      <c r="C331" s="151"/>
      <c r="D331" s="323"/>
      <c r="E331" s="155"/>
      <c r="F331" s="157"/>
      <c r="G331" s="152"/>
      <c r="H331" s="323"/>
      <c r="I331" s="152"/>
      <c r="J331" s="154"/>
      <c r="K331" s="154"/>
      <c r="L331" s="227"/>
      <c r="M331" s="157"/>
      <c r="N331" s="152">
        <f t="shared" si="36"/>
        <v>76436.639362012094</v>
      </c>
      <c r="O331" s="152">
        <f t="shared" si="37"/>
        <v>1965914.9503620132</v>
      </c>
    </row>
    <row r="332" spans="1:15" hidden="1" x14ac:dyDescent="0.15">
      <c r="A332" s="154"/>
      <c r="B332" s="151"/>
      <c r="C332" s="151"/>
      <c r="D332" s="323"/>
      <c r="E332" s="154"/>
      <c r="F332" s="160"/>
      <c r="G332" s="152"/>
      <c r="H332" s="323"/>
      <c r="I332" s="152"/>
      <c r="J332" s="157"/>
      <c r="K332" s="154"/>
      <c r="L332" s="227"/>
      <c r="M332" s="157"/>
      <c r="N332" s="152">
        <f t="shared" si="36"/>
        <v>76436.639362012094</v>
      </c>
      <c r="O332" s="152">
        <f t="shared" si="37"/>
        <v>1965914.9503620132</v>
      </c>
    </row>
    <row r="333" spans="1:15" hidden="1" x14ac:dyDescent="0.15">
      <c r="A333" s="154"/>
      <c r="B333" s="151"/>
      <c r="C333" s="151"/>
      <c r="D333" s="323"/>
      <c r="E333" s="154"/>
      <c r="F333" s="160"/>
      <c r="G333" s="152"/>
      <c r="H333" s="323"/>
      <c r="I333" s="152"/>
      <c r="J333" s="150"/>
      <c r="K333" s="154"/>
      <c r="L333" s="227"/>
      <c r="M333" s="157"/>
      <c r="N333" s="152">
        <f t="shared" si="36"/>
        <v>76436.639362012094</v>
      </c>
      <c r="O333" s="152">
        <f t="shared" si="37"/>
        <v>1965914.9503620132</v>
      </c>
    </row>
    <row r="334" spans="1:15" x14ac:dyDescent="0.15">
      <c r="A334" s="173"/>
      <c r="B334" s="173"/>
      <c r="C334" s="174"/>
      <c r="D334" s="323"/>
      <c r="E334" s="173"/>
      <c r="F334" s="173"/>
      <c r="G334" s="174"/>
      <c r="H334" s="323"/>
      <c r="I334" s="174"/>
      <c r="J334" s="173"/>
      <c r="K334" s="154"/>
      <c r="L334" s="228"/>
      <c r="M334" s="173"/>
      <c r="N334" s="152">
        <f t="shared" si="36"/>
        <v>76436.639362012094</v>
      </c>
      <c r="O334" s="152">
        <f t="shared" si="37"/>
        <v>1965914.9503620132</v>
      </c>
    </row>
    <row r="335" spans="1:15" x14ac:dyDescent="0.15">
      <c r="A335" s="177"/>
      <c r="B335" s="177"/>
      <c r="C335" s="178">
        <f>SUM(C7:C333)</f>
        <v>1726021.9013620119</v>
      </c>
      <c r="D335" s="177"/>
      <c r="E335" s="177"/>
      <c r="F335" s="177"/>
      <c r="G335" s="178">
        <f>SUM(G7:G334)</f>
        <v>4614002.2759999987</v>
      </c>
      <c r="H335" s="179"/>
      <c r="I335" s="178">
        <f>SUM(I7:I334)</f>
        <v>409488.87700000004</v>
      </c>
      <c r="J335" s="177"/>
      <c r="K335" s="177"/>
      <c r="L335" s="178">
        <f>SUM(L7:L334)</f>
        <v>3964620.3500000006</v>
      </c>
      <c r="M335" s="177"/>
      <c r="N335" s="180"/>
      <c r="O335" s="181">
        <f>C335+G335-I335-L335</f>
        <v>1965914.9503620099</v>
      </c>
    </row>
    <row r="336" spans="1:15" x14ac:dyDescent="0.15">
      <c r="A336" s="182"/>
      <c r="B336" s="465"/>
      <c r="C336" s="465"/>
      <c r="D336" s="465"/>
      <c r="E336" s="183"/>
      <c r="F336" s="284"/>
      <c r="G336" s="185">
        <f>+G335-'[1]รับ 1015'!$D$161</f>
        <v>0</v>
      </c>
      <c r="H336" s="186"/>
      <c r="I336" s="187"/>
      <c r="J336" s="188"/>
      <c r="K336" s="189" t="s">
        <v>139</v>
      </c>
      <c r="L336" s="190">
        <f>+L335+I335</f>
        <v>4374109.2270000009</v>
      </c>
      <c r="M336" s="197">
        <f>+L336-[4]กระบี่!$N$424</f>
        <v>0</v>
      </c>
      <c r="N336" s="230">
        <f>+N334</f>
        <v>76436.639362012094</v>
      </c>
      <c r="O336" s="195" t="s">
        <v>3510</v>
      </c>
    </row>
    <row r="337" spans="1:15" x14ac:dyDescent="0.15">
      <c r="A337" s="188"/>
      <c r="E337" s="183"/>
      <c r="F337" s="445"/>
      <c r="G337" s="219"/>
      <c r="H337" s="186"/>
      <c r="I337" s="187"/>
      <c r="J337" s="210"/>
      <c r="N337" s="230">
        <v>131820.24799999999</v>
      </c>
      <c r="O337" s="334" t="s">
        <v>3511</v>
      </c>
    </row>
    <row r="338" spans="1:15" x14ac:dyDescent="0.15">
      <c r="A338" s="188" t="s">
        <v>3423</v>
      </c>
      <c r="B338" s="131" t="s">
        <v>3523</v>
      </c>
      <c r="E338" s="183" t="s">
        <v>55</v>
      </c>
      <c r="F338" s="447">
        <v>11511609.779999999</v>
      </c>
      <c r="G338" s="219" t="s">
        <v>56</v>
      </c>
      <c r="H338" s="186">
        <v>42270</v>
      </c>
      <c r="I338" s="187" t="s">
        <v>71</v>
      </c>
      <c r="J338" s="210">
        <v>152508.52336201182</v>
      </c>
      <c r="N338" s="230">
        <v>527486.63199999998</v>
      </c>
      <c r="O338" s="334" t="s">
        <v>3512</v>
      </c>
    </row>
    <row r="339" spans="1:15" x14ac:dyDescent="0.15">
      <c r="A339" s="188" t="s">
        <v>3425</v>
      </c>
      <c r="B339" s="131" t="s">
        <v>3517</v>
      </c>
      <c r="E339" s="183" t="s">
        <v>55</v>
      </c>
      <c r="F339" s="447">
        <v>37269479.280000001</v>
      </c>
      <c r="G339" s="219" t="s">
        <v>56</v>
      </c>
      <c r="H339" s="186">
        <v>42275</v>
      </c>
      <c r="I339" s="187" t="s">
        <v>71</v>
      </c>
      <c r="J339" s="210">
        <v>442922.46500000008</v>
      </c>
      <c r="N339" s="230">
        <v>175662.06899999999</v>
      </c>
      <c r="O339" s="334" t="s">
        <v>3513</v>
      </c>
    </row>
    <row r="340" spans="1:15" x14ac:dyDescent="0.15">
      <c r="A340" s="188" t="s">
        <v>3426</v>
      </c>
      <c r="B340" s="131" t="s">
        <v>3518</v>
      </c>
      <c r="E340" s="183" t="s">
        <v>55</v>
      </c>
      <c r="F340" s="447">
        <v>28791568.27</v>
      </c>
      <c r="G340" s="219" t="s">
        <v>56</v>
      </c>
      <c r="H340" s="186">
        <v>42276</v>
      </c>
      <c r="I340" s="187" t="s">
        <v>71</v>
      </c>
      <c r="J340" s="210">
        <v>367590.82799999998</v>
      </c>
      <c r="N340" s="230">
        <v>263657.49200000003</v>
      </c>
      <c r="O340" s="334" t="s">
        <v>3514</v>
      </c>
    </row>
    <row r="341" spans="1:15" x14ac:dyDescent="0.15">
      <c r="A341" s="188" t="s">
        <v>3427</v>
      </c>
      <c r="B341" s="131" t="s">
        <v>3519</v>
      </c>
      <c r="E341" s="183" t="s">
        <v>55</v>
      </c>
      <c r="F341" s="447">
        <v>33894892.689999998</v>
      </c>
      <c r="G341" s="219" t="s">
        <v>56</v>
      </c>
      <c r="H341" s="186">
        <v>42276</v>
      </c>
      <c r="I341" s="187" t="s">
        <v>71</v>
      </c>
      <c r="J341" s="210">
        <v>287216.50600000005</v>
      </c>
      <c r="N341" s="230">
        <v>439711.777</v>
      </c>
      <c r="O341" s="334" t="s">
        <v>3515</v>
      </c>
    </row>
    <row r="342" spans="1:15" x14ac:dyDescent="0.15">
      <c r="A342" s="188" t="s">
        <v>3428</v>
      </c>
      <c r="B342" s="131" t="s">
        <v>3520</v>
      </c>
      <c r="E342" s="183" t="s">
        <v>55</v>
      </c>
      <c r="F342" s="447">
        <v>77840139.420000002</v>
      </c>
      <c r="G342" s="219" t="s">
        <v>56</v>
      </c>
      <c r="H342" s="186">
        <v>42283</v>
      </c>
      <c r="I342" s="187" t="s">
        <v>71</v>
      </c>
      <c r="J342" s="210">
        <v>419007.42399999895</v>
      </c>
      <c r="N342" s="230">
        <v>351140.09299999999</v>
      </c>
      <c r="O342" s="195" t="s">
        <v>3516</v>
      </c>
    </row>
    <row r="343" spans="1:15" x14ac:dyDescent="0.15">
      <c r="A343" s="188" t="s">
        <v>3509</v>
      </c>
      <c r="B343" s="131" t="s">
        <v>3521</v>
      </c>
      <c r="E343" s="183" t="s">
        <v>55</v>
      </c>
      <c r="F343" s="447">
        <v>54951366.140000001</v>
      </c>
      <c r="G343" s="219" t="s">
        <v>56</v>
      </c>
      <c r="H343" s="186">
        <v>42297</v>
      </c>
      <c r="I343" s="187" t="s">
        <v>71</v>
      </c>
      <c r="J343" s="210">
        <v>668216.83800000011</v>
      </c>
      <c r="K343" s="297"/>
      <c r="N343" s="230"/>
      <c r="O343" s="195"/>
    </row>
    <row r="344" spans="1:15" x14ac:dyDescent="0.15">
      <c r="A344" s="188" t="s">
        <v>3510</v>
      </c>
      <c r="B344" s="131" t="s">
        <v>3522</v>
      </c>
      <c r="E344" s="183" t="s">
        <v>55</v>
      </c>
      <c r="F344" s="447">
        <v>42150251.020000003</v>
      </c>
      <c r="G344" s="219" t="s">
        <v>56</v>
      </c>
      <c r="H344" s="186">
        <v>42298</v>
      </c>
      <c r="I344" s="187" t="s">
        <v>71</v>
      </c>
      <c r="J344" s="210">
        <v>203555.50063798786</v>
      </c>
      <c r="K344" s="333"/>
      <c r="N344" s="230"/>
      <c r="O344" s="195"/>
    </row>
    <row r="345" spans="1:15" ht="12" thickBot="1" x14ac:dyDescent="0.2">
      <c r="A345" s="133"/>
      <c r="B345" s="443"/>
      <c r="C345" s="443"/>
      <c r="D345" s="443"/>
      <c r="E345" s="183"/>
      <c r="F345" s="444"/>
      <c r="G345" s="219"/>
      <c r="H345" s="186"/>
      <c r="I345" s="217" t="s">
        <v>856</v>
      </c>
      <c r="J345" s="211">
        <f>SUM(J338:J344)</f>
        <v>2541018.084999999</v>
      </c>
      <c r="N345" s="230"/>
      <c r="O345" s="195"/>
    </row>
    <row r="346" spans="1:15" ht="12" thickTop="1" x14ac:dyDescent="0.15">
      <c r="A346" s="193" t="s">
        <v>3424</v>
      </c>
      <c r="B346" s="131" t="s">
        <v>3524</v>
      </c>
      <c r="E346" s="183" t="s">
        <v>55</v>
      </c>
      <c r="F346" s="447">
        <v>26341103.379999999</v>
      </c>
      <c r="G346" s="219" t="s">
        <v>56</v>
      </c>
      <c r="H346" s="186">
        <v>42270</v>
      </c>
      <c r="I346" s="187" t="s">
        <v>71</v>
      </c>
      <c r="J346" s="210">
        <v>132122.21299999999</v>
      </c>
      <c r="N346" s="206" t="s">
        <v>33</v>
      </c>
      <c r="O346" s="207">
        <f>SUM(N336:N345)</f>
        <v>1965914.9503620123</v>
      </c>
    </row>
    <row r="347" spans="1:15" x14ac:dyDescent="0.15">
      <c r="A347" s="193" t="s">
        <v>3505</v>
      </c>
      <c r="B347" s="131" t="s">
        <v>3525</v>
      </c>
      <c r="E347" s="183" t="s">
        <v>55</v>
      </c>
      <c r="F347" s="447">
        <v>95150208.329999998</v>
      </c>
      <c r="G347" s="219" t="s">
        <v>56</v>
      </c>
      <c r="H347" s="186">
        <v>42282</v>
      </c>
      <c r="I347" s="187" t="s">
        <v>71</v>
      </c>
      <c r="J347" s="210">
        <v>95117.060000001002</v>
      </c>
      <c r="K347" s="333"/>
      <c r="O347" s="190">
        <f>+O335-O346</f>
        <v>-2.3283064365386963E-9</v>
      </c>
    </row>
    <row r="348" spans="1:15" s="132" customFormat="1" x14ac:dyDescent="0.15">
      <c r="A348" s="193" t="s">
        <v>3506</v>
      </c>
      <c r="B348" s="131" t="s">
        <v>3526</v>
      </c>
      <c r="D348" s="133"/>
      <c r="E348" s="183" t="s">
        <v>55</v>
      </c>
      <c r="F348" s="447">
        <v>76172612.030000001</v>
      </c>
      <c r="G348" s="219" t="s">
        <v>56</v>
      </c>
      <c r="H348" s="186">
        <v>42283</v>
      </c>
      <c r="I348" s="187" t="s">
        <v>71</v>
      </c>
      <c r="J348" s="210">
        <v>358176.10000000003</v>
      </c>
      <c r="K348" s="133"/>
      <c r="M348" s="134"/>
    </row>
    <row r="349" spans="1:15" s="132" customFormat="1" x14ac:dyDescent="0.15">
      <c r="A349" s="193" t="s">
        <v>3507</v>
      </c>
      <c r="B349" s="131" t="s">
        <v>3527</v>
      </c>
      <c r="D349" s="133"/>
      <c r="E349" s="183" t="s">
        <v>55</v>
      </c>
      <c r="F349" s="447">
        <v>137819147.09999999</v>
      </c>
      <c r="G349" s="219" t="s">
        <v>56</v>
      </c>
      <c r="H349" s="186">
        <v>42289</v>
      </c>
      <c r="I349" s="187" t="s">
        <v>71</v>
      </c>
      <c r="J349" s="210">
        <v>589383.37899999996</v>
      </c>
      <c r="K349" s="193"/>
      <c r="M349" s="134"/>
    </row>
    <row r="350" spans="1:15" s="132" customFormat="1" x14ac:dyDescent="0.15">
      <c r="A350" s="193" t="s">
        <v>3508</v>
      </c>
      <c r="B350" s="131" t="s">
        <v>3528</v>
      </c>
      <c r="D350" s="133"/>
      <c r="E350" s="183" t="s">
        <v>55</v>
      </c>
      <c r="F350" s="447">
        <v>69782111.409999996</v>
      </c>
      <c r="G350" s="219" t="s">
        <v>56</v>
      </c>
      <c r="H350" s="186">
        <v>42291</v>
      </c>
      <c r="I350" s="187" t="s">
        <v>71</v>
      </c>
      <c r="J350" s="210">
        <v>248803.51300000001</v>
      </c>
      <c r="K350" s="193"/>
      <c r="M350" s="134"/>
    </row>
    <row r="351" spans="1:15" s="132" customFormat="1" ht="12" thickBot="1" x14ac:dyDescent="0.2">
      <c r="A351" s="133"/>
      <c r="B351" s="443"/>
      <c r="C351" s="443"/>
      <c r="D351" s="443"/>
      <c r="E351" s="183"/>
      <c r="F351" s="444"/>
      <c r="G351" s="219"/>
      <c r="H351" s="186"/>
      <c r="I351" s="217" t="s">
        <v>106</v>
      </c>
      <c r="J351" s="211">
        <f>SUM(J346:J350)</f>
        <v>1423602.2650000011</v>
      </c>
      <c r="K351" s="193"/>
      <c r="M351" s="134"/>
    </row>
    <row r="352" spans="1:15" s="132" customFormat="1" ht="12" thickTop="1" x14ac:dyDescent="0.15">
      <c r="A352" s="133"/>
      <c r="B352" s="443"/>
      <c r="C352" s="443"/>
      <c r="D352" s="443"/>
      <c r="E352" s="183"/>
      <c r="F352" s="444"/>
      <c r="G352" s="219"/>
      <c r="H352" s="186"/>
      <c r="I352" s="187"/>
      <c r="J352" s="210"/>
      <c r="K352" s="193"/>
      <c r="M352" s="134"/>
    </row>
    <row r="353" spans="1:15" s="132" customFormat="1" x14ac:dyDescent="0.15">
      <c r="A353" s="133"/>
      <c r="B353" s="133" t="s">
        <v>9</v>
      </c>
      <c r="C353" s="220" t="s">
        <v>2311</v>
      </c>
      <c r="D353" s="133" t="s">
        <v>570</v>
      </c>
      <c r="E353" s="133" t="s">
        <v>571</v>
      </c>
      <c r="F353" s="133" t="s">
        <v>16</v>
      </c>
      <c r="G353" s="219"/>
      <c r="H353" s="186"/>
      <c r="I353" s="187"/>
      <c r="J353" s="210"/>
      <c r="K353" s="193"/>
      <c r="M353" s="134"/>
    </row>
    <row r="354" spans="1:15" s="132" customFormat="1" x14ac:dyDescent="0.15">
      <c r="A354" s="188" t="s">
        <v>3423</v>
      </c>
      <c r="B354" s="210">
        <v>152509</v>
      </c>
      <c r="C354" s="221">
        <v>0.2</v>
      </c>
      <c r="D354" s="235">
        <f>+B354*C354</f>
        <v>30501.800000000003</v>
      </c>
      <c r="E354" s="235">
        <f t="shared" ref="E354:E360" si="38">+D354*0.1</f>
        <v>3050.1800000000003</v>
      </c>
      <c r="F354" s="236">
        <f t="shared" ref="F354:F360" si="39">SUM(D354:E354)</f>
        <v>33551.980000000003</v>
      </c>
      <c r="G354" s="134"/>
      <c r="H354" s="134"/>
      <c r="I354" s="187"/>
      <c r="J354" s="210"/>
      <c r="K354" s="193"/>
      <c r="M354" s="134"/>
    </row>
    <row r="355" spans="1:15" s="132" customFormat="1" x14ac:dyDescent="0.15">
      <c r="A355" s="188" t="s">
        <v>3425</v>
      </c>
      <c r="B355" s="210">
        <v>442922</v>
      </c>
      <c r="C355" s="221">
        <v>0.2</v>
      </c>
      <c r="D355" s="235">
        <f>+B355*C355</f>
        <v>88584.400000000009</v>
      </c>
      <c r="E355" s="235">
        <f t="shared" si="38"/>
        <v>8858.44</v>
      </c>
      <c r="F355" s="236">
        <f t="shared" si="39"/>
        <v>97442.840000000011</v>
      </c>
      <c r="G355" s="134"/>
      <c r="H355" s="134"/>
      <c r="J355" s="205"/>
      <c r="K355" s="193"/>
      <c r="M355" s="134"/>
    </row>
    <row r="356" spans="1:15" s="132" customFormat="1" x14ac:dyDescent="0.15">
      <c r="A356" s="188" t="s">
        <v>3426</v>
      </c>
      <c r="B356" s="210">
        <v>367591</v>
      </c>
      <c r="C356" s="221">
        <v>0.2</v>
      </c>
      <c r="D356" s="235">
        <f t="shared" ref="D356:D357" si="40">+B356*C356</f>
        <v>73518.2</v>
      </c>
      <c r="E356" s="235">
        <f t="shared" si="38"/>
        <v>7351.82</v>
      </c>
      <c r="F356" s="236">
        <f t="shared" si="39"/>
        <v>80870.01999999999</v>
      </c>
      <c r="G356" s="186"/>
      <c r="H356" s="133"/>
      <c r="J356" s="205"/>
      <c r="K356" s="193"/>
      <c r="M356" s="134"/>
    </row>
    <row r="357" spans="1:15" s="133" customFormat="1" x14ac:dyDescent="0.15">
      <c r="A357" s="188" t="s">
        <v>3427</v>
      </c>
      <c r="B357" s="210">
        <v>287217</v>
      </c>
      <c r="C357" s="221">
        <v>0.2</v>
      </c>
      <c r="D357" s="235">
        <f t="shared" si="40"/>
        <v>57443.4</v>
      </c>
      <c r="E357" s="235">
        <f t="shared" si="38"/>
        <v>5744.34</v>
      </c>
      <c r="F357" s="236">
        <f t="shared" si="39"/>
        <v>63187.740000000005</v>
      </c>
      <c r="I357" s="132"/>
      <c r="J357" s="205"/>
      <c r="K357" s="193"/>
      <c r="L357" s="132"/>
      <c r="M357" s="134"/>
      <c r="N357" s="132"/>
      <c r="O357" s="132"/>
    </row>
    <row r="358" spans="1:15" s="132" customFormat="1" x14ac:dyDescent="0.15">
      <c r="A358" s="188" t="s">
        <v>3428</v>
      </c>
      <c r="B358" s="210">
        <v>419007</v>
      </c>
      <c r="C358" s="221">
        <v>0.2</v>
      </c>
      <c r="D358" s="235">
        <f>+B358*C358</f>
        <v>83801.400000000009</v>
      </c>
      <c r="E358" s="235">
        <f t="shared" si="38"/>
        <v>8380.1400000000012</v>
      </c>
      <c r="F358" s="236">
        <f t="shared" si="39"/>
        <v>92181.540000000008</v>
      </c>
      <c r="G358" s="134"/>
      <c r="H358" s="134"/>
      <c r="J358" s="205"/>
      <c r="K358" s="193"/>
      <c r="M358" s="134"/>
    </row>
    <row r="359" spans="1:15" s="132" customFormat="1" x14ac:dyDescent="0.15">
      <c r="A359" s="188" t="s">
        <v>3509</v>
      </c>
      <c r="B359" s="210">
        <v>668217</v>
      </c>
      <c r="C359" s="221">
        <v>0.2</v>
      </c>
      <c r="D359" s="235">
        <f t="shared" ref="D359:D360" si="41">+B359*C359</f>
        <v>133643.4</v>
      </c>
      <c r="E359" s="235">
        <f t="shared" si="38"/>
        <v>13364.34</v>
      </c>
      <c r="F359" s="236">
        <f t="shared" si="39"/>
        <v>147007.74</v>
      </c>
      <c r="G359" s="186"/>
      <c r="H359" s="186"/>
      <c r="J359" s="205"/>
      <c r="K359" s="133"/>
      <c r="M359" s="134"/>
    </row>
    <row r="360" spans="1:15" s="132" customFormat="1" x14ac:dyDescent="0.15">
      <c r="A360" s="188" t="s">
        <v>3510</v>
      </c>
      <c r="B360" s="210">
        <v>203556</v>
      </c>
      <c r="C360" s="221">
        <v>0.2</v>
      </c>
      <c r="D360" s="235">
        <f t="shared" si="41"/>
        <v>40711.200000000004</v>
      </c>
      <c r="E360" s="235">
        <f t="shared" si="38"/>
        <v>4071.1200000000008</v>
      </c>
      <c r="F360" s="236">
        <f t="shared" si="39"/>
        <v>44782.320000000007</v>
      </c>
      <c r="G360" s="186"/>
      <c r="H360" s="186"/>
      <c r="J360" s="205"/>
      <c r="K360" s="133"/>
      <c r="M360" s="134"/>
    </row>
    <row r="361" spans="1:15" s="132" customFormat="1" ht="12" thickBot="1" x14ac:dyDescent="0.2">
      <c r="A361" s="133"/>
      <c r="B361" s="211">
        <f>SUM(B354:B360)</f>
        <v>2541019</v>
      </c>
      <c r="C361" s="221"/>
      <c r="D361" s="242">
        <f>SUM(D354:D360)</f>
        <v>508203.8</v>
      </c>
      <c r="E361" s="242">
        <f t="shared" ref="E361" si="42">SUM(E354:E360)</f>
        <v>50820.380000000012</v>
      </c>
      <c r="F361" s="242">
        <f t="shared" ref="F361" si="43">SUM(F354:F360)</f>
        <v>559024.17999999993</v>
      </c>
      <c r="G361" s="186"/>
      <c r="H361" s="186"/>
      <c r="J361" s="134"/>
      <c r="K361" s="133"/>
      <c r="M361" s="134"/>
    </row>
    <row r="362" spans="1:15" s="132" customFormat="1" ht="12" thickTop="1" x14ac:dyDescent="0.15">
      <c r="A362" s="193" t="s">
        <v>3424</v>
      </c>
      <c r="B362" s="210">
        <v>132122</v>
      </c>
      <c r="C362" s="221">
        <v>0.2</v>
      </c>
      <c r="D362" s="235">
        <f t="shared" ref="D362:D366" si="44">+B362*C362</f>
        <v>26424.400000000001</v>
      </c>
      <c r="E362" s="235">
        <f t="shared" ref="E362:E366" si="45">+D362*0.1</f>
        <v>2642.4400000000005</v>
      </c>
      <c r="F362" s="236">
        <f t="shared" ref="F362:F366" si="46">SUM(D362:E362)</f>
        <v>29066.840000000004</v>
      </c>
      <c r="G362" s="186"/>
      <c r="H362" s="186"/>
      <c r="J362" s="134"/>
      <c r="K362" s="133"/>
      <c r="M362" s="134"/>
    </row>
    <row r="363" spans="1:15" s="132" customFormat="1" x14ac:dyDescent="0.15">
      <c r="A363" s="193" t="s">
        <v>3505</v>
      </c>
      <c r="B363" s="210">
        <v>95117</v>
      </c>
      <c r="C363" s="221">
        <v>0.2</v>
      </c>
      <c r="D363" s="235">
        <f t="shared" si="44"/>
        <v>19023.400000000001</v>
      </c>
      <c r="E363" s="235">
        <f t="shared" si="45"/>
        <v>1902.3400000000001</v>
      </c>
      <c r="F363" s="236">
        <f t="shared" si="46"/>
        <v>20925.740000000002</v>
      </c>
      <c r="G363" s="186"/>
      <c r="H363" s="186"/>
      <c r="J363" s="134"/>
      <c r="K363" s="133"/>
      <c r="M363" s="134"/>
    </row>
    <row r="364" spans="1:15" s="132" customFormat="1" x14ac:dyDescent="0.15">
      <c r="A364" s="193" t="s">
        <v>3506</v>
      </c>
      <c r="B364" s="210">
        <v>358176</v>
      </c>
      <c r="C364" s="221">
        <v>0.2</v>
      </c>
      <c r="D364" s="235">
        <f t="shared" si="44"/>
        <v>71635.199999999997</v>
      </c>
      <c r="E364" s="235">
        <f t="shared" si="45"/>
        <v>7163.52</v>
      </c>
      <c r="F364" s="236">
        <f t="shared" si="46"/>
        <v>78798.720000000001</v>
      </c>
      <c r="G364" s="219"/>
      <c r="H364" s="186"/>
      <c r="J364" s="134"/>
      <c r="K364" s="133"/>
      <c r="M364" s="134"/>
    </row>
    <row r="365" spans="1:15" s="132" customFormat="1" x14ac:dyDescent="0.15">
      <c r="A365" s="193" t="s">
        <v>3507</v>
      </c>
      <c r="B365" s="210">
        <v>589383</v>
      </c>
      <c r="C365" s="221">
        <v>0.2</v>
      </c>
      <c r="D365" s="235">
        <f t="shared" si="44"/>
        <v>117876.6</v>
      </c>
      <c r="E365" s="235">
        <f t="shared" si="45"/>
        <v>11787.660000000002</v>
      </c>
      <c r="F365" s="236">
        <f t="shared" si="46"/>
        <v>129664.26000000001</v>
      </c>
      <c r="H365" s="186"/>
      <c r="J365" s="210"/>
      <c r="K365" s="133"/>
      <c r="M365" s="134"/>
    </row>
    <row r="366" spans="1:15" s="132" customFormat="1" x14ac:dyDescent="0.15">
      <c r="A366" s="193" t="s">
        <v>3508</v>
      </c>
      <c r="B366" s="210">
        <v>248804</v>
      </c>
      <c r="C366" s="221">
        <v>0.2</v>
      </c>
      <c r="D366" s="235">
        <f t="shared" si="44"/>
        <v>49760.800000000003</v>
      </c>
      <c r="E366" s="235">
        <f t="shared" si="45"/>
        <v>4976.0800000000008</v>
      </c>
      <c r="F366" s="236">
        <f t="shared" si="46"/>
        <v>54736.880000000005</v>
      </c>
      <c r="H366" s="186"/>
      <c r="J366" s="134"/>
      <c r="K366" s="133"/>
      <c r="M366" s="134"/>
    </row>
    <row r="367" spans="1:15" s="132" customFormat="1" ht="12" thickBot="1" x14ac:dyDescent="0.2">
      <c r="A367" s="133"/>
      <c r="B367" s="211">
        <f>SUM(B362:B366)</f>
        <v>1423602</v>
      </c>
      <c r="C367" s="221"/>
      <c r="D367" s="242">
        <f>SUM(D362:D366)</f>
        <v>284720.40000000002</v>
      </c>
      <c r="E367" s="242">
        <f t="shared" ref="E367" si="47">SUM(E362:E366)</f>
        <v>28472.040000000005</v>
      </c>
      <c r="F367" s="242">
        <f t="shared" ref="F367" si="48">SUM(F362:F366)</f>
        <v>313192.44</v>
      </c>
      <c r="H367" s="186"/>
      <c r="J367" s="134"/>
      <c r="K367" s="133"/>
      <c r="M367" s="134"/>
    </row>
    <row r="368" spans="1:15" s="132" customFormat="1" ht="12" thickTop="1" x14ac:dyDescent="0.15">
      <c r="A368" s="134"/>
      <c r="B368" s="131"/>
      <c r="D368" s="133"/>
      <c r="E368" s="133"/>
      <c r="F368" s="134"/>
      <c r="H368" s="186"/>
      <c r="J368" s="134"/>
      <c r="K368" s="133"/>
      <c r="M368" s="134"/>
    </row>
    <row r="369" spans="1:15" s="132" customFormat="1" x14ac:dyDescent="0.15">
      <c r="A369" s="134"/>
      <c r="B369" s="131"/>
      <c r="D369" s="133"/>
      <c r="E369" s="133"/>
      <c r="F369" s="134"/>
      <c r="H369" s="133"/>
      <c r="J369" s="134"/>
      <c r="K369" s="133"/>
      <c r="M369" s="134"/>
    </row>
    <row r="370" spans="1:15" s="132" customFormat="1" x14ac:dyDescent="0.15">
      <c r="A370" s="134"/>
      <c r="B370" s="131"/>
      <c r="D370" s="133"/>
      <c r="E370" s="133"/>
      <c r="F370" s="134"/>
      <c r="H370" s="133"/>
      <c r="J370" s="134"/>
      <c r="K370" s="133"/>
      <c r="M370" s="134"/>
    </row>
    <row r="371" spans="1:15" s="132" customFormat="1" x14ac:dyDescent="0.15">
      <c r="A371" s="134"/>
      <c r="B371" s="131"/>
      <c r="D371" s="133"/>
      <c r="E371" s="133"/>
      <c r="F371" s="134"/>
      <c r="H371" s="133"/>
      <c r="J371" s="134"/>
      <c r="K371" s="133"/>
      <c r="M371" s="134"/>
    </row>
    <row r="372" spans="1:15" s="133" customFormat="1" x14ac:dyDescent="0.15">
      <c r="A372" s="134"/>
      <c r="B372" s="131"/>
      <c r="C372" s="132"/>
      <c r="F372" s="134"/>
      <c r="G372" s="132"/>
      <c r="I372" s="132"/>
      <c r="J372" s="134"/>
      <c r="L372" s="132"/>
      <c r="M372" s="134"/>
      <c r="N372" s="132"/>
      <c r="O372" s="132"/>
    </row>
    <row r="373" spans="1:15" s="133" customFormat="1" x14ac:dyDescent="0.15">
      <c r="A373" s="134"/>
      <c r="B373" s="131"/>
      <c r="C373" s="132"/>
      <c r="F373" s="134"/>
      <c r="G373" s="132"/>
      <c r="I373" s="132"/>
      <c r="J373" s="134"/>
      <c r="L373" s="132"/>
      <c r="M373" s="134"/>
      <c r="N373" s="132"/>
      <c r="O373" s="132"/>
    </row>
  </sheetData>
  <mergeCells count="7">
    <mergeCell ref="B336:D33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zoomScale="115" zoomScaleNormal="115" workbookViewId="0">
      <pane ySplit="6" topLeftCell="A7" activePane="bottomLeft" state="frozen"/>
      <selection pane="bottomLeft" activeCell="N88" sqref="N88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1.8554687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740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724</v>
      </c>
      <c r="B7" s="146"/>
      <c r="C7" s="147">
        <v>63911.304362009425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63911.304362009425</v>
      </c>
      <c r="P7" s="147">
        <f>+C76</f>
        <v>140041.91936200944</v>
      </c>
    </row>
    <row r="8" spans="1:16" x14ac:dyDescent="0.15">
      <c r="A8" s="154" t="s">
        <v>725</v>
      </c>
      <c r="B8" s="151"/>
      <c r="C8" s="152">
        <v>76130.615000000005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63911.304362009425</v>
      </c>
      <c r="P8" s="152">
        <f t="shared" ref="P8:P71" si="0">P7+H8-J8-M8</f>
        <v>140041.91936200944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61" si="1">+O8-J9-M9</f>
        <v>63911.304362009425</v>
      </c>
      <c r="P9" s="152">
        <f t="shared" ref="P9:P61" si="2">P8+H9-J9-M9</f>
        <v>140041.91936200944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 t="s">
        <v>741</v>
      </c>
      <c r="J10" s="152">
        <v>1999.9839999999999</v>
      </c>
      <c r="K10" s="150" t="s">
        <v>724</v>
      </c>
      <c r="L10" s="154"/>
      <c r="M10" s="227"/>
      <c r="N10" s="150"/>
      <c r="O10" s="227">
        <f t="shared" si="1"/>
        <v>61911.320362009428</v>
      </c>
      <c r="P10" s="152">
        <f t="shared" si="2"/>
        <v>138041.93536200945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742</v>
      </c>
      <c r="J11" s="152">
        <v>947</v>
      </c>
      <c r="K11" s="150" t="s">
        <v>724</v>
      </c>
      <c r="L11" s="154"/>
      <c r="M11" s="227"/>
      <c r="N11" s="150"/>
      <c r="O11" s="227">
        <f t="shared" si="1"/>
        <v>60964.320362009428</v>
      </c>
      <c r="P11" s="152">
        <f t="shared" si="2"/>
        <v>137094.93536200945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742</v>
      </c>
      <c r="J12" s="152">
        <v>1198.991</v>
      </c>
      <c r="K12" s="150" t="s">
        <v>724</v>
      </c>
      <c r="L12" s="154"/>
      <c r="M12" s="227"/>
      <c r="N12" s="154"/>
      <c r="O12" s="227">
        <f t="shared" si="1"/>
        <v>59765.329362009426</v>
      </c>
      <c r="P12" s="152">
        <f t="shared" si="2"/>
        <v>135895.94436200944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743</v>
      </c>
      <c r="J13" s="152">
        <v>383.99200000000002</v>
      </c>
      <c r="K13" s="150" t="s">
        <v>724</v>
      </c>
      <c r="L13" s="154"/>
      <c r="M13" s="227"/>
      <c r="N13" s="154"/>
      <c r="O13" s="227">
        <f t="shared" si="1"/>
        <v>59381.337362009428</v>
      </c>
      <c r="P13" s="152">
        <f t="shared" si="2"/>
        <v>135511.95236200944</v>
      </c>
    </row>
    <row r="14" spans="1:16" x14ac:dyDescent="0.15">
      <c r="A14" s="154"/>
      <c r="B14" s="151"/>
      <c r="C14" s="152"/>
      <c r="D14" s="153"/>
      <c r="E14" s="153"/>
      <c r="F14" s="157"/>
      <c r="G14" s="154"/>
      <c r="H14" s="152"/>
      <c r="I14" s="153" t="s">
        <v>744</v>
      </c>
      <c r="J14" s="152">
        <v>1056</v>
      </c>
      <c r="K14" s="154" t="s">
        <v>724</v>
      </c>
      <c r="L14" s="154"/>
      <c r="M14" s="227"/>
      <c r="N14" s="154"/>
      <c r="O14" s="227">
        <f t="shared" si="1"/>
        <v>58325.337362009428</v>
      </c>
      <c r="P14" s="152">
        <f t="shared" si="2"/>
        <v>134455.95236200944</v>
      </c>
    </row>
    <row r="15" spans="1:16" x14ac:dyDescent="0.15">
      <c r="A15" s="154"/>
      <c r="B15" s="151"/>
      <c r="C15" s="152"/>
      <c r="D15" s="153"/>
      <c r="E15" s="153"/>
      <c r="F15" s="157"/>
      <c r="G15" s="154"/>
      <c r="H15" s="152"/>
      <c r="I15" s="153" t="s">
        <v>745</v>
      </c>
      <c r="J15" s="152">
        <v>632</v>
      </c>
      <c r="K15" s="154" t="s">
        <v>724</v>
      </c>
      <c r="L15" s="154"/>
      <c r="M15" s="227"/>
      <c r="N15" s="154"/>
      <c r="O15" s="227">
        <f t="shared" si="1"/>
        <v>57693.337362009428</v>
      </c>
      <c r="P15" s="152">
        <f t="shared" si="2"/>
        <v>133823.95236200944</v>
      </c>
    </row>
    <row r="16" spans="1:16" x14ac:dyDescent="0.15">
      <c r="A16" s="154"/>
      <c r="B16" s="151"/>
      <c r="C16" s="152"/>
      <c r="D16" s="153"/>
      <c r="E16" s="153"/>
      <c r="F16" s="157"/>
      <c r="G16" s="154"/>
      <c r="H16" s="152"/>
      <c r="I16" s="153" t="s">
        <v>745</v>
      </c>
      <c r="J16" s="152">
        <v>640</v>
      </c>
      <c r="K16" s="154" t="s">
        <v>724</v>
      </c>
      <c r="L16" s="154"/>
      <c r="M16" s="227"/>
      <c r="N16" s="154"/>
      <c r="O16" s="227">
        <f t="shared" si="1"/>
        <v>57053.337362009428</v>
      </c>
      <c r="P16" s="152">
        <f t="shared" si="2"/>
        <v>133183.95236200944</v>
      </c>
    </row>
    <row r="17" spans="1:16" x14ac:dyDescent="0.15">
      <c r="A17" s="154"/>
      <c r="B17" s="151"/>
      <c r="C17" s="152"/>
      <c r="D17" s="153"/>
      <c r="E17" s="153"/>
      <c r="F17" s="157"/>
      <c r="G17" s="154"/>
      <c r="H17" s="152"/>
      <c r="I17" s="153" t="s">
        <v>746</v>
      </c>
      <c r="J17" s="152">
        <v>779.98400000000004</v>
      </c>
      <c r="K17" s="154" t="s">
        <v>724</v>
      </c>
      <c r="L17" s="154"/>
      <c r="M17" s="227"/>
      <c r="N17" s="154"/>
      <c r="O17" s="227">
        <f t="shared" si="1"/>
        <v>56273.353362009431</v>
      </c>
      <c r="P17" s="152">
        <f t="shared" si="2"/>
        <v>132403.96836200944</v>
      </c>
    </row>
    <row r="18" spans="1:16" hidden="1" x14ac:dyDescent="0.15">
      <c r="A18" s="154"/>
      <c r="B18" s="151"/>
      <c r="C18" s="152"/>
      <c r="D18" s="153"/>
      <c r="E18" s="153"/>
      <c r="F18" s="157"/>
      <c r="G18" s="154"/>
      <c r="H18" s="152"/>
      <c r="I18" s="153"/>
      <c r="J18" s="152"/>
      <c r="K18" s="154"/>
      <c r="L18" s="154"/>
      <c r="M18" s="227"/>
      <c r="N18" s="154"/>
      <c r="O18" s="227">
        <f t="shared" si="1"/>
        <v>56273.353362009431</v>
      </c>
      <c r="P18" s="152">
        <f t="shared" si="2"/>
        <v>132403.96836200944</v>
      </c>
    </row>
    <row r="19" spans="1:16" hidden="1" x14ac:dyDescent="0.15">
      <c r="A19" s="154"/>
      <c r="B19" s="151"/>
      <c r="C19" s="152"/>
      <c r="D19" s="153"/>
      <c r="E19" s="153"/>
      <c r="F19" s="157"/>
      <c r="G19" s="154"/>
      <c r="H19" s="152"/>
      <c r="I19" s="153"/>
      <c r="J19" s="152"/>
      <c r="K19" s="154"/>
      <c r="L19" s="154"/>
      <c r="M19" s="227"/>
      <c r="N19" s="154"/>
      <c r="O19" s="227">
        <f t="shared" si="1"/>
        <v>56273.353362009431</v>
      </c>
      <c r="P19" s="152">
        <f t="shared" si="2"/>
        <v>132403.96836200944</v>
      </c>
    </row>
    <row r="20" spans="1:16" hidden="1" x14ac:dyDescent="0.15">
      <c r="A20" s="154"/>
      <c r="B20" s="151"/>
      <c r="C20" s="152"/>
      <c r="D20" s="153"/>
      <c r="E20" s="153"/>
      <c r="F20" s="157"/>
      <c r="G20" s="154"/>
      <c r="H20" s="152"/>
      <c r="I20" s="153"/>
      <c r="J20" s="152"/>
      <c r="K20" s="154"/>
      <c r="L20" s="154"/>
      <c r="M20" s="227"/>
      <c r="N20" s="154"/>
      <c r="O20" s="227">
        <f t="shared" si="1"/>
        <v>56273.353362009431</v>
      </c>
      <c r="P20" s="152">
        <f t="shared" si="2"/>
        <v>132403.96836200944</v>
      </c>
    </row>
    <row r="21" spans="1:16" hidden="1" x14ac:dyDescent="0.15">
      <c r="A21" s="154"/>
      <c r="B21" s="151"/>
      <c r="C21" s="152"/>
      <c r="D21" s="153"/>
      <c r="E21" s="153"/>
      <c r="F21" s="157"/>
      <c r="G21" s="154"/>
      <c r="H21" s="152"/>
      <c r="I21" s="153"/>
      <c r="J21" s="152"/>
      <c r="K21" s="154"/>
      <c r="L21" s="154"/>
      <c r="M21" s="227"/>
      <c r="N21" s="154"/>
      <c r="O21" s="227">
        <f t="shared" si="1"/>
        <v>56273.353362009431</v>
      </c>
      <c r="P21" s="152">
        <f t="shared" si="2"/>
        <v>132403.96836200944</v>
      </c>
    </row>
    <row r="22" spans="1:16" hidden="1" x14ac:dyDescent="0.15">
      <c r="A22" s="154"/>
      <c r="B22" s="151"/>
      <c r="C22" s="152"/>
      <c r="D22" s="153"/>
      <c r="E22" s="153"/>
      <c r="F22" s="157"/>
      <c r="G22" s="154"/>
      <c r="H22" s="152"/>
      <c r="I22" s="153"/>
      <c r="J22" s="152"/>
      <c r="K22" s="150"/>
      <c r="L22" s="154"/>
      <c r="M22" s="227"/>
      <c r="N22" s="154"/>
      <c r="O22" s="227">
        <f t="shared" si="1"/>
        <v>56273.353362009431</v>
      </c>
      <c r="P22" s="152">
        <f t="shared" si="2"/>
        <v>132403.96836200944</v>
      </c>
    </row>
    <row r="23" spans="1:16" hidden="1" x14ac:dyDescent="0.15">
      <c r="A23" s="154"/>
      <c r="B23" s="151"/>
      <c r="C23" s="152"/>
      <c r="D23" s="153"/>
      <c r="E23" s="153"/>
      <c r="F23" s="157"/>
      <c r="G23" s="154"/>
      <c r="H23" s="152"/>
      <c r="I23" s="153"/>
      <c r="J23" s="152"/>
      <c r="K23" s="154"/>
      <c r="L23" s="154"/>
      <c r="M23" s="227"/>
      <c r="N23" s="154"/>
      <c r="O23" s="227">
        <f t="shared" si="1"/>
        <v>56273.353362009431</v>
      </c>
      <c r="P23" s="152">
        <f t="shared" si="2"/>
        <v>132403.96836200944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4"/>
      <c r="L24" s="154"/>
      <c r="M24" s="227"/>
      <c r="N24" s="154"/>
      <c r="O24" s="227">
        <f t="shared" si="1"/>
        <v>56273.353362009431</v>
      </c>
      <c r="P24" s="152">
        <f t="shared" si="2"/>
        <v>132403.96836200944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227"/>
      <c r="N25" s="154"/>
      <c r="O25" s="227">
        <f t="shared" si="1"/>
        <v>56273.353362009431</v>
      </c>
      <c r="P25" s="152">
        <f t="shared" si="2"/>
        <v>132403.96836200944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4"/>
      <c r="L26" s="154"/>
      <c r="M26" s="227"/>
      <c r="N26" s="154"/>
      <c r="O26" s="227">
        <f t="shared" si="1"/>
        <v>56273.353362009431</v>
      </c>
      <c r="P26" s="152">
        <f t="shared" si="2"/>
        <v>132403.96836200944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227"/>
      <c r="N27" s="157"/>
      <c r="O27" s="227">
        <f t="shared" si="1"/>
        <v>56273.353362009431</v>
      </c>
      <c r="P27" s="152">
        <f t="shared" si="2"/>
        <v>132403.96836200944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4"/>
      <c r="L28" s="154"/>
      <c r="M28" s="227"/>
      <c r="N28" s="157"/>
      <c r="O28" s="227">
        <f t="shared" si="1"/>
        <v>56273.353362009431</v>
      </c>
      <c r="P28" s="152">
        <f t="shared" si="2"/>
        <v>132403.96836200944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4"/>
      <c r="L29" s="154"/>
      <c r="M29" s="227"/>
      <c r="N29" s="154"/>
      <c r="O29" s="227">
        <f t="shared" si="1"/>
        <v>56273.353362009431</v>
      </c>
      <c r="P29" s="152">
        <f t="shared" si="2"/>
        <v>132403.96836200944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4"/>
      <c r="L30" s="154"/>
      <c r="M30" s="227"/>
      <c r="N30" s="157"/>
      <c r="O30" s="227">
        <f t="shared" si="1"/>
        <v>56273.353362009431</v>
      </c>
      <c r="P30" s="152">
        <f t="shared" si="2"/>
        <v>132403.96836200944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4"/>
      <c r="L31" s="154"/>
      <c r="M31" s="227"/>
      <c r="N31" s="157"/>
      <c r="O31" s="227">
        <f t="shared" si="1"/>
        <v>56273.353362009431</v>
      </c>
      <c r="P31" s="152">
        <f t="shared" si="2"/>
        <v>132403.96836200944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227"/>
      <c r="N32" s="157"/>
      <c r="O32" s="227">
        <f t="shared" si="1"/>
        <v>56273.353362009431</v>
      </c>
      <c r="P32" s="152">
        <f t="shared" si="2"/>
        <v>132403.96836200944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227"/>
      <c r="N33" s="157"/>
      <c r="O33" s="227">
        <f t="shared" si="1"/>
        <v>56273.353362009431</v>
      </c>
      <c r="P33" s="152">
        <f t="shared" si="2"/>
        <v>132403.96836200944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7"/>
      <c r="L34" s="154"/>
      <c r="M34" s="227"/>
      <c r="N34" s="157"/>
      <c r="O34" s="227">
        <f t="shared" si="1"/>
        <v>56273.353362009431</v>
      </c>
      <c r="P34" s="152">
        <f t="shared" si="2"/>
        <v>132403.96836200944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7"/>
      <c r="L35" s="154"/>
      <c r="M35" s="227"/>
      <c r="N35" s="157"/>
      <c r="O35" s="227">
        <f t="shared" si="1"/>
        <v>56273.353362009431</v>
      </c>
      <c r="P35" s="152">
        <f t="shared" si="2"/>
        <v>132403.96836200944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227"/>
      <c r="N36" s="157"/>
      <c r="O36" s="227">
        <f t="shared" si="1"/>
        <v>56273.353362009431</v>
      </c>
      <c r="P36" s="152">
        <f t="shared" si="2"/>
        <v>132403.96836200944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7"/>
      <c r="L37" s="154"/>
      <c r="M37" s="227"/>
      <c r="N37" s="157"/>
      <c r="O37" s="227">
        <f t="shared" si="1"/>
        <v>56273.353362009431</v>
      </c>
      <c r="P37" s="152">
        <f t="shared" si="2"/>
        <v>132403.96836200944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7"/>
      <c r="L38" s="154"/>
      <c r="M38" s="227"/>
      <c r="N38" s="157"/>
      <c r="O38" s="227">
        <f t="shared" si="1"/>
        <v>56273.353362009431</v>
      </c>
      <c r="P38" s="152">
        <f t="shared" si="2"/>
        <v>132403.96836200944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227"/>
      <c r="N39" s="157"/>
      <c r="O39" s="227">
        <f t="shared" si="1"/>
        <v>56273.353362009431</v>
      </c>
      <c r="P39" s="152">
        <f t="shared" si="2"/>
        <v>132403.96836200944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227"/>
      <c r="N40" s="157"/>
      <c r="O40" s="227">
        <f t="shared" si="1"/>
        <v>56273.353362009431</v>
      </c>
      <c r="P40" s="152">
        <f t="shared" si="2"/>
        <v>132403.96836200944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227"/>
      <c r="N41" s="157"/>
      <c r="O41" s="227">
        <f t="shared" si="1"/>
        <v>56273.353362009431</v>
      </c>
      <c r="P41" s="152">
        <f t="shared" si="2"/>
        <v>132403.96836200944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227"/>
      <c r="N42" s="157"/>
      <c r="O42" s="227">
        <f t="shared" si="1"/>
        <v>56273.353362009431</v>
      </c>
      <c r="P42" s="152">
        <f t="shared" si="2"/>
        <v>132403.96836200944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0"/>
      <c r="L43" s="154"/>
      <c r="M43" s="227"/>
      <c r="N43" s="157"/>
      <c r="O43" s="227">
        <f t="shared" si="1"/>
        <v>56273.353362009431</v>
      </c>
      <c r="P43" s="152">
        <f t="shared" si="2"/>
        <v>132403.96836200944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0"/>
      <c r="L44" s="154"/>
      <c r="M44" s="227"/>
      <c r="N44" s="157"/>
      <c r="O44" s="227">
        <f t="shared" si="1"/>
        <v>56273.353362009431</v>
      </c>
      <c r="P44" s="152">
        <f t="shared" si="2"/>
        <v>132403.96836200944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7"/>
      <c r="L45" s="154"/>
      <c r="M45" s="227"/>
      <c r="N45" s="157"/>
      <c r="O45" s="227">
        <f t="shared" si="1"/>
        <v>56273.353362009431</v>
      </c>
      <c r="P45" s="152">
        <f t="shared" si="2"/>
        <v>132403.96836200944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7"/>
      <c r="L46" s="154"/>
      <c r="M46" s="227"/>
      <c r="N46" s="157"/>
      <c r="O46" s="227">
        <f t="shared" si="1"/>
        <v>56273.353362009431</v>
      </c>
      <c r="P46" s="152">
        <f t="shared" si="2"/>
        <v>132403.96836200944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227"/>
      <c r="N47" s="157"/>
      <c r="O47" s="227">
        <f t="shared" si="1"/>
        <v>56273.353362009431</v>
      </c>
      <c r="P47" s="152">
        <f t="shared" si="2"/>
        <v>132403.96836200944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227"/>
      <c r="N48" s="157"/>
      <c r="O48" s="227">
        <f t="shared" si="1"/>
        <v>56273.353362009431</v>
      </c>
      <c r="P48" s="152">
        <f t="shared" si="2"/>
        <v>132403.96836200944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7"/>
      <c r="L49" s="154"/>
      <c r="M49" s="227"/>
      <c r="N49" s="157"/>
      <c r="O49" s="227">
        <f t="shared" si="1"/>
        <v>56273.353362009431</v>
      </c>
      <c r="P49" s="152">
        <f t="shared" si="2"/>
        <v>132403.96836200944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0"/>
      <c r="L50" s="154"/>
      <c r="M50" s="227"/>
      <c r="N50" s="157"/>
      <c r="O50" s="227">
        <f t="shared" si="1"/>
        <v>56273.353362009431</v>
      </c>
      <c r="P50" s="152">
        <f t="shared" si="2"/>
        <v>132403.96836200944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227"/>
      <c r="N51" s="157"/>
      <c r="O51" s="227">
        <f t="shared" si="1"/>
        <v>56273.353362009431</v>
      </c>
      <c r="P51" s="152">
        <f t="shared" si="2"/>
        <v>132403.96836200944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7"/>
      <c r="L52" s="154"/>
      <c r="M52" s="227"/>
      <c r="N52" s="157"/>
      <c r="O52" s="227">
        <f t="shared" si="1"/>
        <v>56273.353362009431</v>
      </c>
      <c r="P52" s="152">
        <f t="shared" si="2"/>
        <v>132403.96836200944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7"/>
      <c r="L53" s="154"/>
      <c r="M53" s="227"/>
      <c r="N53" s="157"/>
      <c r="O53" s="227">
        <f t="shared" si="1"/>
        <v>56273.353362009431</v>
      </c>
      <c r="P53" s="152">
        <f t="shared" si="2"/>
        <v>132403.96836200944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227"/>
      <c r="N54" s="157"/>
      <c r="O54" s="227">
        <f t="shared" si="1"/>
        <v>56273.353362009431</v>
      </c>
      <c r="P54" s="152">
        <f t="shared" si="2"/>
        <v>132403.96836200944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7"/>
      <c r="L55" s="154"/>
      <c r="M55" s="227"/>
      <c r="N55" s="157"/>
      <c r="O55" s="227">
        <f t="shared" si="1"/>
        <v>56273.353362009431</v>
      </c>
      <c r="P55" s="152">
        <f t="shared" si="2"/>
        <v>132403.96836200944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227"/>
      <c r="N56" s="157"/>
      <c r="O56" s="227">
        <f t="shared" si="1"/>
        <v>56273.353362009431</v>
      </c>
      <c r="P56" s="152">
        <f t="shared" si="2"/>
        <v>132403.96836200944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227"/>
      <c r="N57" s="157"/>
      <c r="O57" s="227">
        <f t="shared" si="1"/>
        <v>56273.353362009431</v>
      </c>
      <c r="P57" s="152">
        <f t="shared" si="2"/>
        <v>132403.96836200944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227"/>
      <c r="N58" s="157"/>
      <c r="O58" s="227">
        <f t="shared" si="1"/>
        <v>56273.353362009431</v>
      </c>
      <c r="P58" s="152">
        <f t="shared" si="2"/>
        <v>132403.96836200944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7"/>
      <c r="L59" s="154"/>
      <c r="M59" s="227"/>
      <c r="N59" s="157"/>
      <c r="O59" s="227">
        <f t="shared" si="1"/>
        <v>56273.353362009431</v>
      </c>
      <c r="P59" s="152">
        <f t="shared" si="2"/>
        <v>132403.96836200944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0"/>
      <c r="L60" s="154"/>
      <c r="M60" s="227"/>
      <c r="N60" s="157"/>
      <c r="O60" s="227">
        <f t="shared" si="1"/>
        <v>56273.353362009431</v>
      </c>
      <c r="P60" s="152">
        <f t="shared" si="2"/>
        <v>132403.96836200944</v>
      </c>
    </row>
    <row r="61" spans="1:16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0"/>
      <c r="L61" s="154"/>
      <c r="M61" s="227"/>
      <c r="N61" s="157"/>
      <c r="O61" s="227">
        <f t="shared" si="1"/>
        <v>56273.353362009431</v>
      </c>
      <c r="P61" s="152">
        <f t="shared" si="2"/>
        <v>132403.96836200944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0"/>
      <c r="L62" s="154"/>
      <c r="M62" s="227"/>
      <c r="N62" s="157"/>
      <c r="O62" s="227">
        <f t="shared" ref="O62:O72" si="3">+O61-J62-M62</f>
        <v>56273.353362009431</v>
      </c>
      <c r="P62" s="152">
        <f t="shared" si="0"/>
        <v>132403.96836200944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227"/>
      <c r="N63" s="157"/>
      <c r="O63" s="227">
        <f t="shared" si="3"/>
        <v>56273.353362009431</v>
      </c>
      <c r="P63" s="152">
        <f t="shared" si="0"/>
        <v>132403.96836200944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227"/>
      <c r="N64" s="157"/>
      <c r="O64" s="227">
        <f t="shared" si="3"/>
        <v>56273.353362009431</v>
      </c>
      <c r="P64" s="152">
        <f t="shared" si="0"/>
        <v>132403.96836200944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0"/>
      <c r="L65" s="154"/>
      <c r="M65" s="227"/>
      <c r="N65" s="157"/>
      <c r="O65" s="227">
        <f t="shared" si="3"/>
        <v>56273.353362009431</v>
      </c>
      <c r="P65" s="152">
        <f t="shared" si="0"/>
        <v>132403.96836200944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227"/>
      <c r="N66" s="157"/>
      <c r="O66" s="227">
        <f t="shared" si="3"/>
        <v>56273.353362009431</v>
      </c>
      <c r="P66" s="152">
        <f t="shared" si="0"/>
        <v>132403.96836200944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0"/>
      <c r="L67" s="154"/>
      <c r="M67" s="227"/>
      <c r="N67" s="157"/>
      <c r="O67" s="227">
        <f t="shared" si="3"/>
        <v>56273.353362009431</v>
      </c>
      <c r="P67" s="152">
        <f t="shared" si="0"/>
        <v>132403.96836200944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0"/>
      <c r="L68" s="154"/>
      <c r="M68" s="227"/>
      <c r="N68" s="157"/>
      <c r="O68" s="227">
        <f t="shared" si="3"/>
        <v>56273.353362009431</v>
      </c>
      <c r="P68" s="152">
        <f t="shared" si="0"/>
        <v>132403.96836200944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0"/>
      <c r="L69" s="154"/>
      <c r="M69" s="227"/>
      <c r="N69" s="157"/>
      <c r="O69" s="227">
        <f t="shared" si="3"/>
        <v>56273.353362009431</v>
      </c>
      <c r="P69" s="152">
        <f t="shared" si="0"/>
        <v>132403.96836200944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0"/>
      <c r="L70" s="154"/>
      <c r="M70" s="227"/>
      <c r="N70" s="157"/>
      <c r="O70" s="227">
        <f t="shared" si="3"/>
        <v>56273.353362009431</v>
      </c>
      <c r="P70" s="152">
        <f t="shared" si="0"/>
        <v>132403.96836200944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227"/>
      <c r="N71" s="157"/>
      <c r="O71" s="227">
        <f t="shared" si="3"/>
        <v>56273.353362009431</v>
      </c>
      <c r="P71" s="152">
        <f t="shared" si="0"/>
        <v>132403.96836200944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227"/>
      <c r="N72" s="157"/>
      <c r="O72" s="227">
        <f t="shared" si="3"/>
        <v>56273.353362009431</v>
      </c>
      <c r="P72" s="152">
        <f t="shared" ref="P72:P75" si="4">P71+H72-J72-M72</f>
        <v>132403.96836200944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227"/>
      <c r="N73" s="150"/>
      <c r="O73" s="227">
        <f t="shared" ref="O73:O75" si="5">+O72-J73-M73</f>
        <v>56273.353362009431</v>
      </c>
      <c r="P73" s="152">
        <f t="shared" si="4"/>
        <v>132403.96836200944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227"/>
      <c r="N74" s="157"/>
      <c r="O74" s="227">
        <f t="shared" si="5"/>
        <v>56273.353362009431</v>
      </c>
      <c r="P74" s="152">
        <f t="shared" si="4"/>
        <v>132403.96836200944</v>
      </c>
    </row>
    <row r="75" spans="1:16" hidden="1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5"/>
        <v>56273.353362009431</v>
      </c>
      <c r="P75" s="152">
        <f t="shared" si="4"/>
        <v>132403.96836200944</v>
      </c>
    </row>
    <row r="76" spans="1:16" x14ac:dyDescent="0.15">
      <c r="A76" s="177"/>
      <c r="B76" s="177"/>
      <c r="C76" s="178">
        <f>SUM(C7:C74)</f>
        <v>140041.91936200944</v>
      </c>
      <c r="D76" s="177"/>
      <c r="E76" s="177"/>
      <c r="F76" s="177"/>
      <c r="G76" s="177"/>
      <c r="H76" s="178">
        <f>SUM(H7:H74)</f>
        <v>0</v>
      </c>
      <c r="I76" s="179"/>
      <c r="J76" s="178">
        <f>SUM(J7:J74)</f>
        <v>7637.9510000000009</v>
      </c>
      <c r="K76" s="177"/>
      <c r="L76" s="177"/>
      <c r="M76" s="229">
        <f>SUM(M9:M74)</f>
        <v>0</v>
      </c>
      <c r="N76" s="177"/>
      <c r="O76" s="180"/>
      <c r="P76" s="181">
        <f>C76+H76-J76-M76</f>
        <v>132403.96836200944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7637.9510000000009</v>
      </c>
      <c r="N77" s="188"/>
      <c r="O77" s="230">
        <f>+O75</f>
        <v>56273.353362009431</v>
      </c>
      <c r="P77" s="195" t="s">
        <v>724</v>
      </c>
    </row>
    <row r="78" spans="1:16" x14ac:dyDescent="0.15">
      <c r="A78" s="193"/>
      <c r="B78" s="470"/>
      <c r="C78" s="470"/>
      <c r="D78" s="470"/>
      <c r="E78" s="183"/>
      <c r="F78" s="472"/>
      <c r="G78" s="472"/>
      <c r="H78" s="219"/>
      <c r="I78" s="186"/>
      <c r="J78" s="187"/>
      <c r="K78" s="210"/>
      <c r="L78" s="210"/>
      <c r="O78" s="230">
        <f>+C8</f>
        <v>76130.615000000005</v>
      </c>
      <c r="P78" s="195" t="s">
        <v>725</v>
      </c>
    </row>
    <row r="79" spans="1:16" x14ac:dyDescent="0.15">
      <c r="A79" s="193"/>
      <c r="B79" s="470"/>
      <c r="C79" s="470"/>
      <c r="D79" s="470"/>
      <c r="E79" s="183"/>
      <c r="F79" s="472"/>
      <c r="G79" s="472"/>
      <c r="H79" s="219"/>
      <c r="I79" s="186"/>
      <c r="J79" s="187"/>
      <c r="K79" s="210"/>
      <c r="L79" s="210"/>
      <c r="O79" s="230"/>
      <c r="P79" s="192"/>
    </row>
    <row r="80" spans="1:16" x14ac:dyDescent="0.15">
      <c r="A80" s="193"/>
      <c r="B80" s="470"/>
      <c r="C80" s="470"/>
      <c r="D80" s="470"/>
      <c r="E80" s="183"/>
      <c r="F80" s="472"/>
      <c r="G80" s="472"/>
      <c r="H80" s="219"/>
      <c r="I80" s="186"/>
      <c r="J80" s="187"/>
      <c r="K80" s="210"/>
      <c r="L80" s="210"/>
      <c r="O80" s="230"/>
      <c r="P80" s="192"/>
    </row>
    <row r="81" spans="1:16" x14ac:dyDescent="0.15">
      <c r="A81" s="133"/>
      <c r="B81" s="133"/>
      <c r="C81" s="220"/>
      <c r="F81" s="133"/>
      <c r="G81" s="193"/>
      <c r="H81" s="219"/>
      <c r="I81" s="186"/>
      <c r="J81" s="187"/>
      <c r="K81" s="210"/>
      <c r="L81" s="210"/>
      <c r="O81" s="230"/>
      <c r="P81" s="195"/>
    </row>
    <row r="82" spans="1:16" x14ac:dyDescent="0.15">
      <c r="A82" s="193"/>
      <c r="B82" s="210"/>
      <c r="C82" s="221"/>
      <c r="D82" s="235"/>
      <c r="E82" s="235"/>
      <c r="F82" s="236"/>
      <c r="G82" s="193"/>
      <c r="H82" s="219"/>
      <c r="I82" s="186"/>
      <c r="J82" s="187"/>
      <c r="K82" s="210"/>
      <c r="L82" s="210"/>
      <c r="O82" s="230"/>
      <c r="P82" s="195"/>
    </row>
    <row r="83" spans="1:16" x14ac:dyDescent="0.15">
      <c r="A83" s="193"/>
      <c r="B83" s="133"/>
      <c r="C83" s="220"/>
      <c r="F83" s="133"/>
      <c r="G83" s="193"/>
      <c r="H83" s="219"/>
      <c r="I83" s="186"/>
      <c r="J83" s="187"/>
      <c r="K83" s="210"/>
      <c r="L83" s="210"/>
      <c r="O83" s="230"/>
      <c r="P83" s="195"/>
    </row>
    <row r="84" spans="1:16" x14ac:dyDescent="0.15">
      <c r="A84" s="133"/>
      <c r="B84" s="133"/>
      <c r="C84" s="220"/>
      <c r="F84" s="133"/>
      <c r="H84" s="133"/>
      <c r="I84" s="187"/>
      <c r="J84" s="210"/>
      <c r="K84" s="210"/>
      <c r="L84" s="210"/>
      <c r="O84" s="206" t="s">
        <v>33</v>
      </c>
      <c r="P84" s="207">
        <f>SUM(O77:O83)</f>
        <v>132403.96836200944</v>
      </c>
    </row>
    <row r="85" spans="1:16" x14ac:dyDescent="0.15">
      <c r="A85" s="133"/>
      <c r="B85" s="133"/>
      <c r="C85" s="220"/>
      <c r="F85" s="133"/>
      <c r="H85" s="133"/>
      <c r="I85" s="187"/>
      <c r="J85" s="210"/>
      <c r="K85" s="210"/>
      <c r="L85" s="210"/>
      <c r="P85" s="132">
        <f>+P76-P84</f>
        <v>0</v>
      </c>
    </row>
    <row r="86" spans="1:16" x14ac:dyDescent="0.15">
      <c r="A86" s="133"/>
      <c r="B86" s="133"/>
      <c r="C86" s="220"/>
      <c r="F86" s="133"/>
      <c r="H86" s="133"/>
      <c r="I86" s="187"/>
      <c r="J86" s="210"/>
      <c r="K86" s="210"/>
      <c r="L86" s="210"/>
    </row>
    <row r="87" spans="1:16" x14ac:dyDescent="0.15">
      <c r="A87" s="133"/>
      <c r="B87" s="133"/>
      <c r="C87" s="220"/>
      <c r="F87" s="133"/>
      <c r="H87" s="133"/>
      <c r="I87" s="187"/>
      <c r="J87" s="210"/>
      <c r="K87" s="210"/>
      <c r="L87" s="210"/>
    </row>
    <row r="88" spans="1:16" x14ac:dyDescent="0.15">
      <c r="A88" s="133"/>
      <c r="B88" s="133"/>
      <c r="C88" s="220"/>
      <c r="F88" s="133"/>
      <c r="H88" s="133"/>
      <c r="I88" s="187"/>
      <c r="J88" s="210"/>
      <c r="K88" s="210"/>
      <c r="L88" s="210"/>
    </row>
    <row r="89" spans="1:16" x14ac:dyDescent="0.15">
      <c r="A89" s="133"/>
      <c r="B89" s="133"/>
      <c r="C89" s="220"/>
      <c r="F89" s="133"/>
      <c r="L89" s="210"/>
    </row>
    <row r="90" spans="1:16" x14ac:dyDescent="0.15">
      <c r="A90" s="133"/>
      <c r="B90" s="133"/>
      <c r="C90" s="220"/>
      <c r="F90" s="133"/>
      <c r="L90" s="210"/>
    </row>
    <row r="91" spans="1:16" x14ac:dyDescent="0.15">
      <c r="A91" s="133"/>
      <c r="B91" s="133"/>
      <c r="C91" s="220"/>
      <c r="F91" s="133"/>
      <c r="L91" s="210"/>
    </row>
    <row r="92" spans="1:16" x14ac:dyDescent="0.15">
      <c r="L92" s="210"/>
    </row>
    <row r="93" spans="1:16" x14ac:dyDescent="0.15">
      <c r="L93" s="210"/>
    </row>
    <row r="94" spans="1:16" s="132" customFormat="1" x14ac:dyDescent="0.15">
      <c r="A94" s="134"/>
      <c r="B94" s="131"/>
      <c r="D94" s="133"/>
      <c r="E94" s="133"/>
      <c r="F94" s="134"/>
      <c r="G94" s="133"/>
      <c r="I94" s="133"/>
      <c r="K94" s="134"/>
      <c r="L94" s="210"/>
      <c r="N94" s="134"/>
    </row>
    <row r="95" spans="1:16" s="132" customFormat="1" x14ac:dyDescent="0.15">
      <c r="A95" s="133"/>
      <c r="C95" s="134"/>
      <c r="D95" s="210"/>
      <c r="F95" s="134"/>
    </row>
    <row r="96" spans="1:16" s="132" customFormat="1" x14ac:dyDescent="0.15">
      <c r="A96" s="133"/>
      <c r="C96" s="134"/>
      <c r="D96" s="210"/>
      <c r="F96" s="134"/>
    </row>
    <row r="97" spans="1:16" s="132" customFormat="1" x14ac:dyDescent="0.15">
      <c r="A97" s="133"/>
      <c r="C97" s="134"/>
      <c r="D97" s="210"/>
      <c r="F97" s="134"/>
    </row>
    <row r="98" spans="1:16" s="132" customFormat="1" x14ac:dyDescent="0.15">
      <c r="A98" s="133"/>
      <c r="C98" s="134"/>
      <c r="D98" s="210"/>
      <c r="F98" s="134"/>
    </row>
    <row r="99" spans="1:16" x14ac:dyDescent="0.15">
      <c r="A99" s="133"/>
      <c r="B99" s="132"/>
      <c r="C99" s="134"/>
      <c r="E99" s="132"/>
      <c r="G99" s="132"/>
      <c r="I99" s="134"/>
      <c r="J99" s="134"/>
      <c r="L99" s="134"/>
      <c r="M99" s="134"/>
      <c r="O99" s="134"/>
      <c r="P99" s="134"/>
    </row>
    <row r="100" spans="1:16" x14ac:dyDescent="0.15">
      <c r="A100" s="133"/>
      <c r="B100" s="132"/>
      <c r="C100" s="134"/>
      <c r="E100" s="132"/>
      <c r="G100" s="132"/>
      <c r="I100" s="134"/>
      <c r="J100" s="134"/>
      <c r="L100" s="134"/>
      <c r="M100" s="134"/>
      <c r="O100" s="134"/>
      <c r="P100" s="134"/>
    </row>
    <row r="101" spans="1:16" x14ac:dyDescent="0.15">
      <c r="A101" s="133"/>
      <c r="B101" s="132"/>
      <c r="C101" s="134"/>
      <c r="E101" s="132"/>
      <c r="G101" s="132"/>
      <c r="I101" s="134"/>
      <c r="J101" s="134"/>
      <c r="L101" s="134"/>
      <c r="M101" s="134"/>
      <c r="O101" s="134"/>
      <c r="P101" s="134"/>
    </row>
    <row r="102" spans="1:16" x14ac:dyDescent="0.15">
      <c r="A102" s="133"/>
      <c r="B102" s="132"/>
      <c r="C102" s="134"/>
      <c r="E102" s="132"/>
      <c r="G102" s="132"/>
      <c r="I102" s="134"/>
      <c r="J102" s="134"/>
      <c r="L102" s="134"/>
      <c r="M102" s="134"/>
      <c r="O102" s="134"/>
      <c r="P102" s="134"/>
    </row>
    <row r="103" spans="1:16" x14ac:dyDescent="0.15">
      <c r="A103" s="133"/>
      <c r="B103" s="132"/>
      <c r="C103" s="134"/>
      <c r="E103" s="132"/>
      <c r="G103" s="132"/>
      <c r="I103" s="134"/>
      <c r="J103" s="134"/>
      <c r="L103" s="134"/>
      <c r="M103" s="134"/>
      <c r="O103" s="134"/>
      <c r="P103" s="134"/>
    </row>
    <row r="104" spans="1:16" x14ac:dyDescent="0.15">
      <c r="A104" s="133"/>
      <c r="B104" s="132"/>
      <c r="C104" s="134"/>
      <c r="E104" s="132"/>
      <c r="G104" s="132"/>
      <c r="I104" s="134"/>
      <c r="J104" s="134"/>
      <c r="L104" s="134"/>
      <c r="M104" s="134"/>
      <c r="O104" s="134"/>
      <c r="P104" s="134"/>
    </row>
    <row r="105" spans="1:16" x14ac:dyDescent="0.15">
      <c r="A105" s="133"/>
      <c r="B105" s="132"/>
      <c r="C105" s="134"/>
      <c r="E105" s="132"/>
      <c r="G105" s="132"/>
      <c r="I105" s="134"/>
      <c r="J105" s="134"/>
      <c r="L105" s="134"/>
      <c r="M105" s="134"/>
      <c r="O105" s="134"/>
      <c r="P105" s="134"/>
    </row>
    <row r="106" spans="1:16" x14ac:dyDescent="0.15">
      <c r="A106" s="133"/>
      <c r="B106" s="132"/>
      <c r="C106" s="134"/>
      <c r="E106" s="132"/>
      <c r="G106" s="132"/>
      <c r="I106" s="134"/>
      <c r="J106" s="134"/>
      <c r="L106" s="134"/>
      <c r="M106" s="134"/>
      <c r="O106" s="134"/>
      <c r="P106" s="134"/>
    </row>
  </sheetData>
  <mergeCells count="14">
    <mergeCell ref="J3:L3"/>
    <mergeCell ref="A4:C4"/>
    <mergeCell ref="D4:H4"/>
    <mergeCell ref="I4:N4"/>
    <mergeCell ref="J5:K5"/>
    <mergeCell ref="L5:N5"/>
    <mergeCell ref="B80:D80"/>
    <mergeCell ref="F80:G80"/>
    <mergeCell ref="B77:D77"/>
    <mergeCell ref="F77:G77"/>
    <mergeCell ref="B78:D78"/>
    <mergeCell ref="F78:G78"/>
    <mergeCell ref="B79:D79"/>
    <mergeCell ref="F79:G79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zoomScale="115" zoomScaleNormal="115" workbookViewId="0">
      <pane ySplit="6" topLeftCell="A7" activePane="bottomLeft" state="frozen"/>
      <selection pane="bottomLeft" activeCell="A78" sqref="A78:K84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1.8554687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733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724</v>
      </c>
      <c r="B7" s="146"/>
      <c r="C7" s="147">
        <v>73084.304362009425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73084.304362009425</v>
      </c>
      <c r="P7" s="147">
        <f>+C76</f>
        <v>149214.91936200944</v>
      </c>
    </row>
    <row r="8" spans="1:16" x14ac:dyDescent="0.15">
      <c r="A8" s="154" t="s">
        <v>725</v>
      </c>
      <c r="B8" s="151"/>
      <c r="C8" s="152">
        <v>76130.615000000005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73084.304362009425</v>
      </c>
      <c r="P8" s="152">
        <f t="shared" ref="P8:P71" si="0">P7+H8-J8-M8</f>
        <v>149214.91936200944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61" si="1">+O8-J9-M9</f>
        <v>73084.304362009425</v>
      </c>
      <c r="P9" s="152">
        <f t="shared" ref="P9:P61" si="2">P8+H9-J9-M9</f>
        <v>149214.91936200944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 t="s">
        <v>734</v>
      </c>
      <c r="J10" s="152">
        <v>500</v>
      </c>
      <c r="K10" s="150" t="s">
        <v>724</v>
      </c>
      <c r="L10" s="154"/>
      <c r="M10" s="227"/>
      <c r="N10" s="150"/>
      <c r="O10" s="227">
        <f t="shared" si="1"/>
        <v>72584.304362009425</v>
      </c>
      <c r="P10" s="152">
        <f t="shared" si="2"/>
        <v>148714.91936200944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735</v>
      </c>
      <c r="J11" s="152">
        <v>776</v>
      </c>
      <c r="K11" s="150" t="s">
        <v>724</v>
      </c>
      <c r="L11" s="154"/>
      <c r="M11" s="227"/>
      <c r="N11" s="150"/>
      <c r="O11" s="227">
        <f t="shared" si="1"/>
        <v>71808.304362009425</v>
      </c>
      <c r="P11" s="152">
        <f t="shared" si="2"/>
        <v>147938.91936200944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736</v>
      </c>
      <c r="J12" s="152">
        <v>1380</v>
      </c>
      <c r="K12" s="150" t="s">
        <v>724</v>
      </c>
      <c r="L12" s="154"/>
      <c r="M12" s="227"/>
      <c r="N12" s="154"/>
      <c r="O12" s="227">
        <f t="shared" si="1"/>
        <v>70428.304362009425</v>
      </c>
      <c r="P12" s="152">
        <f t="shared" si="2"/>
        <v>146558.91936200944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737</v>
      </c>
      <c r="J13" s="152">
        <v>1122</v>
      </c>
      <c r="K13" s="150" t="s">
        <v>724</v>
      </c>
      <c r="L13" s="154"/>
      <c r="M13" s="227"/>
      <c r="N13" s="154"/>
      <c r="O13" s="227">
        <f t="shared" si="1"/>
        <v>69306.304362009425</v>
      </c>
      <c r="P13" s="152">
        <f t="shared" si="2"/>
        <v>145436.91936200944</v>
      </c>
    </row>
    <row r="14" spans="1:16" x14ac:dyDescent="0.15">
      <c r="A14" s="154"/>
      <c r="B14" s="151"/>
      <c r="C14" s="152"/>
      <c r="D14" s="153"/>
      <c r="E14" s="153"/>
      <c r="F14" s="157"/>
      <c r="G14" s="154"/>
      <c r="H14" s="152"/>
      <c r="I14" s="153" t="s">
        <v>738</v>
      </c>
      <c r="J14" s="152">
        <v>693</v>
      </c>
      <c r="K14" s="154" t="s">
        <v>724</v>
      </c>
      <c r="L14" s="154" t="s">
        <v>739</v>
      </c>
      <c r="M14" s="227">
        <v>4702</v>
      </c>
      <c r="N14" s="154" t="s">
        <v>724</v>
      </c>
      <c r="O14" s="227">
        <f t="shared" si="1"/>
        <v>63911.304362009425</v>
      </c>
      <c r="P14" s="152">
        <f t="shared" si="2"/>
        <v>140041.91936200944</v>
      </c>
    </row>
    <row r="15" spans="1:16" hidden="1" x14ac:dyDescent="0.15">
      <c r="A15" s="154"/>
      <c r="B15" s="151"/>
      <c r="C15" s="152"/>
      <c r="D15" s="153"/>
      <c r="E15" s="153"/>
      <c r="F15" s="157"/>
      <c r="G15" s="154"/>
      <c r="H15" s="152"/>
      <c r="I15" s="153"/>
      <c r="J15" s="152"/>
      <c r="K15" s="154"/>
      <c r="L15" s="154"/>
      <c r="M15" s="227"/>
      <c r="N15" s="154"/>
      <c r="O15" s="227">
        <f t="shared" si="1"/>
        <v>63911.304362009425</v>
      </c>
      <c r="P15" s="152">
        <f t="shared" si="2"/>
        <v>140041.91936200944</v>
      </c>
    </row>
    <row r="16" spans="1:16" hidden="1" x14ac:dyDescent="0.15">
      <c r="A16" s="154"/>
      <c r="B16" s="151"/>
      <c r="C16" s="152"/>
      <c r="D16" s="153"/>
      <c r="E16" s="153"/>
      <c r="F16" s="157"/>
      <c r="G16" s="154"/>
      <c r="H16" s="152"/>
      <c r="I16" s="153"/>
      <c r="J16" s="152"/>
      <c r="K16" s="154"/>
      <c r="L16" s="154"/>
      <c r="M16" s="227"/>
      <c r="N16" s="154"/>
      <c r="O16" s="227">
        <f t="shared" si="1"/>
        <v>63911.304362009425</v>
      </c>
      <c r="P16" s="152">
        <f t="shared" si="2"/>
        <v>140041.91936200944</v>
      </c>
    </row>
    <row r="17" spans="1:16" hidden="1" x14ac:dyDescent="0.15">
      <c r="A17" s="154"/>
      <c r="B17" s="151"/>
      <c r="C17" s="152"/>
      <c r="D17" s="153"/>
      <c r="E17" s="153"/>
      <c r="F17" s="157"/>
      <c r="G17" s="154"/>
      <c r="H17" s="152"/>
      <c r="I17" s="153"/>
      <c r="J17" s="152"/>
      <c r="K17" s="154"/>
      <c r="L17" s="154"/>
      <c r="M17" s="227"/>
      <c r="N17" s="154"/>
      <c r="O17" s="227">
        <f t="shared" si="1"/>
        <v>63911.304362009425</v>
      </c>
      <c r="P17" s="152">
        <f t="shared" si="2"/>
        <v>140041.91936200944</v>
      </c>
    </row>
    <row r="18" spans="1:16" hidden="1" x14ac:dyDescent="0.15">
      <c r="A18" s="154"/>
      <c r="B18" s="151"/>
      <c r="C18" s="152"/>
      <c r="D18" s="153"/>
      <c r="E18" s="153"/>
      <c r="F18" s="157"/>
      <c r="G18" s="154"/>
      <c r="H18" s="152"/>
      <c r="I18" s="153"/>
      <c r="J18" s="152"/>
      <c r="K18" s="154"/>
      <c r="L18" s="154"/>
      <c r="M18" s="227"/>
      <c r="N18" s="154"/>
      <c r="O18" s="227">
        <f t="shared" si="1"/>
        <v>63911.304362009425</v>
      </c>
      <c r="P18" s="152">
        <f t="shared" si="2"/>
        <v>140041.91936200944</v>
      </c>
    </row>
    <row r="19" spans="1:16" hidden="1" x14ac:dyDescent="0.15">
      <c r="A19" s="154"/>
      <c r="B19" s="151"/>
      <c r="C19" s="152"/>
      <c r="D19" s="153"/>
      <c r="E19" s="153"/>
      <c r="F19" s="157"/>
      <c r="G19" s="154"/>
      <c r="H19" s="152"/>
      <c r="I19" s="153"/>
      <c r="J19" s="152"/>
      <c r="K19" s="154"/>
      <c r="L19" s="154"/>
      <c r="M19" s="227"/>
      <c r="N19" s="154"/>
      <c r="O19" s="227">
        <f t="shared" si="1"/>
        <v>63911.304362009425</v>
      </c>
      <c r="P19" s="152">
        <f t="shared" si="2"/>
        <v>140041.91936200944</v>
      </c>
    </row>
    <row r="20" spans="1:16" hidden="1" x14ac:dyDescent="0.15">
      <c r="A20" s="154"/>
      <c r="B20" s="151"/>
      <c r="C20" s="152"/>
      <c r="D20" s="153"/>
      <c r="E20" s="153"/>
      <c r="F20" s="157"/>
      <c r="G20" s="154"/>
      <c r="H20" s="152"/>
      <c r="I20" s="153"/>
      <c r="J20" s="152"/>
      <c r="K20" s="154"/>
      <c r="L20" s="154"/>
      <c r="M20" s="227"/>
      <c r="N20" s="154"/>
      <c r="O20" s="227">
        <f t="shared" si="1"/>
        <v>63911.304362009425</v>
      </c>
      <c r="P20" s="152">
        <f t="shared" si="2"/>
        <v>140041.91936200944</v>
      </c>
    </row>
    <row r="21" spans="1:16" hidden="1" x14ac:dyDescent="0.15">
      <c r="A21" s="154"/>
      <c r="B21" s="151"/>
      <c r="C21" s="152"/>
      <c r="D21" s="153"/>
      <c r="E21" s="153"/>
      <c r="F21" s="157"/>
      <c r="G21" s="154"/>
      <c r="H21" s="152"/>
      <c r="I21" s="153"/>
      <c r="J21" s="152"/>
      <c r="K21" s="154"/>
      <c r="L21" s="154"/>
      <c r="M21" s="227"/>
      <c r="N21" s="154"/>
      <c r="O21" s="227">
        <f t="shared" si="1"/>
        <v>63911.304362009425</v>
      </c>
      <c r="P21" s="152">
        <f t="shared" si="2"/>
        <v>140041.91936200944</v>
      </c>
    </row>
    <row r="22" spans="1:16" hidden="1" x14ac:dyDescent="0.15">
      <c r="A22" s="154"/>
      <c r="B22" s="151"/>
      <c r="C22" s="152"/>
      <c r="D22" s="153"/>
      <c r="E22" s="153"/>
      <c r="F22" s="157"/>
      <c r="G22" s="154"/>
      <c r="H22" s="152"/>
      <c r="I22" s="153"/>
      <c r="J22" s="152"/>
      <c r="K22" s="150"/>
      <c r="L22" s="154"/>
      <c r="M22" s="227"/>
      <c r="N22" s="154"/>
      <c r="O22" s="227">
        <f t="shared" si="1"/>
        <v>63911.304362009425</v>
      </c>
      <c r="P22" s="152">
        <f t="shared" si="2"/>
        <v>140041.91936200944</v>
      </c>
    </row>
    <row r="23" spans="1:16" hidden="1" x14ac:dyDescent="0.15">
      <c r="A23" s="154"/>
      <c r="B23" s="151"/>
      <c r="C23" s="152"/>
      <c r="D23" s="153"/>
      <c r="E23" s="153"/>
      <c r="F23" s="157"/>
      <c r="G23" s="154"/>
      <c r="H23" s="152"/>
      <c r="I23" s="153"/>
      <c r="J23" s="152"/>
      <c r="K23" s="154"/>
      <c r="L23" s="154"/>
      <c r="M23" s="227"/>
      <c r="N23" s="154"/>
      <c r="O23" s="227">
        <f t="shared" si="1"/>
        <v>63911.304362009425</v>
      </c>
      <c r="P23" s="152">
        <f t="shared" si="2"/>
        <v>140041.91936200944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4"/>
      <c r="L24" s="154"/>
      <c r="M24" s="227"/>
      <c r="N24" s="154"/>
      <c r="O24" s="227">
        <f t="shared" si="1"/>
        <v>63911.304362009425</v>
      </c>
      <c r="P24" s="152">
        <f t="shared" si="2"/>
        <v>140041.91936200944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227"/>
      <c r="N25" s="154"/>
      <c r="O25" s="227">
        <f t="shared" si="1"/>
        <v>63911.304362009425</v>
      </c>
      <c r="P25" s="152">
        <f t="shared" si="2"/>
        <v>140041.91936200944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4"/>
      <c r="L26" s="154"/>
      <c r="M26" s="227"/>
      <c r="N26" s="154"/>
      <c r="O26" s="227">
        <f t="shared" si="1"/>
        <v>63911.304362009425</v>
      </c>
      <c r="P26" s="152">
        <f t="shared" si="2"/>
        <v>140041.91936200944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227"/>
      <c r="N27" s="157"/>
      <c r="O27" s="227">
        <f t="shared" si="1"/>
        <v>63911.304362009425</v>
      </c>
      <c r="P27" s="152">
        <f t="shared" si="2"/>
        <v>140041.91936200944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4"/>
      <c r="L28" s="154"/>
      <c r="M28" s="227"/>
      <c r="N28" s="157"/>
      <c r="O28" s="227">
        <f t="shared" si="1"/>
        <v>63911.304362009425</v>
      </c>
      <c r="P28" s="152">
        <f t="shared" si="2"/>
        <v>140041.91936200944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4"/>
      <c r="L29" s="154"/>
      <c r="M29" s="227"/>
      <c r="N29" s="154"/>
      <c r="O29" s="227">
        <f t="shared" si="1"/>
        <v>63911.304362009425</v>
      </c>
      <c r="P29" s="152">
        <f t="shared" si="2"/>
        <v>140041.91936200944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4"/>
      <c r="L30" s="154"/>
      <c r="M30" s="227"/>
      <c r="N30" s="157"/>
      <c r="O30" s="227">
        <f t="shared" si="1"/>
        <v>63911.304362009425</v>
      </c>
      <c r="P30" s="152">
        <f t="shared" si="2"/>
        <v>140041.91936200944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4"/>
      <c r="L31" s="154"/>
      <c r="M31" s="227"/>
      <c r="N31" s="157"/>
      <c r="O31" s="227">
        <f t="shared" si="1"/>
        <v>63911.304362009425</v>
      </c>
      <c r="P31" s="152">
        <f t="shared" si="2"/>
        <v>140041.91936200944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227"/>
      <c r="N32" s="157"/>
      <c r="O32" s="227">
        <f t="shared" si="1"/>
        <v>63911.304362009425</v>
      </c>
      <c r="P32" s="152">
        <f t="shared" si="2"/>
        <v>140041.91936200944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227"/>
      <c r="N33" s="157"/>
      <c r="O33" s="227">
        <f t="shared" si="1"/>
        <v>63911.304362009425</v>
      </c>
      <c r="P33" s="152">
        <f t="shared" si="2"/>
        <v>140041.91936200944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7"/>
      <c r="L34" s="154"/>
      <c r="M34" s="227"/>
      <c r="N34" s="157"/>
      <c r="O34" s="227">
        <f t="shared" si="1"/>
        <v>63911.304362009425</v>
      </c>
      <c r="P34" s="152">
        <f t="shared" si="2"/>
        <v>140041.91936200944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7"/>
      <c r="L35" s="154"/>
      <c r="M35" s="227"/>
      <c r="N35" s="157"/>
      <c r="O35" s="227">
        <f t="shared" si="1"/>
        <v>63911.304362009425</v>
      </c>
      <c r="P35" s="152">
        <f t="shared" si="2"/>
        <v>140041.91936200944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227"/>
      <c r="N36" s="157"/>
      <c r="O36" s="227">
        <f t="shared" si="1"/>
        <v>63911.304362009425</v>
      </c>
      <c r="P36" s="152">
        <f t="shared" si="2"/>
        <v>140041.91936200944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7"/>
      <c r="L37" s="154"/>
      <c r="M37" s="227"/>
      <c r="N37" s="157"/>
      <c r="O37" s="227">
        <f t="shared" si="1"/>
        <v>63911.304362009425</v>
      </c>
      <c r="P37" s="152">
        <f t="shared" si="2"/>
        <v>140041.91936200944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7"/>
      <c r="L38" s="154"/>
      <c r="M38" s="227"/>
      <c r="N38" s="157"/>
      <c r="O38" s="227">
        <f t="shared" si="1"/>
        <v>63911.304362009425</v>
      </c>
      <c r="P38" s="152">
        <f t="shared" si="2"/>
        <v>140041.91936200944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227"/>
      <c r="N39" s="157"/>
      <c r="O39" s="227">
        <f t="shared" si="1"/>
        <v>63911.304362009425</v>
      </c>
      <c r="P39" s="152">
        <f t="shared" si="2"/>
        <v>140041.91936200944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227"/>
      <c r="N40" s="157"/>
      <c r="O40" s="227">
        <f t="shared" si="1"/>
        <v>63911.304362009425</v>
      </c>
      <c r="P40" s="152">
        <f t="shared" si="2"/>
        <v>140041.91936200944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227"/>
      <c r="N41" s="157"/>
      <c r="O41" s="227">
        <f t="shared" si="1"/>
        <v>63911.304362009425</v>
      </c>
      <c r="P41" s="152">
        <f t="shared" si="2"/>
        <v>140041.91936200944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227"/>
      <c r="N42" s="157"/>
      <c r="O42" s="227">
        <f t="shared" si="1"/>
        <v>63911.304362009425</v>
      </c>
      <c r="P42" s="152">
        <f t="shared" si="2"/>
        <v>140041.91936200944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0"/>
      <c r="L43" s="154"/>
      <c r="M43" s="227"/>
      <c r="N43" s="157"/>
      <c r="O43" s="227">
        <f t="shared" si="1"/>
        <v>63911.304362009425</v>
      </c>
      <c r="P43" s="152">
        <f t="shared" si="2"/>
        <v>140041.91936200944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0"/>
      <c r="L44" s="154"/>
      <c r="M44" s="227"/>
      <c r="N44" s="157"/>
      <c r="O44" s="227">
        <f t="shared" si="1"/>
        <v>63911.304362009425</v>
      </c>
      <c r="P44" s="152">
        <f t="shared" si="2"/>
        <v>140041.91936200944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7"/>
      <c r="L45" s="154"/>
      <c r="M45" s="227"/>
      <c r="N45" s="157"/>
      <c r="O45" s="227">
        <f t="shared" si="1"/>
        <v>63911.304362009425</v>
      </c>
      <c r="P45" s="152">
        <f t="shared" si="2"/>
        <v>140041.91936200944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7"/>
      <c r="L46" s="154"/>
      <c r="M46" s="227"/>
      <c r="N46" s="157"/>
      <c r="O46" s="227">
        <f t="shared" si="1"/>
        <v>63911.304362009425</v>
      </c>
      <c r="P46" s="152">
        <f t="shared" si="2"/>
        <v>140041.91936200944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227"/>
      <c r="N47" s="157"/>
      <c r="O47" s="227">
        <f t="shared" si="1"/>
        <v>63911.304362009425</v>
      </c>
      <c r="P47" s="152">
        <f t="shared" si="2"/>
        <v>140041.91936200944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227"/>
      <c r="N48" s="157"/>
      <c r="O48" s="227">
        <f t="shared" si="1"/>
        <v>63911.304362009425</v>
      </c>
      <c r="P48" s="152">
        <f t="shared" si="2"/>
        <v>140041.91936200944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7"/>
      <c r="L49" s="154"/>
      <c r="M49" s="227"/>
      <c r="N49" s="157"/>
      <c r="O49" s="227">
        <f t="shared" si="1"/>
        <v>63911.304362009425</v>
      </c>
      <c r="P49" s="152">
        <f t="shared" si="2"/>
        <v>140041.91936200944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0"/>
      <c r="L50" s="154"/>
      <c r="M50" s="227"/>
      <c r="N50" s="157"/>
      <c r="O50" s="227">
        <f t="shared" si="1"/>
        <v>63911.304362009425</v>
      </c>
      <c r="P50" s="152">
        <f t="shared" si="2"/>
        <v>140041.91936200944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227"/>
      <c r="N51" s="157"/>
      <c r="O51" s="227">
        <f t="shared" si="1"/>
        <v>63911.304362009425</v>
      </c>
      <c r="P51" s="152">
        <f t="shared" si="2"/>
        <v>140041.91936200944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7"/>
      <c r="L52" s="154"/>
      <c r="M52" s="227"/>
      <c r="N52" s="157"/>
      <c r="O52" s="227">
        <f t="shared" si="1"/>
        <v>63911.304362009425</v>
      </c>
      <c r="P52" s="152">
        <f t="shared" si="2"/>
        <v>140041.91936200944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7"/>
      <c r="L53" s="154"/>
      <c r="M53" s="227"/>
      <c r="N53" s="157"/>
      <c r="O53" s="227">
        <f t="shared" si="1"/>
        <v>63911.304362009425</v>
      </c>
      <c r="P53" s="152">
        <f t="shared" si="2"/>
        <v>140041.91936200944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227"/>
      <c r="N54" s="157"/>
      <c r="O54" s="227">
        <f t="shared" si="1"/>
        <v>63911.304362009425</v>
      </c>
      <c r="P54" s="152">
        <f t="shared" si="2"/>
        <v>140041.91936200944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7"/>
      <c r="L55" s="154"/>
      <c r="M55" s="227"/>
      <c r="N55" s="157"/>
      <c r="O55" s="227">
        <f t="shared" si="1"/>
        <v>63911.304362009425</v>
      </c>
      <c r="P55" s="152">
        <f t="shared" si="2"/>
        <v>140041.91936200944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227"/>
      <c r="N56" s="157"/>
      <c r="O56" s="227">
        <f t="shared" si="1"/>
        <v>63911.304362009425</v>
      </c>
      <c r="P56" s="152">
        <f t="shared" si="2"/>
        <v>140041.91936200944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227"/>
      <c r="N57" s="157"/>
      <c r="O57" s="227">
        <f t="shared" si="1"/>
        <v>63911.304362009425</v>
      </c>
      <c r="P57" s="152">
        <f t="shared" si="2"/>
        <v>140041.91936200944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227"/>
      <c r="N58" s="157"/>
      <c r="O58" s="227">
        <f t="shared" si="1"/>
        <v>63911.304362009425</v>
      </c>
      <c r="P58" s="152">
        <f t="shared" si="2"/>
        <v>140041.91936200944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7"/>
      <c r="L59" s="154"/>
      <c r="M59" s="227"/>
      <c r="N59" s="157"/>
      <c r="O59" s="227">
        <f t="shared" si="1"/>
        <v>63911.304362009425</v>
      </c>
      <c r="P59" s="152">
        <f t="shared" si="2"/>
        <v>140041.91936200944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0"/>
      <c r="L60" s="154"/>
      <c r="M60" s="227"/>
      <c r="N60" s="157"/>
      <c r="O60" s="227">
        <f t="shared" si="1"/>
        <v>63911.304362009425</v>
      </c>
      <c r="P60" s="152">
        <f t="shared" si="2"/>
        <v>140041.91936200944</v>
      </c>
    </row>
    <row r="61" spans="1:16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0"/>
      <c r="L61" s="154"/>
      <c r="M61" s="227"/>
      <c r="N61" s="157"/>
      <c r="O61" s="227">
        <f t="shared" si="1"/>
        <v>63911.304362009425</v>
      </c>
      <c r="P61" s="152">
        <f t="shared" si="2"/>
        <v>140041.91936200944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0"/>
      <c r="L62" s="154"/>
      <c r="M62" s="227"/>
      <c r="N62" s="157"/>
      <c r="O62" s="227">
        <f t="shared" ref="O62:O72" si="3">+O61-J62-M62</f>
        <v>63911.304362009425</v>
      </c>
      <c r="P62" s="152">
        <f t="shared" si="0"/>
        <v>140041.91936200944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227"/>
      <c r="N63" s="157"/>
      <c r="O63" s="227">
        <f t="shared" si="3"/>
        <v>63911.304362009425</v>
      </c>
      <c r="P63" s="152">
        <f t="shared" si="0"/>
        <v>140041.91936200944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227"/>
      <c r="N64" s="157"/>
      <c r="O64" s="227">
        <f t="shared" si="3"/>
        <v>63911.304362009425</v>
      </c>
      <c r="P64" s="152">
        <f t="shared" si="0"/>
        <v>140041.91936200944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0"/>
      <c r="L65" s="154"/>
      <c r="M65" s="227"/>
      <c r="N65" s="157"/>
      <c r="O65" s="227">
        <f t="shared" si="3"/>
        <v>63911.304362009425</v>
      </c>
      <c r="P65" s="152">
        <f t="shared" si="0"/>
        <v>140041.91936200944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227"/>
      <c r="N66" s="157"/>
      <c r="O66" s="227">
        <f t="shared" si="3"/>
        <v>63911.304362009425</v>
      </c>
      <c r="P66" s="152">
        <f t="shared" si="0"/>
        <v>140041.91936200944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0"/>
      <c r="L67" s="154"/>
      <c r="M67" s="227"/>
      <c r="N67" s="157"/>
      <c r="O67" s="227">
        <f t="shared" si="3"/>
        <v>63911.304362009425</v>
      </c>
      <c r="P67" s="152">
        <f t="shared" si="0"/>
        <v>140041.91936200944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0"/>
      <c r="L68" s="154"/>
      <c r="M68" s="227"/>
      <c r="N68" s="157"/>
      <c r="O68" s="227">
        <f t="shared" si="3"/>
        <v>63911.304362009425</v>
      </c>
      <c r="P68" s="152">
        <f t="shared" si="0"/>
        <v>140041.91936200944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0"/>
      <c r="L69" s="154"/>
      <c r="M69" s="227"/>
      <c r="N69" s="157"/>
      <c r="O69" s="227">
        <f t="shared" si="3"/>
        <v>63911.304362009425</v>
      </c>
      <c r="P69" s="152">
        <f t="shared" si="0"/>
        <v>140041.91936200944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0"/>
      <c r="L70" s="154"/>
      <c r="M70" s="227"/>
      <c r="N70" s="157"/>
      <c r="O70" s="227">
        <f t="shared" si="3"/>
        <v>63911.304362009425</v>
      </c>
      <c r="P70" s="152">
        <f t="shared" si="0"/>
        <v>140041.91936200944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227"/>
      <c r="N71" s="157"/>
      <c r="O71" s="227">
        <f t="shared" si="3"/>
        <v>63911.304362009425</v>
      </c>
      <c r="P71" s="152">
        <f t="shared" si="0"/>
        <v>140041.91936200944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227"/>
      <c r="N72" s="157"/>
      <c r="O72" s="227">
        <f t="shared" si="3"/>
        <v>63911.304362009425</v>
      </c>
      <c r="P72" s="152">
        <f t="shared" ref="P72:P75" si="4">P71+H72-J72-M72</f>
        <v>140041.91936200944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227"/>
      <c r="N73" s="150"/>
      <c r="O73" s="227">
        <f t="shared" ref="O73:O75" si="5">+O72-J73-M73</f>
        <v>63911.304362009425</v>
      </c>
      <c r="P73" s="152">
        <f t="shared" si="4"/>
        <v>140041.91936200944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227"/>
      <c r="N74" s="157"/>
      <c r="O74" s="227">
        <f t="shared" si="5"/>
        <v>63911.304362009425</v>
      </c>
      <c r="P74" s="152">
        <f t="shared" si="4"/>
        <v>140041.91936200944</v>
      </c>
    </row>
    <row r="75" spans="1:16" hidden="1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5"/>
        <v>63911.304362009425</v>
      </c>
      <c r="P75" s="152">
        <f t="shared" si="4"/>
        <v>140041.91936200944</v>
      </c>
    </row>
    <row r="76" spans="1:16" x14ac:dyDescent="0.15">
      <c r="A76" s="177"/>
      <c r="B76" s="177"/>
      <c r="C76" s="178">
        <f>SUM(C7:C74)</f>
        <v>149214.91936200944</v>
      </c>
      <c r="D76" s="177"/>
      <c r="E76" s="177"/>
      <c r="F76" s="177"/>
      <c r="G76" s="177"/>
      <c r="H76" s="178">
        <f>SUM(H7:H74)</f>
        <v>0</v>
      </c>
      <c r="I76" s="179"/>
      <c r="J76" s="178">
        <f>SUM(J7:J74)</f>
        <v>4471</v>
      </c>
      <c r="K76" s="177"/>
      <c r="L76" s="177"/>
      <c r="M76" s="229">
        <f>SUM(M9:M74)</f>
        <v>4702</v>
      </c>
      <c r="N76" s="177"/>
      <c r="O76" s="180"/>
      <c r="P76" s="181">
        <f>C76+H76-J76-M76</f>
        <v>140041.91936200944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9173</v>
      </c>
      <c r="N77" s="188"/>
      <c r="O77" s="230">
        <f>+O75</f>
        <v>63911.304362009425</v>
      </c>
      <c r="P77" s="195" t="s">
        <v>724</v>
      </c>
    </row>
    <row r="78" spans="1:16" x14ac:dyDescent="0.15">
      <c r="A78" s="193" t="s">
        <v>724</v>
      </c>
      <c r="B78" s="470" t="s">
        <v>730</v>
      </c>
      <c r="C78" s="470"/>
      <c r="D78" s="470"/>
      <c r="E78" s="183" t="s">
        <v>55</v>
      </c>
      <c r="F78" s="472">
        <v>46087131.859999999</v>
      </c>
      <c r="G78" s="472"/>
      <c r="H78" s="219" t="s">
        <v>56</v>
      </c>
      <c r="I78" s="186">
        <v>40644</v>
      </c>
      <c r="J78" s="187" t="s">
        <v>71</v>
      </c>
      <c r="K78" s="210">
        <f>+M14</f>
        <v>4702</v>
      </c>
      <c r="L78" s="210"/>
      <c r="O78" s="230">
        <f>+C8</f>
        <v>76130.615000000005</v>
      </c>
      <c r="P78" s="195" t="s">
        <v>725</v>
      </c>
    </row>
    <row r="79" spans="1:16" x14ac:dyDescent="0.15">
      <c r="A79" s="193"/>
      <c r="B79" s="470"/>
      <c r="C79" s="470"/>
      <c r="D79" s="470"/>
      <c r="E79" s="183"/>
      <c r="F79" s="472"/>
      <c r="G79" s="472"/>
      <c r="H79" s="219"/>
      <c r="I79" s="186"/>
      <c r="J79" s="187"/>
      <c r="K79" s="210"/>
      <c r="L79" s="210"/>
      <c r="O79" s="230"/>
      <c r="P79" s="192"/>
    </row>
    <row r="80" spans="1:16" x14ac:dyDescent="0.15">
      <c r="A80" s="193"/>
      <c r="B80" s="470"/>
      <c r="C80" s="470"/>
      <c r="D80" s="470"/>
      <c r="E80" s="183"/>
      <c r="F80" s="472"/>
      <c r="G80" s="472"/>
      <c r="H80" s="219"/>
      <c r="I80" s="186"/>
      <c r="J80" s="187"/>
      <c r="K80" s="210"/>
      <c r="L80" s="210"/>
      <c r="O80" s="230"/>
      <c r="P80" s="192"/>
    </row>
    <row r="81" spans="1:16" x14ac:dyDescent="0.15">
      <c r="A81" s="133" t="s">
        <v>568</v>
      </c>
      <c r="B81" s="133" t="s">
        <v>9</v>
      </c>
      <c r="C81" s="220" t="s">
        <v>729</v>
      </c>
      <c r="D81" s="133" t="s">
        <v>570</v>
      </c>
      <c r="E81" s="133" t="s">
        <v>571</v>
      </c>
      <c r="F81" s="133" t="s">
        <v>16</v>
      </c>
      <c r="G81" s="193"/>
      <c r="H81" s="219"/>
      <c r="I81" s="186"/>
      <c r="J81" s="187"/>
      <c r="K81" s="210"/>
      <c r="L81" s="210"/>
      <c r="O81" s="230"/>
      <c r="P81" s="195"/>
    </row>
    <row r="82" spans="1:16" x14ac:dyDescent="0.15">
      <c r="A82" s="193" t="s">
        <v>724</v>
      </c>
      <c r="B82" s="210">
        <v>4702</v>
      </c>
      <c r="C82" s="221">
        <v>25.478200000000001</v>
      </c>
      <c r="D82" s="235">
        <f>+(B82*C82)*0.01</f>
        <v>1197.984964</v>
      </c>
      <c r="E82" s="235">
        <f>+D82*0.1</f>
        <v>119.7984964</v>
      </c>
      <c r="F82" s="236">
        <f>+D82+E82</f>
        <v>1317.7834604</v>
      </c>
      <c r="G82" s="193"/>
      <c r="H82" s="219"/>
      <c r="I82" s="186"/>
      <c r="J82" s="187"/>
      <c r="K82" s="210"/>
      <c r="L82" s="210"/>
      <c r="O82" s="230"/>
      <c r="P82" s="195"/>
    </row>
    <row r="83" spans="1:16" ht="12" thickBot="1" x14ac:dyDescent="0.2">
      <c r="A83" s="193"/>
      <c r="B83" s="211">
        <f>SUM(B81:B82)</f>
        <v>4702</v>
      </c>
      <c r="C83" s="221"/>
      <c r="D83" s="224">
        <f>SUM(D81:D82)</f>
        <v>1197.984964</v>
      </c>
      <c r="E83" s="224">
        <f t="shared" ref="E83:F83" si="6">SUM(E81:E82)</f>
        <v>119.7984964</v>
      </c>
      <c r="F83" s="224">
        <f t="shared" si="6"/>
        <v>1317.7834604</v>
      </c>
      <c r="G83" s="193"/>
      <c r="H83" s="219"/>
      <c r="I83" s="186"/>
      <c r="J83" s="187"/>
      <c r="K83" s="210"/>
      <c r="L83" s="210"/>
      <c r="O83" s="230"/>
      <c r="P83" s="195"/>
    </row>
    <row r="84" spans="1:16" ht="12" thickTop="1" x14ac:dyDescent="0.15">
      <c r="A84" s="133"/>
      <c r="B84" s="133"/>
      <c r="C84" s="220"/>
      <c r="F84" s="133"/>
      <c r="H84" s="133"/>
      <c r="I84" s="187"/>
      <c r="J84" s="210"/>
      <c r="K84" s="210"/>
      <c r="L84" s="210"/>
      <c r="O84" s="206" t="s">
        <v>33</v>
      </c>
      <c r="P84" s="207">
        <f>SUM(O77:O83)</f>
        <v>140041.91936200944</v>
      </c>
    </row>
    <row r="85" spans="1:16" x14ac:dyDescent="0.15">
      <c r="A85" s="133"/>
      <c r="B85" s="133"/>
      <c r="C85" s="220"/>
      <c r="F85" s="133"/>
      <c r="H85" s="133"/>
      <c r="I85" s="187"/>
      <c r="J85" s="210"/>
      <c r="K85" s="210"/>
      <c r="L85" s="210"/>
      <c r="P85" s="132">
        <f>+P76-P84</f>
        <v>0</v>
      </c>
    </row>
    <row r="86" spans="1:16" x14ac:dyDescent="0.15">
      <c r="A86" s="133"/>
      <c r="B86" s="133"/>
      <c r="C86" s="220"/>
      <c r="F86" s="133"/>
      <c r="H86" s="133"/>
      <c r="I86" s="187"/>
      <c r="J86" s="210"/>
      <c r="K86" s="210"/>
      <c r="L86" s="210"/>
    </row>
    <row r="87" spans="1:16" x14ac:dyDescent="0.15">
      <c r="A87" s="133"/>
      <c r="B87" s="133"/>
      <c r="C87" s="220"/>
      <c r="F87" s="133"/>
      <c r="H87" s="133"/>
      <c r="I87" s="187"/>
      <c r="J87" s="210"/>
      <c r="K87" s="210"/>
      <c r="L87" s="210"/>
    </row>
    <row r="88" spans="1:16" x14ac:dyDescent="0.15">
      <c r="A88" s="133"/>
      <c r="B88" s="133"/>
      <c r="C88" s="220"/>
      <c r="F88" s="133"/>
      <c r="H88" s="133"/>
      <c r="I88" s="187"/>
      <c r="J88" s="210"/>
      <c r="K88" s="210"/>
      <c r="L88" s="210"/>
    </row>
    <row r="89" spans="1:16" x14ac:dyDescent="0.15">
      <c r="A89" s="133"/>
      <c r="B89" s="133"/>
      <c r="C89" s="220"/>
      <c r="F89" s="133"/>
      <c r="L89" s="210"/>
    </row>
    <row r="90" spans="1:16" x14ac:dyDescent="0.15">
      <c r="A90" s="133"/>
      <c r="B90" s="133"/>
      <c r="C90" s="220"/>
      <c r="F90" s="133"/>
      <c r="L90" s="210"/>
    </row>
    <row r="91" spans="1:16" x14ac:dyDescent="0.15">
      <c r="A91" s="133"/>
      <c r="B91" s="133"/>
      <c r="C91" s="220"/>
      <c r="F91" s="133"/>
      <c r="L91" s="210"/>
    </row>
    <row r="92" spans="1:16" x14ac:dyDescent="0.15">
      <c r="L92" s="210"/>
    </row>
    <row r="93" spans="1:16" x14ac:dyDescent="0.15">
      <c r="L93" s="210"/>
    </row>
    <row r="94" spans="1:16" s="132" customFormat="1" x14ac:dyDescent="0.15">
      <c r="A94" s="134"/>
      <c r="B94" s="131"/>
      <c r="D94" s="133"/>
      <c r="E94" s="133"/>
      <c r="F94" s="134"/>
      <c r="G94" s="133"/>
      <c r="I94" s="133"/>
      <c r="K94" s="134"/>
      <c r="L94" s="210"/>
      <c r="N94" s="134"/>
    </row>
    <row r="95" spans="1:16" s="132" customFormat="1" x14ac:dyDescent="0.15">
      <c r="A95" s="133"/>
      <c r="C95" s="134"/>
      <c r="D95" s="210"/>
      <c r="F95" s="134"/>
    </row>
    <row r="96" spans="1:16" s="132" customFormat="1" x14ac:dyDescent="0.15">
      <c r="A96" s="133"/>
      <c r="C96" s="134"/>
      <c r="D96" s="210"/>
      <c r="F96" s="134"/>
    </row>
    <row r="97" spans="1:16" s="132" customFormat="1" x14ac:dyDescent="0.15">
      <c r="A97" s="133"/>
      <c r="C97" s="134"/>
      <c r="D97" s="210"/>
      <c r="F97" s="134"/>
    </row>
    <row r="98" spans="1:16" s="132" customFormat="1" x14ac:dyDescent="0.15">
      <c r="A98" s="133"/>
      <c r="C98" s="134"/>
      <c r="D98" s="210"/>
      <c r="F98" s="134"/>
    </row>
    <row r="99" spans="1:16" x14ac:dyDescent="0.15">
      <c r="A99" s="133"/>
      <c r="B99" s="132"/>
      <c r="C99" s="134"/>
      <c r="E99" s="132"/>
      <c r="G99" s="132"/>
      <c r="I99" s="134"/>
      <c r="J99" s="134"/>
      <c r="L99" s="134"/>
      <c r="M99" s="134"/>
      <c r="O99" s="134"/>
      <c r="P99" s="134"/>
    </row>
    <row r="100" spans="1:16" x14ac:dyDescent="0.15">
      <c r="A100" s="133"/>
      <c r="B100" s="132"/>
      <c r="C100" s="134"/>
      <c r="E100" s="132"/>
      <c r="G100" s="132"/>
      <c r="I100" s="134"/>
      <c r="J100" s="134"/>
      <c r="L100" s="134"/>
      <c r="M100" s="134"/>
      <c r="O100" s="134"/>
      <c r="P100" s="134"/>
    </row>
    <row r="101" spans="1:16" x14ac:dyDescent="0.15">
      <c r="A101" s="133"/>
      <c r="B101" s="132"/>
      <c r="C101" s="134"/>
      <c r="E101" s="132"/>
      <c r="G101" s="132"/>
      <c r="I101" s="134"/>
      <c r="J101" s="134"/>
      <c r="L101" s="134"/>
      <c r="M101" s="134"/>
      <c r="O101" s="134"/>
      <c r="P101" s="134"/>
    </row>
    <row r="102" spans="1:16" x14ac:dyDescent="0.15">
      <c r="A102" s="133"/>
      <c r="B102" s="132"/>
      <c r="C102" s="134"/>
      <c r="E102" s="132"/>
      <c r="G102" s="132"/>
      <c r="I102" s="134"/>
      <c r="J102" s="134"/>
      <c r="L102" s="134"/>
      <c r="M102" s="134"/>
      <c r="O102" s="134"/>
      <c r="P102" s="134"/>
    </row>
    <row r="103" spans="1:16" x14ac:dyDescent="0.15">
      <c r="A103" s="133"/>
      <c r="B103" s="132"/>
      <c r="C103" s="134"/>
      <c r="E103" s="132"/>
      <c r="G103" s="132"/>
      <c r="I103" s="134"/>
      <c r="J103" s="134"/>
      <c r="L103" s="134"/>
      <c r="M103" s="134"/>
      <c r="O103" s="134"/>
      <c r="P103" s="134"/>
    </row>
    <row r="104" spans="1:16" x14ac:dyDescent="0.15">
      <c r="A104" s="133"/>
      <c r="B104" s="132"/>
      <c r="C104" s="134"/>
      <c r="E104" s="132"/>
      <c r="G104" s="132"/>
      <c r="I104" s="134"/>
      <c r="J104" s="134"/>
      <c r="L104" s="134"/>
      <c r="M104" s="134"/>
      <c r="O104" s="134"/>
      <c r="P104" s="134"/>
    </row>
    <row r="105" spans="1:16" x14ac:dyDescent="0.15">
      <c r="A105" s="133"/>
      <c r="B105" s="132"/>
      <c r="C105" s="134"/>
      <c r="E105" s="132"/>
      <c r="G105" s="132"/>
      <c r="I105" s="134"/>
      <c r="J105" s="134"/>
      <c r="L105" s="134"/>
      <c r="M105" s="134"/>
      <c r="O105" s="134"/>
      <c r="P105" s="134"/>
    </row>
    <row r="106" spans="1:16" x14ac:dyDescent="0.15">
      <c r="A106" s="133"/>
      <c r="B106" s="132"/>
      <c r="C106" s="134"/>
      <c r="E106" s="132"/>
      <c r="G106" s="132"/>
      <c r="I106" s="134"/>
      <c r="J106" s="134"/>
      <c r="L106" s="134"/>
      <c r="M106" s="134"/>
      <c r="O106" s="134"/>
      <c r="P106" s="134"/>
    </row>
  </sheetData>
  <mergeCells count="14">
    <mergeCell ref="B80:D80"/>
    <mergeCell ref="F80:G80"/>
    <mergeCell ref="B77:D77"/>
    <mergeCell ref="F77:G77"/>
    <mergeCell ref="B78:D78"/>
    <mergeCell ref="F78:G78"/>
    <mergeCell ref="B79:D79"/>
    <mergeCell ref="F79:G79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zoomScale="115" zoomScaleNormal="115" workbookViewId="0">
      <pane ySplit="6" topLeftCell="A25" activePane="bottomLeft" state="frozen"/>
      <selection pane="bottomLeft" activeCell="B83" sqref="B83:J83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1.8554687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709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686</v>
      </c>
      <c r="B7" s="146"/>
      <c r="C7" s="147">
        <v>87737.444462009415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87737.444462009415</v>
      </c>
      <c r="P7" s="147">
        <f>+C76</f>
        <v>504635.24346200941</v>
      </c>
    </row>
    <row r="8" spans="1:16" x14ac:dyDescent="0.15">
      <c r="A8" s="154" t="s">
        <v>687</v>
      </c>
      <c r="B8" s="151"/>
      <c r="C8" s="152">
        <v>80222.244000000006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87737.444462009415</v>
      </c>
      <c r="P8" s="152">
        <f t="shared" ref="P8:P9" si="0">P7+H8-J8-M8</f>
        <v>504635.24346200941</v>
      </c>
    </row>
    <row r="9" spans="1:16" x14ac:dyDescent="0.15">
      <c r="A9" s="154" t="s">
        <v>688</v>
      </c>
      <c r="B9" s="151"/>
      <c r="C9" s="152">
        <v>336675.55499999999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87737.444462009415</v>
      </c>
      <c r="P9" s="152">
        <f t="shared" si="0"/>
        <v>504635.24346200941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/>
      <c r="J10" s="152"/>
      <c r="K10" s="150"/>
      <c r="L10" s="154"/>
      <c r="M10" s="227"/>
      <c r="N10" s="150"/>
      <c r="O10" s="227">
        <f t="shared" ref="O10:O61" si="2">+O9-J10-M10</f>
        <v>87737.444462009415</v>
      </c>
      <c r="P10" s="152">
        <f t="shared" ref="P10:P61" si="3">P9+H10-J10-M10</f>
        <v>504635.24346200941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710</v>
      </c>
      <c r="J11" s="152">
        <v>3977.8870999999999</v>
      </c>
      <c r="K11" s="150" t="s">
        <v>686</v>
      </c>
      <c r="L11" s="154"/>
      <c r="M11" s="227"/>
      <c r="N11" s="150"/>
      <c r="O11" s="227">
        <f t="shared" si="2"/>
        <v>83759.557362009422</v>
      </c>
      <c r="P11" s="152">
        <f t="shared" si="3"/>
        <v>500657.35636200942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711</v>
      </c>
      <c r="J12" s="152"/>
      <c r="K12" s="150"/>
      <c r="L12" s="154" t="s">
        <v>726</v>
      </c>
      <c r="M12" s="227">
        <v>73340.28</v>
      </c>
      <c r="N12" s="154" t="s">
        <v>686</v>
      </c>
      <c r="O12" s="227">
        <f t="shared" si="2"/>
        <v>10419.277362009423</v>
      </c>
      <c r="P12" s="152">
        <f t="shared" si="3"/>
        <v>427317.07636200939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712</v>
      </c>
      <c r="J13" s="152">
        <v>1601.62</v>
      </c>
      <c r="K13" s="150" t="s">
        <v>686</v>
      </c>
      <c r="L13" s="154"/>
      <c r="M13" s="227"/>
      <c r="N13" s="154"/>
      <c r="O13" s="227">
        <f t="shared" si="2"/>
        <v>8817.6573620094241</v>
      </c>
      <c r="P13" s="152">
        <f t="shared" si="3"/>
        <v>425715.4563620094</v>
      </c>
    </row>
    <row r="14" spans="1:16" x14ac:dyDescent="0.15">
      <c r="A14" s="154"/>
      <c r="B14" s="151"/>
      <c r="C14" s="152"/>
      <c r="D14" s="153"/>
      <c r="E14" s="153" t="s">
        <v>723</v>
      </c>
      <c r="F14" s="157" t="s">
        <v>72</v>
      </c>
      <c r="G14" s="154" t="s">
        <v>724</v>
      </c>
      <c r="H14" s="152">
        <v>80084.403999999995</v>
      </c>
      <c r="I14" s="153" t="s">
        <v>723</v>
      </c>
      <c r="J14" s="152"/>
      <c r="K14" s="154"/>
      <c r="L14" s="154"/>
      <c r="M14" s="227"/>
      <c r="N14" s="154"/>
      <c r="O14" s="227">
        <f t="shared" si="2"/>
        <v>8817.6573620094241</v>
      </c>
      <c r="P14" s="152">
        <f t="shared" si="3"/>
        <v>505799.86036200938</v>
      </c>
    </row>
    <row r="15" spans="1:16" x14ac:dyDescent="0.15">
      <c r="A15" s="154"/>
      <c r="B15" s="151"/>
      <c r="C15" s="152"/>
      <c r="D15" s="153"/>
      <c r="E15" s="153"/>
      <c r="F15" s="157"/>
      <c r="G15" s="154"/>
      <c r="H15" s="152"/>
      <c r="I15" s="153" t="s">
        <v>713</v>
      </c>
      <c r="J15" s="152">
        <v>1538.84</v>
      </c>
      <c r="K15" s="154" t="s">
        <v>686</v>
      </c>
      <c r="L15" s="154" t="s">
        <v>726</v>
      </c>
      <c r="M15" s="227">
        <v>7278.817</v>
      </c>
      <c r="N15" s="154" t="s">
        <v>686</v>
      </c>
      <c r="O15" s="227">
        <f t="shared" si="2"/>
        <v>3.6200942395225866E-4</v>
      </c>
      <c r="P15" s="152">
        <f t="shared" si="3"/>
        <v>496982.20336200937</v>
      </c>
    </row>
    <row r="16" spans="1:16" x14ac:dyDescent="0.15">
      <c r="A16" s="154"/>
      <c r="B16" s="151"/>
      <c r="C16" s="152"/>
      <c r="D16" s="153"/>
      <c r="E16" s="153"/>
      <c r="F16" s="157"/>
      <c r="G16" s="154"/>
      <c r="H16" s="152"/>
      <c r="I16" s="153" t="s">
        <v>713</v>
      </c>
      <c r="J16" s="152"/>
      <c r="K16" s="154"/>
      <c r="L16" s="154" t="s">
        <v>727</v>
      </c>
      <c r="M16" s="227">
        <v>65581.183000000005</v>
      </c>
      <c r="N16" s="154" t="s">
        <v>687</v>
      </c>
      <c r="O16" s="227">
        <f>C8+O15-J16-M16</f>
        <v>14641.061362009423</v>
      </c>
      <c r="P16" s="152">
        <f t="shared" si="3"/>
        <v>431401.02036200935</v>
      </c>
    </row>
    <row r="17" spans="1:16" x14ac:dyDescent="0.15">
      <c r="A17" s="154"/>
      <c r="B17" s="151"/>
      <c r="C17" s="152"/>
      <c r="D17" s="153"/>
      <c r="E17" s="153"/>
      <c r="F17" s="157"/>
      <c r="G17" s="154"/>
      <c r="H17" s="152"/>
      <c r="I17" s="153" t="s">
        <v>713</v>
      </c>
      <c r="J17" s="152"/>
      <c r="K17" s="154"/>
      <c r="L17" s="154" t="s">
        <v>727</v>
      </c>
      <c r="M17" s="227">
        <v>14641.061</v>
      </c>
      <c r="N17" s="154" t="s">
        <v>687</v>
      </c>
      <c r="O17" s="227">
        <f t="shared" si="2"/>
        <v>3.6200942304276396E-4</v>
      </c>
      <c r="P17" s="152">
        <f t="shared" si="3"/>
        <v>416759.95936200937</v>
      </c>
    </row>
    <row r="18" spans="1:16" x14ac:dyDescent="0.15">
      <c r="A18" s="154"/>
      <c r="B18" s="151"/>
      <c r="C18" s="152"/>
      <c r="D18" s="153"/>
      <c r="E18" s="153"/>
      <c r="F18" s="157"/>
      <c r="G18" s="154"/>
      <c r="H18" s="152"/>
      <c r="I18" s="153" t="s">
        <v>713</v>
      </c>
      <c r="J18" s="152"/>
      <c r="K18" s="154"/>
      <c r="L18" s="154" t="s">
        <v>728</v>
      </c>
      <c r="M18" s="227">
        <v>35453.858999999997</v>
      </c>
      <c r="N18" s="154" t="s">
        <v>688</v>
      </c>
      <c r="O18" s="227">
        <f>C9+O17-J18-M18</f>
        <v>301221.69636200945</v>
      </c>
      <c r="P18" s="152">
        <f t="shared" si="3"/>
        <v>381306.10036200937</v>
      </c>
    </row>
    <row r="19" spans="1:16" x14ac:dyDescent="0.15">
      <c r="A19" s="154"/>
      <c r="B19" s="151"/>
      <c r="C19" s="152"/>
      <c r="D19" s="153"/>
      <c r="E19" s="153"/>
      <c r="F19" s="157"/>
      <c r="G19" s="154"/>
      <c r="H19" s="152"/>
      <c r="I19" s="153" t="s">
        <v>713</v>
      </c>
      <c r="J19" s="152"/>
      <c r="K19" s="154"/>
      <c r="L19" s="154" t="s">
        <v>728</v>
      </c>
      <c r="M19" s="227">
        <v>8521.14</v>
      </c>
      <c r="N19" s="154" t="s">
        <v>688</v>
      </c>
      <c r="O19" s="227">
        <f t="shared" si="2"/>
        <v>292700.55636200943</v>
      </c>
      <c r="P19" s="152">
        <f t="shared" si="3"/>
        <v>372784.96036200935</v>
      </c>
    </row>
    <row r="20" spans="1:16" x14ac:dyDescent="0.15">
      <c r="A20" s="154"/>
      <c r="B20" s="151"/>
      <c r="C20" s="152"/>
      <c r="D20" s="153"/>
      <c r="E20" s="153" t="s">
        <v>714</v>
      </c>
      <c r="F20" s="157" t="s">
        <v>72</v>
      </c>
      <c r="G20" s="154" t="s">
        <v>724</v>
      </c>
      <c r="H20" s="152">
        <v>120219.864</v>
      </c>
      <c r="I20" s="153" t="s">
        <v>714</v>
      </c>
      <c r="J20" s="152">
        <v>2780.87</v>
      </c>
      <c r="K20" s="154" t="s">
        <v>688</v>
      </c>
      <c r="L20" s="154" t="s">
        <v>728</v>
      </c>
      <c r="M20" s="227">
        <v>58524</v>
      </c>
      <c r="N20" s="154" t="s">
        <v>688</v>
      </c>
      <c r="O20" s="227">
        <f t="shared" si="2"/>
        <v>231395.68636200944</v>
      </c>
      <c r="P20" s="152">
        <f t="shared" si="3"/>
        <v>431699.95436200936</v>
      </c>
    </row>
    <row r="21" spans="1:16" x14ac:dyDescent="0.15">
      <c r="A21" s="154"/>
      <c r="B21" s="151"/>
      <c r="C21" s="152"/>
      <c r="D21" s="153"/>
      <c r="E21" s="153"/>
      <c r="F21" s="157"/>
      <c r="G21" s="154"/>
      <c r="H21" s="152"/>
      <c r="I21" s="153" t="s">
        <v>714</v>
      </c>
      <c r="J21" s="152"/>
      <c r="K21" s="154"/>
      <c r="L21" s="154" t="s">
        <v>728</v>
      </c>
      <c r="M21" s="227">
        <v>76040</v>
      </c>
      <c r="N21" s="154" t="s">
        <v>688</v>
      </c>
      <c r="O21" s="227">
        <f t="shared" si="2"/>
        <v>155355.68636200944</v>
      </c>
      <c r="P21" s="152">
        <f t="shared" si="3"/>
        <v>355659.95436200936</v>
      </c>
    </row>
    <row r="22" spans="1:16" x14ac:dyDescent="0.15">
      <c r="A22" s="154"/>
      <c r="B22" s="151"/>
      <c r="C22" s="152"/>
      <c r="D22" s="153"/>
      <c r="E22" s="153"/>
      <c r="F22" s="157"/>
      <c r="G22" s="154"/>
      <c r="H22" s="152"/>
      <c r="I22" s="153" t="s">
        <v>714</v>
      </c>
      <c r="J22" s="152"/>
      <c r="K22" s="150"/>
      <c r="L22" s="154" t="s">
        <v>728</v>
      </c>
      <c r="M22" s="227">
        <v>77992</v>
      </c>
      <c r="N22" s="154" t="s">
        <v>688</v>
      </c>
      <c r="O22" s="227">
        <f t="shared" si="2"/>
        <v>77363.686362009437</v>
      </c>
      <c r="P22" s="152">
        <f t="shared" si="3"/>
        <v>277667.95436200936</v>
      </c>
    </row>
    <row r="23" spans="1:16" x14ac:dyDescent="0.15">
      <c r="A23" s="154"/>
      <c r="B23" s="151"/>
      <c r="C23" s="152"/>
      <c r="D23" s="153"/>
      <c r="E23" s="153" t="s">
        <v>715</v>
      </c>
      <c r="F23" s="157" t="s">
        <v>72</v>
      </c>
      <c r="G23" s="154" t="s">
        <v>725</v>
      </c>
      <c r="H23" s="152">
        <v>76130.615000000005</v>
      </c>
      <c r="I23" s="153" t="s">
        <v>715</v>
      </c>
      <c r="J23" s="152">
        <v>1474</v>
      </c>
      <c r="K23" s="154" t="s">
        <v>688</v>
      </c>
      <c r="L23" s="154" t="s">
        <v>728</v>
      </c>
      <c r="M23" s="227">
        <v>52510.65</v>
      </c>
      <c r="N23" s="154" t="s">
        <v>688</v>
      </c>
      <c r="O23" s="227">
        <f t="shared" si="2"/>
        <v>23379.036362009436</v>
      </c>
      <c r="P23" s="152">
        <f t="shared" si="3"/>
        <v>299813.91936200933</v>
      </c>
    </row>
    <row r="24" spans="1:16" x14ac:dyDescent="0.15">
      <c r="A24" s="154"/>
      <c r="B24" s="151"/>
      <c r="C24" s="152"/>
      <c r="D24" s="153"/>
      <c r="E24" s="154"/>
      <c r="F24" s="157"/>
      <c r="G24" s="154"/>
      <c r="H24" s="152"/>
      <c r="I24" s="153" t="s">
        <v>716</v>
      </c>
      <c r="J24" s="152"/>
      <c r="K24" s="154"/>
      <c r="L24" s="154" t="s">
        <v>728</v>
      </c>
      <c r="M24" s="227">
        <v>23379.036</v>
      </c>
      <c r="N24" s="154" t="s">
        <v>688</v>
      </c>
      <c r="O24" s="227">
        <f t="shared" si="2"/>
        <v>3.6200943577568978E-4</v>
      </c>
      <c r="P24" s="152">
        <f t="shared" si="3"/>
        <v>276434.88336200931</v>
      </c>
    </row>
    <row r="25" spans="1:16" x14ac:dyDescent="0.15">
      <c r="A25" s="154"/>
      <c r="B25" s="151"/>
      <c r="C25" s="152"/>
      <c r="D25" s="153"/>
      <c r="E25" s="154"/>
      <c r="F25" s="157"/>
      <c r="G25" s="154"/>
      <c r="H25" s="152"/>
      <c r="I25" s="153" t="s">
        <v>716</v>
      </c>
      <c r="J25" s="152"/>
      <c r="K25" s="154"/>
      <c r="L25" s="154" t="s">
        <v>726</v>
      </c>
      <c r="M25" s="227">
        <v>47303.964</v>
      </c>
      <c r="N25" s="154" t="s">
        <v>724</v>
      </c>
      <c r="O25" s="227">
        <f>H14+H20+O24-J25-M25</f>
        <v>153000.30436200942</v>
      </c>
      <c r="P25" s="152">
        <f t="shared" si="3"/>
        <v>229130.9193620093</v>
      </c>
    </row>
    <row r="26" spans="1:16" x14ac:dyDescent="0.15">
      <c r="A26" s="154"/>
      <c r="B26" s="151"/>
      <c r="C26" s="152"/>
      <c r="D26" s="153"/>
      <c r="E26" s="154"/>
      <c r="F26" s="157"/>
      <c r="G26" s="154"/>
      <c r="H26" s="152"/>
      <c r="I26" s="153" t="s">
        <v>717</v>
      </c>
      <c r="J26" s="152"/>
      <c r="K26" s="154"/>
      <c r="L26" s="154" t="s">
        <v>726</v>
      </c>
      <c r="M26" s="227">
        <v>73591</v>
      </c>
      <c r="N26" s="154" t="s">
        <v>724</v>
      </c>
      <c r="O26" s="227">
        <f t="shared" si="2"/>
        <v>79409.304362009425</v>
      </c>
      <c r="P26" s="152">
        <f t="shared" si="3"/>
        <v>155539.9193620093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718</v>
      </c>
      <c r="J27" s="152">
        <v>1122</v>
      </c>
      <c r="K27" s="154" t="s">
        <v>724</v>
      </c>
      <c r="L27" s="154"/>
      <c r="M27" s="227"/>
      <c r="N27" s="157"/>
      <c r="O27" s="227">
        <f t="shared" si="2"/>
        <v>78287.304362009425</v>
      </c>
      <c r="P27" s="152">
        <f t="shared" si="3"/>
        <v>154417.9193620093</v>
      </c>
    </row>
    <row r="28" spans="1:16" x14ac:dyDescent="0.15">
      <c r="A28" s="154"/>
      <c r="B28" s="151"/>
      <c r="C28" s="152"/>
      <c r="D28" s="153"/>
      <c r="E28" s="154"/>
      <c r="F28" s="157"/>
      <c r="G28" s="154"/>
      <c r="H28" s="152"/>
      <c r="I28" s="153" t="s">
        <v>719</v>
      </c>
      <c r="J28" s="152">
        <v>1281</v>
      </c>
      <c r="K28" s="154" t="s">
        <v>724</v>
      </c>
      <c r="L28" s="154"/>
      <c r="M28" s="227"/>
      <c r="N28" s="157"/>
      <c r="O28" s="227">
        <f t="shared" si="2"/>
        <v>77006.304362009425</v>
      </c>
      <c r="P28" s="152">
        <f t="shared" si="3"/>
        <v>153136.9193620093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720</v>
      </c>
      <c r="J29" s="152">
        <v>592</v>
      </c>
      <c r="K29" s="154" t="s">
        <v>724</v>
      </c>
      <c r="L29" s="154"/>
      <c r="M29" s="227"/>
      <c r="N29" s="154"/>
      <c r="O29" s="227">
        <f t="shared" si="2"/>
        <v>76414.304362009425</v>
      </c>
      <c r="P29" s="152">
        <f t="shared" si="3"/>
        <v>152544.9193620093</v>
      </c>
    </row>
    <row r="30" spans="1:16" x14ac:dyDescent="0.15">
      <c r="A30" s="154"/>
      <c r="B30" s="151"/>
      <c r="C30" s="152"/>
      <c r="D30" s="153"/>
      <c r="E30" s="154"/>
      <c r="F30" s="157"/>
      <c r="G30" s="154"/>
      <c r="H30" s="152"/>
      <c r="I30" s="153" t="s">
        <v>721</v>
      </c>
      <c r="J30" s="152">
        <v>2250</v>
      </c>
      <c r="K30" s="154" t="s">
        <v>724</v>
      </c>
      <c r="L30" s="154"/>
      <c r="M30" s="227"/>
      <c r="N30" s="157"/>
      <c r="O30" s="227">
        <f t="shared" si="2"/>
        <v>74164.304362009425</v>
      </c>
      <c r="P30" s="152">
        <f t="shared" si="3"/>
        <v>150294.9193620093</v>
      </c>
    </row>
    <row r="31" spans="1:16" x14ac:dyDescent="0.15">
      <c r="A31" s="154"/>
      <c r="B31" s="151"/>
      <c r="C31" s="152"/>
      <c r="D31" s="153"/>
      <c r="E31" s="154"/>
      <c r="F31" s="157"/>
      <c r="G31" s="154"/>
      <c r="H31" s="152"/>
      <c r="I31" s="153" t="s">
        <v>722</v>
      </c>
      <c r="J31" s="152">
        <v>1080</v>
      </c>
      <c r="K31" s="154" t="s">
        <v>724</v>
      </c>
      <c r="L31" s="154"/>
      <c r="M31" s="227"/>
      <c r="N31" s="157"/>
      <c r="O31" s="227">
        <f t="shared" si="2"/>
        <v>73084.304362009425</v>
      </c>
      <c r="P31" s="152">
        <f t="shared" si="3"/>
        <v>149214.9193620093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227"/>
      <c r="N32" s="157"/>
      <c r="O32" s="227">
        <f t="shared" si="2"/>
        <v>73084.304362009425</v>
      </c>
      <c r="P32" s="152">
        <f t="shared" si="3"/>
        <v>149214.9193620093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227"/>
      <c r="N33" s="157"/>
      <c r="O33" s="227">
        <f t="shared" si="2"/>
        <v>73084.304362009425</v>
      </c>
      <c r="P33" s="152">
        <f t="shared" si="3"/>
        <v>149214.9193620093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7"/>
      <c r="L34" s="154"/>
      <c r="M34" s="227"/>
      <c r="N34" s="157"/>
      <c r="O34" s="227">
        <f t="shared" si="2"/>
        <v>73084.304362009425</v>
      </c>
      <c r="P34" s="152">
        <f t="shared" si="3"/>
        <v>149214.9193620093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7"/>
      <c r="L35" s="154"/>
      <c r="M35" s="227"/>
      <c r="N35" s="157"/>
      <c r="O35" s="227">
        <f t="shared" si="2"/>
        <v>73084.304362009425</v>
      </c>
      <c r="P35" s="152">
        <f t="shared" si="3"/>
        <v>149214.9193620093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227"/>
      <c r="N36" s="157"/>
      <c r="O36" s="227">
        <f t="shared" si="2"/>
        <v>73084.304362009425</v>
      </c>
      <c r="P36" s="152">
        <f t="shared" si="3"/>
        <v>149214.9193620093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7"/>
      <c r="L37" s="154"/>
      <c r="M37" s="227"/>
      <c r="N37" s="157"/>
      <c r="O37" s="227">
        <f t="shared" si="2"/>
        <v>73084.304362009425</v>
      </c>
      <c r="P37" s="152">
        <f t="shared" si="3"/>
        <v>149214.9193620093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7"/>
      <c r="L38" s="154"/>
      <c r="M38" s="227"/>
      <c r="N38" s="157"/>
      <c r="O38" s="227">
        <f t="shared" si="2"/>
        <v>73084.304362009425</v>
      </c>
      <c r="P38" s="152">
        <f t="shared" si="3"/>
        <v>149214.9193620093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227"/>
      <c r="N39" s="157"/>
      <c r="O39" s="227">
        <f t="shared" si="2"/>
        <v>73084.304362009425</v>
      </c>
      <c r="P39" s="152">
        <f t="shared" si="3"/>
        <v>149214.9193620093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227"/>
      <c r="N40" s="157"/>
      <c r="O40" s="227">
        <f t="shared" si="2"/>
        <v>73084.304362009425</v>
      </c>
      <c r="P40" s="152">
        <f t="shared" si="3"/>
        <v>149214.9193620093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227"/>
      <c r="N41" s="157"/>
      <c r="O41" s="227">
        <f t="shared" si="2"/>
        <v>73084.304362009425</v>
      </c>
      <c r="P41" s="152">
        <f t="shared" si="3"/>
        <v>149214.9193620093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227"/>
      <c r="N42" s="157"/>
      <c r="O42" s="227">
        <f t="shared" si="2"/>
        <v>73084.304362009425</v>
      </c>
      <c r="P42" s="152">
        <f t="shared" si="3"/>
        <v>149214.9193620093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0"/>
      <c r="L43" s="154"/>
      <c r="M43" s="227"/>
      <c r="N43" s="157"/>
      <c r="O43" s="227">
        <f t="shared" si="2"/>
        <v>73084.304362009425</v>
      </c>
      <c r="P43" s="152">
        <f t="shared" si="3"/>
        <v>149214.9193620093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0"/>
      <c r="L44" s="154"/>
      <c r="M44" s="227"/>
      <c r="N44" s="157"/>
      <c r="O44" s="227">
        <f t="shared" si="2"/>
        <v>73084.304362009425</v>
      </c>
      <c r="P44" s="152">
        <f t="shared" si="3"/>
        <v>149214.9193620093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7"/>
      <c r="L45" s="154"/>
      <c r="M45" s="227"/>
      <c r="N45" s="157"/>
      <c r="O45" s="227">
        <f t="shared" si="2"/>
        <v>73084.304362009425</v>
      </c>
      <c r="P45" s="152">
        <f t="shared" si="3"/>
        <v>149214.9193620093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7"/>
      <c r="L46" s="154"/>
      <c r="M46" s="227"/>
      <c r="N46" s="157"/>
      <c r="O46" s="227">
        <f t="shared" si="2"/>
        <v>73084.304362009425</v>
      </c>
      <c r="P46" s="152">
        <f t="shared" si="3"/>
        <v>149214.9193620093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227"/>
      <c r="N47" s="157"/>
      <c r="O47" s="227">
        <f t="shared" si="2"/>
        <v>73084.304362009425</v>
      </c>
      <c r="P47" s="152">
        <f t="shared" si="3"/>
        <v>149214.9193620093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227"/>
      <c r="N48" s="157"/>
      <c r="O48" s="227">
        <f t="shared" si="2"/>
        <v>73084.304362009425</v>
      </c>
      <c r="P48" s="152">
        <f t="shared" si="3"/>
        <v>149214.9193620093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7"/>
      <c r="L49" s="154"/>
      <c r="M49" s="227"/>
      <c r="N49" s="157"/>
      <c r="O49" s="227">
        <f t="shared" si="2"/>
        <v>73084.304362009425</v>
      </c>
      <c r="P49" s="152">
        <f t="shared" si="3"/>
        <v>149214.9193620093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0"/>
      <c r="L50" s="154"/>
      <c r="M50" s="227"/>
      <c r="N50" s="157"/>
      <c r="O50" s="227">
        <f t="shared" si="2"/>
        <v>73084.304362009425</v>
      </c>
      <c r="P50" s="152">
        <f t="shared" si="3"/>
        <v>149214.9193620093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227"/>
      <c r="N51" s="157"/>
      <c r="O51" s="227">
        <f t="shared" si="2"/>
        <v>73084.304362009425</v>
      </c>
      <c r="P51" s="152">
        <f t="shared" si="3"/>
        <v>149214.9193620093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7"/>
      <c r="L52" s="154"/>
      <c r="M52" s="227"/>
      <c r="N52" s="157"/>
      <c r="O52" s="227">
        <f t="shared" si="2"/>
        <v>73084.304362009425</v>
      </c>
      <c r="P52" s="152">
        <f t="shared" si="3"/>
        <v>149214.9193620093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7"/>
      <c r="L53" s="154"/>
      <c r="M53" s="227"/>
      <c r="N53" s="157"/>
      <c r="O53" s="227">
        <f t="shared" si="2"/>
        <v>73084.304362009425</v>
      </c>
      <c r="P53" s="152">
        <f t="shared" si="3"/>
        <v>149214.9193620093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227"/>
      <c r="N54" s="157"/>
      <c r="O54" s="227">
        <f t="shared" si="2"/>
        <v>73084.304362009425</v>
      </c>
      <c r="P54" s="152">
        <f t="shared" si="3"/>
        <v>149214.9193620093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7"/>
      <c r="L55" s="154"/>
      <c r="M55" s="227"/>
      <c r="N55" s="157"/>
      <c r="O55" s="227">
        <f t="shared" si="2"/>
        <v>73084.304362009425</v>
      </c>
      <c r="P55" s="152">
        <f t="shared" si="3"/>
        <v>149214.9193620093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227"/>
      <c r="N56" s="157"/>
      <c r="O56" s="227">
        <f t="shared" si="2"/>
        <v>73084.304362009425</v>
      </c>
      <c r="P56" s="152">
        <f t="shared" si="3"/>
        <v>149214.9193620093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227"/>
      <c r="N57" s="157"/>
      <c r="O57" s="227">
        <f t="shared" si="2"/>
        <v>73084.304362009425</v>
      </c>
      <c r="P57" s="152">
        <f t="shared" si="3"/>
        <v>149214.9193620093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227"/>
      <c r="N58" s="157"/>
      <c r="O58" s="227">
        <f t="shared" si="2"/>
        <v>73084.304362009425</v>
      </c>
      <c r="P58" s="152">
        <f t="shared" si="3"/>
        <v>149214.9193620093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7"/>
      <c r="L59" s="154"/>
      <c r="M59" s="227"/>
      <c r="N59" s="157"/>
      <c r="O59" s="227">
        <f t="shared" si="2"/>
        <v>73084.304362009425</v>
      </c>
      <c r="P59" s="152">
        <f t="shared" si="3"/>
        <v>149214.9193620093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0"/>
      <c r="L60" s="154"/>
      <c r="M60" s="227"/>
      <c r="N60" s="157"/>
      <c r="O60" s="227">
        <f t="shared" si="2"/>
        <v>73084.304362009425</v>
      </c>
      <c r="P60" s="152">
        <f t="shared" si="3"/>
        <v>149214.9193620093</v>
      </c>
    </row>
    <row r="61" spans="1:16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0"/>
      <c r="L61" s="154"/>
      <c r="M61" s="227"/>
      <c r="N61" s="157"/>
      <c r="O61" s="227">
        <f t="shared" si="2"/>
        <v>73084.304362009425</v>
      </c>
      <c r="P61" s="152">
        <f t="shared" si="3"/>
        <v>149214.9193620093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0"/>
      <c r="L62" s="154"/>
      <c r="M62" s="227"/>
      <c r="N62" s="157"/>
      <c r="O62" s="227">
        <f t="shared" ref="O62:O73" si="4">+O61-J62-M62</f>
        <v>73084.304362009425</v>
      </c>
      <c r="P62" s="152">
        <f t="shared" ref="P62:P73" si="5">P61+H62-J62-M62</f>
        <v>149214.9193620093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227"/>
      <c r="N63" s="157"/>
      <c r="O63" s="227">
        <f t="shared" si="4"/>
        <v>73084.304362009425</v>
      </c>
      <c r="P63" s="152">
        <f t="shared" si="5"/>
        <v>149214.9193620093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227"/>
      <c r="N64" s="157"/>
      <c r="O64" s="227">
        <f t="shared" si="4"/>
        <v>73084.304362009425</v>
      </c>
      <c r="P64" s="152">
        <f t="shared" si="5"/>
        <v>149214.9193620093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0"/>
      <c r="L65" s="154"/>
      <c r="M65" s="227"/>
      <c r="N65" s="157"/>
      <c r="O65" s="227">
        <f t="shared" si="4"/>
        <v>73084.304362009425</v>
      </c>
      <c r="P65" s="152">
        <f t="shared" si="5"/>
        <v>149214.9193620093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227"/>
      <c r="N66" s="157"/>
      <c r="O66" s="227">
        <f t="shared" si="4"/>
        <v>73084.304362009425</v>
      </c>
      <c r="P66" s="152">
        <f t="shared" si="5"/>
        <v>149214.9193620093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0"/>
      <c r="L67" s="154"/>
      <c r="M67" s="227"/>
      <c r="N67" s="157"/>
      <c r="O67" s="227">
        <f t="shared" si="4"/>
        <v>73084.304362009425</v>
      </c>
      <c r="P67" s="152">
        <f t="shared" si="5"/>
        <v>149214.9193620093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0"/>
      <c r="L68" s="154"/>
      <c r="M68" s="227"/>
      <c r="N68" s="157"/>
      <c r="O68" s="227">
        <f t="shared" si="4"/>
        <v>73084.304362009425</v>
      </c>
      <c r="P68" s="152">
        <f t="shared" si="5"/>
        <v>149214.9193620093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0"/>
      <c r="L69" s="154"/>
      <c r="M69" s="227"/>
      <c r="N69" s="157"/>
      <c r="O69" s="227">
        <f t="shared" si="4"/>
        <v>73084.304362009425</v>
      </c>
      <c r="P69" s="152">
        <f t="shared" si="5"/>
        <v>149214.9193620093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0"/>
      <c r="L70" s="154"/>
      <c r="M70" s="227"/>
      <c r="N70" s="157"/>
      <c r="O70" s="227">
        <f t="shared" si="4"/>
        <v>73084.304362009425</v>
      </c>
      <c r="P70" s="152">
        <f t="shared" si="5"/>
        <v>149214.9193620093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227"/>
      <c r="N71" s="157"/>
      <c r="O71" s="227">
        <f t="shared" si="4"/>
        <v>73084.304362009425</v>
      </c>
      <c r="P71" s="152">
        <f t="shared" si="5"/>
        <v>149214.9193620093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227"/>
      <c r="N72" s="157"/>
      <c r="O72" s="227">
        <f t="shared" si="4"/>
        <v>73084.304362009425</v>
      </c>
      <c r="P72" s="152">
        <f t="shared" si="5"/>
        <v>149214.9193620093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227"/>
      <c r="N73" s="150"/>
      <c r="O73" s="227">
        <f t="shared" si="4"/>
        <v>73084.304362009425</v>
      </c>
      <c r="P73" s="152">
        <f t="shared" si="5"/>
        <v>149214.9193620093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227"/>
      <c r="N74" s="157"/>
      <c r="O74" s="227">
        <f t="shared" ref="O74:O75" si="6">+O73-J74-M74</f>
        <v>73084.304362009425</v>
      </c>
      <c r="P74" s="152">
        <f t="shared" ref="P74:P75" si="7">P73+H74-J74-M74</f>
        <v>149214.9193620093</v>
      </c>
    </row>
    <row r="75" spans="1:16" hidden="1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6"/>
        <v>73084.304362009425</v>
      </c>
      <c r="P75" s="152">
        <f t="shared" si="7"/>
        <v>149214.9193620093</v>
      </c>
    </row>
    <row r="76" spans="1:16" x14ac:dyDescent="0.15">
      <c r="A76" s="177"/>
      <c r="B76" s="177"/>
      <c r="C76" s="178">
        <f>SUM(C7:C74)</f>
        <v>504635.24346200941</v>
      </c>
      <c r="D76" s="177"/>
      <c r="E76" s="177"/>
      <c r="F76" s="177"/>
      <c r="G76" s="177"/>
      <c r="H76" s="178">
        <f>SUM(H7:H74)</f>
        <v>276434.88299999997</v>
      </c>
      <c r="I76" s="179"/>
      <c r="J76" s="178">
        <f>SUM(J7:J74)</f>
        <v>17698.217100000002</v>
      </c>
      <c r="K76" s="177"/>
      <c r="L76" s="177"/>
      <c r="M76" s="229">
        <f>SUM(M9:M74)</f>
        <v>614156.99</v>
      </c>
      <c r="N76" s="177"/>
      <c r="O76" s="180"/>
      <c r="P76" s="181">
        <f>C76+H76-J76-M76</f>
        <v>149214.91936200939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631855.2071</v>
      </c>
      <c r="N77" s="188"/>
      <c r="O77" s="230">
        <f>+O75</f>
        <v>73084.304362009425</v>
      </c>
      <c r="P77" s="195" t="s">
        <v>724</v>
      </c>
    </row>
    <row r="78" spans="1:16" x14ac:dyDescent="0.15">
      <c r="A78" s="193" t="s">
        <v>686</v>
      </c>
      <c r="B78" s="470" t="s">
        <v>697</v>
      </c>
      <c r="C78" s="470"/>
      <c r="D78" s="470"/>
      <c r="E78" s="183" t="s">
        <v>55</v>
      </c>
      <c r="F78" s="472">
        <v>99893716.109999999</v>
      </c>
      <c r="G78" s="472"/>
      <c r="H78" s="219" t="s">
        <v>56</v>
      </c>
      <c r="I78" s="186">
        <v>40634</v>
      </c>
      <c r="J78" s="187" t="s">
        <v>71</v>
      </c>
      <c r="K78" s="210">
        <v>80619.096999999994</v>
      </c>
      <c r="L78" s="210"/>
      <c r="O78" s="230">
        <f>+H23</f>
        <v>76130.615000000005</v>
      </c>
      <c r="P78" s="195" t="s">
        <v>725</v>
      </c>
    </row>
    <row r="79" spans="1:16" x14ac:dyDescent="0.15">
      <c r="A79" s="193" t="s">
        <v>724</v>
      </c>
      <c r="B79" s="470" t="s">
        <v>730</v>
      </c>
      <c r="C79" s="470"/>
      <c r="D79" s="470"/>
      <c r="E79" s="183" t="s">
        <v>55</v>
      </c>
      <c r="F79" s="472">
        <v>46087131.859999999</v>
      </c>
      <c r="G79" s="472"/>
      <c r="H79" s="219" t="s">
        <v>56</v>
      </c>
      <c r="I79" s="186">
        <v>40644</v>
      </c>
      <c r="J79" s="187" t="s">
        <v>71</v>
      </c>
      <c r="K79" s="210">
        <v>120894.96400000001</v>
      </c>
      <c r="L79" s="210"/>
      <c r="O79" s="230"/>
      <c r="P79" s="192"/>
    </row>
    <row r="80" spans="1:16" ht="12" thickBot="1" x14ac:dyDescent="0.2">
      <c r="A80" s="193"/>
      <c r="B80" s="470"/>
      <c r="C80" s="470"/>
      <c r="D80" s="470"/>
      <c r="E80" s="183"/>
      <c r="F80" s="472"/>
      <c r="G80" s="472"/>
      <c r="H80" s="219"/>
      <c r="I80" s="186"/>
      <c r="J80" s="217" t="s">
        <v>105</v>
      </c>
      <c r="K80" s="211">
        <f>SUM(K78:K79)</f>
        <v>201514.06099999999</v>
      </c>
      <c r="L80" s="210"/>
      <c r="O80" s="230"/>
      <c r="P80" s="192"/>
    </row>
    <row r="81" spans="1:16" ht="12" thickTop="1" x14ac:dyDescent="0.15">
      <c r="A81" s="193" t="s">
        <v>688</v>
      </c>
      <c r="B81" s="470" t="s">
        <v>731</v>
      </c>
      <c r="C81" s="470"/>
      <c r="D81" s="470"/>
      <c r="E81" s="183" t="s">
        <v>55</v>
      </c>
      <c r="F81" s="472">
        <v>86303791.069999993</v>
      </c>
      <c r="G81" s="472"/>
      <c r="H81" s="219" t="s">
        <v>56</v>
      </c>
      <c r="I81" s="186">
        <v>40637</v>
      </c>
      <c r="J81" s="187" t="s">
        <v>71</v>
      </c>
      <c r="K81" s="210">
        <v>332420.68500000006</v>
      </c>
      <c r="L81" s="210"/>
      <c r="O81" s="230"/>
      <c r="P81" s="195"/>
    </row>
    <row r="82" spans="1:16" ht="12" thickBot="1" x14ac:dyDescent="0.2">
      <c r="A82" s="193"/>
      <c r="B82" s="470"/>
      <c r="C82" s="470"/>
      <c r="D82" s="470"/>
      <c r="E82" s="183"/>
      <c r="F82" s="472"/>
      <c r="G82" s="472"/>
      <c r="H82" s="219"/>
      <c r="I82" s="186"/>
      <c r="J82" s="217" t="s">
        <v>689</v>
      </c>
      <c r="K82" s="211">
        <f>SUM(K81)</f>
        <v>332420.68500000006</v>
      </c>
      <c r="L82" s="210"/>
      <c r="O82" s="230"/>
      <c r="P82" s="195"/>
    </row>
    <row r="83" spans="1:16" ht="12" thickTop="1" x14ac:dyDescent="0.15">
      <c r="A83" s="193" t="s">
        <v>687</v>
      </c>
      <c r="B83" s="470" t="s">
        <v>732</v>
      </c>
      <c r="C83" s="470"/>
      <c r="D83" s="470"/>
      <c r="E83" s="183" t="s">
        <v>55</v>
      </c>
      <c r="F83" s="472">
        <v>182351421.59</v>
      </c>
      <c r="G83" s="472"/>
      <c r="H83" s="219" t="s">
        <v>56</v>
      </c>
      <c r="I83" s="186">
        <v>40637</v>
      </c>
      <c r="J83" s="187" t="s">
        <v>71</v>
      </c>
      <c r="K83" s="210">
        <v>80222.244000000006</v>
      </c>
      <c r="L83" s="210"/>
      <c r="O83" s="230"/>
      <c r="P83" s="195"/>
    </row>
    <row r="84" spans="1:16" ht="12" thickBot="1" x14ac:dyDescent="0.2">
      <c r="A84" s="193"/>
      <c r="B84" s="470"/>
      <c r="C84" s="470"/>
      <c r="D84" s="470"/>
      <c r="E84" s="183"/>
      <c r="F84" s="472"/>
      <c r="G84" s="472"/>
      <c r="H84" s="219"/>
      <c r="I84" s="186"/>
      <c r="J84" s="217" t="s">
        <v>106</v>
      </c>
      <c r="K84" s="233">
        <f>SUM(K83)</f>
        <v>80222.244000000006</v>
      </c>
      <c r="L84" s="210"/>
      <c r="O84" s="230"/>
      <c r="P84" s="195"/>
    </row>
    <row r="85" spans="1:16" ht="12" thickTop="1" x14ac:dyDescent="0.15">
      <c r="A85" s="193"/>
      <c r="B85" s="470"/>
      <c r="C85" s="470"/>
      <c r="D85" s="470"/>
      <c r="E85" s="183"/>
      <c r="F85" s="472"/>
      <c r="G85" s="472"/>
      <c r="H85" s="219"/>
      <c r="I85" s="186"/>
      <c r="J85" s="187"/>
      <c r="K85" s="210"/>
      <c r="L85" s="210"/>
      <c r="O85" s="230"/>
      <c r="P85" s="195"/>
    </row>
    <row r="86" spans="1:16" x14ac:dyDescent="0.15">
      <c r="A86" s="133" t="s">
        <v>568</v>
      </c>
      <c r="B86" s="133" t="s">
        <v>9</v>
      </c>
      <c r="C86" s="220" t="s">
        <v>729</v>
      </c>
      <c r="D86" s="133" t="s">
        <v>570</v>
      </c>
      <c r="E86" s="133" t="s">
        <v>571</v>
      </c>
      <c r="F86" s="133" t="s">
        <v>16</v>
      </c>
      <c r="I86" s="187"/>
      <c r="J86" s="210"/>
      <c r="K86" s="210"/>
      <c r="L86" s="210"/>
      <c r="O86" s="230"/>
      <c r="P86" s="195"/>
    </row>
    <row r="87" spans="1:16" x14ac:dyDescent="0.15">
      <c r="A87" s="193" t="s">
        <v>686</v>
      </c>
      <c r="B87" s="210">
        <v>80619</v>
      </c>
      <c r="C87" s="221">
        <v>25.507400000000001</v>
      </c>
      <c r="D87" s="235">
        <f>+(B87*C87)*0.01</f>
        <v>20563.810806000001</v>
      </c>
      <c r="E87" s="235">
        <f>+D87*0.1</f>
        <v>2056.3810806000001</v>
      </c>
      <c r="F87" s="236">
        <f>+D87+E87</f>
        <v>22620.191886600001</v>
      </c>
      <c r="H87" s="133"/>
      <c r="I87" s="187"/>
      <c r="J87" s="210"/>
      <c r="K87" s="210"/>
      <c r="L87" s="210"/>
      <c r="O87" s="230"/>
      <c r="P87" s="195"/>
    </row>
    <row r="88" spans="1:16" x14ac:dyDescent="0.15">
      <c r="A88" s="193" t="s">
        <v>724</v>
      </c>
      <c r="B88" s="210">
        <v>120895</v>
      </c>
      <c r="C88" s="221">
        <v>25.478200000000001</v>
      </c>
      <c r="D88" s="235">
        <f>+(B88*C88)*0.01</f>
        <v>30801.869890000002</v>
      </c>
      <c r="E88" s="235">
        <f>+D88*0.1</f>
        <v>3080.1869890000003</v>
      </c>
      <c r="F88" s="236">
        <f>+D88+E88</f>
        <v>33882.056879000003</v>
      </c>
      <c r="H88" s="133"/>
      <c r="I88" s="187"/>
      <c r="J88" s="210"/>
      <c r="K88" s="210"/>
      <c r="L88" s="210"/>
      <c r="O88" s="206" t="s">
        <v>33</v>
      </c>
      <c r="P88" s="207">
        <f>SUM(O77:O87)</f>
        <v>149214.91936200944</v>
      </c>
    </row>
    <row r="89" spans="1:16" ht="12" thickBot="1" x14ac:dyDescent="0.2">
      <c r="A89" s="193"/>
      <c r="B89" s="211">
        <f>SUM(B87:B88)</f>
        <v>201514</v>
      </c>
      <c r="C89" s="221"/>
      <c r="D89" s="224">
        <f>SUM(D87:D88)</f>
        <v>51365.680696000003</v>
      </c>
      <c r="E89" s="224">
        <f t="shared" ref="E89" si="8">SUM(E87:E88)</f>
        <v>5136.5680695999999</v>
      </c>
      <c r="F89" s="224">
        <f t="shared" ref="F89" si="9">SUM(F87:F88)</f>
        <v>56502.248765600001</v>
      </c>
      <c r="H89" s="133"/>
      <c r="I89" s="187"/>
      <c r="J89" s="210"/>
      <c r="K89" s="210"/>
      <c r="L89" s="210"/>
      <c r="P89" s="132">
        <f>+P76-P88</f>
        <v>0</v>
      </c>
    </row>
    <row r="90" spans="1:16" ht="12" thickTop="1" x14ac:dyDescent="0.15">
      <c r="A90" s="193" t="s">
        <v>688</v>
      </c>
      <c r="B90" s="210">
        <v>332421</v>
      </c>
      <c r="C90" s="221">
        <v>25.6995</v>
      </c>
      <c r="D90" s="235">
        <f>+(B90*C90)*0.01</f>
        <v>85430.534895000019</v>
      </c>
      <c r="E90" s="235">
        <f>+D90*0.1</f>
        <v>8543.0534895000019</v>
      </c>
      <c r="F90" s="236">
        <f>+D90+E90</f>
        <v>93973.588384500021</v>
      </c>
      <c r="H90" s="133"/>
      <c r="I90" s="187"/>
      <c r="J90" s="210"/>
      <c r="K90" s="210"/>
      <c r="L90" s="210"/>
    </row>
    <row r="91" spans="1:16" ht="12" thickBot="1" x14ac:dyDescent="0.2">
      <c r="A91" s="193"/>
      <c r="B91" s="211">
        <f>SUM(B90)</f>
        <v>332421</v>
      </c>
      <c r="C91" s="221"/>
      <c r="D91" s="224">
        <f>SUM(D90)</f>
        <v>85430.534895000019</v>
      </c>
      <c r="E91" s="224">
        <f t="shared" ref="E91" si="10">SUM(E90)</f>
        <v>8543.0534895000019</v>
      </c>
      <c r="F91" s="224">
        <f t="shared" ref="F91" si="11">SUM(F90)</f>
        <v>93973.588384500021</v>
      </c>
      <c r="H91" s="133"/>
      <c r="I91" s="187"/>
      <c r="J91" s="210"/>
      <c r="K91" s="210"/>
      <c r="L91" s="210"/>
    </row>
    <row r="92" spans="1:16" ht="12" thickTop="1" x14ac:dyDescent="0.15">
      <c r="A92" s="193" t="s">
        <v>687</v>
      </c>
      <c r="B92" s="210">
        <v>80222</v>
      </c>
      <c r="C92" s="221">
        <v>25.874600000000001</v>
      </c>
      <c r="D92" s="235">
        <f>+(B92*C92)*0.01</f>
        <v>20757.121611999999</v>
      </c>
      <c r="E92" s="235">
        <f>+D92*0.1</f>
        <v>2075.7121612000001</v>
      </c>
      <c r="F92" s="236">
        <f>+D92+E92</f>
        <v>22832.8337732</v>
      </c>
      <c r="H92" s="133"/>
      <c r="I92" s="187"/>
      <c r="J92" s="210"/>
      <c r="K92" s="210"/>
      <c r="L92" s="210"/>
    </row>
    <row r="93" spans="1:16" ht="12" thickBot="1" x14ac:dyDescent="0.2">
      <c r="B93" s="211">
        <f>SUM(B92)</f>
        <v>80222</v>
      </c>
      <c r="D93" s="234">
        <f>SUM(D92)</f>
        <v>20757.121611999999</v>
      </c>
      <c r="E93" s="234">
        <f t="shared" ref="E93" si="12">SUM(E92)</f>
        <v>2075.7121612000001</v>
      </c>
      <c r="F93" s="234">
        <f t="shared" ref="F93" si="13">SUM(F92)</f>
        <v>22832.8337732</v>
      </c>
      <c r="L93" s="210"/>
    </row>
    <row r="94" spans="1:16" ht="12" thickTop="1" x14ac:dyDescent="0.15">
      <c r="L94" s="210"/>
    </row>
    <row r="95" spans="1:16" x14ac:dyDescent="0.15">
      <c r="B95" s="231"/>
      <c r="L95" s="210"/>
    </row>
    <row r="96" spans="1:16" x14ac:dyDescent="0.15">
      <c r="L96" s="210"/>
    </row>
    <row r="97" spans="1:16" x14ac:dyDescent="0.15">
      <c r="L97" s="210"/>
    </row>
    <row r="98" spans="1:16" s="132" customFormat="1" x14ac:dyDescent="0.15">
      <c r="A98" s="134"/>
      <c r="B98" s="131"/>
      <c r="D98" s="133"/>
      <c r="E98" s="133"/>
      <c r="F98" s="134"/>
      <c r="G98" s="133"/>
      <c r="I98" s="133"/>
      <c r="K98" s="134"/>
      <c r="L98" s="210"/>
      <c r="N98" s="134"/>
    </row>
    <row r="99" spans="1:16" s="132" customFormat="1" x14ac:dyDescent="0.15">
      <c r="A99" s="133"/>
      <c r="C99" s="134"/>
      <c r="D99" s="210"/>
      <c r="F99" s="134"/>
    </row>
    <row r="100" spans="1:16" s="132" customFormat="1" x14ac:dyDescent="0.15">
      <c r="A100" s="133"/>
      <c r="C100" s="134"/>
      <c r="D100" s="210"/>
      <c r="F100" s="134"/>
    </row>
    <row r="101" spans="1:16" s="132" customFormat="1" x14ac:dyDescent="0.15">
      <c r="A101" s="133"/>
      <c r="C101" s="134"/>
      <c r="D101" s="210"/>
      <c r="F101" s="134"/>
    </row>
    <row r="102" spans="1:16" s="132" customFormat="1" x14ac:dyDescent="0.15">
      <c r="A102" s="133"/>
      <c r="C102" s="134"/>
      <c r="D102" s="210"/>
      <c r="F102" s="134"/>
    </row>
    <row r="103" spans="1:16" x14ac:dyDescent="0.15">
      <c r="A103" s="133"/>
      <c r="B103" s="132"/>
      <c r="C103" s="134"/>
      <c r="E103" s="132"/>
      <c r="G103" s="132"/>
      <c r="I103" s="134"/>
      <c r="J103" s="134"/>
      <c r="L103" s="134"/>
      <c r="M103" s="134"/>
      <c r="O103" s="134"/>
      <c r="P103" s="134"/>
    </row>
    <row r="104" spans="1:16" x14ac:dyDescent="0.15">
      <c r="A104" s="133"/>
      <c r="B104" s="132"/>
      <c r="C104" s="134"/>
      <c r="E104" s="132"/>
      <c r="G104" s="132"/>
      <c r="I104" s="134"/>
      <c r="J104" s="134"/>
      <c r="L104" s="134"/>
      <c r="M104" s="134"/>
      <c r="O104" s="134"/>
      <c r="P104" s="134"/>
    </row>
    <row r="105" spans="1:16" x14ac:dyDescent="0.15">
      <c r="A105" s="133"/>
      <c r="B105" s="132"/>
      <c r="C105" s="134"/>
      <c r="E105" s="132"/>
      <c r="G105" s="132"/>
      <c r="I105" s="134"/>
      <c r="J105" s="134"/>
      <c r="L105" s="134"/>
      <c r="M105" s="134"/>
      <c r="O105" s="134"/>
      <c r="P105" s="134"/>
    </row>
    <row r="106" spans="1:16" x14ac:dyDescent="0.15">
      <c r="A106" s="133"/>
      <c r="B106" s="132"/>
      <c r="C106" s="134"/>
      <c r="E106" s="132"/>
      <c r="G106" s="132"/>
      <c r="I106" s="134"/>
      <c r="J106" s="134"/>
      <c r="L106" s="134"/>
      <c r="M106" s="134"/>
      <c r="O106" s="134"/>
      <c r="P106" s="134"/>
    </row>
    <row r="107" spans="1:16" x14ac:dyDescent="0.15">
      <c r="A107" s="133"/>
      <c r="B107" s="132"/>
      <c r="C107" s="134"/>
      <c r="E107" s="132"/>
      <c r="G107" s="132"/>
      <c r="I107" s="134"/>
      <c r="J107" s="134"/>
      <c r="L107" s="134"/>
      <c r="M107" s="134"/>
      <c r="O107" s="134"/>
      <c r="P107" s="134"/>
    </row>
    <row r="108" spans="1:16" x14ac:dyDescent="0.15">
      <c r="A108" s="133"/>
      <c r="B108" s="132"/>
      <c r="C108" s="134"/>
      <c r="E108" s="132"/>
      <c r="G108" s="132"/>
      <c r="I108" s="134"/>
      <c r="J108" s="134"/>
      <c r="L108" s="134"/>
      <c r="M108" s="134"/>
      <c r="O108" s="134"/>
      <c r="P108" s="134"/>
    </row>
    <row r="109" spans="1:16" x14ac:dyDescent="0.15">
      <c r="A109" s="133"/>
      <c r="B109" s="132"/>
      <c r="C109" s="134"/>
      <c r="E109" s="132"/>
      <c r="G109" s="132"/>
      <c r="I109" s="134"/>
      <c r="J109" s="134"/>
      <c r="L109" s="134"/>
      <c r="M109" s="134"/>
      <c r="O109" s="134"/>
      <c r="P109" s="134"/>
    </row>
    <row r="110" spans="1:16" x14ac:dyDescent="0.15">
      <c r="A110" s="133"/>
      <c r="B110" s="132"/>
      <c r="C110" s="134"/>
      <c r="E110" s="132"/>
      <c r="G110" s="132"/>
      <c r="I110" s="134"/>
      <c r="J110" s="134"/>
      <c r="L110" s="134"/>
      <c r="M110" s="134"/>
      <c r="O110" s="134"/>
      <c r="P110" s="134"/>
    </row>
  </sheetData>
  <mergeCells count="24">
    <mergeCell ref="B83:D83"/>
    <mergeCell ref="F83:G83"/>
    <mergeCell ref="B84:D84"/>
    <mergeCell ref="F84:G84"/>
    <mergeCell ref="B85:D85"/>
    <mergeCell ref="F85:G85"/>
    <mergeCell ref="B80:D80"/>
    <mergeCell ref="F80:G80"/>
    <mergeCell ref="B81:D81"/>
    <mergeCell ref="F81:G81"/>
    <mergeCell ref="B82:D82"/>
    <mergeCell ref="F82:G82"/>
    <mergeCell ref="B77:D77"/>
    <mergeCell ref="F77:G77"/>
    <mergeCell ref="B78:D78"/>
    <mergeCell ref="F78:G78"/>
    <mergeCell ref="B79:D79"/>
    <mergeCell ref="F79:G79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zoomScale="115" zoomScaleNormal="115" workbookViewId="0">
      <pane ySplit="6" topLeftCell="A52" activePane="bottomLeft" state="frozen"/>
      <selection pane="bottomLeft" activeCell="B94" sqref="B94:D94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0.140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645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621</v>
      </c>
      <c r="B7" s="146"/>
      <c r="C7" s="147">
        <v>233709.43746200949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233709.43746200949</v>
      </c>
      <c r="P7" s="147">
        <f>+C76</f>
        <v>589821.5704620094</v>
      </c>
    </row>
    <row r="8" spans="1:16" x14ac:dyDescent="0.15">
      <c r="A8" s="154" t="s">
        <v>622</v>
      </c>
      <c r="B8" s="151"/>
      <c r="C8" s="152">
        <v>316119.43299999996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233709.43746200949</v>
      </c>
      <c r="P8" s="152">
        <f t="shared" ref="P8" si="0">P7+H8-J8-M8</f>
        <v>589821.5704620094</v>
      </c>
    </row>
    <row r="9" spans="1:16" x14ac:dyDescent="0.15">
      <c r="A9" s="154" t="s">
        <v>623</v>
      </c>
      <c r="B9" s="151"/>
      <c r="C9" s="152">
        <v>39992.699999999997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" si="1">+O8-J9-M9</f>
        <v>233709.43746200949</v>
      </c>
      <c r="P9" s="152">
        <f t="shared" ref="P9" si="2">P8+H9-J9-M9</f>
        <v>589821.5704620094</v>
      </c>
    </row>
    <row r="10" spans="1:16" x14ac:dyDescent="0.15">
      <c r="A10" s="154"/>
      <c r="B10" s="151"/>
      <c r="C10" s="152"/>
      <c r="D10" s="153" t="s">
        <v>646</v>
      </c>
      <c r="E10" s="154" t="s">
        <v>72</v>
      </c>
      <c r="F10" s="157" t="s">
        <v>671</v>
      </c>
      <c r="G10" s="154"/>
      <c r="H10" s="152">
        <v>39948.088000000003</v>
      </c>
      <c r="I10" s="153" t="s">
        <v>646</v>
      </c>
      <c r="J10" s="152"/>
      <c r="K10" s="150"/>
      <c r="L10" s="154" t="s">
        <v>691</v>
      </c>
      <c r="M10" s="227">
        <v>71768.160000000003</v>
      </c>
      <c r="N10" s="150" t="s">
        <v>621</v>
      </c>
      <c r="O10" s="227">
        <f t="shared" ref="O10:O75" si="3">+O9-J10-M10</f>
        <v>161941.27746200949</v>
      </c>
      <c r="P10" s="152">
        <f t="shared" ref="P10:P75" si="4">P9+H10-J10-M10</f>
        <v>558001.49846200936</v>
      </c>
    </row>
    <row r="11" spans="1:16" x14ac:dyDescent="0.15">
      <c r="A11" s="154"/>
      <c r="B11" s="151"/>
      <c r="C11" s="152"/>
      <c r="D11" s="153" t="s">
        <v>647</v>
      </c>
      <c r="E11" s="154" t="s">
        <v>72</v>
      </c>
      <c r="F11" s="157" t="s">
        <v>671</v>
      </c>
      <c r="G11" s="154"/>
      <c r="H11" s="152">
        <v>115801.072</v>
      </c>
      <c r="I11" s="153" t="s">
        <v>647</v>
      </c>
      <c r="J11" s="152"/>
      <c r="K11" s="150"/>
      <c r="L11" s="154" t="s">
        <v>691</v>
      </c>
      <c r="M11" s="227">
        <v>83882.45</v>
      </c>
      <c r="N11" s="150" t="s">
        <v>621</v>
      </c>
      <c r="O11" s="227">
        <f t="shared" si="3"/>
        <v>78058.827462009489</v>
      </c>
      <c r="P11" s="152">
        <f t="shared" si="4"/>
        <v>589920.12046200945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647</v>
      </c>
      <c r="J12" s="152"/>
      <c r="K12" s="150"/>
      <c r="L12" s="154" t="s">
        <v>691</v>
      </c>
      <c r="M12" s="227">
        <v>78058.827000000005</v>
      </c>
      <c r="N12" s="154" t="s">
        <v>621</v>
      </c>
      <c r="O12" s="227">
        <f t="shared" si="3"/>
        <v>4.620094841811806E-4</v>
      </c>
      <c r="P12" s="152">
        <f t="shared" si="4"/>
        <v>511861.29346200946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647</v>
      </c>
      <c r="J13" s="152"/>
      <c r="K13" s="150"/>
      <c r="L13" s="154" t="s">
        <v>690</v>
      </c>
      <c r="M13" s="227">
        <v>762.19299999999998</v>
      </c>
      <c r="N13" s="154" t="s">
        <v>622</v>
      </c>
      <c r="O13" s="227">
        <f>C8+O12-J13-M13</f>
        <v>315357.24046200939</v>
      </c>
      <c r="P13" s="152">
        <f t="shared" ref="P13:P17" si="5">P12+H13-J13-M13</f>
        <v>511099.10046200943</v>
      </c>
    </row>
    <row r="14" spans="1:16" x14ac:dyDescent="0.15">
      <c r="A14" s="154"/>
      <c r="B14" s="151"/>
      <c r="C14" s="152"/>
      <c r="D14" s="153" t="s">
        <v>648</v>
      </c>
      <c r="E14" s="154" t="s">
        <v>72</v>
      </c>
      <c r="F14" s="157" t="s">
        <v>673</v>
      </c>
      <c r="G14" s="154"/>
      <c r="H14" s="152">
        <v>60070.464999999997</v>
      </c>
      <c r="I14" s="153" t="s">
        <v>648</v>
      </c>
      <c r="J14" s="152"/>
      <c r="K14" s="154"/>
      <c r="L14" s="154" t="s">
        <v>690</v>
      </c>
      <c r="M14" s="227">
        <v>48444.51</v>
      </c>
      <c r="N14" s="154" t="s">
        <v>622</v>
      </c>
      <c r="O14" s="227">
        <f t="shared" ref="O14:O17" si="6">+O13-J14-M14</f>
        <v>266912.73046200938</v>
      </c>
      <c r="P14" s="152">
        <f t="shared" si="5"/>
        <v>522725.05546200939</v>
      </c>
    </row>
    <row r="15" spans="1:16" x14ac:dyDescent="0.15">
      <c r="A15" s="154"/>
      <c r="B15" s="151"/>
      <c r="C15" s="152"/>
      <c r="D15" s="153" t="s">
        <v>672</v>
      </c>
      <c r="E15" s="154" t="s">
        <v>72</v>
      </c>
      <c r="F15" s="157" t="s">
        <v>673</v>
      </c>
      <c r="G15" s="154"/>
      <c r="H15" s="152">
        <v>79989.048999999999</v>
      </c>
      <c r="I15" s="153" t="s">
        <v>672</v>
      </c>
      <c r="J15" s="152"/>
      <c r="K15" s="154"/>
      <c r="L15" s="154"/>
      <c r="M15" s="227"/>
      <c r="N15" s="154"/>
      <c r="O15" s="227">
        <f t="shared" si="6"/>
        <v>266912.73046200938</v>
      </c>
      <c r="P15" s="152">
        <f t="shared" si="5"/>
        <v>602714.10446200939</v>
      </c>
    </row>
    <row r="16" spans="1:16" x14ac:dyDescent="0.15">
      <c r="A16" s="154"/>
      <c r="B16" s="151"/>
      <c r="C16" s="152"/>
      <c r="D16" s="153" t="s">
        <v>649</v>
      </c>
      <c r="E16" s="154" t="s">
        <v>72</v>
      </c>
      <c r="F16" s="157" t="s">
        <v>693</v>
      </c>
      <c r="G16" s="154"/>
      <c r="H16" s="152">
        <v>75924.356</v>
      </c>
      <c r="I16" s="153" t="s">
        <v>649</v>
      </c>
      <c r="J16" s="152"/>
      <c r="K16" s="154"/>
      <c r="L16" s="154" t="s">
        <v>690</v>
      </c>
      <c r="M16" s="227">
        <v>78588.06</v>
      </c>
      <c r="N16" s="154" t="s">
        <v>622</v>
      </c>
      <c r="O16" s="227">
        <f t="shared" si="6"/>
        <v>188324.67046200938</v>
      </c>
      <c r="P16" s="152">
        <f t="shared" si="5"/>
        <v>600050.40046200948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650</v>
      </c>
      <c r="J17" s="152">
        <v>715.42</v>
      </c>
      <c r="K17" s="154" t="s">
        <v>622</v>
      </c>
      <c r="L17" s="154"/>
      <c r="M17" s="227"/>
      <c r="N17" s="154"/>
      <c r="O17" s="227">
        <f t="shared" si="6"/>
        <v>187609.25046200937</v>
      </c>
      <c r="P17" s="152">
        <f t="shared" si="5"/>
        <v>599334.98046200944</v>
      </c>
    </row>
    <row r="18" spans="1:16" x14ac:dyDescent="0.15">
      <c r="A18" s="154"/>
      <c r="B18" s="151"/>
      <c r="C18" s="152"/>
      <c r="D18" s="153" t="s">
        <v>651</v>
      </c>
      <c r="E18" s="154" t="s">
        <v>72</v>
      </c>
      <c r="F18" s="157" t="s">
        <v>678</v>
      </c>
      <c r="G18" s="154"/>
      <c r="H18" s="152">
        <v>59928.114999999998</v>
      </c>
      <c r="I18" s="153" t="s">
        <v>651</v>
      </c>
      <c r="J18" s="152">
        <v>3848.83</v>
      </c>
      <c r="K18" s="154" t="s">
        <v>622</v>
      </c>
      <c r="L18" s="154" t="s">
        <v>690</v>
      </c>
      <c r="M18" s="227">
        <v>50338.68</v>
      </c>
      <c r="N18" s="154" t="s">
        <v>622</v>
      </c>
      <c r="O18" s="227">
        <f t="shared" si="3"/>
        <v>133421.74046200939</v>
      </c>
      <c r="P18" s="152">
        <f t="shared" si="4"/>
        <v>605075.58546200942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3" t="s">
        <v>651</v>
      </c>
      <c r="J19" s="152"/>
      <c r="K19" s="150"/>
      <c r="L19" s="154" t="s">
        <v>690</v>
      </c>
      <c r="M19" s="227">
        <v>86925.55</v>
      </c>
      <c r="N19" s="154" t="s">
        <v>622</v>
      </c>
      <c r="O19" s="227">
        <f t="shared" si="3"/>
        <v>46496.190462009385</v>
      </c>
      <c r="P19" s="152">
        <f t="shared" si="4"/>
        <v>518150.03546200943</v>
      </c>
    </row>
    <row r="20" spans="1:16" x14ac:dyDescent="0.15">
      <c r="A20" s="154"/>
      <c r="B20" s="151"/>
      <c r="C20" s="152"/>
      <c r="D20" s="153" t="s">
        <v>652</v>
      </c>
      <c r="E20" s="154" t="s">
        <v>72</v>
      </c>
      <c r="F20" s="157" t="s">
        <v>678</v>
      </c>
      <c r="G20" s="154"/>
      <c r="H20" s="152">
        <v>73021</v>
      </c>
      <c r="I20" s="153" t="s">
        <v>652</v>
      </c>
      <c r="J20" s="152"/>
      <c r="K20" s="154"/>
      <c r="L20" s="154" t="s">
        <v>690</v>
      </c>
      <c r="M20" s="227">
        <v>46496.19</v>
      </c>
      <c r="N20" s="154" t="s">
        <v>622</v>
      </c>
      <c r="O20" s="227">
        <f t="shared" si="3"/>
        <v>4.62009382317774E-4</v>
      </c>
      <c r="P20" s="152">
        <f t="shared" si="4"/>
        <v>544674.84546200954</v>
      </c>
    </row>
    <row r="21" spans="1:16" x14ac:dyDescent="0.15">
      <c r="A21" s="154"/>
      <c r="B21" s="151"/>
      <c r="C21" s="152"/>
      <c r="D21" s="153"/>
      <c r="E21" s="154"/>
      <c r="F21" s="157"/>
      <c r="G21" s="154"/>
      <c r="H21" s="152"/>
      <c r="I21" s="153" t="s">
        <v>652</v>
      </c>
      <c r="J21" s="152"/>
      <c r="K21" s="154"/>
      <c r="L21" s="154" t="s">
        <v>692</v>
      </c>
      <c r="M21" s="227">
        <v>25747.81</v>
      </c>
      <c r="N21" s="154" t="s">
        <v>623</v>
      </c>
      <c r="O21" s="227">
        <f>C9+O20-J21-M21</f>
        <v>14244.890462009378</v>
      </c>
      <c r="P21" s="152">
        <f t="shared" ref="P21:P22" si="7">P20+H21-J21-M21</f>
        <v>518927.03546200955</v>
      </c>
    </row>
    <row r="22" spans="1:16" x14ac:dyDescent="0.15">
      <c r="A22" s="154"/>
      <c r="B22" s="151"/>
      <c r="C22" s="152"/>
      <c r="D22" s="153" t="s">
        <v>652</v>
      </c>
      <c r="E22" s="154" t="s">
        <v>72</v>
      </c>
      <c r="F22" s="157" t="s">
        <v>679</v>
      </c>
      <c r="G22" s="154"/>
      <c r="H22" s="152">
        <v>2902.3490000000002</v>
      </c>
      <c r="I22" s="153" t="s">
        <v>652</v>
      </c>
      <c r="J22" s="152"/>
      <c r="K22" s="154"/>
      <c r="L22" s="154" t="s">
        <v>692</v>
      </c>
      <c r="M22" s="227">
        <v>14244.89</v>
      </c>
      <c r="N22" s="154" t="s">
        <v>623</v>
      </c>
      <c r="O22" s="227">
        <f t="shared" ref="O22" si="8">+O21-J22-M22</f>
        <v>4.6200937867979519E-4</v>
      </c>
      <c r="P22" s="152">
        <f t="shared" si="7"/>
        <v>507584.49446200952</v>
      </c>
    </row>
    <row r="23" spans="1:16" x14ac:dyDescent="0.15">
      <c r="A23" s="154"/>
      <c r="B23" s="151"/>
      <c r="C23" s="152"/>
      <c r="D23" s="153"/>
      <c r="E23" s="154"/>
      <c r="F23" s="157"/>
      <c r="G23" s="154"/>
      <c r="H23" s="152"/>
      <c r="I23" s="153" t="s">
        <v>652</v>
      </c>
      <c r="J23" s="152"/>
      <c r="K23" s="154"/>
      <c r="L23" s="154" t="s">
        <v>691</v>
      </c>
      <c r="M23" s="227">
        <v>32771.339999999997</v>
      </c>
      <c r="N23" s="157" t="s">
        <v>671</v>
      </c>
      <c r="O23" s="227">
        <f>H10+H11+O22-J23-M23</f>
        <v>122977.82046200937</v>
      </c>
      <c r="P23" s="152">
        <f t="shared" ref="P23:P24" si="9">P22+H23-J23-M23</f>
        <v>474813.15446200955</v>
      </c>
    </row>
    <row r="24" spans="1:16" x14ac:dyDescent="0.15">
      <c r="A24" s="154"/>
      <c r="B24" s="151"/>
      <c r="C24" s="152"/>
      <c r="D24" s="153" t="s">
        <v>653</v>
      </c>
      <c r="E24" s="154" t="s">
        <v>72</v>
      </c>
      <c r="F24" s="157" t="s">
        <v>679</v>
      </c>
      <c r="G24" s="154"/>
      <c r="H24" s="152">
        <v>159874.38</v>
      </c>
      <c r="I24" s="153" t="s">
        <v>653</v>
      </c>
      <c r="J24" s="152"/>
      <c r="K24" s="150"/>
      <c r="L24" s="154" t="s">
        <v>691</v>
      </c>
      <c r="M24" s="227">
        <v>75434.350000000006</v>
      </c>
      <c r="N24" s="157" t="s">
        <v>671</v>
      </c>
      <c r="O24" s="227">
        <f t="shared" ref="O24" si="10">+O23-J24-M24</f>
        <v>47543.470462009369</v>
      </c>
      <c r="P24" s="152">
        <f t="shared" si="9"/>
        <v>559253.18446200958</v>
      </c>
    </row>
    <row r="25" spans="1:16" x14ac:dyDescent="0.15">
      <c r="A25" s="154"/>
      <c r="B25" s="151"/>
      <c r="C25" s="152"/>
      <c r="D25" s="153"/>
      <c r="E25" s="154"/>
      <c r="F25" s="157"/>
      <c r="G25" s="154"/>
      <c r="H25" s="152"/>
      <c r="I25" s="153" t="s">
        <v>653</v>
      </c>
      <c r="J25" s="152"/>
      <c r="K25" s="154"/>
      <c r="L25" s="154" t="s">
        <v>691</v>
      </c>
      <c r="M25" s="227">
        <v>47543.47</v>
      </c>
      <c r="N25" s="157" t="s">
        <v>671</v>
      </c>
      <c r="O25" s="227">
        <f t="shared" ref="O25:O29" si="11">+O24-J25-M25</f>
        <v>4.6200936776585877E-4</v>
      </c>
      <c r="P25" s="152">
        <f t="shared" ref="P25:P29" si="12">P24+H25-J25-M25</f>
        <v>511709.71446200961</v>
      </c>
    </row>
    <row r="26" spans="1:16" x14ac:dyDescent="0.15">
      <c r="A26" s="154"/>
      <c r="B26" s="151"/>
      <c r="C26" s="152"/>
      <c r="D26" s="153"/>
      <c r="E26" s="154"/>
      <c r="F26" s="157"/>
      <c r="G26" s="154"/>
      <c r="H26" s="152"/>
      <c r="I26" s="153" t="s">
        <v>653</v>
      </c>
      <c r="J26" s="152"/>
      <c r="K26" s="154"/>
      <c r="L26" s="154" t="s">
        <v>692</v>
      </c>
      <c r="M26" s="227">
        <v>33310.33</v>
      </c>
      <c r="N26" s="157" t="s">
        <v>673</v>
      </c>
      <c r="O26" s="227">
        <f>H14+H15+O25-J26-M26</f>
        <v>106749.18446200936</v>
      </c>
      <c r="P26" s="152">
        <f t="shared" si="12"/>
        <v>478399.38446200959</v>
      </c>
    </row>
    <row r="27" spans="1:16" x14ac:dyDescent="0.15">
      <c r="A27" s="154"/>
      <c r="B27" s="151"/>
      <c r="C27" s="152"/>
      <c r="D27" s="153" t="s">
        <v>654</v>
      </c>
      <c r="E27" s="154" t="s">
        <v>72</v>
      </c>
      <c r="F27" s="157" t="s">
        <v>680</v>
      </c>
      <c r="G27" s="154"/>
      <c r="H27" s="152">
        <v>119937.444</v>
      </c>
      <c r="I27" s="153" t="s">
        <v>654</v>
      </c>
      <c r="J27" s="152"/>
      <c r="K27" s="150"/>
      <c r="L27" s="154" t="s">
        <v>692</v>
      </c>
      <c r="M27" s="227">
        <v>47702</v>
      </c>
      <c r="N27" s="157" t="s">
        <v>673</v>
      </c>
      <c r="O27" s="227">
        <f t="shared" si="11"/>
        <v>59047.184462009362</v>
      </c>
      <c r="P27" s="152">
        <f t="shared" si="12"/>
        <v>550634.82846200955</v>
      </c>
    </row>
    <row r="28" spans="1:16" x14ac:dyDescent="0.15">
      <c r="A28" s="154"/>
      <c r="B28" s="151"/>
      <c r="C28" s="152"/>
      <c r="D28" s="153" t="s">
        <v>675</v>
      </c>
      <c r="E28" s="154" t="s">
        <v>72</v>
      </c>
      <c r="F28" s="157" t="s">
        <v>680</v>
      </c>
      <c r="G28" s="154"/>
      <c r="H28" s="152">
        <v>79957.822</v>
      </c>
      <c r="I28" s="153" t="s">
        <v>675</v>
      </c>
      <c r="J28" s="152"/>
      <c r="K28" s="150"/>
      <c r="L28" s="154"/>
      <c r="M28" s="227"/>
      <c r="N28" s="154"/>
      <c r="O28" s="227">
        <f t="shared" si="11"/>
        <v>59047.184462009362</v>
      </c>
      <c r="P28" s="152">
        <f t="shared" si="12"/>
        <v>630592.65046200959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655</v>
      </c>
      <c r="J29" s="152">
        <v>2614</v>
      </c>
      <c r="K29" s="157" t="s">
        <v>673</v>
      </c>
      <c r="L29" s="154" t="s">
        <v>692</v>
      </c>
      <c r="M29" s="227">
        <v>56433.184000000001</v>
      </c>
      <c r="N29" s="157" t="s">
        <v>673</v>
      </c>
      <c r="O29" s="227">
        <f t="shared" si="11"/>
        <v>4.6200936048990116E-4</v>
      </c>
      <c r="P29" s="152">
        <f t="shared" si="12"/>
        <v>571545.46646200959</v>
      </c>
    </row>
    <row r="30" spans="1:16" x14ac:dyDescent="0.15">
      <c r="A30" s="154"/>
      <c r="B30" s="151"/>
      <c r="C30" s="152"/>
      <c r="D30" s="153"/>
      <c r="E30" s="154"/>
      <c r="F30" s="157"/>
      <c r="G30" s="154"/>
      <c r="H30" s="152"/>
      <c r="I30" s="153" t="s">
        <v>655</v>
      </c>
      <c r="J30" s="152"/>
      <c r="K30" s="150"/>
      <c r="L30" s="154" t="s">
        <v>691</v>
      </c>
      <c r="M30" s="227">
        <v>20020.815999999999</v>
      </c>
      <c r="N30" s="157" t="s">
        <v>693</v>
      </c>
      <c r="O30" s="227">
        <f>H16+O29-J30-M30</f>
        <v>55903.540462009369</v>
      </c>
      <c r="P30" s="152">
        <f t="shared" ref="P30:P31" si="13">P29+H30-J30-M30</f>
        <v>551524.65046200959</v>
      </c>
    </row>
    <row r="31" spans="1:16" x14ac:dyDescent="0.15">
      <c r="A31" s="154"/>
      <c r="B31" s="151"/>
      <c r="C31" s="152"/>
      <c r="D31" s="153" t="s">
        <v>656</v>
      </c>
      <c r="E31" s="154" t="s">
        <v>72</v>
      </c>
      <c r="F31" s="157" t="s">
        <v>681</v>
      </c>
      <c r="G31" s="154"/>
      <c r="H31" s="152">
        <v>79866.975999999995</v>
      </c>
      <c r="I31" s="153" t="s">
        <v>656</v>
      </c>
      <c r="J31" s="152"/>
      <c r="K31" s="150"/>
      <c r="L31" s="154" t="s">
        <v>691</v>
      </c>
      <c r="M31" s="227">
        <v>55903.54</v>
      </c>
      <c r="N31" s="157" t="s">
        <v>693</v>
      </c>
      <c r="O31" s="227">
        <f t="shared" ref="O31" si="14">+O30-J31-M31</f>
        <v>4.6200936776585877E-4</v>
      </c>
      <c r="P31" s="152">
        <f t="shared" si="13"/>
        <v>575488.08646200958</v>
      </c>
    </row>
    <row r="32" spans="1:16" x14ac:dyDescent="0.15">
      <c r="A32" s="154"/>
      <c r="B32" s="151"/>
      <c r="C32" s="152"/>
      <c r="D32" s="153"/>
      <c r="E32" s="154"/>
      <c r="F32" s="157"/>
      <c r="G32" s="154"/>
      <c r="H32" s="152"/>
      <c r="I32" s="153" t="s">
        <v>656</v>
      </c>
      <c r="J32" s="152"/>
      <c r="K32" s="150"/>
      <c r="L32" s="154" t="s">
        <v>692</v>
      </c>
      <c r="M32" s="227">
        <v>35599.46</v>
      </c>
      <c r="N32" s="157" t="s">
        <v>678</v>
      </c>
      <c r="O32" s="227">
        <f>H18+H20+O31-J32-M32</f>
        <v>97349.655462009367</v>
      </c>
      <c r="P32" s="152">
        <f t="shared" ref="P32:P34" si="15">P31+H32-J32-M32</f>
        <v>539888.62646200962</v>
      </c>
    </row>
    <row r="33" spans="1:16" x14ac:dyDescent="0.15">
      <c r="A33" s="154"/>
      <c r="B33" s="151"/>
      <c r="C33" s="152"/>
      <c r="D33" s="153" t="s">
        <v>657</v>
      </c>
      <c r="E33" s="154" t="s">
        <v>72</v>
      </c>
      <c r="F33" s="157" t="s">
        <v>681</v>
      </c>
      <c r="G33" s="154"/>
      <c r="H33" s="152">
        <v>59935.006999999998</v>
      </c>
      <c r="I33" s="153" t="s">
        <v>657</v>
      </c>
      <c r="J33" s="152"/>
      <c r="K33" s="157"/>
      <c r="L33" s="154" t="s">
        <v>692</v>
      </c>
      <c r="M33" s="227">
        <v>76567.759999999995</v>
      </c>
      <c r="N33" s="157" t="s">
        <v>678</v>
      </c>
      <c r="O33" s="227">
        <f t="shared" ref="O33:O34" si="16">+O32-J33-M33</f>
        <v>20781.895462009372</v>
      </c>
      <c r="P33" s="152">
        <f t="shared" si="15"/>
        <v>523255.87346200959</v>
      </c>
    </row>
    <row r="34" spans="1:16" x14ac:dyDescent="0.15">
      <c r="A34" s="154"/>
      <c r="B34" s="151"/>
      <c r="C34" s="152"/>
      <c r="D34" s="153" t="s">
        <v>658</v>
      </c>
      <c r="E34" s="154" t="s">
        <v>72</v>
      </c>
      <c r="F34" s="157" t="s">
        <v>681</v>
      </c>
      <c r="G34" s="154"/>
      <c r="H34" s="152">
        <v>115894.961</v>
      </c>
      <c r="I34" s="153" t="s">
        <v>658</v>
      </c>
      <c r="J34" s="152">
        <v>275.8</v>
      </c>
      <c r="K34" s="157" t="s">
        <v>678</v>
      </c>
      <c r="L34" s="154" t="s">
        <v>692</v>
      </c>
      <c r="M34" s="227">
        <v>20506.095000000001</v>
      </c>
      <c r="N34" s="157" t="s">
        <v>678</v>
      </c>
      <c r="O34" s="227">
        <f t="shared" si="16"/>
        <v>4.6200937140383758E-4</v>
      </c>
      <c r="P34" s="152">
        <f t="shared" si="15"/>
        <v>618368.93946200958</v>
      </c>
    </row>
    <row r="35" spans="1:16" x14ac:dyDescent="0.15">
      <c r="A35" s="154"/>
      <c r="B35" s="151"/>
      <c r="C35" s="152"/>
      <c r="D35" s="153"/>
      <c r="E35" s="154"/>
      <c r="F35" s="157"/>
      <c r="G35" s="154"/>
      <c r="H35" s="152"/>
      <c r="I35" s="153" t="s">
        <v>658</v>
      </c>
      <c r="J35" s="152"/>
      <c r="K35" s="157"/>
      <c r="L35" s="154" t="s">
        <v>691</v>
      </c>
      <c r="M35" s="227">
        <v>56034.775000000001</v>
      </c>
      <c r="N35" s="157" t="s">
        <v>679</v>
      </c>
      <c r="O35" s="227">
        <f>H22+H24+O34-J35-M35</f>
        <v>106741.95446200937</v>
      </c>
      <c r="P35" s="152">
        <f t="shared" ref="P35:P36" si="17">P34+H35-J35-M35</f>
        <v>562334.16446200956</v>
      </c>
    </row>
    <row r="36" spans="1:16" x14ac:dyDescent="0.15">
      <c r="A36" s="154"/>
      <c r="B36" s="151"/>
      <c r="C36" s="152"/>
      <c r="D36" s="153"/>
      <c r="E36" s="154"/>
      <c r="F36" s="157"/>
      <c r="G36" s="154"/>
      <c r="H36" s="152"/>
      <c r="I36" s="153" t="s">
        <v>658</v>
      </c>
      <c r="J36" s="152"/>
      <c r="K36" s="150"/>
      <c r="L36" s="154" t="s">
        <v>691</v>
      </c>
      <c r="M36" s="227">
        <v>85043.96</v>
      </c>
      <c r="N36" s="157" t="s">
        <v>679</v>
      </c>
      <c r="O36" s="227">
        <f t="shared" ref="O36" si="18">+O35-J36-M36</f>
        <v>21697.994462009359</v>
      </c>
      <c r="P36" s="152">
        <f t="shared" si="17"/>
        <v>477290.20446200954</v>
      </c>
    </row>
    <row r="37" spans="1:16" x14ac:dyDescent="0.15">
      <c r="A37" s="154"/>
      <c r="B37" s="151"/>
      <c r="C37" s="152"/>
      <c r="D37" s="153" t="s">
        <v>659</v>
      </c>
      <c r="E37" s="154" t="s">
        <v>72</v>
      </c>
      <c r="F37" s="157" t="s">
        <v>681</v>
      </c>
      <c r="G37" s="154"/>
      <c r="H37" s="152">
        <v>80098.142999999996</v>
      </c>
      <c r="I37" s="153" t="s">
        <v>659</v>
      </c>
      <c r="J37" s="152"/>
      <c r="K37" s="157"/>
      <c r="L37" s="154" t="s">
        <v>691</v>
      </c>
      <c r="M37" s="227">
        <v>21697.993999999999</v>
      </c>
      <c r="N37" s="157" t="s">
        <v>679</v>
      </c>
      <c r="O37" s="227">
        <f t="shared" ref="O37:O43" si="19">+O36-J37-M37</f>
        <v>4.6200936048990116E-4</v>
      </c>
      <c r="P37" s="152">
        <f t="shared" ref="P37:P43" si="20">P36+H37-J37-M37</f>
        <v>535690.35346200957</v>
      </c>
    </row>
    <row r="38" spans="1:16" x14ac:dyDescent="0.15">
      <c r="A38" s="154"/>
      <c r="B38" s="151"/>
      <c r="C38" s="152"/>
      <c r="D38" s="153"/>
      <c r="E38" s="154"/>
      <c r="F38" s="157"/>
      <c r="G38" s="154"/>
      <c r="H38" s="152"/>
      <c r="I38" s="153" t="s">
        <v>659</v>
      </c>
      <c r="J38" s="152"/>
      <c r="K38" s="157"/>
      <c r="L38" s="154" t="s">
        <v>691</v>
      </c>
      <c r="M38" s="227">
        <v>28080.806</v>
      </c>
      <c r="N38" s="157" t="s">
        <v>680</v>
      </c>
      <c r="O38" s="227">
        <f>H27+H28+O37-J38-M38</f>
        <v>171814.46046200936</v>
      </c>
      <c r="P38" s="152">
        <f t="shared" si="20"/>
        <v>507609.54746200959</v>
      </c>
    </row>
    <row r="39" spans="1:16" x14ac:dyDescent="0.15">
      <c r="A39" s="154"/>
      <c r="B39" s="151"/>
      <c r="C39" s="152"/>
      <c r="D39" s="153" t="s">
        <v>676</v>
      </c>
      <c r="E39" s="154" t="s">
        <v>72</v>
      </c>
      <c r="F39" s="157" t="s">
        <v>682</v>
      </c>
      <c r="G39" s="154"/>
      <c r="H39" s="152">
        <v>100029.30100000001</v>
      </c>
      <c r="I39" s="153" t="s">
        <v>676</v>
      </c>
      <c r="J39" s="152"/>
      <c r="K39" s="157"/>
      <c r="L39" s="154"/>
      <c r="M39" s="227"/>
      <c r="N39" s="157"/>
      <c r="O39" s="227">
        <f t="shared" si="19"/>
        <v>171814.46046200936</v>
      </c>
      <c r="P39" s="152">
        <f t="shared" si="20"/>
        <v>607638.84846200957</v>
      </c>
    </row>
    <row r="40" spans="1:16" x14ac:dyDescent="0.15">
      <c r="A40" s="154"/>
      <c r="B40" s="151"/>
      <c r="C40" s="152"/>
      <c r="D40" s="153"/>
      <c r="E40" s="154"/>
      <c r="F40" s="157"/>
      <c r="G40" s="154"/>
      <c r="H40" s="152"/>
      <c r="I40" s="153" t="s">
        <v>660</v>
      </c>
      <c r="J40" s="152"/>
      <c r="K40" s="157"/>
      <c r="L40" s="154" t="s">
        <v>691</v>
      </c>
      <c r="M40" s="227">
        <v>77400</v>
      </c>
      <c r="N40" s="157" t="s">
        <v>680</v>
      </c>
      <c r="O40" s="227">
        <f t="shared" si="19"/>
        <v>94414.46046200936</v>
      </c>
      <c r="P40" s="152">
        <f t="shared" si="20"/>
        <v>530238.84846200957</v>
      </c>
    </row>
    <row r="41" spans="1:16" x14ac:dyDescent="0.15">
      <c r="A41" s="154"/>
      <c r="B41" s="151"/>
      <c r="C41" s="152"/>
      <c r="D41" s="153"/>
      <c r="E41" s="154"/>
      <c r="F41" s="157"/>
      <c r="G41" s="154"/>
      <c r="H41" s="152"/>
      <c r="I41" s="153" t="s">
        <v>661</v>
      </c>
      <c r="J41" s="152">
        <v>1083.8900000000001</v>
      </c>
      <c r="K41" s="157" t="s">
        <v>680</v>
      </c>
      <c r="L41" s="154"/>
      <c r="M41" s="227"/>
      <c r="N41" s="157"/>
      <c r="O41" s="227">
        <f t="shared" si="19"/>
        <v>93330.57046200936</v>
      </c>
      <c r="P41" s="152">
        <f t="shared" si="20"/>
        <v>529154.95846200956</v>
      </c>
    </row>
    <row r="42" spans="1:16" x14ac:dyDescent="0.15">
      <c r="A42" s="154"/>
      <c r="B42" s="151"/>
      <c r="C42" s="152"/>
      <c r="D42" s="153" t="s">
        <v>662</v>
      </c>
      <c r="E42" s="154" t="s">
        <v>72</v>
      </c>
      <c r="F42" s="157" t="s">
        <v>683</v>
      </c>
      <c r="G42" s="154"/>
      <c r="H42" s="152">
        <v>100092.568</v>
      </c>
      <c r="I42" s="153" t="s">
        <v>662</v>
      </c>
      <c r="J42" s="152">
        <v>907.09</v>
      </c>
      <c r="K42" s="157" t="s">
        <v>680</v>
      </c>
      <c r="L42" s="154" t="s">
        <v>691</v>
      </c>
      <c r="M42" s="227">
        <v>50059.360000000001</v>
      </c>
      <c r="N42" s="157" t="s">
        <v>680</v>
      </c>
      <c r="O42" s="227">
        <f t="shared" si="19"/>
        <v>42364.120462009363</v>
      </c>
      <c r="P42" s="152">
        <f t="shared" si="20"/>
        <v>578281.07646200957</v>
      </c>
    </row>
    <row r="43" spans="1:16" x14ac:dyDescent="0.15">
      <c r="A43" s="154"/>
      <c r="B43" s="151"/>
      <c r="C43" s="152"/>
      <c r="D43" s="153"/>
      <c r="E43" s="154"/>
      <c r="F43" s="157"/>
      <c r="G43" s="154"/>
      <c r="H43" s="152"/>
      <c r="I43" s="153" t="s">
        <v>662</v>
      </c>
      <c r="J43" s="152"/>
      <c r="K43" s="150"/>
      <c r="L43" s="154" t="s">
        <v>691</v>
      </c>
      <c r="M43" s="227">
        <v>42364.12</v>
      </c>
      <c r="N43" s="157" t="s">
        <v>680</v>
      </c>
      <c r="O43" s="227">
        <f t="shared" si="19"/>
        <v>4.6200936048990116E-4</v>
      </c>
      <c r="P43" s="152">
        <f t="shared" si="20"/>
        <v>535916.95646200958</v>
      </c>
    </row>
    <row r="44" spans="1:16" x14ac:dyDescent="0.15">
      <c r="A44" s="154"/>
      <c r="B44" s="151"/>
      <c r="C44" s="152"/>
      <c r="D44" s="153"/>
      <c r="E44" s="154"/>
      <c r="F44" s="157"/>
      <c r="G44" s="154"/>
      <c r="H44" s="152"/>
      <c r="I44" s="153" t="s">
        <v>662</v>
      </c>
      <c r="J44" s="152"/>
      <c r="K44" s="150"/>
      <c r="L44" s="154" t="s">
        <v>692</v>
      </c>
      <c r="M44" s="227">
        <v>44980.74</v>
      </c>
      <c r="N44" s="157" t="s">
        <v>681</v>
      </c>
      <c r="O44" s="227">
        <f>H31+H33+H34+H37+O43-J44-M44</f>
        <v>290814.34746200935</v>
      </c>
      <c r="P44" s="152">
        <f t="shared" ref="P44:P49" si="21">P43+H44-J44-M44</f>
        <v>490936.21646200959</v>
      </c>
    </row>
    <row r="45" spans="1:16" x14ac:dyDescent="0.15">
      <c r="A45" s="154"/>
      <c r="B45" s="151"/>
      <c r="C45" s="152"/>
      <c r="D45" s="153"/>
      <c r="E45" s="154"/>
      <c r="F45" s="157"/>
      <c r="G45" s="154"/>
      <c r="H45" s="152"/>
      <c r="I45" s="153" t="s">
        <v>663</v>
      </c>
      <c r="J45" s="152"/>
      <c r="K45" s="157"/>
      <c r="L45" s="154" t="s">
        <v>692</v>
      </c>
      <c r="M45" s="227">
        <v>72314.66</v>
      </c>
      <c r="N45" s="157" t="s">
        <v>681</v>
      </c>
      <c r="O45" s="227">
        <f t="shared" ref="O45:O49" si="22">+O44-J45-M45</f>
        <v>218499.68746200934</v>
      </c>
      <c r="P45" s="152">
        <f t="shared" si="21"/>
        <v>418621.55646200955</v>
      </c>
    </row>
    <row r="46" spans="1:16" x14ac:dyDescent="0.15">
      <c r="A46" s="154"/>
      <c r="B46" s="151"/>
      <c r="C46" s="152"/>
      <c r="D46" s="153"/>
      <c r="E46" s="154"/>
      <c r="F46" s="157"/>
      <c r="G46" s="154"/>
      <c r="H46" s="152"/>
      <c r="I46" s="153" t="s">
        <v>663</v>
      </c>
      <c r="J46" s="152"/>
      <c r="K46" s="157"/>
      <c r="L46" s="154" t="s">
        <v>692</v>
      </c>
      <c r="M46" s="227">
        <v>47632.31</v>
      </c>
      <c r="N46" s="157" t="s">
        <v>681</v>
      </c>
      <c r="O46" s="227">
        <f t="shared" si="22"/>
        <v>170867.37746200935</v>
      </c>
      <c r="P46" s="152">
        <f t="shared" si="21"/>
        <v>370989.24646200956</v>
      </c>
    </row>
    <row r="47" spans="1:16" x14ac:dyDescent="0.15">
      <c r="A47" s="154"/>
      <c r="B47" s="151"/>
      <c r="C47" s="152"/>
      <c r="D47" s="153" t="s">
        <v>664</v>
      </c>
      <c r="E47" s="154" t="s">
        <v>72</v>
      </c>
      <c r="F47" s="157" t="s">
        <v>684</v>
      </c>
      <c r="G47" s="154"/>
      <c r="H47" s="152">
        <v>119889.58900000001</v>
      </c>
      <c r="I47" s="153" t="s">
        <v>664</v>
      </c>
      <c r="J47" s="152"/>
      <c r="K47" s="150"/>
      <c r="L47" s="154" t="s">
        <v>692</v>
      </c>
      <c r="M47" s="227">
        <v>82206.67</v>
      </c>
      <c r="N47" s="157" t="s">
        <v>681</v>
      </c>
      <c r="O47" s="227">
        <f t="shared" si="22"/>
        <v>88660.707462009348</v>
      </c>
      <c r="P47" s="152">
        <f t="shared" si="21"/>
        <v>408672.16546200955</v>
      </c>
    </row>
    <row r="48" spans="1:16" x14ac:dyDescent="0.15">
      <c r="A48" s="154"/>
      <c r="B48" s="151"/>
      <c r="C48" s="152"/>
      <c r="D48" s="153"/>
      <c r="E48" s="154"/>
      <c r="F48" s="157"/>
      <c r="G48" s="154"/>
      <c r="H48" s="152"/>
      <c r="I48" s="153" t="s">
        <v>664</v>
      </c>
      <c r="J48" s="152"/>
      <c r="K48" s="150"/>
      <c r="L48" s="154" t="s">
        <v>692</v>
      </c>
      <c r="M48" s="227">
        <v>73444.89</v>
      </c>
      <c r="N48" s="157" t="s">
        <v>681</v>
      </c>
      <c r="O48" s="227">
        <f t="shared" si="22"/>
        <v>15215.817462009349</v>
      </c>
      <c r="P48" s="152">
        <f t="shared" si="21"/>
        <v>335227.27546200954</v>
      </c>
    </row>
    <row r="49" spans="1:16" x14ac:dyDescent="0.15">
      <c r="A49" s="154"/>
      <c r="B49" s="151"/>
      <c r="C49" s="152"/>
      <c r="D49" s="153" t="s">
        <v>665</v>
      </c>
      <c r="E49" s="154" t="s">
        <v>72</v>
      </c>
      <c r="F49" s="157" t="s">
        <v>694</v>
      </c>
      <c r="G49" s="154"/>
      <c r="H49" s="152">
        <v>40030.016000000003</v>
      </c>
      <c r="I49" s="153" t="s">
        <v>665</v>
      </c>
      <c r="J49" s="152">
        <v>255.16</v>
      </c>
      <c r="K49" s="157" t="s">
        <v>681</v>
      </c>
      <c r="L49" s="154" t="s">
        <v>692</v>
      </c>
      <c r="M49" s="227">
        <v>14960.656999999999</v>
      </c>
      <c r="N49" s="157" t="s">
        <v>681</v>
      </c>
      <c r="O49" s="227">
        <f t="shared" si="22"/>
        <v>4.6200934957596473E-4</v>
      </c>
      <c r="P49" s="152">
        <f t="shared" si="21"/>
        <v>360041.47446200956</v>
      </c>
    </row>
    <row r="50" spans="1:16" x14ac:dyDescent="0.15">
      <c r="A50" s="154"/>
      <c r="B50" s="151"/>
      <c r="C50" s="152"/>
      <c r="D50" s="153"/>
      <c r="E50" s="154"/>
      <c r="F50" s="157"/>
      <c r="G50" s="154"/>
      <c r="H50" s="152"/>
      <c r="I50" s="153" t="s">
        <v>665</v>
      </c>
      <c r="J50" s="152"/>
      <c r="K50" s="150"/>
      <c r="L50" s="154" t="s">
        <v>692</v>
      </c>
      <c r="M50" s="227">
        <v>36114.873</v>
      </c>
      <c r="N50" s="157" t="s">
        <v>682</v>
      </c>
      <c r="O50" s="227">
        <f>H39+O49-J50-M50</f>
        <v>63914.42846200936</v>
      </c>
      <c r="P50" s="152">
        <f t="shared" ref="P50:P52" si="23">P49+H50-J50-M50</f>
        <v>323926.60146200954</v>
      </c>
    </row>
    <row r="51" spans="1:16" x14ac:dyDescent="0.15">
      <c r="A51" s="154"/>
      <c r="B51" s="151"/>
      <c r="C51" s="152"/>
      <c r="D51" s="153" t="s">
        <v>677</v>
      </c>
      <c r="E51" s="154" t="s">
        <v>72</v>
      </c>
      <c r="F51" s="157" t="s">
        <v>686</v>
      </c>
      <c r="G51" s="154"/>
      <c r="H51" s="152">
        <v>40086.029000000002</v>
      </c>
      <c r="I51" s="153" t="s">
        <v>677</v>
      </c>
      <c r="J51" s="152"/>
      <c r="K51" s="157"/>
      <c r="L51" s="154"/>
      <c r="M51" s="227"/>
      <c r="N51" s="157"/>
      <c r="O51" s="227">
        <f t="shared" ref="O51:O52" si="24">+O50-J51-M51</f>
        <v>63914.42846200936</v>
      </c>
      <c r="P51" s="152">
        <f t="shared" si="23"/>
        <v>364012.63046200952</v>
      </c>
    </row>
    <row r="52" spans="1:16" x14ac:dyDescent="0.15">
      <c r="A52" s="154"/>
      <c r="B52" s="151"/>
      <c r="C52" s="152"/>
      <c r="D52" s="153" t="s">
        <v>666</v>
      </c>
      <c r="E52" s="154" t="s">
        <v>72</v>
      </c>
      <c r="F52" s="157" t="s">
        <v>686</v>
      </c>
      <c r="G52" s="154"/>
      <c r="H52" s="152">
        <v>140421.834</v>
      </c>
      <c r="I52" s="153" t="s">
        <v>666</v>
      </c>
      <c r="J52" s="152">
        <v>9429</v>
      </c>
      <c r="K52" s="157" t="s">
        <v>682</v>
      </c>
      <c r="L52" s="154" t="s">
        <v>692</v>
      </c>
      <c r="M52" s="227">
        <v>54485.428</v>
      </c>
      <c r="N52" s="157" t="s">
        <v>682</v>
      </c>
      <c r="O52" s="227">
        <f t="shared" si="24"/>
        <v>4.6200936048990116E-4</v>
      </c>
      <c r="P52" s="152">
        <f t="shared" si="23"/>
        <v>440520.03646200948</v>
      </c>
    </row>
    <row r="53" spans="1:16" x14ac:dyDescent="0.15">
      <c r="A53" s="154"/>
      <c r="B53" s="151"/>
      <c r="C53" s="152"/>
      <c r="D53" s="153"/>
      <c r="E53" s="154"/>
      <c r="F53" s="157"/>
      <c r="G53" s="154"/>
      <c r="H53" s="152"/>
      <c r="I53" s="153" t="s">
        <v>666</v>
      </c>
      <c r="J53" s="152"/>
      <c r="K53" s="157"/>
      <c r="L53" s="154" t="s">
        <v>692</v>
      </c>
      <c r="M53" s="227">
        <v>23936.362000000001</v>
      </c>
      <c r="N53" s="157" t="s">
        <v>683</v>
      </c>
      <c r="O53" s="227">
        <f>H42+O52-J53-M53</f>
        <v>76156.206462009373</v>
      </c>
      <c r="P53" s="152">
        <f t="shared" ref="P53:P54" si="25">P52+H53-J53-M53</f>
        <v>416583.67446200945</v>
      </c>
    </row>
    <row r="54" spans="1:16" x14ac:dyDescent="0.15">
      <c r="A54" s="154"/>
      <c r="B54" s="151"/>
      <c r="C54" s="152"/>
      <c r="D54" s="153" t="s">
        <v>667</v>
      </c>
      <c r="E54" s="154" t="s">
        <v>72</v>
      </c>
      <c r="F54" s="157" t="s">
        <v>687</v>
      </c>
      <c r="G54" s="154"/>
      <c r="H54" s="152">
        <v>80222.244000000006</v>
      </c>
      <c r="I54" s="153" t="s">
        <v>667</v>
      </c>
      <c r="J54" s="152">
        <v>6710.25</v>
      </c>
      <c r="K54" s="157" t="s">
        <v>683</v>
      </c>
      <c r="L54" s="154" t="s">
        <v>692</v>
      </c>
      <c r="M54" s="227">
        <v>69445.956000000006</v>
      </c>
      <c r="N54" s="157" t="s">
        <v>683</v>
      </c>
      <c r="O54" s="227">
        <f t="shared" ref="O54" si="26">+O53-J54-M54</f>
        <v>4.6200936776585877E-4</v>
      </c>
      <c r="P54" s="152">
        <f t="shared" si="25"/>
        <v>420649.71246200945</v>
      </c>
    </row>
    <row r="55" spans="1:16" x14ac:dyDescent="0.15">
      <c r="A55" s="154"/>
      <c r="B55" s="151"/>
      <c r="C55" s="152"/>
      <c r="D55" s="153"/>
      <c r="E55" s="154"/>
      <c r="F55" s="157"/>
      <c r="G55" s="154"/>
      <c r="H55" s="152"/>
      <c r="I55" s="153" t="s">
        <v>667</v>
      </c>
      <c r="J55" s="152"/>
      <c r="K55" s="157"/>
      <c r="L55" s="154" t="s">
        <v>690</v>
      </c>
      <c r="M55" s="227">
        <v>20725.044000000002</v>
      </c>
      <c r="N55" s="157" t="s">
        <v>684</v>
      </c>
      <c r="O55" s="227">
        <f>H47+O54-J55-M55</f>
        <v>99164.545462009381</v>
      </c>
      <c r="P55" s="152">
        <f t="shared" ref="P55:P57" si="27">P54+H55-J55-M55</f>
        <v>399924.66846200946</v>
      </c>
    </row>
    <row r="56" spans="1:16" x14ac:dyDescent="0.15">
      <c r="A56" s="154"/>
      <c r="B56" s="151"/>
      <c r="C56" s="152"/>
      <c r="D56" s="153"/>
      <c r="E56" s="154"/>
      <c r="F56" s="157"/>
      <c r="G56" s="154"/>
      <c r="H56" s="152"/>
      <c r="I56" s="153" t="s">
        <v>668</v>
      </c>
      <c r="J56" s="152"/>
      <c r="K56" s="157"/>
      <c r="L56" s="154" t="s">
        <v>690</v>
      </c>
      <c r="M56" s="227">
        <v>79348.59</v>
      </c>
      <c r="N56" s="157" t="s">
        <v>684</v>
      </c>
      <c r="O56" s="227">
        <f t="shared" ref="O56:O57" si="28">+O55-J56-M56</f>
        <v>19815.955462009384</v>
      </c>
      <c r="P56" s="152">
        <f t="shared" si="27"/>
        <v>320576.07846200943</v>
      </c>
    </row>
    <row r="57" spans="1:16" x14ac:dyDescent="0.15">
      <c r="A57" s="154"/>
      <c r="B57" s="151"/>
      <c r="C57" s="152"/>
      <c r="D57" s="153" t="s">
        <v>669</v>
      </c>
      <c r="E57" s="154" t="s">
        <v>72</v>
      </c>
      <c r="F57" s="157" t="s">
        <v>688</v>
      </c>
      <c r="G57" s="154"/>
      <c r="H57" s="152">
        <v>120553.105</v>
      </c>
      <c r="I57" s="153" t="s">
        <v>669</v>
      </c>
      <c r="J57" s="152">
        <v>19815.955000000002</v>
      </c>
      <c r="K57" s="157" t="s">
        <v>684</v>
      </c>
      <c r="L57" s="154"/>
      <c r="M57" s="227"/>
      <c r="N57" s="157"/>
      <c r="O57" s="227">
        <f t="shared" si="28"/>
        <v>4.62009382317774E-4</v>
      </c>
      <c r="P57" s="152">
        <f t="shared" si="27"/>
        <v>421313.2284620094</v>
      </c>
    </row>
    <row r="58" spans="1:16" x14ac:dyDescent="0.15">
      <c r="A58" s="154"/>
      <c r="B58" s="151"/>
      <c r="C58" s="152"/>
      <c r="D58" s="153"/>
      <c r="E58" s="154"/>
      <c r="F58" s="157"/>
      <c r="G58" s="154"/>
      <c r="H58" s="152"/>
      <c r="I58" s="153" t="s">
        <v>669</v>
      </c>
      <c r="J58" s="152">
        <v>6085.9049999999997</v>
      </c>
      <c r="K58" s="157" t="s">
        <v>694</v>
      </c>
      <c r="L58" s="154" t="s">
        <v>691</v>
      </c>
      <c r="M58" s="227">
        <v>33944.110999999997</v>
      </c>
      <c r="N58" s="157" t="s">
        <v>694</v>
      </c>
      <c r="O58" s="227">
        <f>H49+O57-J58-M58</f>
        <v>4.6200938959373161E-4</v>
      </c>
      <c r="P58" s="152">
        <f t="shared" ref="P58" si="29">P57+H58-J58-M58</f>
        <v>381283.2124620094</v>
      </c>
    </row>
    <row r="59" spans="1:16" x14ac:dyDescent="0.15">
      <c r="A59" s="154"/>
      <c r="B59" s="151"/>
      <c r="C59" s="152"/>
      <c r="D59" s="153"/>
      <c r="E59" s="154"/>
      <c r="F59" s="157"/>
      <c r="G59" s="154"/>
      <c r="H59" s="152"/>
      <c r="I59" s="153" t="s">
        <v>669</v>
      </c>
      <c r="J59" s="152"/>
      <c r="K59" s="157"/>
      <c r="L59" s="154" t="s">
        <v>690</v>
      </c>
      <c r="M59" s="227">
        <v>44715.639000000003</v>
      </c>
      <c r="N59" s="157" t="s">
        <v>686</v>
      </c>
      <c r="O59" s="227">
        <f>H51+H52+O58-J59-M59</f>
        <v>135792.22446200941</v>
      </c>
      <c r="P59" s="152">
        <f t="shared" ref="P59:P64" si="30">P58+H59-J59-M59</f>
        <v>336567.57346200937</v>
      </c>
    </row>
    <row r="60" spans="1:16" x14ac:dyDescent="0.15">
      <c r="A60" s="154"/>
      <c r="B60" s="151"/>
      <c r="C60" s="152"/>
      <c r="D60" s="153" t="s">
        <v>670</v>
      </c>
      <c r="E60" s="154" t="s">
        <v>72</v>
      </c>
      <c r="F60" s="157" t="s">
        <v>688</v>
      </c>
      <c r="G60" s="154"/>
      <c r="H60" s="152">
        <v>216122.45</v>
      </c>
      <c r="I60" s="153" t="s">
        <v>670</v>
      </c>
      <c r="J60" s="152">
        <v>1719.74</v>
      </c>
      <c r="K60" s="150" t="s">
        <v>686</v>
      </c>
      <c r="L60" s="154" t="s">
        <v>690</v>
      </c>
      <c r="M60" s="227">
        <v>46335.040000000001</v>
      </c>
      <c r="N60" s="157" t="s">
        <v>686</v>
      </c>
      <c r="O60" s="227">
        <f t="shared" ref="O60:O64" si="31">+O59-J60-M60</f>
        <v>87737.444462009415</v>
      </c>
      <c r="P60" s="152">
        <f t="shared" si="30"/>
        <v>504635.24346200941</v>
      </c>
    </row>
    <row r="61" spans="1:16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0"/>
      <c r="L61" s="154"/>
      <c r="M61" s="227"/>
      <c r="N61" s="157"/>
      <c r="O61" s="227">
        <f t="shared" si="31"/>
        <v>87737.444462009415</v>
      </c>
      <c r="P61" s="152">
        <f t="shared" si="30"/>
        <v>504635.24346200941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0"/>
      <c r="L62" s="154"/>
      <c r="M62" s="227"/>
      <c r="N62" s="157"/>
      <c r="O62" s="227">
        <f t="shared" si="31"/>
        <v>87737.444462009415</v>
      </c>
      <c r="P62" s="152">
        <f t="shared" si="30"/>
        <v>504635.24346200941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227"/>
      <c r="N63" s="157"/>
      <c r="O63" s="227">
        <f t="shared" si="31"/>
        <v>87737.444462009415</v>
      </c>
      <c r="P63" s="152">
        <f t="shared" si="30"/>
        <v>504635.24346200941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227"/>
      <c r="N64" s="157"/>
      <c r="O64" s="227">
        <f t="shared" si="31"/>
        <v>87737.444462009415</v>
      </c>
      <c r="P64" s="152">
        <f t="shared" si="30"/>
        <v>504635.24346200941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0"/>
      <c r="L65" s="154"/>
      <c r="M65" s="227"/>
      <c r="N65" s="157"/>
      <c r="O65" s="227">
        <f t="shared" si="3"/>
        <v>87737.444462009415</v>
      </c>
      <c r="P65" s="152">
        <f t="shared" si="4"/>
        <v>504635.24346200941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227"/>
      <c r="N66" s="157"/>
      <c r="O66" s="227">
        <f t="shared" si="3"/>
        <v>87737.444462009415</v>
      </c>
      <c r="P66" s="152">
        <f t="shared" si="4"/>
        <v>504635.24346200941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0"/>
      <c r="L67" s="154"/>
      <c r="M67" s="227"/>
      <c r="N67" s="157"/>
      <c r="O67" s="227">
        <f t="shared" si="3"/>
        <v>87737.444462009415</v>
      </c>
      <c r="P67" s="152">
        <f t="shared" si="4"/>
        <v>504635.24346200941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0"/>
      <c r="L68" s="154"/>
      <c r="M68" s="227"/>
      <c r="N68" s="157"/>
      <c r="O68" s="227">
        <f t="shared" si="3"/>
        <v>87737.444462009415</v>
      </c>
      <c r="P68" s="152">
        <f t="shared" si="4"/>
        <v>504635.24346200941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0"/>
      <c r="L69" s="154"/>
      <c r="M69" s="227"/>
      <c r="N69" s="157"/>
      <c r="O69" s="227">
        <f t="shared" si="3"/>
        <v>87737.444462009415</v>
      </c>
      <c r="P69" s="152">
        <f t="shared" si="4"/>
        <v>504635.24346200941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0"/>
      <c r="L70" s="154"/>
      <c r="M70" s="227"/>
      <c r="N70" s="157"/>
      <c r="O70" s="227">
        <f t="shared" si="3"/>
        <v>87737.444462009415</v>
      </c>
      <c r="P70" s="152">
        <f t="shared" si="4"/>
        <v>504635.24346200941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227"/>
      <c r="N71" s="157"/>
      <c r="O71" s="227">
        <f t="shared" si="3"/>
        <v>87737.444462009415</v>
      </c>
      <c r="P71" s="152">
        <f t="shared" si="4"/>
        <v>504635.24346200941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227"/>
      <c r="N72" s="157"/>
      <c r="O72" s="227">
        <f t="shared" si="3"/>
        <v>87737.444462009415</v>
      </c>
      <c r="P72" s="152">
        <f t="shared" si="4"/>
        <v>504635.24346200941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227"/>
      <c r="N73" s="150"/>
      <c r="O73" s="227">
        <f t="shared" si="3"/>
        <v>87737.444462009415</v>
      </c>
      <c r="P73" s="152">
        <f t="shared" si="4"/>
        <v>504635.24346200941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227"/>
      <c r="N74" s="157"/>
      <c r="O74" s="227">
        <f t="shared" si="3"/>
        <v>87737.444462009415</v>
      </c>
      <c r="P74" s="152">
        <f t="shared" si="4"/>
        <v>504635.24346200941</v>
      </c>
    </row>
    <row r="75" spans="1:16" hidden="1" x14ac:dyDescent="0.15">
      <c r="A75" s="173"/>
      <c r="B75" s="173"/>
      <c r="C75" s="174"/>
      <c r="D75" s="175"/>
      <c r="E75" s="173"/>
      <c r="F75" s="173"/>
      <c r="G75" s="176"/>
      <c r="H75" s="174"/>
      <c r="I75" s="175"/>
      <c r="J75" s="174"/>
      <c r="K75" s="173"/>
      <c r="L75" s="154"/>
      <c r="M75" s="228"/>
      <c r="N75" s="173"/>
      <c r="O75" s="227">
        <f t="shared" si="3"/>
        <v>87737.444462009415</v>
      </c>
      <c r="P75" s="152">
        <f t="shared" si="4"/>
        <v>504635.24346200941</v>
      </c>
    </row>
    <row r="76" spans="1:16" x14ac:dyDescent="0.15">
      <c r="A76" s="177"/>
      <c r="B76" s="177"/>
      <c r="C76" s="178">
        <f>SUM(C7:C74)</f>
        <v>589821.5704620094</v>
      </c>
      <c r="D76" s="177"/>
      <c r="E76" s="177"/>
      <c r="F76" s="177"/>
      <c r="G76" s="177"/>
      <c r="H76" s="178">
        <f>SUM(H7:H74)</f>
        <v>2160596.3629999999</v>
      </c>
      <c r="I76" s="179"/>
      <c r="J76" s="178">
        <f>SUM(J7:J74)</f>
        <v>53461.04</v>
      </c>
      <c r="K76" s="177"/>
      <c r="L76" s="177"/>
      <c r="M76" s="229">
        <f>SUM(M9:M74)</f>
        <v>2192321.6499999994</v>
      </c>
      <c r="N76" s="177"/>
      <c r="O76" s="180"/>
      <c r="P76" s="181">
        <f>C76+H76-J76-M76</f>
        <v>504635.24346200982</v>
      </c>
    </row>
    <row r="77" spans="1:16" x14ac:dyDescent="0.15">
      <c r="A77" s="182"/>
      <c r="B77" s="465"/>
      <c r="C77" s="465"/>
      <c r="D77" s="465"/>
      <c r="E77" s="183"/>
      <c r="F77" s="472"/>
      <c r="G77" s="472"/>
      <c r="H77" s="185"/>
      <c r="I77" s="186"/>
      <c r="J77" s="187"/>
      <c r="K77" s="188"/>
      <c r="L77" s="189" t="s">
        <v>139</v>
      </c>
      <c r="M77" s="190">
        <f>+M76+J76</f>
        <v>2245782.6899999995</v>
      </c>
      <c r="N77" s="188"/>
      <c r="O77" s="230">
        <f>+O75</f>
        <v>87737.444462009415</v>
      </c>
      <c r="P77" s="195" t="s">
        <v>686</v>
      </c>
    </row>
    <row r="78" spans="1:16" x14ac:dyDescent="0.15">
      <c r="A78" s="193" t="s">
        <v>622</v>
      </c>
      <c r="B78" s="470" t="s">
        <v>695</v>
      </c>
      <c r="C78" s="470"/>
      <c r="D78" s="470"/>
      <c r="E78" s="183" t="s">
        <v>55</v>
      </c>
      <c r="F78" s="472">
        <v>75828936.469999999</v>
      </c>
      <c r="G78" s="472"/>
      <c r="H78" s="219" t="s">
        <v>56</v>
      </c>
      <c r="I78" s="186">
        <v>40602</v>
      </c>
      <c r="J78" s="187" t="s">
        <v>71</v>
      </c>
      <c r="K78" s="210">
        <v>311555.18300000002</v>
      </c>
      <c r="L78" s="210"/>
      <c r="O78" s="230">
        <v>80222.244000000006</v>
      </c>
      <c r="P78" s="195" t="s">
        <v>687</v>
      </c>
    </row>
    <row r="79" spans="1:16" x14ac:dyDescent="0.15">
      <c r="A79" s="193" t="s">
        <v>684</v>
      </c>
      <c r="B79" s="470" t="s">
        <v>696</v>
      </c>
      <c r="C79" s="470"/>
      <c r="D79" s="470"/>
      <c r="E79" s="183" t="s">
        <v>55</v>
      </c>
      <c r="F79" s="472">
        <v>120541232.52</v>
      </c>
      <c r="G79" s="472"/>
      <c r="H79" s="219" t="s">
        <v>56</v>
      </c>
      <c r="I79" s="186">
        <v>40631</v>
      </c>
      <c r="J79" s="187" t="s">
        <v>71</v>
      </c>
      <c r="K79" s="210">
        <v>100073.63399999999</v>
      </c>
      <c r="L79" s="210"/>
      <c r="O79" s="230">
        <v>336675.55499999999</v>
      </c>
      <c r="P79" s="192" t="s">
        <v>688</v>
      </c>
    </row>
    <row r="80" spans="1:16" x14ac:dyDescent="0.15">
      <c r="A80" s="193" t="s">
        <v>686</v>
      </c>
      <c r="B80" s="470" t="s">
        <v>697</v>
      </c>
      <c r="C80" s="470"/>
      <c r="D80" s="470"/>
      <c r="E80" s="183" t="s">
        <v>55</v>
      </c>
      <c r="F80" s="472">
        <v>99893716.109999999</v>
      </c>
      <c r="G80" s="472"/>
      <c r="H80" s="219" t="s">
        <v>56</v>
      </c>
      <c r="I80" s="186">
        <v>40634</v>
      </c>
      <c r="J80" s="187" t="s">
        <v>71</v>
      </c>
      <c r="K80" s="210">
        <v>91050.679000000004</v>
      </c>
      <c r="L80" s="210"/>
      <c r="O80" s="230"/>
      <c r="P80" s="192"/>
    </row>
    <row r="81" spans="1:16" ht="12" thickBot="1" x14ac:dyDescent="0.2">
      <c r="A81" s="193"/>
      <c r="B81" s="470"/>
      <c r="C81" s="470"/>
      <c r="D81" s="470"/>
      <c r="E81" s="183"/>
      <c r="F81" s="472"/>
      <c r="G81" s="472"/>
      <c r="H81" s="219"/>
      <c r="I81" s="186"/>
      <c r="J81" s="201" t="s">
        <v>105</v>
      </c>
      <c r="K81" s="211">
        <f>SUM(K78:K80)</f>
        <v>502679.49600000004</v>
      </c>
      <c r="L81" s="210"/>
      <c r="O81" s="230"/>
      <c r="P81" s="195"/>
    </row>
    <row r="82" spans="1:16" ht="12" thickTop="1" x14ac:dyDescent="0.15">
      <c r="A82" s="193" t="s">
        <v>621</v>
      </c>
      <c r="B82" s="470" t="s">
        <v>640</v>
      </c>
      <c r="C82" s="470"/>
      <c r="D82" s="470"/>
      <c r="E82" s="183" t="s">
        <v>55</v>
      </c>
      <c r="F82" s="472">
        <v>101796396.05</v>
      </c>
      <c r="G82" s="472"/>
      <c r="H82" s="219" t="s">
        <v>56</v>
      </c>
      <c r="I82" s="186">
        <v>40602</v>
      </c>
      <c r="J82" s="187" t="s">
        <v>71</v>
      </c>
      <c r="K82" s="210">
        <v>233709.43699999998</v>
      </c>
      <c r="L82" s="210"/>
      <c r="O82" s="230"/>
      <c r="P82" s="195"/>
    </row>
    <row r="83" spans="1:16" x14ac:dyDescent="0.15">
      <c r="A83" s="193" t="s">
        <v>671</v>
      </c>
      <c r="B83" s="470" t="s">
        <v>698</v>
      </c>
      <c r="C83" s="470"/>
      <c r="D83" s="470"/>
      <c r="E83" s="183" t="s">
        <v>55</v>
      </c>
      <c r="F83" s="472">
        <v>104445646.8</v>
      </c>
      <c r="G83" s="472"/>
      <c r="H83" s="219" t="s">
        <v>56</v>
      </c>
      <c r="I83" s="186">
        <v>40609</v>
      </c>
      <c r="J83" s="187" t="s">
        <v>71</v>
      </c>
      <c r="K83" s="210">
        <v>155749.16</v>
      </c>
      <c r="L83" s="210"/>
      <c r="O83" s="230"/>
      <c r="P83" s="195"/>
    </row>
    <row r="84" spans="1:16" x14ac:dyDescent="0.15">
      <c r="A84" s="193" t="s">
        <v>674</v>
      </c>
      <c r="B84" s="470" t="s">
        <v>699</v>
      </c>
      <c r="C84" s="470"/>
      <c r="D84" s="470"/>
      <c r="E84" s="183" t="s">
        <v>55</v>
      </c>
      <c r="F84" s="472">
        <v>107109803.67</v>
      </c>
      <c r="G84" s="472"/>
      <c r="H84" s="219" t="s">
        <v>56</v>
      </c>
      <c r="I84" s="186">
        <v>40616</v>
      </c>
      <c r="J84" s="187" t="s">
        <v>71</v>
      </c>
      <c r="K84" s="210">
        <v>75924.356</v>
      </c>
      <c r="L84" s="210"/>
      <c r="O84" s="230"/>
      <c r="P84" s="195"/>
    </row>
    <row r="85" spans="1:16" x14ac:dyDescent="0.15">
      <c r="A85" s="193" t="s">
        <v>679</v>
      </c>
      <c r="B85" s="470" t="s">
        <v>700</v>
      </c>
      <c r="C85" s="470"/>
      <c r="D85" s="470"/>
      <c r="E85" s="183" t="s">
        <v>55</v>
      </c>
      <c r="F85" s="472">
        <v>123146566.29000001</v>
      </c>
      <c r="G85" s="472"/>
      <c r="H85" s="219" t="s">
        <v>56</v>
      </c>
      <c r="I85" s="186">
        <v>40618</v>
      </c>
      <c r="J85" s="187" t="s">
        <v>71</v>
      </c>
      <c r="K85" s="210">
        <v>162776.72900000002</v>
      </c>
      <c r="L85" s="210"/>
      <c r="O85" s="230"/>
      <c r="P85" s="195"/>
    </row>
    <row r="86" spans="1:16" x14ac:dyDescent="0.15">
      <c r="A86" s="193" t="s">
        <v>680</v>
      </c>
      <c r="B86" s="470" t="s">
        <v>701</v>
      </c>
      <c r="C86" s="470"/>
      <c r="D86" s="470"/>
      <c r="E86" s="183" t="s">
        <v>55</v>
      </c>
      <c r="F86" s="472">
        <v>82152756.079999998</v>
      </c>
      <c r="G86" s="472"/>
      <c r="H86" s="219" t="s">
        <v>56</v>
      </c>
      <c r="I86" s="186">
        <v>40620</v>
      </c>
      <c r="J86" s="187" t="s">
        <v>71</v>
      </c>
      <c r="K86" s="210">
        <v>197904.28599999999</v>
      </c>
      <c r="L86" s="210"/>
      <c r="O86" s="230"/>
      <c r="P86" s="195"/>
    </row>
    <row r="87" spans="1:16" x14ac:dyDescent="0.15">
      <c r="A87" s="193" t="s">
        <v>685</v>
      </c>
      <c r="B87" s="470" t="s">
        <v>702</v>
      </c>
      <c r="C87" s="470"/>
      <c r="D87" s="470"/>
      <c r="E87" s="183" t="s">
        <v>55</v>
      </c>
      <c r="F87" s="472">
        <v>72986568.409999996</v>
      </c>
      <c r="G87" s="472"/>
      <c r="H87" s="219" t="s">
        <v>56</v>
      </c>
      <c r="I87" s="186">
        <v>40634</v>
      </c>
      <c r="J87" s="187" t="s">
        <v>71</v>
      </c>
      <c r="K87" s="210">
        <v>33944.110999999997</v>
      </c>
      <c r="L87" s="210"/>
      <c r="O87" s="230"/>
      <c r="P87" s="195"/>
    </row>
    <row r="88" spans="1:16" ht="12" thickBot="1" x14ac:dyDescent="0.2">
      <c r="A88" s="193"/>
      <c r="B88" s="470"/>
      <c r="C88" s="470"/>
      <c r="D88" s="470"/>
      <c r="E88" s="183"/>
      <c r="F88" s="472"/>
      <c r="G88" s="472"/>
      <c r="H88" s="219"/>
      <c r="I88" s="186"/>
      <c r="J88" s="201" t="s">
        <v>689</v>
      </c>
      <c r="K88" s="211">
        <f>SUM(K82:K87)</f>
        <v>860008.07900000003</v>
      </c>
      <c r="L88" s="210"/>
      <c r="O88" s="206" t="s">
        <v>33</v>
      </c>
      <c r="P88" s="207">
        <f>SUM(O77:O87)</f>
        <v>504635.24346200941</v>
      </c>
    </row>
    <row r="89" spans="1:16" ht="12" thickTop="1" x14ac:dyDescent="0.15">
      <c r="A89" s="193" t="s">
        <v>623</v>
      </c>
      <c r="B89" s="470" t="s">
        <v>703</v>
      </c>
      <c r="C89" s="470"/>
      <c r="D89" s="470"/>
      <c r="E89" s="183" t="s">
        <v>55</v>
      </c>
      <c r="F89" s="472">
        <v>135024981.86000001</v>
      </c>
      <c r="G89" s="472"/>
      <c r="H89" s="219" t="s">
        <v>56</v>
      </c>
      <c r="I89" s="186">
        <v>40850</v>
      </c>
      <c r="J89" s="187" t="s">
        <v>71</v>
      </c>
      <c r="K89" s="210">
        <v>39992.699999999997</v>
      </c>
      <c r="L89" s="210"/>
      <c r="P89" s="132">
        <f>+P76-P88</f>
        <v>0</v>
      </c>
    </row>
    <row r="90" spans="1:16" x14ac:dyDescent="0.15">
      <c r="A90" s="193" t="s">
        <v>673</v>
      </c>
      <c r="B90" s="470" t="s">
        <v>704</v>
      </c>
      <c r="C90" s="470"/>
      <c r="D90" s="470"/>
      <c r="E90" s="183" t="s">
        <v>55</v>
      </c>
      <c r="F90" s="472">
        <v>218577983.28999999</v>
      </c>
      <c r="G90" s="472"/>
      <c r="H90" s="219" t="s">
        <v>56</v>
      </c>
      <c r="I90" s="186">
        <v>40612</v>
      </c>
      <c r="J90" s="187" t="s">
        <v>71</v>
      </c>
      <c r="K90" s="210">
        <v>137445.514</v>
      </c>
      <c r="L90" s="210"/>
    </row>
    <row r="91" spans="1:16" x14ac:dyDescent="0.15">
      <c r="A91" s="193" t="s">
        <v>678</v>
      </c>
      <c r="B91" s="470" t="s">
        <v>705</v>
      </c>
      <c r="C91" s="470"/>
      <c r="D91" s="470"/>
      <c r="E91" s="183" t="s">
        <v>55</v>
      </c>
      <c r="F91" s="472">
        <v>172091474.84999999</v>
      </c>
      <c r="G91" s="472"/>
      <c r="H91" s="219" t="s">
        <v>56</v>
      </c>
      <c r="I91" s="186">
        <v>40616</v>
      </c>
      <c r="J91" s="187" t="s">
        <v>71</v>
      </c>
      <c r="K91" s="210">
        <v>132673.315</v>
      </c>
      <c r="L91" s="210"/>
    </row>
    <row r="92" spans="1:16" x14ac:dyDescent="0.15">
      <c r="A92" s="193" t="s">
        <v>681</v>
      </c>
      <c r="B92" s="470" t="s">
        <v>706</v>
      </c>
      <c r="C92" s="470"/>
      <c r="D92" s="470"/>
      <c r="E92" s="183" t="s">
        <v>55</v>
      </c>
      <c r="F92" s="472">
        <v>192957333.36000001</v>
      </c>
      <c r="G92" s="472"/>
      <c r="H92" s="219" t="s">
        <v>56</v>
      </c>
      <c r="I92" s="186">
        <v>40624</v>
      </c>
      <c r="J92" s="187" t="s">
        <v>71</v>
      </c>
      <c r="K92" s="210">
        <v>335539.92700000003</v>
      </c>
      <c r="L92" s="210"/>
    </row>
    <row r="93" spans="1:16" x14ac:dyDescent="0.15">
      <c r="A93" s="193" t="s">
        <v>682</v>
      </c>
      <c r="B93" s="470" t="s">
        <v>707</v>
      </c>
      <c r="C93" s="470"/>
      <c r="D93" s="470"/>
      <c r="E93" s="183" t="s">
        <v>55</v>
      </c>
      <c r="F93" s="472">
        <v>154913764.94999999</v>
      </c>
      <c r="G93" s="472"/>
      <c r="H93" s="219" t="s">
        <v>56</v>
      </c>
      <c r="I93" s="186">
        <v>40627</v>
      </c>
      <c r="J93" s="187" t="s">
        <v>71</v>
      </c>
      <c r="K93" s="210">
        <v>90600.301000000007</v>
      </c>
      <c r="L93" s="210"/>
    </row>
    <row r="94" spans="1:16" x14ac:dyDescent="0.15">
      <c r="A94" s="193" t="s">
        <v>683</v>
      </c>
      <c r="B94" s="470" t="s">
        <v>708</v>
      </c>
      <c r="C94" s="470"/>
      <c r="D94" s="470"/>
      <c r="E94" s="183" t="s">
        <v>55</v>
      </c>
      <c r="F94" s="472">
        <v>151816600.83000001</v>
      </c>
      <c r="G94" s="472"/>
      <c r="H94" s="219" t="s">
        <v>56</v>
      </c>
      <c r="I94" s="186">
        <v>40630</v>
      </c>
      <c r="J94" s="187" t="s">
        <v>71</v>
      </c>
      <c r="K94" s="210">
        <v>93382.317999999999</v>
      </c>
      <c r="L94" s="210"/>
    </row>
    <row r="95" spans="1:16" ht="12" thickBot="1" x14ac:dyDescent="0.2">
      <c r="A95" s="193"/>
      <c r="B95" s="470"/>
      <c r="C95" s="470"/>
      <c r="D95" s="470"/>
      <c r="E95" s="183"/>
      <c r="F95" s="472"/>
      <c r="G95" s="472"/>
      <c r="H95" s="185"/>
      <c r="I95" s="187"/>
      <c r="J95" s="201" t="s">
        <v>106</v>
      </c>
      <c r="K95" s="211">
        <f>SUM(K89:K94)</f>
        <v>829634.07499999995</v>
      </c>
      <c r="L95" s="210"/>
    </row>
    <row r="96" spans="1:16" ht="12" thickTop="1" x14ac:dyDescent="0.15">
      <c r="A96" s="133" t="s">
        <v>568</v>
      </c>
      <c r="B96" s="133" t="s">
        <v>9</v>
      </c>
      <c r="C96" s="220" t="s">
        <v>569</v>
      </c>
      <c r="D96" s="133" t="s">
        <v>570</v>
      </c>
      <c r="E96" s="133" t="s">
        <v>571</v>
      </c>
      <c r="F96" s="133" t="s">
        <v>16</v>
      </c>
      <c r="I96" s="187"/>
      <c r="J96" s="210"/>
      <c r="K96" s="210"/>
      <c r="L96" s="210"/>
    </row>
    <row r="97" spans="1:14" x14ac:dyDescent="0.15">
      <c r="A97" s="193" t="s">
        <v>622</v>
      </c>
      <c r="B97" s="210">
        <v>311555</v>
      </c>
      <c r="C97" s="221">
        <v>0.2346</v>
      </c>
      <c r="D97" s="222">
        <f>+B97*C97</f>
        <v>73090.803</v>
      </c>
      <c r="E97" s="222">
        <f>+D97*0.1</f>
        <v>7309.0803000000005</v>
      </c>
      <c r="F97" s="223">
        <f>+D97+E97</f>
        <v>80399.883300000001</v>
      </c>
      <c r="H97" s="133"/>
      <c r="I97" s="187"/>
      <c r="J97" s="210"/>
      <c r="K97" s="210"/>
      <c r="L97" s="210"/>
    </row>
    <row r="98" spans="1:14" s="132" customFormat="1" x14ac:dyDescent="0.15">
      <c r="A98" s="193" t="s">
        <v>684</v>
      </c>
      <c r="B98" s="210">
        <v>100074</v>
      </c>
      <c r="C98" s="221">
        <v>0.25509999999999999</v>
      </c>
      <c r="D98" s="222">
        <f t="shared" ref="D98:D99" si="32">+B98*C98</f>
        <v>25528.877399999998</v>
      </c>
      <c r="E98" s="222">
        <f t="shared" ref="E98:E99" si="33">+D98*0.1</f>
        <v>2552.8877400000001</v>
      </c>
      <c r="F98" s="223">
        <f t="shared" ref="F98:F99" si="34">+D98+E98</f>
        <v>28081.765139999996</v>
      </c>
      <c r="G98" s="133"/>
      <c r="H98" s="133"/>
      <c r="I98" s="187"/>
      <c r="J98" s="210"/>
      <c r="K98" s="210"/>
      <c r="L98" s="210"/>
      <c r="N98" s="134"/>
    </row>
    <row r="99" spans="1:14" s="132" customFormat="1" x14ac:dyDescent="0.15">
      <c r="A99" s="193" t="s">
        <v>686</v>
      </c>
      <c r="B99" s="210">
        <v>91051</v>
      </c>
      <c r="C99" s="221">
        <v>0.25509999999999999</v>
      </c>
      <c r="D99" s="222">
        <f t="shared" si="32"/>
        <v>23227.110099999998</v>
      </c>
      <c r="E99" s="222">
        <f t="shared" si="33"/>
        <v>2322.71101</v>
      </c>
      <c r="F99" s="223">
        <f t="shared" si="34"/>
        <v>25549.821109999997</v>
      </c>
      <c r="G99" s="133"/>
      <c r="H99" s="133"/>
      <c r="I99" s="187"/>
      <c r="J99" s="210"/>
      <c r="K99" s="210"/>
      <c r="L99" s="210"/>
      <c r="N99" s="134"/>
    </row>
    <row r="100" spans="1:14" s="132" customFormat="1" ht="12" thickBot="1" x14ac:dyDescent="0.2">
      <c r="A100" s="193"/>
      <c r="B100" s="211">
        <f>SUM(B97:B99)</f>
        <v>502680</v>
      </c>
      <c r="C100" s="232"/>
      <c r="D100" s="224">
        <f>SUM(D97:D99)</f>
        <v>121846.7905</v>
      </c>
      <c r="E100" s="224">
        <f t="shared" ref="E100:F100" si="35">SUM(E97:E99)</f>
        <v>12184.679049999999</v>
      </c>
      <c r="F100" s="224">
        <f t="shared" si="35"/>
        <v>134031.46954999998</v>
      </c>
      <c r="G100" s="133"/>
      <c r="H100" s="133"/>
      <c r="I100" s="187"/>
      <c r="J100" s="210"/>
      <c r="K100" s="210"/>
      <c r="L100" s="210"/>
      <c r="N100" s="134"/>
    </row>
    <row r="101" spans="1:14" s="132" customFormat="1" ht="12" thickTop="1" x14ac:dyDescent="0.15">
      <c r="A101" s="193" t="s">
        <v>621</v>
      </c>
      <c r="B101" s="210">
        <v>233709</v>
      </c>
      <c r="C101" s="221">
        <v>0.23369999999999999</v>
      </c>
      <c r="D101" s="222">
        <f t="shared" ref="D101:D113" si="36">+B101*C101</f>
        <v>54617.793299999998</v>
      </c>
      <c r="E101" s="222">
        <f t="shared" ref="E101:E113" si="37">+D101*0.1</f>
        <v>5461.7793300000003</v>
      </c>
      <c r="F101" s="223">
        <f t="shared" ref="F101:F113" si="38">+D101+E101</f>
        <v>60079.572629999995</v>
      </c>
      <c r="G101" s="133"/>
      <c r="H101" s="133"/>
      <c r="I101" s="187"/>
      <c r="J101" s="210"/>
      <c r="K101" s="210"/>
      <c r="L101" s="210"/>
      <c r="N101" s="134"/>
    </row>
    <row r="102" spans="1:14" s="132" customFormat="1" x14ac:dyDescent="0.15">
      <c r="A102" s="193" t="s">
        <v>671</v>
      </c>
      <c r="B102" s="210">
        <v>155749</v>
      </c>
      <c r="C102" s="221">
        <v>0.25140000000000001</v>
      </c>
      <c r="D102" s="222">
        <f t="shared" si="36"/>
        <v>39155.298600000002</v>
      </c>
      <c r="E102" s="222">
        <f t="shared" si="37"/>
        <v>3915.5298600000006</v>
      </c>
      <c r="F102" s="223">
        <f t="shared" si="38"/>
        <v>43070.828460000004</v>
      </c>
      <c r="G102" s="133"/>
      <c r="H102" s="133"/>
      <c r="I102" s="187"/>
      <c r="J102" s="210"/>
      <c r="K102" s="210"/>
      <c r="L102" s="210"/>
      <c r="N102" s="134"/>
    </row>
    <row r="103" spans="1:14" s="132" customFormat="1" x14ac:dyDescent="0.15">
      <c r="A103" s="193" t="s">
        <v>674</v>
      </c>
      <c r="B103" s="210">
        <v>75924</v>
      </c>
      <c r="C103" s="221">
        <v>0.25530000000000003</v>
      </c>
      <c r="D103" s="222">
        <f t="shared" si="36"/>
        <v>19383.397200000003</v>
      </c>
      <c r="E103" s="222">
        <f t="shared" si="37"/>
        <v>1938.3397200000004</v>
      </c>
      <c r="F103" s="223">
        <f t="shared" si="38"/>
        <v>21321.736920000003</v>
      </c>
      <c r="G103" s="133"/>
      <c r="H103" s="133"/>
      <c r="I103" s="187"/>
      <c r="J103" s="210"/>
      <c r="K103" s="210"/>
      <c r="L103" s="210"/>
      <c r="N103" s="134"/>
    </row>
    <row r="104" spans="1:14" s="132" customFormat="1" x14ac:dyDescent="0.15">
      <c r="A104" s="193" t="s">
        <v>679</v>
      </c>
      <c r="B104" s="210">
        <v>162777</v>
      </c>
      <c r="C104" s="221">
        <v>0.25669999999999998</v>
      </c>
      <c r="D104" s="222">
        <f t="shared" si="36"/>
        <v>41784.855899999995</v>
      </c>
      <c r="E104" s="222">
        <f t="shared" si="37"/>
        <v>4178.4855899999993</v>
      </c>
      <c r="F104" s="223">
        <f t="shared" si="38"/>
        <v>45963.341489999992</v>
      </c>
      <c r="G104" s="133"/>
      <c r="H104" s="133"/>
      <c r="I104" s="187"/>
      <c r="J104" s="210"/>
      <c r="K104" s="210"/>
      <c r="L104" s="210"/>
      <c r="N104" s="134"/>
    </row>
    <row r="105" spans="1:14" s="132" customFormat="1" x14ac:dyDescent="0.15">
      <c r="A105" s="193" t="s">
        <v>680</v>
      </c>
      <c r="B105" s="210">
        <v>197904</v>
      </c>
      <c r="C105" s="221">
        <v>0.25419999999999998</v>
      </c>
      <c r="D105" s="222">
        <f t="shared" si="36"/>
        <v>50307.196799999998</v>
      </c>
      <c r="E105" s="222">
        <f t="shared" si="37"/>
        <v>5030.7196800000002</v>
      </c>
      <c r="F105" s="223">
        <f t="shared" si="38"/>
        <v>55337.91648</v>
      </c>
      <c r="G105" s="133"/>
      <c r="H105" s="133"/>
      <c r="I105" s="187"/>
      <c r="J105" s="210"/>
      <c r="K105" s="210"/>
      <c r="L105" s="210"/>
      <c r="N105" s="134"/>
    </row>
    <row r="106" spans="1:14" s="132" customFormat="1" x14ac:dyDescent="0.15">
      <c r="A106" s="193" t="s">
        <v>685</v>
      </c>
      <c r="B106" s="210">
        <v>33944</v>
      </c>
      <c r="C106" s="221">
        <v>0.25650000000000001</v>
      </c>
      <c r="D106" s="222">
        <f t="shared" si="36"/>
        <v>8706.6360000000004</v>
      </c>
      <c r="E106" s="222">
        <f t="shared" si="37"/>
        <v>870.66360000000009</v>
      </c>
      <c r="F106" s="223">
        <f t="shared" si="38"/>
        <v>9577.2996000000003</v>
      </c>
      <c r="G106" s="133"/>
      <c r="H106" s="133"/>
      <c r="I106" s="187"/>
      <c r="J106" s="210"/>
      <c r="K106" s="210"/>
      <c r="L106" s="210"/>
      <c r="N106" s="134"/>
    </row>
    <row r="107" spans="1:14" s="132" customFormat="1" ht="12" thickBot="1" x14ac:dyDescent="0.2">
      <c r="A107" s="193"/>
      <c r="B107" s="211">
        <f>SUM(B101:B106)</f>
        <v>860007</v>
      </c>
      <c r="C107" s="232"/>
      <c r="D107" s="224">
        <f>SUM(D101:D106)</f>
        <v>213955.1778</v>
      </c>
      <c r="E107" s="224">
        <f t="shared" ref="E107:F107" si="39">SUM(E101:E106)</f>
        <v>21395.517780000002</v>
      </c>
      <c r="F107" s="224">
        <f t="shared" si="39"/>
        <v>235350.69557999997</v>
      </c>
      <c r="G107" s="133"/>
      <c r="H107" s="133"/>
      <c r="I107" s="187"/>
      <c r="J107" s="210"/>
      <c r="K107" s="210"/>
      <c r="L107" s="210"/>
      <c r="N107" s="134"/>
    </row>
    <row r="108" spans="1:14" s="132" customFormat="1" ht="12" thickTop="1" x14ac:dyDescent="0.15">
      <c r="A108" s="193" t="s">
        <v>623</v>
      </c>
      <c r="B108" s="210">
        <v>39993</v>
      </c>
      <c r="C108" s="221">
        <v>0.23630000000000001</v>
      </c>
      <c r="D108" s="222">
        <f t="shared" si="36"/>
        <v>9450.3459000000003</v>
      </c>
      <c r="E108" s="222">
        <f t="shared" si="37"/>
        <v>945.03459000000009</v>
      </c>
      <c r="F108" s="223">
        <f t="shared" si="38"/>
        <v>10395.38049</v>
      </c>
      <c r="G108" s="133"/>
      <c r="H108" s="133"/>
      <c r="I108" s="187"/>
      <c r="J108" s="210"/>
      <c r="K108" s="210"/>
      <c r="L108" s="210"/>
      <c r="N108" s="134"/>
    </row>
    <row r="109" spans="1:14" s="132" customFormat="1" x14ac:dyDescent="0.15">
      <c r="A109" s="193" t="s">
        <v>673</v>
      </c>
      <c r="B109" s="210">
        <v>137446</v>
      </c>
      <c r="C109" s="221">
        <v>0.24959999999999999</v>
      </c>
      <c r="D109" s="222">
        <f t="shared" si="36"/>
        <v>34306.5216</v>
      </c>
      <c r="E109" s="222">
        <f t="shared" si="37"/>
        <v>3430.6521600000001</v>
      </c>
      <c r="F109" s="223">
        <f t="shared" si="38"/>
        <v>37737.173759999998</v>
      </c>
      <c r="G109" s="133"/>
      <c r="H109" s="133"/>
      <c r="I109" s="187"/>
      <c r="J109" s="210"/>
      <c r="K109" s="210"/>
      <c r="L109" s="210"/>
      <c r="N109" s="134"/>
    </row>
    <row r="110" spans="1:14" s="132" customFormat="1" x14ac:dyDescent="0.15">
      <c r="A110" s="193" t="s">
        <v>678</v>
      </c>
      <c r="B110" s="210">
        <v>132673</v>
      </c>
      <c r="C110" s="221">
        <v>0.25729999999999997</v>
      </c>
      <c r="D110" s="222">
        <f t="shared" si="36"/>
        <v>34136.762899999994</v>
      </c>
      <c r="E110" s="222">
        <f t="shared" si="37"/>
        <v>3413.6762899999994</v>
      </c>
      <c r="F110" s="223">
        <f t="shared" si="38"/>
        <v>37550.43918999999</v>
      </c>
      <c r="G110" s="133"/>
      <c r="H110" s="133"/>
      <c r="I110" s="187"/>
      <c r="J110" s="210"/>
      <c r="K110" s="210"/>
      <c r="L110" s="210"/>
      <c r="N110" s="134"/>
    </row>
    <row r="111" spans="1:14" s="132" customFormat="1" x14ac:dyDescent="0.15">
      <c r="A111" s="193" t="s">
        <v>681</v>
      </c>
      <c r="B111" s="210">
        <v>335540</v>
      </c>
      <c r="C111" s="221">
        <v>0.2545</v>
      </c>
      <c r="D111" s="222">
        <f t="shared" si="36"/>
        <v>85394.930000000008</v>
      </c>
      <c r="E111" s="222">
        <f t="shared" si="37"/>
        <v>8539.4930000000004</v>
      </c>
      <c r="F111" s="223">
        <f t="shared" si="38"/>
        <v>93934.42300000001</v>
      </c>
      <c r="G111" s="133"/>
      <c r="H111" s="133"/>
      <c r="I111" s="187"/>
      <c r="J111" s="210"/>
      <c r="K111" s="210"/>
      <c r="L111" s="210"/>
      <c r="N111" s="134"/>
    </row>
    <row r="112" spans="1:14" s="132" customFormat="1" x14ac:dyDescent="0.15">
      <c r="A112" s="193" t="s">
        <v>682</v>
      </c>
      <c r="B112" s="210">
        <v>90600</v>
      </c>
      <c r="C112" s="221">
        <v>0.25380000000000003</v>
      </c>
      <c r="D112" s="222">
        <f t="shared" si="36"/>
        <v>22994.280000000002</v>
      </c>
      <c r="E112" s="222">
        <f t="shared" si="37"/>
        <v>2299.4280000000003</v>
      </c>
      <c r="F112" s="223">
        <f t="shared" si="38"/>
        <v>25293.708000000002</v>
      </c>
      <c r="G112" s="133"/>
      <c r="H112" s="133"/>
      <c r="I112" s="187"/>
      <c r="J112" s="210"/>
      <c r="K112" s="210"/>
      <c r="L112" s="210"/>
      <c r="N112" s="134"/>
    </row>
    <row r="113" spans="1:14" s="132" customFormat="1" x14ac:dyDescent="0.15">
      <c r="A113" s="193" t="s">
        <v>683</v>
      </c>
      <c r="B113" s="210">
        <v>93382</v>
      </c>
      <c r="C113" s="221">
        <v>0.25540000000000002</v>
      </c>
      <c r="D113" s="222">
        <f t="shared" si="36"/>
        <v>23849.7628</v>
      </c>
      <c r="E113" s="222">
        <f t="shared" si="37"/>
        <v>2384.9762800000003</v>
      </c>
      <c r="F113" s="223">
        <f t="shared" si="38"/>
        <v>26234.739079999999</v>
      </c>
      <c r="G113" s="133"/>
      <c r="H113" s="133"/>
      <c r="I113" s="187"/>
      <c r="J113" s="210"/>
      <c r="K113" s="210"/>
      <c r="L113" s="210"/>
      <c r="N113" s="134"/>
    </row>
    <row r="114" spans="1:14" s="132" customFormat="1" ht="12" thickBot="1" x14ac:dyDescent="0.2">
      <c r="A114" s="193"/>
      <c r="B114" s="211">
        <f>SUM(B108:B113)</f>
        <v>829634</v>
      </c>
      <c r="C114" s="232"/>
      <c r="D114" s="224">
        <f>SUM(D108:D113)</f>
        <v>210132.60320000001</v>
      </c>
      <c r="E114" s="224">
        <f t="shared" ref="E114:F114" si="40">SUM(E108:E113)</f>
        <v>21013.260319999998</v>
      </c>
      <c r="F114" s="224">
        <f t="shared" si="40"/>
        <v>231145.86352000001</v>
      </c>
      <c r="G114" s="133"/>
      <c r="H114" s="133"/>
      <c r="I114" s="187"/>
      <c r="J114" s="210"/>
      <c r="K114" s="210"/>
      <c r="L114" s="210"/>
      <c r="N114" s="134"/>
    </row>
    <row r="115" spans="1:14" ht="12" thickTop="1" x14ac:dyDescent="0.15"/>
  </sheetData>
  <mergeCells count="44">
    <mergeCell ref="J3:L3"/>
    <mergeCell ref="A4:C4"/>
    <mergeCell ref="D4:H4"/>
    <mergeCell ref="I4:N4"/>
    <mergeCell ref="J5:K5"/>
    <mergeCell ref="L5:N5"/>
    <mergeCell ref="B77:D77"/>
    <mergeCell ref="F77:G77"/>
    <mergeCell ref="B78:D78"/>
    <mergeCell ref="F78:G78"/>
    <mergeCell ref="B79:D79"/>
    <mergeCell ref="F79:G79"/>
    <mergeCell ref="B80:D80"/>
    <mergeCell ref="F80:G80"/>
    <mergeCell ref="B81:D81"/>
    <mergeCell ref="F81:G81"/>
    <mergeCell ref="B82:D82"/>
    <mergeCell ref="F82:G82"/>
    <mergeCell ref="B83:D83"/>
    <mergeCell ref="F83:G83"/>
    <mergeCell ref="B84:D84"/>
    <mergeCell ref="F84:G84"/>
    <mergeCell ref="B85:D85"/>
    <mergeCell ref="F85:G85"/>
    <mergeCell ref="B86:D86"/>
    <mergeCell ref="F86:G86"/>
    <mergeCell ref="B87:D87"/>
    <mergeCell ref="F87:G87"/>
    <mergeCell ref="B88:D88"/>
    <mergeCell ref="F88:G88"/>
    <mergeCell ref="B89:D89"/>
    <mergeCell ref="F89:G89"/>
    <mergeCell ref="B90:D90"/>
    <mergeCell ref="F90:G90"/>
    <mergeCell ref="B91:D91"/>
    <mergeCell ref="F91:G91"/>
    <mergeCell ref="B95:D95"/>
    <mergeCell ref="F95:G95"/>
    <mergeCell ref="B92:D92"/>
    <mergeCell ref="F92:G92"/>
    <mergeCell ref="B93:D93"/>
    <mergeCell ref="F93:G93"/>
    <mergeCell ref="B94:D94"/>
    <mergeCell ref="F94:G94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topLeftCell="D1" zoomScale="115" zoomScaleNormal="115" workbookViewId="0">
      <pane ySplit="6" topLeftCell="A58" activePane="bottomLeft" state="frozen"/>
      <selection pane="bottomLeft" activeCell="L119" sqref="L119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1.28515625" style="132" customWidth="1"/>
    <col min="14" max="14" width="11.85546875" style="134" bestFit="1" customWidth="1"/>
    <col min="15" max="15" width="10.140625" style="132" bestFit="1" customWidth="1"/>
    <col min="16" max="16" width="11.28515625" style="132" bestFit="1" customWidth="1"/>
    <col min="17" max="16384" width="18.5703125" style="134"/>
  </cols>
  <sheetData>
    <row r="1" spans="1:16" x14ac:dyDescent="0.15">
      <c r="A1" s="130" t="s">
        <v>583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559</v>
      </c>
      <c r="B7" s="146"/>
      <c r="C7" s="147">
        <v>120434.45736200952</v>
      </c>
      <c r="D7" s="148"/>
      <c r="E7" s="149"/>
      <c r="F7" s="149"/>
      <c r="G7" s="149"/>
      <c r="H7" s="147"/>
      <c r="I7" s="148"/>
      <c r="J7" s="147"/>
      <c r="K7" s="149"/>
      <c r="L7" s="149"/>
      <c r="M7" s="226"/>
      <c r="N7" s="149"/>
      <c r="O7" s="226">
        <f>+C7</f>
        <v>120434.45736200952</v>
      </c>
      <c r="P7" s="147">
        <f>+C120</f>
        <v>587917.53036200954</v>
      </c>
    </row>
    <row r="8" spans="1:16" x14ac:dyDescent="0.15">
      <c r="A8" s="154" t="s">
        <v>560</v>
      </c>
      <c r="B8" s="151"/>
      <c r="C8" s="152">
        <v>6680</v>
      </c>
      <c r="D8" s="153"/>
      <c r="E8" s="154"/>
      <c r="F8" s="154"/>
      <c r="G8" s="155"/>
      <c r="H8" s="152"/>
      <c r="I8" s="153"/>
      <c r="J8" s="152"/>
      <c r="K8" s="154"/>
      <c r="L8" s="156"/>
      <c r="M8" s="227"/>
      <c r="N8" s="154"/>
      <c r="O8" s="227">
        <f>+O7-J8-M8</f>
        <v>120434.45736200952</v>
      </c>
      <c r="P8" s="152">
        <f t="shared" ref="P8" si="0">P7+H8-J8-M8</f>
        <v>587917.53036200954</v>
      </c>
    </row>
    <row r="9" spans="1:16" x14ac:dyDescent="0.15">
      <c r="A9" s="154" t="s">
        <v>561</v>
      </c>
      <c r="B9" s="151"/>
      <c r="C9" s="152">
        <v>200275.5</v>
      </c>
      <c r="D9" s="154"/>
      <c r="E9" s="154"/>
      <c r="F9" s="154"/>
      <c r="G9" s="154"/>
      <c r="H9" s="152"/>
      <c r="I9" s="154"/>
      <c r="J9" s="152"/>
      <c r="K9" s="154"/>
      <c r="L9" s="154"/>
      <c r="M9" s="227"/>
      <c r="N9" s="154"/>
      <c r="O9" s="227">
        <f t="shared" ref="O9:O87" si="1">+O8-J9-M9</f>
        <v>120434.45736200952</v>
      </c>
      <c r="P9" s="152">
        <f t="shared" ref="P9:P87" si="2">P8+H9-J9-M9</f>
        <v>587917.53036200954</v>
      </c>
    </row>
    <row r="10" spans="1:16" x14ac:dyDescent="0.15">
      <c r="A10" s="154" t="s">
        <v>562</v>
      </c>
      <c r="B10" s="151"/>
      <c r="C10" s="152">
        <v>177317.84100000001</v>
      </c>
      <c r="D10" s="153"/>
      <c r="E10" s="154"/>
      <c r="F10" s="157"/>
      <c r="G10" s="154"/>
      <c r="H10" s="152"/>
      <c r="I10" s="153"/>
      <c r="J10" s="152"/>
      <c r="K10" s="150"/>
      <c r="L10" s="154"/>
      <c r="M10" s="227"/>
      <c r="N10" s="150"/>
      <c r="O10" s="227">
        <f t="shared" si="1"/>
        <v>120434.45736200952</v>
      </c>
      <c r="P10" s="152">
        <f t="shared" si="2"/>
        <v>587917.53036200954</v>
      </c>
    </row>
    <row r="11" spans="1:16" x14ac:dyDescent="0.15">
      <c r="A11" s="154" t="s">
        <v>563</v>
      </c>
      <c r="B11" s="151"/>
      <c r="C11" s="152">
        <v>83209.732000000004</v>
      </c>
      <c r="D11" s="153"/>
      <c r="E11" s="154"/>
      <c r="F11" s="157"/>
      <c r="G11" s="154"/>
      <c r="H11" s="152"/>
      <c r="I11" s="153"/>
      <c r="J11" s="152"/>
      <c r="K11" s="150"/>
      <c r="L11" s="154"/>
      <c r="M11" s="227"/>
      <c r="N11" s="150"/>
      <c r="O11" s="227">
        <f t="shared" si="1"/>
        <v>120434.45736200952</v>
      </c>
      <c r="P11" s="152">
        <f t="shared" si="2"/>
        <v>587917.53036200954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584</v>
      </c>
      <c r="J12" s="152">
        <v>253.15389999999999</v>
      </c>
      <c r="K12" s="150" t="s">
        <v>559</v>
      </c>
      <c r="L12" s="154" t="s">
        <v>641</v>
      </c>
      <c r="M12" s="227">
        <v>74076.039999999994</v>
      </c>
      <c r="N12" s="154" t="s">
        <v>559</v>
      </c>
      <c r="O12" s="227">
        <f t="shared" ref="O12:O17" si="3">+O11-J12-M12</f>
        <v>46105.26346200952</v>
      </c>
      <c r="P12" s="152">
        <f t="shared" ref="P12:P17" si="4">P11+H12-J12-M12</f>
        <v>513588.33646200952</v>
      </c>
    </row>
    <row r="13" spans="1:16" x14ac:dyDescent="0.15">
      <c r="A13" s="154"/>
      <c r="B13" s="151"/>
      <c r="C13" s="152"/>
      <c r="D13" s="153" t="s">
        <v>585</v>
      </c>
      <c r="E13" s="154" t="s">
        <v>72</v>
      </c>
      <c r="F13" s="157" t="s">
        <v>563</v>
      </c>
      <c r="G13" s="154"/>
      <c r="H13" s="152">
        <v>156141.33499999999</v>
      </c>
      <c r="I13" s="153" t="s">
        <v>585</v>
      </c>
      <c r="J13" s="152">
        <v>1269.74</v>
      </c>
      <c r="K13" s="154" t="s">
        <v>559</v>
      </c>
      <c r="L13" s="154" t="s">
        <v>641</v>
      </c>
      <c r="M13" s="227">
        <v>44835.523000000001</v>
      </c>
      <c r="N13" s="154" t="s">
        <v>559</v>
      </c>
      <c r="O13" s="227">
        <f t="shared" si="3"/>
        <v>4.6200952056096867E-4</v>
      </c>
      <c r="P13" s="152">
        <f t="shared" si="4"/>
        <v>623624.40846200951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585</v>
      </c>
      <c r="J14" s="152"/>
      <c r="K14" s="154"/>
      <c r="L14" s="154" t="s">
        <v>643</v>
      </c>
      <c r="M14" s="227">
        <v>6680</v>
      </c>
      <c r="N14" s="154" t="s">
        <v>560</v>
      </c>
      <c r="O14" s="227">
        <f>C8+O13-J14-M14</f>
        <v>4.6200952056096867E-4</v>
      </c>
      <c r="P14" s="152">
        <f t="shared" si="4"/>
        <v>616944.40846200951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585</v>
      </c>
      <c r="J15" s="152"/>
      <c r="K15" s="154"/>
      <c r="L15" s="154" t="s">
        <v>641</v>
      </c>
      <c r="M15" s="227">
        <v>25861.167000000001</v>
      </c>
      <c r="N15" s="154" t="s">
        <v>561</v>
      </c>
      <c r="O15" s="227">
        <f>C9+O14-J15-M15</f>
        <v>174414.3334620095</v>
      </c>
      <c r="P15" s="152">
        <f t="shared" si="4"/>
        <v>591083.24146200949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585</v>
      </c>
      <c r="J16" s="152"/>
      <c r="K16" s="150"/>
      <c r="L16" s="154" t="s">
        <v>641</v>
      </c>
      <c r="M16" s="227">
        <v>75465.3</v>
      </c>
      <c r="N16" s="154" t="s">
        <v>561</v>
      </c>
      <c r="O16" s="227">
        <f t="shared" si="3"/>
        <v>98949.033462009495</v>
      </c>
      <c r="P16" s="152">
        <f t="shared" si="4"/>
        <v>515617.9414620095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585</v>
      </c>
      <c r="J17" s="152"/>
      <c r="K17" s="150"/>
      <c r="L17" s="154" t="s">
        <v>641</v>
      </c>
      <c r="M17" s="227">
        <v>79272.070000000007</v>
      </c>
      <c r="N17" s="154" t="s">
        <v>561</v>
      </c>
      <c r="O17" s="227">
        <f t="shared" si="3"/>
        <v>19676.963462009488</v>
      </c>
      <c r="P17" s="152">
        <f t="shared" si="4"/>
        <v>436345.8714620095</v>
      </c>
    </row>
    <row r="18" spans="1:16" x14ac:dyDescent="0.15">
      <c r="A18" s="154"/>
      <c r="B18" s="151"/>
      <c r="C18" s="152"/>
      <c r="D18" s="153" t="s">
        <v>586</v>
      </c>
      <c r="E18" s="154" t="s">
        <v>72</v>
      </c>
      <c r="F18" s="157" t="s">
        <v>609</v>
      </c>
      <c r="G18" s="154"/>
      <c r="H18" s="152">
        <v>160300.41399999999</v>
      </c>
      <c r="I18" s="153" t="s">
        <v>586</v>
      </c>
      <c r="J18" s="152"/>
      <c r="K18" s="154"/>
      <c r="L18" s="154" t="s">
        <v>641</v>
      </c>
      <c r="M18" s="227">
        <v>19676.963</v>
      </c>
      <c r="N18" s="154" t="s">
        <v>561</v>
      </c>
      <c r="O18" s="227">
        <f t="shared" ref="O18" si="5">+O17-J18-M18</f>
        <v>4.620094878191594E-4</v>
      </c>
      <c r="P18" s="152">
        <f t="shared" ref="P18" si="6">P17+H18-J18-M18</f>
        <v>576969.3224620095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3" t="s">
        <v>586</v>
      </c>
      <c r="J19" s="152"/>
      <c r="K19" s="154"/>
      <c r="L19" s="154" t="s">
        <v>641</v>
      </c>
      <c r="M19" s="227">
        <v>31955.967000000001</v>
      </c>
      <c r="N19" s="154" t="s">
        <v>562</v>
      </c>
      <c r="O19" s="227">
        <f>C10+O18-J19-M19</f>
        <v>145361.87446200949</v>
      </c>
      <c r="P19" s="152">
        <f t="shared" ref="P19:P23" si="7">P18+H19-J19-M19</f>
        <v>545013.35546200955</v>
      </c>
    </row>
    <row r="20" spans="1:16" x14ac:dyDescent="0.15">
      <c r="A20" s="154"/>
      <c r="B20" s="151"/>
      <c r="C20" s="152"/>
      <c r="D20" s="153" t="s">
        <v>605</v>
      </c>
      <c r="E20" s="154" t="s">
        <v>72</v>
      </c>
      <c r="F20" s="157" t="s">
        <v>610</v>
      </c>
      <c r="G20" s="154"/>
      <c r="H20" s="152">
        <v>100112.13400000001</v>
      </c>
      <c r="I20" s="153" t="s">
        <v>605</v>
      </c>
      <c r="J20" s="152"/>
      <c r="K20" s="150"/>
      <c r="L20" s="154"/>
      <c r="M20" s="227"/>
      <c r="N20" s="154"/>
      <c r="O20" s="227">
        <f t="shared" ref="O20:O23" si="8">+O19-J20-M20</f>
        <v>145361.87446200949</v>
      </c>
      <c r="P20" s="152">
        <f t="shared" si="7"/>
        <v>645125.48946200951</v>
      </c>
    </row>
    <row r="21" spans="1:16" x14ac:dyDescent="0.15">
      <c r="A21" s="154"/>
      <c r="B21" s="151"/>
      <c r="C21" s="152"/>
      <c r="D21" s="153" t="s">
        <v>587</v>
      </c>
      <c r="E21" s="154" t="s">
        <v>72</v>
      </c>
      <c r="F21" s="157" t="s">
        <v>611</v>
      </c>
      <c r="G21" s="154"/>
      <c r="H21" s="152">
        <v>60122.173000000003</v>
      </c>
      <c r="I21" s="153" t="s">
        <v>587</v>
      </c>
      <c r="J21" s="152">
        <v>45.02</v>
      </c>
      <c r="K21" s="154" t="s">
        <v>562</v>
      </c>
      <c r="L21" s="154" t="s">
        <v>641</v>
      </c>
      <c r="M21" s="227">
        <v>77394.89</v>
      </c>
      <c r="N21" s="154" t="s">
        <v>562</v>
      </c>
      <c r="O21" s="227">
        <f t="shared" si="8"/>
        <v>67921.964462009506</v>
      </c>
      <c r="P21" s="152">
        <f t="shared" si="7"/>
        <v>627807.75246200943</v>
      </c>
    </row>
    <row r="22" spans="1:16" x14ac:dyDescent="0.15">
      <c r="A22" s="154"/>
      <c r="B22" s="151"/>
      <c r="C22" s="152"/>
      <c r="D22" s="153" t="s">
        <v>588</v>
      </c>
      <c r="E22" s="154" t="s">
        <v>72</v>
      </c>
      <c r="F22" s="157" t="s">
        <v>612</v>
      </c>
      <c r="G22" s="154"/>
      <c r="H22" s="152">
        <v>80078.676999999996</v>
      </c>
      <c r="I22" s="153" t="s">
        <v>588</v>
      </c>
      <c r="J22" s="152"/>
      <c r="K22" s="150"/>
      <c r="L22" s="154" t="s">
        <v>641</v>
      </c>
      <c r="M22" s="227">
        <v>52772.3</v>
      </c>
      <c r="N22" s="154" t="s">
        <v>562</v>
      </c>
      <c r="O22" s="227">
        <f t="shared" si="8"/>
        <v>15149.664462009503</v>
      </c>
      <c r="P22" s="152">
        <f t="shared" si="7"/>
        <v>655114.12946200941</v>
      </c>
    </row>
    <row r="23" spans="1:16" x14ac:dyDescent="0.15">
      <c r="A23" s="154"/>
      <c r="B23" s="151"/>
      <c r="C23" s="152"/>
      <c r="D23" s="153"/>
      <c r="E23" s="154"/>
      <c r="F23" s="157"/>
      <c r="G23" s="154"/>
      <c r="H23" s="152"/>
      <c r="I23" s="153" t="s">
        <v>588</v>
      </c>
      <c r="J23" s="152"/>
      <c r="K23" s="150"/>
      <c r="L23" s="154" t="s">
        <v>641</v>
      </c>
      <c r="M23" s="227">
        <v>15149.664000000001</v>
      </c>
      <c r="N23" s="154" t="s">
        <v>562</v>
      </c>
      <c r="O23" s="227">
        <f t="shared" si="8"/>
        <v>4.6200950237107463E-4</v>
      </c>
      <c r="P23" s="152">
        <f t="shared" si="7"/>
        <v>639964.46546200942</v>
      </c>
    </row>
    <row r="24" spans="1:16" x14ac:dyDescent="0.15">
      <c r="A24" s="154"/>
      <c r="B24" s="151"/>
      <c r="C24" s="152"/>
      <c r="D24" s="153"/>
      <c r="E24" s="154"/>
      <c r="F24" s="157"/>
      <c r="G24" s="154"/>
      <c r="H24" s="152"/>
      <c r="I24" s="153" t="s">
        <v>588</v>
      </c>
      <c r="J24" s="152"/>
      <c r="K24" s="150"/>
      <c r="L24" s="154" t="s">
        <v>641</v>
      </c>
      <c r="M24" s="227">
        <v>75022.046000000002</v>
      </c>
      <c r="N24" s="157" t="s">
        <v>563</v>
      </c>
      <c r="O24" s="227">
        <f>C11+H13+O23-J24-M24</f>
        <v>164329.02146200949</v>
      </c>
      <c r="P24" s="152">
        <f t="shared" ref="P24:P28" si="9">P23+H24-J24-M24</f>
        <v>564942.41946200945</v>
      </c>
    </row>
    <row r="25" spans="1:16" x14ac:dyDescent="0.15">
      <c r="A25" s="154"/>
      <c r="B25" s="151"/>
      <c r="C25" s="152"/>
      <c r="D25" s="153"/>
      <c r="E25" s="154"/>
      <c r="F25" s="157"/>
      <c r="G25" s="154"/>
      <c r="H25" s="152"/>
      <c r="I25" s="153" t="s">
        <v>589</v>
      </c>
      <c r="J25" s="152">
        <v>1146.8800000000001</v>
      </c>
      <c r="K25" s="157" t="s">
        <v>563</v>
      </c>
      <c r="L25" s="154" t="s">
        <v>641</v>
      </c>
      <c r="M25" s="227">
        <v>77963.5</v>
      </c>
      <c r="N25" s="157" t="s">
        <v>563</v>
      </c>
      <c r="O25" s="227">
        <f t="shared" ref="O25:O28" si="10">+O24-J25-M25</f>
        <v>85218.641462009487</v>
      </c>
      <c r="P25" s="152">
        <f t="shared" si="9"/>
        <v>485832.03946200944</v>
      </c>
    </row>
    <row r="26" spans="1:16" x14ac:dyDescent="0.15">
      <c r="A26" s="154"/>
      <c r="B26" s="151"/>
      <c r="C26" s="152"/>
      <c r="D26" s="153"/>
      <c r="E26" s="154"/>
      <c r="F26" s="157"/>
      <c r="G26" s="154"/>
      <c r="H26" s="152"/>
      <c r="I26" s="153" t="s">
        <v>589</v>
      </c>
      <c r="J26" s="152"/>
      <c r="K26" s="157"/>
      <c r="L26" s="154" t="s">
        <v>641</v>
      </c>
      <c r="M26" s="227">
        <v>4779.42</v>
      </c>
      <c r="N26" s="157" t="s">
        <v>563</v>
      </c>
      <c r="O26" s="227">
        <f t="shared" si="10"/>
        <v>80439.221462009489</v>
      </c>
      <c r="P26" s="152">
        <f t="shared" si="9"/>
        <v>481052.61946200946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589</v>
      </c>
      <c r="J27" s="152"/>
      <c r="K27" s="150"/>
      <c r="L27" s="154" t="s">
        <v>641</v>
      </c>
      <c r="M27" s="227">
        <v>50294.9</v>
      </c>
      <c r="N27" s="157" t="s">
        <v>563</v>
      </c>
      <c r="O27" s="227">
        <f t="shared" si="10"/>
        <v>30144.321462009488</v>
      </c>
      <c r="P27" s="152">
        <f t="shared" si="9"/>
        <v>430757.71946200944</v>
      </c>
    </row>
    <row r="28" spans="1:16" x14ac:dyDescent="0.15">
      <c r="A28" s="154"/>
      <c r="B28" s="151"/>
      <c r="C28" s="152"/>
      <c r="D28" s="153" t="s">
        <v>590</v>
      </c>
      <c r="E28" s="154" t="s">
        <v>72</v>
      </c>
      <c r="F28" s="157" t="s">
        <v>612</v>
      </c>
      <c r="G28" s="154"/>
      <c r="H28" s="152">
        <v>155889</v>
      </c>
      <c r="I28" s="153" t="s">
        <v>590</v>
      </c>
      <c r="J28" s="152">
        <v>1396</v>
      </c>
      <c r="K28" s="157" t="s">
        <v>563</v>
      </c>
      <c r="L28" s="154" t="s">
        <v>641</v>
      </c>
      <c r="M28" s="227">
        <v>28748.321</v>
      </c>
      <c r="N28" s="157" t="s">
        <v>563</v>
      </c>
      <c r="O28" s="227">
        <f t="shared" si="10"/>
        <v>4.620094878191594E-4</v>
      </c>
      <c r="P28" s="152">
        <f t="shared" si="9"/>
        <v>556502.39846200938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590</v>
      </c>
      <c r="J29" s="152"/>
      <c r="K29" s="157"/>
      <c r="L29" s="154" t="s">
        <v>641</v>
      </c>
      <c r="M29" s="227">
        <v>49096.118999999999</v>
      </c>
      <c r="N29" s="157" t="s">
        <v>609</v>
      </c>
      <c r="O29" s="227">
        <f>H18+O28-J29-M29</f>
        <v>111204.29546200947</v>
      </c>
      <c r="P29" s="152">
        <f t="shared" ref="P29:P31" si="11">P28+H29-J29-M29</f>
        <v>507406.27946200938</v>
      </c>
    </row>
    <row r="30" spans="1:16" x14ac:dyDescent="0.15">
      <c r="A30" s="154"/>
      <c r="B30" s="151"/>
      <c r="C30" s="152"/>
      <c r="D30" s="153" t="s">
        <v>590</v>
      </c>
      <c r="E30" s="154" t="s">
        <v>72</v>
      </c>
      <c r="F30" s="157" t="s">
        <v>613</v>
      </c>
      <c r="G30" s="154"/>
      <c r="H30" s="152">
        <v>20010.23</v>
      </c>
      <c r="I30" s="153" t="s">
        <v>590</v>
      </c>
      <c r="J30" s="152"/>
      <c r="K30" s="150"/>
      <c r="L30" s="154" t="s">
        <v>641</v>
      </c>
      <c r="M30" s="227">
        <v>77589.31</v>
      </c>
      <c r="N30" s="157" t="s">
        <v>609</v>
      </c>
      <c r="O30" s="227">
        <f t="shared" ref="O30:O31" si="12">+O29-J30-M30</f>
        <v>33614.98546200947</v>
      </c>
      <c r="P30" s="152">
        <f t="shared" si="11"/>
        <v>449827.19946200942</v>
      </c>
    </row>
    <row r="31" spans="1:16" x14ac:dyDescent="0.15">
      <c r="A31" s="154"/>
      <c r="B31" s="151"/>
      <c r="C31" s="152"/>
      <c r="D31" s="153"/>
      <c r="E31" s="154"/>
      <c r="F31" s="157"/>
      <c r="G31" s="154"/>
      <c r="H31" s="152"/>
      <c r="I31" s="153" t="s">
        <v>590</v>
      </c>
      <c r="J31" s="152"/>
      <c r="K31" s="150"/>
      <c r="L31" s="154" t="s">
        <v>641</v>
      </c>
      <c r="M31" s="227">
        <v>33614.985000000001</v>
      </c>
      <c r="N31" s="157" t="s">
        <v>609</v>
      </c>
      <c r="O31" s="227">
        <f t="shared" si="12"/>
        <v>4.6200946962926537E-4</v>
      </c>
      <c r="P31" s="152">
        <f t="shared" si="11"/>
        <v>416212.21446200943</v>
      </c>
    </row>
    <row r="32" spans="1:16" x14ac:dyDescent="0.15">
      <c r="A32" s="154"/>
      <c r="B32" s="151"/>
      <c r="C32" s="152"/>
      <c r="D32" s="153"/>
      <c r="E32" s="154"/>
      <c r="F32" s="157"/>
      <c r="G32" s="154"/>
      <c r="H32" s="152"/>
      <c r="I32" s="153" t="s">
        <v>590</v>
      </c>
      <c r="J32" s="152"/>
      <c r="K32" s="150"/>
      <c r="L32" s="154" t="s">
        <v>641</v>
      </c>
      <c r="M32" s="227">
        <v>48799.775000000001</v>
      </c>
      <c r="N32" s="157" t="s">
        <v>610</v>
      </c>
      <c r="O32" s="227">
        <f>H20+O31-J32-M32</f>
        <v>51312.359462009474</v>
      </c>
      <c r="P32" s="152">
        <f t="shared" ref="P32:P36" si="13">P31+H32-J32-M32</f>
        <v>367412.43946200941</v>
      </c>
    </row>
    <row r="33" spans="1:16" x14ac:dyDescent="0.15">
      <c r="A33" s="154"/>
      <c r="B33" s="151"/>
      <c r="C33" s="152"/>
      <c r="D33" s="153" t="s">
        <v>591</v>
      </c>
      <c r="E33" s="154" t="s">
        <v>72</v>
      </c>
      <c r="F33" s="157" t="s">
        <v>613</v>
      </c>
      <c r="G33" s="154"/>
      <c r="H33" s="152">
        <v>99997.971999999994</v>
      </c>
      <c r="I33" s="153" t="s">
        <v>591</v>
      </c>
      <c r="J33" s="152">
        <v>2719.45</v>
      </c>
      <c r="K33" s="157" t="s">
        <v>610</v>
      </c>
      <c r="L33" s="154" t="s">
        <v>641</v>
      </c>
      <c r="M33" s="227">
        <v>48592.909</v>
      </c>
      <c r="N33" s="157" t="s">
        <v>610</v>
      </c>
      <c r="O33" s="227">
        <f t="shared" ref="O33:O36" si="14">+O32-J33-M33</f>
        <v>4.6200947690522298E-4</v>
      </c>
      <c r="P33" s="152">
        <f t="shared" si="13"/>
        <v>416098.05246200942</v>
      </c>
    </row>
    <row r="34" spans="1:16" x14ac:dyDescent="0.15">
      <c r="A34" s="154"/>
      <c r="B34" s="151"/>
      <c r="C34" s="152"/>
      <c r="D34" s="153"/>
      <c r="E34" s="154"/>
      <c r="F34" s="157"/>
      <c r="G34" s="154"/>
      <c r="H34" s="152"/>
      <c r="I34" s="153" t="s">
        <v>591</v>
      </c>
      <c r="J34" s="152"/>
      <c r="K34" s="157"/>
      <c r="L34" s="154" t="s">
        <v>641</v>
      </c>
      <c r="M34" s="227">
        <v>1651.0909999999999</v>
      </c>
      <c r="N34" s="157" t="s">
        <v>611</v>
      </c>
      <c r="O34" s="227">
        <f>H21+O33-J34-M34</f>
        <v>58471.082462009479</v>
      </c>
      <c r="P34" s="152">
        <f t="shared" ref="P34:P35" si="15">P33+H34-J34-M34</f>
        <v>414446.96146200941</v>
      </c>
    </row>
    <row r="35" spans="1:16" x14ac:dyDescent="0.15">
      <c r="A35" s="154"/>
      <c r="B35" s="151"/>
      <c r="C35" s="152"/>
      <c r="D35" s="153" t="s">
        <v>606</v>
      </c>
      <c r="E35" s="154" t="s">
        <v>72</v>
      </c>
      <c r="F35" s="157" t="s">
        <v>614</v>
      </c>
      <c r="G35" s="154"/>
      <c r="H35" s="152">
        <v>120017.236</v>
      </c>
      <c r="I35" s="153" t="s">
        <v>606</v>
      </c>
      <c r="J35" s="152"/>
      <c r="K35" s="150"/>
      <c r="L35" s="154"/>
      <c r="M35" s="227"/>
      <c r="N35" s="157"/>
      <c r="O35" s="227">
        <f t="shared" ref="O35" si="16">+O34-J35-M35</f>
        <v>58471.082462009479</v>
      </c>
      <c r="P35" s="152">
        <f t="shared" si="15"/>
        <v>534464.19746200938</v>
      </c>
    </row>
    <row r="36" spans="1:16" x14ac:dyDescent="0.15">
      <c r="A36" s="154"/>
      <c r="B36" s="151"/>
      <c r="C36" s="152"/>
      <c r="D36" s="153" t="s">
        <v>592</v>
      </c>
      <c r="E36" s="154" t="s">
        <v>72</v>
      </c>
      <c r="F36" s="157" t="s">
        <v>615</v>
      </c>
      <c r="G36" s="154"/>
      <c r="H36" s="152">
        <v>100048.569</v>
      </c>
      <c r="I36" s="153" t="s">
        <v>592</v>
      </c>
      <c r="J36" s="152"/>
      <c r="K36" s="150"/>
      <c r="L36" s="154" t="s">
        <v>641</v>
      </c>
      <c r="M36" s="227">
        <v>58471.082000000002</v>
      </c>
      <c r="N36" s="157" t="s">
        <v>611</v>
      </c>
      <c r="O36" s="227">
        <f t="shared" si="14"/>
        <v>4.6200947690522298E-4</v>
      </c>
      <c r="P36" s="152">
        <f t="shared" si="13"/>
        <v>576041.68446200935</v>
      </c>
    </row>
    <row r="37" spans="1:16" x14ac:dyDescent="0.15">
      <c r="A37" s="154"/>
      <c r="B37" s="151"/>
      <c r="C37" s="152"/>
      <c r="D37" s="153"/>
      <c r="E37" s="154"/>
      <c r="F37" s="157"/>
      <c r="G37" s="154"/>
      <c r="H37" s="152"/>
      <c r="I37" s="153" t="s">
        <v>592</v>
      </c>
      <c r="J37" s="152"/>
      <c r="K37" s="150"/>
      <c r="L37" s="154" t="s">
        <v>641</v>
      </c>
      <c r="M37" s="227">
        <v>16355.368</v>
      </c>
      <c r="N37" s="157" t="s">
        <v>612</v>
      </c>
      <c r="O37" s="227">
        <f>H22+H28+O36-J37-M37</f>
        <v>219612.30946200949</v>
      </c>
      <c r="P37" s="152">
        <f t="shared" ref="P37:P40" si="17">P36+H37-J37-M37</f>
        <v>559686.31646200933</v>
      </c>
    </row>
    <row r="38" spans="1:16" x14ac:dyDescent="0.15">
      <c r="A38" s="154"/>
      <c r="B38" s="151"/>
      <c r="C38" s="152"/>
      <c r="D38" s="153" t="s">
        <v>593</v>
      </c>
      <c r="E38" s="154" t="s">
        <v>72</v>
      </c>
      <c r="F38" s="157" t="s">
        <v>616</v>
      </c>
      <c r="G38" s="154"/>
      <c r="H38" s="152">
        <v>79981.342999999993</v>
      </c>
      <c r="I38" s="153" t="s">
        <v>593</v>
      </c>
      <c r="J38" s="152">
        <v>504.95</v>
      </c>
      <c r="K38" s="157" t="s">
        <v>612</v>
      </c>
      <c r="L38" s="154" t="s">
        <v>641</v>
      </c>
      <c r="M38" s="227">
        <v>83845.5</v>
      </c>
      <c r="N38" s="157" t="s">
        <v>612</v>
      </c>
      <c r="O38" s="227">
        <f t="shared" ref="O38:O40" si="18">+O37-J38-M38</f>
        <v>135261.85946200948</v>
      </c>
      <c r="P38" s="152">
        <f t="shared" si="17"/>
        <v>555317.20946200937</v>
      </c>
    </row>
    <row r="39" spans="1:16" x14ac:dyDescent="0.15">
      <c r="A39" s="154"/>
      <c r="B39" s="151"/>
      <c r="C39" s="152"/>
      <c r="D39" s="153"/>
      <c r="E39" s="154"/>
      <c r="F39" s="157"/>
      <c r="G39" s="154"/>
      <c r="H39" s="152"/>
      <c r="I39" s="153" t="s">
        <v>594</v>
      </c>
      <c r="J39" s="152">
        <v>2330.8200000000002</v>
      </c>
      <c r="K39" s="157" t="s">
        <v>612</v>
      </c>
      <c r="L39" s="154" t="s">
        <v>641</v>
      </c>
      <c r="M39" s="227">
        <v>75265.820000000007</v>
      </c>
      <c r="N39" s="157" t="s">
        <v>612</v>
      </c>
      <c r="O39" s="227">
        <f t="shared" si="18"/>
        <v>57665.219462009467</v>
      </c>
      <c r="P39" s="152">
        <f t="shared" si="17"/>
        <v>477720.56946200941</v>
      </c>
    </row>
    <row r="40" spans="1:16" x14ac:dyDescent="0.15">
      <c r="A40" s="154"/>
      <c r="B40" s="151"/>
      <c r="C40" s="152"/>
      <c r="D40" s="153" t="s">
        <v>595</v>
      </c>
      <c r="E40" s="154" t="s">
        <v>72</v>
      </c>
      <c r="F40" s="157" t="s">
        <v>617</v>
      </c>
      <c r="G40" s="154"/>
      <c r="H40" s="152">
        <v>155894.95699999999</v>
      </c>
      <c r="I40" s="153" t="s">
        <v>595</v>
      </c>
      <c r="J40" s="152"/>
      <c r="K40" s="157"/>
      <c r="L40" s="154" t="s">
        <v>641</v>
      </c>
      <c r="M40" s="227">
        <v>57665.218999999997</v>
      </c>
      <c r="N40" s="157" t="s">
        <v>612</v>
      </c>
      <c r="O40" s="227">
        <f t="shared" si="18"/>
        <v>4.6200946962926537E-4</v>
      </c>
      <c r="P40" s="152">
        <f t="shared" si="17"/>
        <v>575950.30746200937</v>
      </c>
    </row>
    <row r="41" spans="1:16" x14ac:dyDescent="0.15">
      <c r="A41" s="154"/>
      <c r="B41" s="151"/>
      <c r="C41" s="152"/>
      <c r="D41" s="153"/>
      <c r="E41" s="154"/>
      <c r="F41" s="157"/>
      <c r="G41" s="154"/>
      <c r="H41" s="152"/>
      <c r="I41" s="153" t="s">
        <v>595</v>
      </c>
      <c r="J41" s="152"/>
      <c r="K41" s="157"/>
      <c r="L41" s="154" t="s">
        <v>642</v>
      </c>
      <c r="M41" s="227">
        <v>19647.780999999999</v>
      </c>
      <c r="N41" s="157" t="s">
        <v>613</v>
      </c>
      <c r="O41" s="227">
        <f>H30+H33+O40-J41-M41</f>
        <v>100360.42146200946</v>
      </c>
      <c r="P41" s="152">
        <f t="shared" ref="P41:P43" si="19">P40+H41-J41-M41</f>
        <v>556302.52646200941</v>
      </c>
    </row>
    <row r="42" spans="1:16" x14ac:dyDescent="0.15">
      <c r="A42" s="154"/>
      <c r="B42" s="151"/>
      <c r="C42" s="152"/>
      <c r="D42" s="153"/>
      <c r="E42" s="154"/>
      <c r="F42" s="157"/>
      <c r="G42" s="154"/>
      <c r="H42" s="152"/>
      <c r="I42" s="153" t="s">
        <v>595</v>
      </c>
      <c r="J42" s="152"/>
      <c r="K42" s="150"/>
      <c r="L42" s="154" t="s">
        <v>642</v>
      </c>
      <c r="M42" s="227">
        <v>75640</v>
      </c>
      <c r="N42" s="157" t="s">
        <v>613</v>
      </c>
      <c r="O42" s="227">
        <f t="shared" ref="O42:O43" si="20">+O41-J42-M42</f>
        <v>24720.421462009457</v>
      </c>
      <c r="P42" s="152">
        <f t="shared" si="19"/>
        <v>480662.52646200941</v>
      </c>
    </row>
    <row r="43" spans="1:16" x14ac:dyDescent="0.15">
      <c r="A43" s="154"/>
      <c r="B43" s="151"/>
      <c r="C43" s="152"/>
      <c r="D43" s="153"/>
      <c r="E43" s="154"/>
      <c r="F43" s="157"/>
      <c r="G43" s="154"/>
      <c r="H43" s="152"/>
      <c r="I43" s="153" t="s">
        <v>595</v>
      </c>
      <c r="J43" s="152"/>
      <c r="K43" s="150"/>
      <c r="L43" s="154" t="s">
        <v>642</v>
      </c>
      <c r="M43" s="227">
        <v>24720.420999999998</v>
      </c>
      <c r="N43" s="157" t="s">
        <v>613</v>
      </c>
      <c r="O43" s="227">
        <f t="shared" si="20"/>
        <v>4.6200945871532895E-4</v>
      </c>
      <c r="P43" s="152">
        <f t="shared" si="19"/>
        <v>455942.10546200944</v>
      </c>
    </row>
    <row r="44" spans="1:16" x14ac:dyDescent="0.15">
      <c r="A44" s="154"/>
      <c r="B44" s="151"/>
      <c r="C44" s="152"/>
      <c r="D44" s="153"/>
      <c r="E44" s="154"/>
      <c r="F44" s="157"/>
      <c r="G44" s="154"/>
      <c r="H44" s="152"/>
      <c r="I44" s="153" t="s">
        <v>595</v>
      </c>
      <c r="J44" s="152"/>
      <c r="K44" s="150"/>
      <c r="L44" s="154" t="s">
        <v>641</v>
      </c>
      <c r="M44" s="227">
        <v>54379.578999999998</v>
      </c>
      <c r="N44" s="157" t="s">
        <v>614</v>
      </c>
      <c r="O44" s="227">
        <f>H35+O43-J44-M44</f>
        <v>65637.657462009462</v>
      </c>
      <c r="P44" s="152">
        <f t="shared" ref="P44:P47" si="21">P43+H44-J44-M44</f>
        <v>401562.52646200941</v>
      </c>
    </row>
    <row r="45" spans="1:16" x14ac:dyDescent="0.15">
      <c r="A45" s="154"/>
      <c r="B45" s="151"/>
      <c r="C45" s="152"/>
      <c r="D45" s="153" t="s">
        <v>596</v>
      </c>
      <c r="E45" s="154" t="s">
        <v>72</v>
      </c>
      <c r="F45" s="157" t="s">
        <v>618</v>
      </c>
      <c r="G45" s="154"/>
      <c r="H45" s="152">
        <v>140059.913</v>
      </c>
      <c r="I45" s="153" t="s">
        <v>596</v>
      </c>
      <c r="J45" s="152"/>
      <c r="K45" s="150"/>
      <c r="L45" s="154" t="s">
        <v>641</v>
      </c>
      <c r="M45" s="227">
        <v>49470.97</v>
      </c>
      <c r="N45" s="157" t="s">
        <v>614</v>
      </c>
      <c r="O45" s="227">
        <f t="shared" ref="O45:O47" si="22">+O44-J45-M45</f>
        <v>16166.68746200946</v>
      </c>
      <c r="P45" s="152">
        <f t="shared" si="21"/>
        <v>492151.46946200938</v>
      </c>
    </row>
    <row r="46" spans="1:16" x14ac:dyDescent="0.15">
      <c r="A46" s="154"/>
      <c r="B46" s="151"/>
      <c r="C46" s="152"/>
      <c r="D46" s="153" t="s">
        <v>607</v>
      </c>
      <c r="E46" s="154" t="s">
        <v>72</v>
      </c>
      <c r="F46" s="157" t="s">
        <v>618</v>
      </c>
      <c r="G46" s="154"/>
      <c r="H46" s="152">
        <v>100064.38400000001</v>
      </c>
      <c r="I46" s="153" t="s">
        <v>607</v>
      </c>
      <c r="J46" s="152"/>
      <c r="K46" s="150"/>
      <c r="L46" s="154"/>
      <c r="M46" s="227"/>
      <c r="N46" s="157"/>
      <c r="O46" s="227">
        <f t="shared" si="22"/>
        <v>16166.68746200946</v>
      </c>
      <c r="P46" s="152">
        <f t="shared" si="21"/>
        <v>592215.85346200934</v>
      </c>
    </row>
    <row r="47" spans="1:16" x14ac:dyDescent="0.15">
      <c r="A47" s="154"/>
      <c r="B47" s="151"/>
      <c r="C47" s="152"/>
      <c r="D47" s="153" t="s">
        <v>597</v>
      </c>
      <c r="E47" s="154" t="s">
        <v>72</v>
      </c>
      <c r="F47" s="157" t="s">
        <v>619</v>
      </c>
      <c r="G47" s="154"/>
      <c r="H47" s="152">
        <v>100136.37</v>
      </c>
      <c r="I47" s="153" t="s">
        <v>597</v>
      </c>
      <c r="J47" s="152"/>
      <c r="K47" s="150"/>
      <c r="L47" s="154" t="s">
        <v>641</v>
      </c>
      <c r="M47" s="227">
        <v>16166.687</v>
      </c>
      <c r="N47" s="157" t="s">
        <v>614</v>
      </c>
      <c r="O47" s="227">
        <f t="shared" si="22"/>
        <v>4.6200946053431835E-4</v>
      </c>
      <c r="P47" s="152">
        <f t="shared" si="21"/>
        <v>676185.5364620093</v>
      </c>
    </row>
    <row r="48" spans="1:16" x14ac:dyDescent="0.15">
      <c r="A48" s="154"/>
      <c r="B48" s="151"/>
      <c r="C48" s="152"/>
      <c r="D48" s="153"/>
      <c r="E48" s="154"/>
      <c r="F48" s="157"/>
      <c r="G48" s="154"/>
      <c r="H48" s="152"/>
      <c r="I48" s="153" t="s">
        <v>597</v>
      </c>
      <c r="J48" s="152"/>
      <c r="K48" s="150"/>
      <c r="L48" s="154" t="s">
        <v>641</v>
      </c>
      <c r="M48" s="227">
        <v>58852.413</v>
      </c>
      <c r="N48" s="157" t="s">
        <v>615</v>
      </c>
      <c r="O48" s="227">
        <f>H36+O47-J48-M48</f>
        <v>41196.156462009458</v>
      </c>
      <c r="P48" s="152">
        <f t="shared" ref="P48:P49" si="23">P47+H48-J48-M48</f>
        <v>617333.12346200924</v>
      </c>
    </row>
    <row r="49" spans="1:16" x14ac:dyDescent="0.15">
      <c r="A49" s="154"/>
      <c r="B49" s="151"/>
      <c r="C49" s="152"/>
      <c r="D49" s="153" t="s">
        <v>598</v>
      </c>
      <c r="E49" s="154" t="s">
        <v>72</v>
      </c>
      <c r="F49" s="157" t="s">
        <v>620</v>
      </c>
      <c r="G49" s="154"/>
      <c r="H49" s="152">
        <v>39931.866999999998</v>
      </c>
      <c r="I49" s="153" t="s">
        <v>598</v>
      </c>
      <c r="J49" s="152"/>
      <c r="K49" s="150"/>
      <c r="L49" s="154" t="s">
        <v>641</v>
      </c>
      <c r="M49" s="227">
        <v>41196.156000000003</v>
      </c>
      <c r="N49" s="157" t="s">
        <v>615</v>
      </c>
      <c r="O49" s="227">
        <f t="shared" ref="O49" si="24">+O48-J49-M49</f>
        <v>4.6200945507735014E-4</v>
      </c>
      <c r="P49" s="152">
        <f t="shared" si="23"/>
        <v>616068.83446200925</v>
      </c>
    </row>
    <row r="50" spans="1:16" x14ac:dyDescent="0.15">
      <c r="A50" s="154"/>
      <c r="B50" s="151"/>
      <c r="C50" s="152"/>
      <c r="D50" s="153"/>
      <c r="E50" s="154"/>
      <c r="F50" s="157"/>
      <c r="G50" s="154"/>
      <c r="H50" s="152"/>
      <c r="I50" s="153" t="s">
        <v>598</v>
      </c>
      <c r="J50" s="152"/>
      <c r="K50" s="150"/>
      <c r="L50" s="154" t="s">
        <v>642</v>
      </c>
      <c r="M50" s="227">
        <v>10460.124</v>
      </c>
      <c r="N50" s="157" t="s">
        <v>616</v>
      </c>
      <c r="O50" s="227">
        <f>H38+O49-J50-M50</f>
        <v>69521.219462009452</v>
      </c>
      <c r="P50" s="152">
        <f t="shared" ref="P50:P51" si="25">P49+H50-J50-M50</f>
        <v>605608.7104620093</v>
      </c>
    </row>
    <row r="51" spans="1:16" x14ac:dyDescent="0.15">
      <c r="A51" s="154"/>
      <c r="B51" s="151"/>
      <c r="C51" s="152"/>
      <c r="D51" s="153"/>
      <c r="E51" s="154"/>
      <c r="F51" s="157"/>
      <c r="G51" s="154"/>
      <c r="H51" s="152"/>
      <c r="I51" s="153" t="s">
        <v>598</v>
      </c>
      <c r="J51" s="152"/>
      <c r="K51" s="157"/>
      <c r="L51" s="154" t="s">
        <v>642</v>
      </c>
      <c r="M51" s="227">
        <v>69521.218999999997</v>
      </c>
      <c r="N51" s="157" t="s">
        <v>616</v>
      </c>
      <c r="O51" s="227">
        <f t="shared" ref="O51" si="26">+O50-J51-M51</f>
        <v>4.6200945507735014E-4</v>
      </c>
      <c r="P51" s="152">
        <f t="shared" si="25"/>
        <v>536087.49146200926</v>
      </c>
    </row>
    <row r="52" spans="1:16" x14ac:dyDescent="0.15">
      <c r="A52" s="154"/>
      <c r="B52" s="151"/>
      <c r="C52" s="152"/>
      <c r="D52" s="153"/>
      <c r="E52" s="154"/>
      <c r="F52" s="157"/>
      <c r="G52" s="154"/>
      <c r="H52" s="152"/>
      <c r="I52" s="153" t="s">
        <v>598</v>
      </c>
      <c r="J52" s="152"/>
      <c r="K52" s="157"/>
      <c r="L52" s="154" t="s">
        <v>643</v>
      </c>
      <c r="M52" s="227">
        <v>14432.620999999999</v>
      </c>
      <c r="N52" s="157" t="s">
        <v>617</v>
      </c>
      <c r="O52" s="227">
        <f>H40+O51-J52-M52</f>
        <v>141462.33646200947</v>
      </c>
      <c r="P52" s="152">
        <f t="shared" ref="P52:P54" si="27">P51+H52-J52-M52</f>
        <v>521654.87046200928</v>
      </c>
    </row>
    <row r="53" spans="1:16" x14ac:dyDescent="0.15">
      <c r="A53" s="154"/>
      <c r="B53" s="151"/>
      <c r="C53" s="152"/>
      <c r="D53" s="153"/>
      <c r="E53" s="154"/>
      <c r="F53" s="157"/>
      <c r="G53" s="154"/>
      <c r="H53" s="152"/>
      <c r="I53" s="153" t="s">
        <v>599</v>
      </c>
      <c r="J53" s="152"/>
      <c r="K53" s="157"/>
      <c r="L53" s="154" t="s">
        <v>643</v>
      </c>
      <c r="M53" s="227">
        <v>70300</v>
      </c>
      <c r="N53" s="157" t="s">
        <v>617</v>
      </c>
      <c r="O53" s="227">
        <f t="shared" ref="O53:O54" si="28">+O52-J53-M53</f>
        <v>71162.336462009465</v>
      </c>
      <c r="P53" s="152">
        <f t="shared" si="27"/>
        <v>451354.87046200928</v>
      </c>
    </row>
    <row r="54" spans="1:16" x14ac:dyDescent="0.15">
      <c r="A54" s="154"/>
      <c r="B54" s="151"/>
      <c r="C54" s="152"/>
      <c r="D54" s="153"/>
      <c r="E54" s="154"/>
      <c r="F54" s="157"/>
      <c r="G54" s="154"/>
      <c r="H54" s="152"/>
      <c r="I54" s="153" t="s">
        <v>599</v>
      </c>
      <c r="J54" s="152"/>
      <c r="K54" s="157"/>
      <c r="L54" s="154" t="s">
        <v>643</v>
      </c>
      <c r="M54" s="227">
        <v>49936.87</v>
      </c>
      <c r="N54" s="157" t="s">
        <v>617</v>
      </c>
      <c r="O54" s="227">
        <f t="shared" si="28"/>
        <v>21225.466462009463</v>
      </c>
      <c r="P54" s="152">
        <f t="shared" si="27"/>
        <v>401418.00046200928</v>
      </c>
    </row>
    <row r="55" spans="1:16" x14ac:dyDescent="0.15">
      <c r="A55" s="154"/>
      <c r="B55" s="151"/>
      <c r="C55" s="152"/>
      <c r="D55" s="153" t="s">
        <v>600</v>
      </c>
      <c r="E55" s="154" t="s">
        <v>72</v>
      </c>
      <c r="F55" s="157" t="s">
        <v>621</v>
      </c>
      <c r="G55" s="154"/>
      <c r="H55" s="152">
        <v>155793.15599999999</v>
      </c>
      <c r="I55" s="153" t="s">
        <v>600</v>
      </c>
      <c r="J55" s="152"/>
      <c r="K55" s="157"/>
      <c r="L55" s="154" t="s">
        <v>643</v>
      </c>
      <c r="M55" s="227">
        <v>21225.466</v>
      </c>
      <c r="N55" s="157" t="s">
        <v>617</v>
      </c>
      <c r="O55" s="227">
        <f t="shared" si="1"/>
        <v>4.6200946235330775E-4</v>
      </c>
      <c r="P55" s="152">
        <f t="shared" si="2"/>
        <v>535985.69046200928</v>
      </c>
    </row>
    <row r="56" spans="1:16" x14ac:dyDescent="0.15">
      <c r="A56" s="154"/>
      <c r="B56" s="151"/>
      <c r="C56" s="152"/>
      <c r="D56" s="153"/>
      <c r="E56" s="154"/>
      <c r="F56" s="157"/>
      <c r="G56" s="154"/>
      <c r="H56" s="152"/>
      <c r="I56" s="153" t="s">
        <v>600</v>
      </c>
      <c r="J56" s="152"/>
      <c r="K56" s="157"/>
      <c r="L56" s="154" t="s">
        <v>643</v>
      </c>
      <c r="M56" s="227">
        <v>54763.413999999997</v>
      </c>
      <c r="N56" s="157" t="s">
        <v>618</v>
      </c>
      <c r="O56" s="227">
        <f>H45+H46+O55-J56-M56</f>
        <v>185360.88346200949</v>
      </c>
      <c r="P56" s="152">
        <f t="shared" ref="P56:P59" si="29">P55+H56-J56-M56</f>
        <v>481222.27646200929</v>
      </c>
    </row>
    <row r="57" spans="1:16" x14ac:dyDescent="0.15">
      <c r="A57" s="154"/>
      <c r="B57" s="151"/>
      <c r="C57" s="152"/>
      <c r="D57" s="153"/>
      <c r="E57" s="154"/>
      <c r="F57" s="157"/>
      <c r="G57" s="154"/>
      <c r="H57" s="152"/>
      <c r="I57" s="153" t="s">
        <v>600</v>
      </c>
      <c r="J57" s="152"/>
      <c r="K57" s="157"/>
      <c r="L57" s="154" t="s">
        <v>643</v>
      </c>
      <c r="M57" s="227">
        <v>75077.16</v>
      </c>
      <c r="N57" s="157" t="s">
        <v>618</v>
      </c>
      <c r="O57" s="227">
        <f t="shared" ref="O57:O59" si="30">+O56-J57-M57</f>
        <v>110283.72346200948</v>
      </c>
      <c r="P57" s="152">
        <f t="shared" si="29"/>
        <v>406145.11646200926</v>
      </c>
    </row>
    <row r="58" spans="1:16" x14ac:dyDescent="0.15">
      <c r="A58" s="154"/>
      <c r="B58" s="151"/>
      <c r="C58" s="152"/>
      <c r="D58" s="153"/>
      <c r="E58" s="154"/>
      <c r="F58" s="157"/>
      <c r="G58" s="154"/>
      <c r="H58" s="152"/>
      <c r="I58" s="153" t="s">
        <v>600</v>
      </c>
      <c r="J58" s="152"/>
      <c r="K58" s="157"/>
      <c r="L58" s="154" t="s">
        <v>643</v>
      </c>
      <c r="M58" s="227">
        <v>80103.63</v>
      </c>
      <c r="N58" s="157" t="s">
        <v>618</v>
      </c>
      <c r="O58" s="227">
        <f t="shared" si="30"/>
        <v>30180.093462009478</v>
      </c>
      <c r="P58" s="152">
        <f t="shared" si="29"/>
        <v>326041.48646200926</v>
      </c>
    </row>
    <row r="59" spans="1:16" x14ac:dyDescent="0.15">
      <c r="A59" s="154"/>
      <c r="B59" s="151"/>
      <c r="C59" s="152"/>
      <c r="D59" s="153" t="s">
        <v>601</v>
      </c>
      <c r="E59" s="154" t="s">
        <v>72</v>
      </c>
      <c r="F59" s="157" t="s">
        <v>621</v>
      </c>
      <c r="G59" s="154"/>
      <c r="H59" s="152">
        <v>75996.351999999999</v>
      </c>
      <c r="I59" s="153" t="s">
        <v>601</v>
      </c>
      <c r="J59" s="152"/>
      <c r="K59" s="157"/>
      <c r="L59" s="154" t="s">
        <v>643</v>
      </c>
      <c r="M59" s="227">
        <v>30180.093000000001</v>
      </c>
      <c r="N59" s="157" t="s">
        <v>618</v>
      </c>
      <c r="O59" s="227">
        <f t="shared" si="30"/>
        <v>4.6200947690522298E-4</v>
      </c>
      <c r="P59" s="152">
        <f t="shared" si="29"/>
        <v>371857.74546200928</v>
      </c>
    </row>
    <row r="60" spans="1:16" x14ac:dyDescent="0.15">
      <c r="A60" s="154"/>
      <c r="B60" s="151"/>
      <c r="C60" s="152"/>
      <c r="D60" s="153"/>
      <c r="E60" s="154"/>
      <c r="F60" s="157"/>
      <c r="G60" s="154"/>
      <c r="H60" s="152"/>
      <c r="I60" s="153" t="s">
        <v>601</v>
      </c>
      <c r="J60" s="152"/>
      <c r="K60" s="157"/>
      <c r="L60" s="154" t="s">
        <v>642</v>
      </c>
      <c r="M60" s="227">
        <v>19406.987000000001</v>
      </c>
      <c r="N60" s="157" t="s">
        <v>619</v>
      </c>
      <c r="O60" s="227">
        <f>H47+O59-J60-M60</f>
        <v>80729.383462009486</v>
      </c>
      <c r="P60" s="152">
        <f t="shared" ref="P60:P62" si="31">P59+H60-J60-M60</f>
        <v>352450.75846200925</v>
      </c>
    </row>
    <row r="61" spans="1:16" x14ac:dyDescent="0.15">
      <c r="A61" s="154"/>
      <c r="B61" s="151"/>
      <c r="C61" s="152"/>
      <c r="D61" s="153" t="s">
        <v>602</v>
      </c>
      <c r="E61" s="154" t="s">
        <v>72</v>
      </c>
      <c r="F61" s="157" t="s">
        <v>621</v>
      </c>
      <c r="G61" s="154"/>
      <c r="H61" s="152">
        <v>39962.688999999998</v>
      </c>
      <c r="I61" s="153" t="s">
        <v>602</v>
      </c>
      <c r="J61" s="152">
        <v>527.04999999999995</v>
      </c>
      <c r="K61" s="157" t="s">
        <v>619</v>
      </c>
      <c r="L61" s="154"/>
      <c r="M61" s="227"/>
      <c r="N61" s="157"/>
      <c r="O61" s="227">
        <f t="shared" ref="O61:O62" si="32">+O60-J61-M61</f>
        <v>80202.333462009483</v>
      </c>
      <c r="P61" s="152">
        <f t="shared" si="31"/>
        <v>391886.39746200928</v>
      </c>
    </row>
    <row r="62" spans="1:16" x14ac:dyDescent="0.15">
      <c r="A62" s="154"/>
      <c r="B62" s="151"/>
      <c r="C62" s="152"/>
      <c r="D62" s="153" t="s">
        <v>603</v>
      </c>
      <c r="E62" s="154" t="s">
        <v>72</v>
      </c>
      <c r="F62" s="157" t="s">
        <v>622</v>
      </c>
      <c r="G62" s="154"/>
      <c r="H62" s="152">
        <v>119967.55499999999</v>
      </c>
      <c r="I62" s="153" t="s">
        <v>603</v>
      </c>
      <c r="J62" s="152"/>
      <c r="K62" s="154"/>
      <c r="L62" s="154" t="s">
        <v>642</v>
      </c>
      <c r="M62" s="227">
        <v>75025.39</v>
      </c>
      <c r="N62" s="157" t="s">
        <v>619</v>
      </c>
      <c r="O62" s="227">
        <f t="shared" si="32"/>
        <v>5176.9434620094835</v>
      </c>
      <c r="P62" s="152">
        <f t="shared" si="31"/>
        <v>436828.56246200926</v>
      </c>
    </row>
    <row r="63" spans="1:16" x14ac:dyDescent="0.15">
      <c r="A63" s="154"/>
      <c r="B63" s="151"/>
      <c r="C63" s="152"/>
      <c r="D63" s="153" t="s">
        <v>608</v>
      </c>
      <c r="E63" s="154" t="s">
        <v>72</v>
      </c>
      <c r="F63" s="157" t="s">
        <v>622</v>
      </c>
      <c r="G63" s="154"/>
      <c r="H63" s="152">
        <v>196151.878</v>
      </c>
      <c r="I63" s="153" t="s">
        <v>608</v>
      </c>
      <c r="J63" s="152"/>
      <c r="K63" s="157"/>
      <c r="L63" s="154"/>
      <c r="M63" s="227"/>
      <c r="N63" s="157"/>
      <c r="O63" s="227">
        <f>+O62-J63-M63</f>
        <v>5176.9434620094835</v>
      </c>
      <c r="P63" s="152">
        <f>P62+H63-J63-M63</f>
        <v>632980.44046200928</v>
      </c>
    </row>
    <row r="64" spans="1:16" x14ac:dyDescent="0.15">
      <c r="A64" s="154"/>
      <c r="B64" s="151"/>
      <c r="C64" s="152"/>
      <c r="D64" s="153" t="s">
        <v>604</v>
      </c>
      <c r="E64" s="154" t="s">
        <v>72</v>
      </c>
      <c r="F64" s="157" t="s">
        <v>623</v>
      </c>
      <c r="G64" s="154"/>
      <c r="H64" s="152">
        <v>39992.699999999997</v>
      </c>
      <c r="I64" s="153" t="s">
        <v>604</v>
      </c>
      <c r="J64" s="152"/>
      <c r="K64" s="157"/>
      <c r="L64" s="154" t="s">
        <v>642</v>
      </c>
      <c r="M64" s="227">
        <v>5176.9430000000002</v>
      </c>
      <c r="N64" s="157" t="s">
        <v>619</v>
      </c>
      <c r="O64" s="227">
        <f t="shared" si="1"/>
        <v>4.6200948327168589E-4</v>
      </c>
      <c r="P64" s="152">
        <f t="shared" si="2"/>
        <v>667796.19746200927</v>
      </c>
    </row>
    <row r="65" spans="1:16" x14ac:dyDescent="0.15">
      <c r="A65" s="154"/>
      <c r="B65" s="151"/>
      <c r="C65" s="152"/>
      <c r="D65" s="153"/>
      <c r="E65" s="154"/>
      <c r="F65" s="157"/>
      <c r="G65" s="154"/>
      <c r="H65" s="152"/>
      <c r="I65" s="153" t="s">
        <v>604</v>
      </c>
      <c r="J65" s="152"/>
      <c r="K65" s="157"/>
      <c r="L65" s="154" t="s">
        <v>642</v>
      </c>
      <c r="M65" s="227">
        <v>39931.866999999998</v>
      </c>
      <c r="N65" s="157" t="s">
        <v>620</v>
      </c>
      <c r="O65" s="227">
        <f>H49+O64-J65-M65</f>
        <v>4.620094841811806E-4</v>
      </c>
      <c r="P65" s="152">
        <f t="shared" si="2"/>
        <v>627864.3304620093</v>
      </c>
    </row>
    <row r="66" spans="1:16" x14ac:dyDescent="0.15">
      <c r="A66" s="154"/>
      <c r="B66" s="151"/>
      <c r="C66" s="152"/>
      <c r="D66" s="153"/>
      <c r="E66" s="154"/>
      <c r="F66" s="157"/>
      <c r="G66" s="154"/>
      <c r="H66" s="152"/>
      <c r="I66" s="153" t="s">
        <v>604</v>
      </c>
      <c r="J66" s="152"/>
      <c r="K66" s="157"/>
      <c r="L66" s="154" t="s">
        <v>642</v>
      </c>
      <c r="M66" s="227">
        <v>38042.76</v>
      </c>
      <c r="N66" s="157" t="s">
        <v>621</v>
      </c>
      <c r="O66" s="227">
        <f>H55+H59+H61+O65-J66-M66</f>
        <v>233709.43746200949</v>
      </c>
      <c r="P66" s="152">
        <f t="shared" si="2"/>
        <v>589821.57046200929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7"/>
      <c r="L67" s="154" t="s">
        <v>642</v>
      </c>
      <c r="M67" s="227"/>
      <c r="N67" s="157"/>
      <c r="O67" s="227">
        <f t="shared" si="1"/>
        <v>233709.43746200949</v>
      </c>
      <c r="P67" s="152">
        <f t="shared" si="2"/>
        <v>589821.57046200929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7"/>
      <c r="L68" s="154" t="s">
        <v>642</v>
      </c>
      <c r="M68" s="227"/>
      <c r="N68" s="157"/>
      <c r="O68" s="227">
        <f t="shared" si="1"/>
        <v>233709.43746200949</v>
      </c>
      <c r="P68" s="152">
        <f t="shared" si="2"/>
        <v>589821.57046200929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7"/>
      <c r="L69" s="154" t="s">
        <v>642</v>
      </c>
      <c r="M69" s="227"/>
      <c r="N69" s="157"/>
      <c r="O69" s="227">
        <f t="shared" si="1"/>
        <v>233709.43746200949</v>
      </c>
      <c r="P69" s="152">
        <f t="shared" si="2"/>
        <v>589821.57046200929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7"/>
      <c r="L70" s="154" t="s">
        <v>642</v>
      </c>
      <c r="M70" s="227"/>
      <c r="N70" s="157"/>
      <c r="O70" s="227">
        <f t="shared" si="1"/>
        <v>233709.43746200949</v>
      </c>
      <c r="P70" s="152">
        <f t="shared" si="2"/>
        <v>589821.57046200929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7"/>
      <c r="L71" s="154" t="s">
        <v>642</v>
      </c>
      <c r="M71" s="227"/>
      <c r="N71" s="157"/>
      <c r="O71" s="227">
        <f t="shared" si="1"/>
        <v>233709.43746200949</v>
      </c>
      <c r="P71" s="152">
        <f t="shared" si="2"/>
        <v>589821.57046200929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 t="s">
        <v>642</v>
      </c>
      <c r="M72" s="227"/>
      <c r="N72" s="157"/>
      <c r="O72" s="227">
        <f t="shared" si="1"/>
        <v>233709.43746200949</v>
      </c>
      <c r="P72" s="152">
        <f t="shared" si="2"/>
        <v>589821.57046200929</v>
      </c>
    </row>
    <row r="73" spans="1:16" hidden="1" x14ac:dyDescent="0.15">
      <c r="A73" s="154"/>
      <c r="B73" s="151"/>
      <c r="C73" s="152"/>
      <c r="D73" s="153"/>
      <c r="E73" s="154"/>
      <c r="F73" s="157"/>
      <c r="G73" s="154"/>
      <c r="H73" s="152"/>
      <c r="I73" s="153"/>
      <c r="J73" s="152"/>
      <c r="K73" s="157"/>
      <c r="L73" s="154" t="s">
        <v>642</v>
      </c>
      <c r="M73" s="227"/>
      <c r="N73" s="157"/>
      <c r="O73" s="227">
        <f t="shared" si="1"/>
        <v>233709.43746200949</v>
      </c>
      <c r="P73" s="152">
        <f t="shared" si="2"/>
        <v>589821.57046200929</v>
      </c>
    </row>
    <row r="74" spans="1:16" hidden="1" x14ac:dyDescent="0.15">
      <c r="A74" s="154"/>
      <c r="B74" s="151"/>
      <c r="C74" s="152"/>
      <c r="D74" s="153"/>
      <c r="E74" s="154"/>
      <c r="F74" s="157"/>
      <c r="G74" s="154"/>
      <c r="H74" s="152"/>
      <c r="I74" s="153"/>
      <c r="J74" s="152"/>
      <c r="K74" s="154"/>
      <c r="L74" s="154" t="s">
        <v>642</v>
      </c>
      <c r="M74" s="227"/>
      <c r="N74" s="157"/>
      <c r="O74" s="227">
        <f t="shared" si="1"/>
        <v>233709.43746200949</v>
      </c>
      <c r="P74" s="152">
        <f t="shared" si="2"/>
        <v>589821.57046200929</v>
      </c>
    </row>
    <row r="75" spans="1:16" hidden="1" x14ac:dyDescent="0.15">
      <c r="A75" s="154"/>
      <c r="B75" s="151"/>
      <c r="C75" s="152"/>
      <c r="D75" s="153"/>
      <c r="E75" s="154"/>
      <c r="F75" s="157"/>
      <c r="G75" s="154"/>
      <c r="H75" s="152"/>
      <c r="I75" s="153"/>
      <c r="J75" s="152"/>
      <c r="K75" s="154"/>
      <c r="L75" s="154" t="s">
        <v>642</v>
      </c>
      <c r="M75" s="227"/>
      <c r="N75" s="157"/>
      <c r="O75" s="227">
        <f t="shared" si="1"/>
        <v>233709.43746200949</v>
      </c>
      <c r="P75" s="152">
        <f t="shared" si="2"/>
        <v>589821.57046200929</v>
      </c>
    </row>
    <row r="76" spans="1:16" hidden="1" x14ac:dyDescent="0.15">
      <c r="A76" s="154"/>
      <c r="B76" s="151"/>
      <c r="C76" s="152"/>
      <c r="D76" s="153"/>
      <c r="E76" s="154"/>
      <c r="F76" s="157"/>
      <c r="G76" s="154"/>
      <c r="H76" s="152"/>
      <c r="I76" s="153"/>
      <c r="J76" s="152"/>
      <c r="K76" s="154"/>
      <c r="L76" s="154" t="s">
        <v>642</v>
      </c>
      <c r="M76" s="227"/>
      <c r="N76" s="157"/>
      <c r="O76" s="227">
        <f t="shared" si="1"/>
        <v>233709.43746200949</v>
      </c>
      <c r="P76" s="152">
        <f t="shared" si="2"/>
        <v>589821.57046200929</v>
      </c>
    </row>
    <row r="77" spans="1:16" hidden="1" x14ac:dyDescent="0.15">
      <c r="A77" s="154"/>
      <c r="B77" s="151"/>
      <c r="C77" s="152"/>
      <c r="D77" s="153"/>
      <c r="E77" s="154"/>
      <c r="F77" s="157"/>
      <c r="G77" s="154"/>
      <c r="H77" s="152"/>
      <c r="I77" s="153"/>
      <c r="J77" s="152"/>
      <c r="K77" s="157"/>
      <c r="L77" s="154" t="s">
        <v>642</v>
      </c>
      <c r="M77" s="227"/>
      <c r="N77" s="157"/>
      <c r="O77" s="227">
        <f t="shared" si="1"/>
        <v>233709.43746200949</v>
      </c>
      <c r="P77" s="152">
        <f t="shared" si="2"/>
        <v>589821.57046200929</v>
      </c>
    </row>
    <row r="78" spans="1:16" hidden="1" x14ac:dyDescent="0.15">
      <c r="A78" s="154"/>
      <c r="B78" s="151"/>
      <c r="C78" s="152"/>
      <c r="D78" s="153"/>
      <c r="E78" s="154"/>
      <c r="F78" s="157"/>
      <c r="G78" s="154"/>
      <c r="H78" s="152"/>
      <c r="I78" s="153"/>
      <c r="J78" s="152"/>
      <c r="K78" s="157"/>
      <c r="L78" s="154" t="s">
        <v>642</v>
      </c>
      <c r="M78" s="227"/>
      <c r="N78" s="157"/>
      <c r="O78" s="227">
        <f t="shared" si="1"/>
        <v>233709.43746200949</v>
      </c>
      <c r="P78" s="152">
        <f t="shared" si="2"/>
        <v>589821.57046200929</v>
      </c>
    </row>
    <row r="79" spans="1:16" hidden="1" x14ac:dyDescent="0.15">
      <c r="A79" s="154"/>
      <c r="B79" s="151"/>
      <c r="C79" s="152"/>
      <c r="D79" s="153"/>
      <c r="E79" s="154"/>
      <c r="F79" s="157"/>
      <c r="G79" s="154"/>
      <c r="H79" s="152"/>
      <c r="I79" s="153"/>
      <c r="J79" s="152"/>
      <c r="K79" s="157"/>
      <c r="L79" s="154" t="s">
        <v>642</v>
      </c>
      <c r="M79" s="227"/>
      <c r="N79" s="157"/>
      <c r="O79" s="227">
        <f t="shared" si="1"/>
        <v>233709.43746200949</v>
      </c>
      <c r="P79" s="152">
        <f t="shared" si="2"/>
        <v>589821.57046200929</v>
      </c>
    </row>
    <row r="80" spans="1:16" hidden="1" x14ac:dyDescent="0.15">
      <c r="A80" s="154"/>
      <c r="B80" s="151"/>
      <c r="C80" s="152"/>
      <c r="D80" s="153"/>
      <c r="E80" s="154"/>
      <c r="F80" s="157"/>
      <c r="G80" s="154"/>
      <c r="H80" s="152"/>
      <c r="I80" s="153"/>
      <c r="J80" s="152"/>
      <c r="K80" s="157"/>
      <c r="L80" s="154" t="s">
        <v>642</v>
      </c>
      <c r="M80" s="227"/>
      <c r="N80" s="157"/>
      <c r="O80" s="227">
        <f t="shared" si="1"/>
        <v>233709.43746200949</v>
      </c>
      <c r="P80" s="152">
        <f t="shared" si="2"/>
        <v>589821.57046200929</v>
      </c>
    </row>
    <row r="81" spans="1:16" hidden="1" x14ac:dyDescent="0.15">
      <c r="A81" s="154"/>
      <c r="B81" s="151"/>
      <c r="C81" s="152"/>
      <c r="D81" s="153"/>
      <c r="E81" s="154"/>
      <c r="F81" s="157"/>
      <c r="G81" s="154"/>
      <c r="H81" s="152"/>
      <c r="I81" s="153"/>
      <c r="J81" s="152"/>
      <c r="K81" s="157"/>
      <c r="L81" s="154" t="s">
        <v>642</v>
      </c>
      <c r="M81" s="227"/>
      <c r="N81" s="157"/>
      <c r="O81" s="227">
        <f t="shared" si="1"/>
        <v>233709.43746200949</v>
      </c>
      <c r="P81" s="152">
        <f t="shared" si="2"/>
        <v>589821.57046200929</v>
      </c>
    </row>
    <row r="82" spans="1:16" hidden="1" x14ac:dyDescent="0.15">
      <c r="A82" s="154"/>
      <c r="B82" s="151"/>
      <c r="C82" s="152"/>
      <c r="D82" s="153"/>
      <c r="E82" s="154"/>
      <c r="F82" s="157"/>
      <c r="G82" s="154"/>
      <c r="H82" s="152"/>
      <c r="I82" s="153"/>
      <c r="J82" s="152"/>
      <c r="K82" s="157"/>
      <c r="L82" s="154" t="s">
        <v>642</v>
      </c>
      <c r="M82" s="227"/>
      <c r="N82" s="157"/>
      <c r="O82" s="227">
        <f t="shared" si="1"/>
        <v>233709.43746200949</v>
      </c>
      <c r="P82" s="152">
        <f t="shared" si="2"/>
        <v>589821.57046200929</v>
      </c>
    </row>
    <row r="83" spans="1:16" hidden="1" x14ac:dyDescent="0.15">
      <c r="A83" s="154"/>
      <c r="B83" s="151"/>
      <c r="C83" s="152"/>
      <c r="D83" s="153"/>
      <c r="E83" s="154"/>
      <c r="F83" s="157"/>
      <c r="G83" s="154"/>
      <c r="H83" s="152"/>
      <c r="I83" s="153"/>
      <c r="J83" s="152"/>
      <c r="K83" s="157"/>
      <c r="L83" s="154" t="s">
        <v>642</v>
      </c>
      <c r="M83" s="227"/>
      <c r="N83" s="157"/>
      <c r="O83" s="227">
        <f t="shared" si="1"/>
        <v>233709.43746200949</v>
      </c>
      <c r="P83" s="152">
        <f t="shared" si="2"/>
        <v>589821.57046200929</v>
      </c>
    </row>
    <row r="84" spans="1:16" hidden="1" x14ac:dyDescent="0.15">
      <c r="A84" s="154"/>
      <c r="B84" s="151"/>
      <c r="C84" s="152"/>
      <c r="D84" s="153"/>
      <c r="E84" s="154"/>
      <c r="F84" s="157"/>
      <c r="G84" s="154"/>
      <c r="H84" s="152"/>
      <c r="I84" s="153"/>
      <c r="J84" s="152"/>
      <c r="K84" s="157"/>
      <c r="L84" s="154" t="s">
        <v>642</v>
      </c>
      <c r="M84" s="227"/>
      <c r="N84" s="157"/>
      <c r="O84" s="227">
        <f t="shared" si="1"/>
        <v>233709.43746200949</v>
      </c>
      <c r="P84" s="152">
        <f t="shared" si="2"/>
        <v>589821.57046200929</v>
      </c>
    </row>
    <row r="85" spans="1:16" hidden="1" x14ac:dyDescent="0.15">
      <c r="A85" s="154"/>
      <c r="B85" s="151"/>
      <c r="C85" s="152"/>
      <c r="D85" s="153"/>
      <c r="E85" s="154"/>
      <c r="F85" s="157"/>
      <c r="G85" s="154"/>
      <c r="H85" s="152"/>
      <c r="I85" s="153"/>
      <c r="J85" s="152"/>
      <c r="K85" s="157"/>
      <c r="L85" s="154" t="s">
        <v>642</v>
      </c>
      <c r="M85" s="227"/>
      <c r="N85" s="157"/>
      <c r="O85" s="227">
        <f t="shared" si="1"/>
        <v>233709.43746200949</v>
      </c>
      <c r="P85" s="152">
        <f t="shared" si="2"/>
        <v>589821.57046200929</v>
      </c>
    </row>
    <row r="86" spans="1:16" hidden="1" x14ac:dyDescent="0.15">
      <c r="A86" s="154"/>
      <c r="B86" s="151"/>
      <c r="C86" s="152"/>
      <c r="D86" s="153"/>
      <c r="E86" s="154"/>
      <c r="F86" s="157"/>
      <c r="G86" s="154"/>
      <c r="H86" s="152"/>
      <c r="I86" s="153"/>
      <c r="J86" s="152"/>
      <c r="K86" s="150"/>
      <c r="L86" s="154" t="s">
        <v>642</v>
      </c>
      <c r="M86" s="227"/>
      <c r="N86" s="157"/>
      <c r="O86" s="227">
        <f t="shared" si="1"/>
        <v>233709.43746200949</v>
      </c>
      <c r="P86" s="152">
        <f t="shared" si="2"/>
        <v>589821.57046200929</v>
      </c>
    </row>
    <row r="87" spans="1:16" hidden="1" x14ac:dyDescent="0.15">
      <c r="A87" s="154"/>
      <c r="B87" s="151"/>
      <c r="C87" s="152"/>
      <c r="D87" s="153"/>
      <c r="E87" s="154"/>
      <c r="F87" s="157"/>
      <c r="G87" s="154"/>
      <c r="H87" s="152"/>
      <c r="I87" s="153"/>
      <c r="J87" s="152"/>
      <c r="K87" s="157"/>
      <c r="L87" s="154" t="s">
        <v>642</v>
      </c>
      <c r="M87" s="227"/>
      <c r="N87" s="157"/>
      <c r="O87" s="227">
        <f t="shared" si="1"/>
        <v>233709.43746200949</v>
      </c>
      <c r="P87" s="152">
        <f t="shared" si="2"/>
        <v>589821.57046200929</v>
      </c>
    </row>
    <row r="88" spans="1:16" hidden="1" x14ac:dyDescent="0.15">
      <c r="A88" s="154"/>
      <c r="B88" s="151"/>
      <c r="C88" s="152"/>
      <c r="D88" s="153"/>
      <c r="E88" s="154"/>
      <c r="F88" s="157"/>
      <c r="G88" s="154"/>
      <c r="H88" s="152"/>
      <c r="I88" s="153"/>
      <c r="J88" s="152"/>
      <c r="K88" s="150"/>
      <c r="L88" s="154" t="s">
        <v>642</v>
      </c>
      <c r="M88" s="227"/>
      <c r="N88" s="157"/>
      <c r="O88" s="227">
        <f t="shared" ref="O88:O119" si="33">+O87-J88-M88</f>
        <v>233709.43746200949</v>
      </c>
      <c r="P88" s="152">
        <f t="shared" ref="P88:P119" si="34">P87+H88-J88-M88</f>
        <v>589821.57046200929</v>
      </c>
    </row>
    <row r="89" spans="1:16" hidden="1" x14ac:dyDescent="0.15">
      <c r="A89" s="154"/>
      <c r="B89" s="151"/>
      <c r="C89" s="152"/>
      <c r="D89" s="153"/>
      <c r="E89" s="154"/>
      <c r="F89" s="157"/>
      <c r="G89" s="154"/>
      <c r="H89" s="152"/>
      <c r="I89" s="153"/>
      <c r="J89" s="152"/>
      <c r="K89" s="150"/>
      <c r="L89" s="154" t="s">
        <v>642</v>
      </c>
      <c r="M89" s="227"/>
      <c r="N89" s="157"/>
      <c r="O89" s="227">
        <f t="shared" si="33"/>
        <v>233709.43746200949</v>
      </c>
      <c r="P89" s="152">
        <f t="shared" si="34"/>
        <v>589821.57046200929</v>
      </c>
    </row>
    <row r="90" spans="1:16" hidden="1" x14ac:dyDescent="0.15">
      <c r="A90" s="154"/>
      <c r="B90" s="151"/>
      <c r="C90" s="152"/>
      <c r="D90" s="153"/>
      <c r="E90" s="154"/>
      <c r="F90" s="157"/>
      <c r="G90" s="154"/>
      <c r="H90" s="152"/>
      <c r="I90" s="153"/>
      <c r="J90" s="152"/>
      <c r="K90" s="150"/>
      <c r="L90" s="154" t="s">
        <v>642</v>
      </c>
      <c r="M90" s="227"/>
      <c r="N90" s="157"/>
      <c r="O90" s="227">
        <f t="shared" si="33"/>
        <v>233709.43746200949</v>
      </c>
      <c r="P90" s="152">
        <f t="shared" si="34"/>
        <v>589821.57046200929</v>
      </c>
    </row>
    <row r="91" spans="1:16" hidden="1" x14ac:dyDescent="0.15">
      <c r="A91" s="154"/>
      <c r="B91" s="151"/>
      <c r="C91" s="152"/>
      <c r="D91" s="153"/>
      <c r="E91" s="154"/>
      <c r="F91" s="157"/>
      <c r="G91" s="154"/>
      <c r="H91" s="152"/>
      <c r="I91" s="153"/>
      <c r="J91" s="152"/>
      <c r="K91" s="150"/>
      <c r="L91" s="154" t="s">
        <v>642</v>
      </c>
      <c r="M91" s="227"/>
      <c r="N91" s="157"/>
      <c r="O91" s="227">
        <f t="shared" si="33"/>
        <v>233709.43746200949</v>
      </c>
      <c r="P91" s="152">
        <f t="shared" si="34"/>
        <v>589821.57046200929</v>
      </c>
    </row>
    <row r="92" spans="1:16" hidden="1" x14ac:dyDescent="0.15">
      <c r="A92" s="154"/>
      <c r="B92" s="151"/>
      <c r="C92" s="152"/>
      <c r="D92" s="153"/>
      <c r="E92" s="154"/>
      <c r="F92" s="157"/>
      <c r="G92" s="154"/>
      <c r="H92" s="152"/>
      <c r="I92" s="153"/>
      <c r="J92" s="152"/>
      <c r="K92" s="150"/>
      <c r="L92" s="154" t="s">
        <v>642</v>
      </c>
      <c r="M92" s="227"/>
      <c r="N92" s="157"/>
      <c r="O92" s="227">
        <f t="shared" si="33"/>
        <v>233709.43746200949</v>
      </c>
      <c r="P92" s="152">
        <f t="shared" si="34"/>
        <v>589821.57046200929</v>
      </c>
    </row>
    <row r="93" spans="1:16" hidden="1" x14ac:dyDescent="0.15">
      <c r="A93" s="154"/>
      <c r="B93" s="151"/>
      <c r="C93" s="152"/>
      <c r="D93" s="153"/>
      <c r="E93" s="154"/>
      <c r="F93" s="157"/>
      <c r="G93" s="154"/>
      <c r="H93" s="152"/>
      <c r="I93" s="153"/>
      <c r="J93" s="152"/>
      <c r="K93" s="150"/>
      <c r="L93" s="154" t="s">
        <v>642</v>
      </c>
      <c r="M93" s="227"/>
      <c r="N93" s="157"/>
      <c r="O93" s="227">
        <f t="shared" si="33"/>
        <v>233709.43746200949</v>
      </c>
      <c r="P93" s="152">
        <f t="shared" si="34"/>
        <v>589821.57046200929</v>
      </c>
    </row>
    <row r="94" spans="1:16" hidden="1" x14ac:dyDescent="0.15">
      <c r="A94" s="154"/>
      <c r="B94" s="151"/>
      <c r="C94" s="152"/>
      <c r="D94" s="153"/>
      <c r="E94" s="154"/>
      <c r="F94" s="157"/>
      <c r="G94" s="154"/>
      <c r="H94" s="152"/>
      <c r="I94" s="153"/>
      <c r="J94" s="152"/>
      <c r="K94" s="150"/>
      <c r="L94" s="154" t="s">
        <v>642</v>
      </c>
      <c r="M94" s="227"/>
      <c r="N94" s="157"/>
      <c r="O94" s="227">
        <f t="shared" si="33"/>
        <v>233709.43746200949</v>
      </c>
      <c r="P94" s="152">
        <f t="shared" si="34"/>
        <v>589821.57046200929</v>
      </c>
    </row>
    <row r="95" spans="1:16" hidden="1" x14ac:dyDescent="0.15">
      <c r="A95" s="154"/>
      <c r="B95" s="151"/>
      <c r="C95" s="152"/>
      <c r="D95" s="153"/>
      <c r="E95" s="154"/>
      <c r="F95" s="157"/>
      <c r="G95" s="154"/>
      <c r="H95" s="152"/>
      <c r="I95" s="153"/>
      <c r="J95" s="152"/>
      <c r="K95" s="150"/>
      <c r="L95" s="154" t="s">
        <v>642</v>
      </c>
      <c r="M95" s="227"/>
      <c r="N95" s="157"/>
      <c r="O95" s="227">
        <f t="shared" si="33"/>
        <v>233709.43746200949</v>
      </c>
      <c r="P95" s="152">
        <f t="shared" si="34"/>
        <v>589821.57046200929</v>
      </c>
    </row>
    <row r="96" spans="1:16" hidden="1" x14ac:dyDescent="0.15">
      <c r="A96" s="154"/>
      <c r="B96" s="151"/>
      <c r="C96" s="152"/>
      <c r="D96" s="153"/>
      <c r="E96" s="154"/>
      <c r="F96" s="157"/>
      <c r="G96" s="154"/>
      <c r="H96" s="152"/>
      <c r="I96" s="153"/>
      <c r="J96" s="152"/>
      <c r="K96" s="150"/>
      <c r="L96" s="154" t="s">
        <v>642</v>
      </c>
      <c r="M96" s="227"/>
      <c r="N96" s="157"/>
      <c r="O96" s="227">
        <f t="shared" si="33"/>
        <v>233709.43746200949</v>
      </c>
      <c r="P96" s="152">
        <f t="shared" si="34"/>
        <v>589821.57046200929</v>
      </c>
    </row>
    <row r="97" spans="1:16" hidden="1" x14ac:dyDescent="0.15">
      <c r="A97" s="154"/>
      <c r="B97" s="151"/>
      <c r="C97" s="152"/>
      <c r="D97" s="153"/>
      <c r="E97" s="154"/>
      <c r="F97" s="157"/>
      <c r="G97" s="154"/>
      <c r="H97" s="152"/>
      <c r="I97" s="153"/>
      <c r="J97" s="152"/>
      <c r="K97" s="150"/>
      <c r="L97" s="154" t="s">
        <v>642</v>
      </c>
      <c r="M97" s="227"/>
      <c r="N97" s="157"/>
      <c r="O97" s="227">
        <f t="shared" si="33"/>
        <v>233709.43746200949</v>
      </c>
      <c r="P97" s="152">
        <f t="shared" si="34"/>
        <v>589821.57046200929</v>
      </c>
    </row>
    <row r="98" spans="1:16" hidden="1" x14ac:dyDescent="0.15">
      <c r="A98" s="154"/>
      <c r="B98" s="151"/>
      <c r="C98" s="152"/>
      <c r="D98" s="153"/>
      <c r="E98" s="154"/>
      <c r="F98" s="157"/>
      <c r="G98" s="154"/>
      <c r="H98" s="152"/>
      <c r="I98" s="153"/>
      <c r="J98" s="152"/>
      <c r="K98" s="150"/>
      <c r="L98" s="154" t="s">
        <v>642</v>
      </c>
      <c r="M98" s="227"/>
      <c r="N98" s="157"/>
      <c r="O98" s="227">
        <f t="shared" si="33"/>
        <v>233709.43746200949</v>
      </c>
      <c r="P98" s="152">
        <f t="shared" si="34"/>
        <v>589821.57046200929</v>
      </c>
    </row>
    <row r="99" spans="1:16" hidden="1" x14ac:dyDescent="0.15">
      <c r="A99" s="154"/>
      <c r="B99" s="151"/>
      <c r="C99" s="152"/>
      <c r="D99" s="153"/>
      <c r="E99" s="154"/>
      <c r="F99" s="157"/>
      <c r="G99" s="154"/>
      <c r="H99" s="152"/>
      <c r="I99" s="153"/>
      <c r="J99" s="152"/>
      <c r="K99" s="150"/>
      <c r="L99" s="154" t="s">
        <v>642</v>
      </c>
      <c r="M99" s="227"/>
      <c r="N99" s="157"/>
      <c r="O99" s="227">
        <f t="shared" si="33"/>
        <v>233709.43746200949</v>
      </c>
      <c r="P99" s="152">
        <f t="shared" si="34"/>
        <v>589821.57046200929</v>
      </c>
    </row>
    <row r="100" spans="1:16" hidden="1" x14ac:dyDescent="0.15">
      <c r="A100" s="154"/>
      <c r="B100" s="151"/>
      <c r="C100" s="152"/>
      <c r="D100" s="153"/>
      <c r="E100" s="154"/>
      <c r="F100" s="157"/>
      <c r="G100" s="154"/>
      <c r="H100" s="152"/>
      <c r="I100" s="153"/>
      <c r="J100" s="152"/>
      <c r="K100" s="150"/>
      <c r="L100" s="154" t="s">
        <v>642</v>
      </c>
      <c r="M100" s="227"/>
      <c r="N100" s="157"/>
      <c r="O100" s="227">
        <f t="shared" si="33"/>
        <v>233709.43746200949</v>
      </c>
      <c r="P100" s="152">
        <f t="shared" si="34"/>
        <v>589821.57046200929</v>
      </c>
    </row>
    <row r="101" spans="1:16" hidden="1" x14ac:dyDescent="0.15">
      <c r="A101" s="154"/>
      <c r="B101" s="151"/>
      <c r="C101" s="152"/>
      <c r="D101" s="153"/>
      <c r="E101" s="154"/>
      <c r="F101" s="157"/>
      <c r="G101" s="154"/>
      <c r="H101" s="152"/>
      <c r="I101" s="153"/>
      <c r="J101" s="152"/>
      <c r="K101" s="150"/>
      <c r="L101" s="154" t="s">
        <v>642</v>
      </c>
      <c r="M101" s="227"/>
      <c r="N101" s="157"/>
      <c r="O101" s="227">
        <f t="shared" si="33"/>
        <v>233709.43746200949</v>
      </c>
      <c r="P101" s="152">
        <f t="shared" si="34"/>
        <v>589821.57046200929</v>
      </c>
    </row>
    <row r="102" spans="1:16" hidden="1" x14ac:dyDescent="0.15">
      <c r="A102" s="154"/>
      <c r="B102" s="151"/>
      <c r="C102" s="152"/>
      <c r="D102" s="153"/>
      <c r="E102" s="154"/>
      <c r="F102" s="157"/>
      <c r="G102" s="154"/>
      <c r="H102" s="152"/>
      <c r="I102" s="153"/>
      <c r="J102" s="152"/>
      <c r="K102" s="150"/>
      <c r="L102" s="154" t="s">
        <v>642</v>
      </c>
      <c r="M102" s="227"/>
      <c r="N102" s="157"/>
      <c r="O102" s="227">
        <f t="shared" si="33"/>
        <v>233709.43746200949</v>
      </c>
      <c r="P102" s="152">
        <f t="shared" si="34"/>
        <v>589821.57046200929</v>
      </c>
    </row>
    <row r="103" spans="1:16" hidden="1" x14ac:dyDescent="0.15">
      <c r="A103" s="154"/>
      <c r="B103" s="151"/>
      <c r="C103" s="152"/>
      <c r="D103" s="153"/>
      <c r="E103" s="154"/>
      <c r="F103" s="157"/>
      <c r="G103" s="154"/>
      <c r="H103" s="152"/>
      <c r="I103" s="153"/>
      <c r="J103" s="152"/>
      <c r="K103" s="150"/>
      <c r="L103" s="154" t="s">
        <v>642</v>
      </c>
      <c r="M103" s="227"/>
      <c r="N103" s="157"/>
      <c r="O103" s="227">
        <f t="shared" si="33"/>
        <v>233709.43746200949</v>
      </c>
      <c r="P103" s="152">
        <f t="shared" si="34"/>
        <v>589821.57046200929</v>
      </c>
    </row>
    <row r="104" spans="1:16" hidden="1" x14ac:dyDescent="0.15">
      <c r="A104" s="154"/>
      <c r="B104" s="151"/>
      <c r="C104" s="152"/>
      <c r="D104" s="153"/>
      <c r="E104" s="154"/>
      <c r="F104" s="157"/>
      <c r="G104" s="154"/>
      <c r="H104" s="152"/>
      <c r="I104" s="153"/>
      <c r="J104" s="152"/>
      <c r="K104" s="150"/>
      <c r="L104" s="154" t="s">
        <v>642</v>
      </c>
      <c r="M104" s="227"/>
      <c r="N104" s="157"/>
      <c r="O104" s="227">
        <f t="shared" si="33"/>
        <v>233709.43746200949</v>
      </c>
      <c r="P104" s="152">
        <f t="shared" si="34"/>
        <v>589821.57046200929</v>
      </c>
    </row>
    <row r="105" spans="1:16" hidden="1" x14ac:dyDescent="0.15">
      <c r="A105" s="154"/>
      <c r="B105" s="151"/>
      <c r="C105" s="152"/>
      <c r="D105" s="153"/>
      <c r="E105" s="154"/>
      <c r="F105" s="157"/>
      <c r="G105" s="154"/>
      <c r="H105" s="152"/>
      <c r="I105" s="153"/>
      <c r="J105" s="152"/>
      <c r="K105" s="150"/>
      <c r="L105" s="154" t="s">
        <v>642</v>
      </c>
      <c r="M105" s="227"/>
      <c r="N105" s="157"/>
      <c r="O105" s="227">
        <f t="shared" si="33"/>
        <v>233709.43746200949</v>
      </c>
      <c r="P105" s="152">
        <f t="shared" si="34"/>
        <v>589821.57046200929</v>
      </c>
    </row>
    <row r="106" spans="1:16" hidden="1" x14ac:dyDescent="0.15">
      <c r="A106" s="154"/>
      <c r="B106" s="151"/>
      <c r="C106" s="152"/>
      <c r="D106" s="153"/>
      <c r="E106" s="154"/>
      <c r="F106" s="157"/>
      <c r="G106" s="154"/>
      <c r="H106" s="152"/>
      <c r="I106" s="153"/>
      <c r="J106" s="152"/>
      <c r="K106" s="150"/>
      <c r="L106" s="154" t="s">
        <v>642</v>
      </c>
      <c r="M106" s="227"/>
      <c r="N106" s="157"/>
      <c r="O106" s="227">
        <f t="shared" si="33"/>
        <v>233709.43746200949</v>
      </c>
      <c r="P106" s="152">
        <f t="shared" si="34"/>
        <v>589821.57046200929</v>
      </c>
    </row>
    <row r="107" spans="1:16" hidden="1" x14ac:dyDescent="0.15">
      <c r="A107" s="154"/>
      <c r="B107" s="151"/>
      <c r="C107" s="152"/>
      <c r="D107" s="153"/>
      <c r="E107" s="154"/>
      <c r="F107" s="157"/>
      <c r="G107" s="154"/>
      <c r="H107" s="152"/>
      <c r="I107" s="153"/>
      <c r="J107" s="152"/>
      <c r="K107" s="150"/>
      <c r="L107" s="154" t="s">
        <v>642</v>
      </c>
      <c r="M107" s="227"/>
      <c r="N107" s="157"/>
      <c r="O107" s="227">
        <f t="shared" si="33"/>
        <v>233709.43746200949</v>
      </c>
      <c r="P107" s="152">
        <f t="shared" si="34"/>
        <v>589821.57046200929</v>
      </c>
    </row>
    <row r="108" spans="1:16" hidden="1" x14ac:dyDescent="0.15">
      <c r="A108" s="154"/>
      <c r="B108" s="151"/>
      <c r="C108" s="152"/>
      <c r="D108" s="153"/>
      <c r="E108" s="154"/>
      <c r="F108" s="157"/>
      <c r="G108" s="154"/>
      <c r="H108" s="152"/>
      <c r="I108" s="153"/>
      <c r="J108" s="152"/>
      <c r="K108" s="150"/>
      <c r="L108" s="154" t="s">
        <v>642</v>
      </c>
      <c r="M108" s="227"/>
      <c r="N108" s="157"/>
      <c r="O108" s="227">
        <f t="shared" si="33"/>
        <v>233709.43746200949</v>
      </c>
      <c r="P108" s="152">
        <f t="shared" si="34"/>
        <v>589821.57046200929</v>
      </c>
    </row>
    <row r="109" spans="1:16" hidden="1" x14ac:dyDescent="0.15">
      <c r="A109" s="154"/>
      <c r="B109" s="151"/>
      <c r="C109" s="152"/>
      <c r="D109" s="153"/>
      <c r="E109" s="154"/>
      <c r="F109" s="157"/>
      <c r="G109" s="154"/>
      <c r="H109" s="152"/>
      <c r="I109" s="153"/>
      <c r="J109" s="152"/>
      <c r="K109" s="150"/>
      <c r="L109" s="154" t="s">
        <v>642</v>
      </c>
      <c r="M109" s="227"/>
      <c r="N109" s="157"/>
      <c r="O109" s="227">
        <f t="shared" si="33"/>
        <v>233709.43746200949</v>
      </c>
      <c r="P109" s="152">
        <f t="shared" si="34"/>
        <v>589821.57046200929</v>
      </c>
    </row>
    <row r="110" spans="1:16" hidden="1" x14ac:dyDescent="0.15">
      <c r="A110" s="154"/>
      <c r="B110" s="151"/>
      <c r="C110" s="152"/>
      <c r="D110" s="153"/>
      <c r="E110" s="154"/>
      <c r="F110" s="157"/>
      <c r="G110" s="154"/>
      <c r="H110" s="152"/>
      <c r="I110" s="153"/>
      <c r="J110" s="152"/>
      <c r="K110" s="150"/>
      <c r="L110" s="154" t="s">
        <v>642</v>
      </c>
      <c r="M110" s="227"/>
      <c r="N110" s="157"/>
      <c r="O110" s="227">
        <f t="shared" si="33"/>
        <v>233709.43746200949</v>
      </c>
      <c r="P110" s="152">
        <f t="shared" si="34"/>
        <v>589821.57046200929</v>
      </c>
    </row>
    <row r="111" spans="1:16" hidden="1" x14ac:dyDescent="0.15">
      <c r="A111" s="154"/>
      <c r="B111" s="151"/>
      <c r="C111" s="152"/>
      <c r="D111" s="153"/>
      <c r="E111" s="154"/>
      <c r="F111" s="157"/>
      <c r="G111" s="154"/>
      <c r="H111" s="152"/>
      <c r="I111" s="153"/>
      <c r="J111" s="152"/>
      <c r="K111" s="150"/>
      <c r="L111" s="154" t="s">
        <v>642</v>
      </c>
      <c r="M111" s="227"/>
      <c r="N111" s="157"/>
      <c r="O111" s="227">
        <f t="shared" si="33"/>
        <v>233709.43746200949</v>
      </c>
      <c r="P111" s="152">
        <f t="shared" si="34"/>
        <v>589821.57046200929</v>
      </c>
    </row>
    <row r="112" spans="1:16" hidden="1" x14ac:dyDescent="0.15">
      <c r="A112" s="154"/>
      <c r="B112" s="151"/>
      <c r="C112" s="152"/>
      <c r="D112" s="153"/>
      <c r="E112" s="154"/>
      <c r="F112" s="157"/>
      <c r="G112" s="154"/>
      <c r="H112" s="152"/>
      <c r="I112" s="153"/>
      <c r="J112" s="152"/>
      <c r="K112" s="150"/>
      <c r="L112" s="154" t="s">
        <v>642</v>
      </c>
      <c r="M112" s="227"/>
      <c r="N112" s="157"/>
      <c r="O112" s="227">
        <f t="shared" si="33"/>
        <v>233709.43746200949</v>
      </c>
      <c r="P112" s="152">
        <f t="shared" si="34"/>
        <v>589821.57046200929</v>
      </c>
    </row>
    <row r="113" spans="1:16" hidden="1" x14ac:dyDescent="0.15">
      <c r="A113" s="154"/>
      <c r="B113" s="151"/>
      <c r="C113" s="152"/>
      <c r="D113" s="153"/>
      <c r="E113" s="154"/>
      <c r="F113" s="157"/>
      <c r="G113" s="154"/>
      <c r="H113" s="152"/>
      <c r="I113" s="153"/>
      <c r="J113" s="152"/>
      <c r="K113" s="150"/>
      <c r="L113" s="154" t="s">
        <v>642</v>
      </c>
      <c r="M113" s="227"/>
      <c r="N113" s="157"/>
      <c r="O113" s="227">
        <f t="shared" si="33"/>
        <v>233709.43746200949</v>
      </c>
      <c r="P113" s="152">
        <f t="shared" si="34"/>
        <v>589821.57046200929</v>
      </c>
    </row>
    <row r="114" spans="1:16" hidden="1" x14ac:dyDescent="0.15">
      <c r="A114" s="154"/>
      <c r="B114" s="151"/>
      <c r="C114" s="152"/>
      <c r="D114" s="153"/>
      <c r="E114" s="154"/>
      <c r="F114" s="157"/>
      <c r="G114" s="154"/>
      <c r="H114" s="152"/>
      <c r="I114" s="153"/>
      <c r="J114" s="152"/>
      <c r="K114" s="150"/>
      <c r="L114" s="154" t="s">
        <v>642</v>
      </c>
      <c r="M114" s="227"/>
      <c r="N114" s="157"/>
      <c r="O114" s="227">
        <f t="shared" si="33"/>
        <v>233709.43746200949</v>
      </c>
      <c r="P114" s="152">
        <f t="shared" si="34"/>
        <v>589821.57046200929</v>
      </c>
    </row>
    <row r="115" spans="1:16" hidden="1" x14ac:dyDescent="0.15">
      <c r="A115" s="154"/>
      <c r="B115" s="151"/>
      <c r="C115" s="152"/>
      <c r="D115" s="153"/>
      <c r="E115" s="154"/>
      <c r="F115" s="157"/>
      <c r="G115" s="154"/>
      <c r="H115" s="152"/>
      <c r="I115" s="153"/>
      <c r="J115" s="152"/>
      <c r="K115" s="150"/>
      <c r="L115" s="154" t="s">
        <v>642</v>
      </c>
      <c r="M115" s="227"/>
      <c r="N115" s="157"/>
      <c r="O115" s="227">
        <f t="shared" si="33"/>
        <v>233709.43746200949</v>
      </c>
      <c r="P115" s="152">
        <f t="shared" si="34"/>
        <v>589821.57046200929</v>
      </c>
    </row>
    <row r="116" spans="1:16" hidden="1" x14ac:dyDescent="0.15">
      <c r="A116" s="154"/>
      <c r="B116" s="151"/>
      <c r="C116" s="152"/>
      <c r="D116" s="153"/>
      <c r="E116" s="154"/>
      <c r="F116" s="157"/>
      <c r="G116" s="154"/>
      <c r="H116" s="152"/>
      <c r="I116" s="153"/>
      <c r="J116" s="152"/>
      <c r="K116" s="157"/>
      <c r="L116" s="154" t="s">
        <v>642</v>
      </c>
      <c r="M116" s="227"/>
      <c r="N116" s="157"/>
      <c r="O116" s="227">
        <f t="shared" si="33"/>
        <v>233709.43746200949</v>
      </c>
      <c r="P116" s="152">
        <f t="shared" si="34"/>
        <v>589821.57046200929</v>
      </c>
    </row>
    <row r="117" spans="1:16" hidden="1" x14ac:dyDescent="0.15">
      <c r="A117" s="154"/>
      <c r="B117" s="151"/>
      <c r="C117" s="152"/>
      <c r="D117" s="153"/>
      <c r="E117" s="154"/>
      <c r="F117" s="157"/>
      <c r="G117" s="151"/>
      <c r="H117" s="152"/>
      <c r="I117" s="153"/>
      <c r="J117" s="152"/>
      <c r="K117" s="157"/>
      <c r="L117" s="154" t="s">
        <v>642</v>
      </c>
      <c r="M117" s="227"/>
      <c r="N117" s="150"/>
      <c r="O117" s="227">
        <f t="shared" si="33"/>
        <v>233709.43746200949</v>
      </c>
      <c r="P117" s="152">
        <f t="shared" si="34"/>
        <v>589821.57046200929</v>
      </c>
    </row>
    <row r="118" spans="1:16" hidden="1" x14ac:dyDescent="0.15">
      <c r="A118" s="154"/>
      <c r="B118" s="151"/>
      <c r="C118" s="152"/>
      <c r="D118" s="153"/>
      <c r="E118" s="154"/>
      <c r="F118" s="160"/>
      <c r="G118" s="151"/>
      <c r="H118" s="152"/>
      <c r="I118" s="153"/>
      <c r="J118" s="152"/>
      <c r="K118" s="150"/>
      <c r="L118" s="154" t="s">
        <v>642</v>
      </c>
      <c r="M118" s="227"/>
      <c r="N118" s="157"/>
      <c r="O118" s="227">
        <f t="shared" si="33"/>
        <v>233709.43746200949</v>
      </c>
      <c r="P118" s="152">
        <f t="shared" si="34"/>
        <v>589821.57046200929</v>
      </c>
    </row>
    <row r="119" spans="1:16" x14ac:dyDescent="0.15">
      <c r="A119" s="173"/>
      <c r="B119" s="173"/>
      <c r="C119" s="174"/>
      <c r="D119" s="175"/>
      <c r="E119" s="173"/>
      <c r="F119" s="173"/>
      <c r="G119" s="176"/>
      <c r="H119" s="174"/>
      <c r="I119" s="175"/>
      <c r="J119" s="174"/>
      <c r="K119" s="173"/>
      <c r="L119" s="154"/>
      <c r="M119" s="228"/>
      <c r="N119" s="173"/>
      <c r="O119" s="227">
        <f t="shared" si="33"/>
        <v>233709.43746200949</v>
      </c>
      <c r="P119" s="152">
        <f t="shared" si="34"/>
        <v>589821.57046200929</v>
      </c>
    </row>
    <row r="120" spans="1:16" x14ac:dyDescent="0.15">
      <c r="A120" s="177"/>
      <c r="B120" s="177"/>
      <c r="C120" s="178">
        <f>SUM(C7:C118)</f>
        <v>587917.53036200954</v>
      </c>
      <c r="D120" s="177"/>
      <c r="E120" s="177"/>
      <c r="F120" s="177"/>
      <c r="G120" s="177"/>
      <c r="H120" s="178">
        <f>SUM(H7:H118)</f>
        <v>2296650.9040000001</v>
      </c>
      <c r="I120" s="179"/>
      <c r="J120" s="178">
        <f>SUM(J7:J118)</f>
        <v>10193.063899999999</v>
      </c>
      <c r="K120" s="177"/>
      <c r="L120" s="177"/>
      <c r="M120" s="229">
        <f>SUM(M9:M118)</f>
        <v>2284553.8000000003</v>
      </c>
      <c r="N120" s="177"/>
      <c r="O120" s="180"/>
      <c r="P120" s="181">
        <f>C120+H120-J120-M120</f>
        <v>589821.5704620094</v>
      </c>
    </row>
    <row r="121" spans="1:16" x14ac:dyDescent="0.15">
      <c r="A121" s="182"/>
      <c r="B121" s="465"/>
      <c r="C121" s="465"/>
      <c r="D121" s="465"/>
      <c r="E121" s="183"/>
      <c r="F121" s="472"/>
      <c r="G121" s="472"/>
      <c r="H121" s="185"/>
      <c r="I121" s="186"/>
      <c r="J121" s="187"/>
      <c r="K121" s="188"/>
      <c r="L121" s="189" t="s">
        <v>139</v>
      </c>
      <c r="M121" s="190">
        <f>+M120+J120</f>
        <v>2294746.8639000002</v>
      </c>
      <c r="N121" s="188"/>
      <c r="O121" s="230">
        <f>+O119</f>
        <v>233709.43746200949</v>
      </c>
      <c r="P121" s="195" t="s">
        <v>621</v>
      </c>
    </row>
    <row r="122" spans="1:16" x14ac:dyDescent="0.15">
      <c r="A122" s="193" t="s">
        <v>559</v>
      </c>
      <c r="B122" s="470" t="s">
        <v>582</v>
      </c>
      <c r="C122" s="470"/>
      <c r="D122" s="470"/>
      <c r="E122" s="183" t="s">
        <v>55</v>
      </c>
      <c r="F122" s="472">
        <v>40631564.560000002</v>
      </c>
      <c r="G122" s="472"/>
      <c r="H122" s="219" t="s">
        <v>56</v>
      </c>
      <c r="I122" s="186">
        <v>40574</v>
      </c>
      <c r="J122" s="187" t="s">
        <v>71</v>
      </c>
      <c r="K122" s="210">
        <v>118911.56299999999</v>
      </c>
      <c r="L122" s="210"/>
      <c r="O122" s="230">
        <f>+H62+H63</f>
        <v>316119.43299999996</v>
      </c>
      <c r="P122" s="195" t="s">
        <v>622</v>
      </c>
    </row>
    <row r="123" spans="1:16" x14ac:dyDescent="0.15">
      <c r="A123" s="193" t="s">
        <v>561</v>
      </c>
      <c r="B123" s="470" t="s">
        <v>627</v>
      </c>
      <c r="C123" s="470"/>
      <c r="D123" s="470"/>
      <c r="E123" s="183" t="s">
        <v>55</v>
      </c>
      <c r="F123" s="472">
        <v>72101195.900000006</v>
      </c>
      <c r="G123" s="472"/>
      <c r="H123" s="219" t="s">
        <v>56</v>
      </c>
      <c r="I123" s="186">
        <v>40577</v>
      </c>
      <c r="J123" s="187" t="s">
        <v>71</v>
      </c>
      <c r="K123" s="210">
        <v>200275.5</v>
      </c>
      <c r="L123" s="210"/>
      <c r="O123" s="230">
        <f>+H64</f>
        <v>39992.699999999997</v>
      </c>
      <c r="P123" s="192" t="s">
        <v>623</v>
      </c>
    </row>
    <row r="124" spans="1:16" x14ac:dyDescent="0.15">
      <c r="A124" s="193" t="s">
        <v>562</v>
      </c>
      <c r="B124" s="470" t="s">
        <v>628</v>
      </c>
      <c r="C124" s="470"/>
      <c r="D124" s="470"/>
      <c r="E124" s="183" t="s">
        <v>55</v>
      </c>
      <c r="F124" s="472">
        <v>28543544.82</v>
      </c>
      <c r="G124" s="472"/>
      <c r="H124" s="219" t="s">
        <v>56</v>
      </c>
      <c r="I124" s="186">
        <v>40578</v>
      </c>
      <c r="J124" s="187" t="s">
        <v>71</v>
      </c>
      <c r="K124" s="210">
        <v>177272.821</v>
      </c>
      <c r="L124" s="210"/>
      <c r="O124" s="230"/>
      <c r="P124" s="192"/>
    </row>
    <row r="125" spans="1:16" x14ac:dyDescent="0.15">
      <c r="A125" s="193" t="s">
        <v>563</v>
      </c>
      <c r="B125" s="470" t="s">
        <v>629</v>
      </c>
      <c r="C125" s="470"/>
      <c r="D125" s="470"/>
      <c r="E125" s="183" t="s">
        <v>55</v>
      </c>
      <c r="F125" s="472">
        <v>65882784.469999999</v>
      </c>
      <c r="G125" s="472"/>
      <c r="H125" s="219" t="s">
        <v>56</v>
      </c>
      <c r="I125" s="186">
        <v>40581</v>
      </c>
      <c r="J125" s="187" t="s">
        <v>71</v>
      </c>
      <c r="K125" s="210">
        <v>236808.18700000001</v>
      </c>
      <c r="L125" s="210"/>
      <c r="O125" s="230"/>
      <c r="P125" s="195"/>
    </row>
    <row r="126" spans="1:16" x14ac:dyDescent="0.15">
      <c r="A126" s="193" t="s">
        <v>609</v>
      </c>
      <c r="B126" s="470" t="s">
        <v>630</v>
      </c>
      <c r="C126" s="470"/>
      <c r="D126" s="470"/>
      <c r="E126" s="183" t="s">
        <v>55</v>
      </c>
      <c r="F126" s="472">
        <v>28019383</v>
      </c>
      <c r="G126" s="472"/>
      <c r="H126" s="219" t="s">
        <v>56</v>
      </c>
      <c r="I126" s="186">
        <v>40581</v>
      </c>
      <c r="J126" s="187" t="s">
        <v>71</v>
      </c>
      <c r="K126" s="210">
        <v>160300.41399999999</v>
      </c>
      <c r="L126" s="210"/>
      <c r="O126" s="230"/>
      <c r="P126" s="195"/>
    </row>
    <row r="127" spans="1:16" x14ac:dyDescent="0.15">
      <c r="A127" s="193" t="s">
        <v>610</v>
      </c>
      <c r="B127" s="470" t="s">
        <v>631</v>
      </c>
      <c r="C127" s="470"/>
      <c r="D127" s="470"/>
      <c r="E127" s="183" t="s">
        <v>55</v>
      </c>
      <c r="F127" s="472">
        <v>38864650.369999997</v>
      </c>
      <c r="G127" s="472"/>
      <c r="H127" s="219" t="s">
        <v>56</v>
      </c>
      <c r="I127" s="186">
        <v>40584</v>
      </c>
      <c r="J127" s="187" t="s">
        <v>71</v>
      </c>
      <c r="K127" s="210">
        <v>97392.684000000008</v>
      </c>
      <c r="L127" s="210"/>
      <c r="O127" s="230"/>
      <c r="P127" s="195"/>
    </row>
    <row r="128" spans="1:16" x14ac:dyDescent="0.15">
      <c r="A128" s="193" t="s">
        <v>611</v>
      </c>
      <c r="B128" s="470" t="s">
        <v>632</v>
      </c>
      <c r="C128" s="470"/>
      <c r="D128" s="470"/>
      <c r="E128" s="183" t="s">
        <v>55</v>
      </c>
      <c r="F128" s="472">
        <v>9987793.3399999999</v>
      </c>
      <c r="G128" s="472"/>
      <c r="H128" s="219" t="s">
        <v>56</v>
      </c>
      <c r="I128" s="186">
        <v>40585</v>
      </c>
      <c r="J128" s="187" t="s">
        <v>71</v>
      </c>
      <c r="K128" s="210">
        <v>60122.173000000003</v>
      </c>
      <c r="L128" s="210"/>
      <c r="O128" s="230"/>
      <c r="P128" s="195"/>
    </row>
    <row r="129" spans="1:16" x14ac:dyDescent="0.15">
      <c r="A129" s="193" t="s">
        <v>612</v>
      </c>
      <c r="B129" s="470" t="s">
        <v>633</v>
      </c>
      <c r="C129" s="470"/>
      <c r="D129" s="470"/>
      <c r="E129" s="183" t="s">
        <v>55</v>
      </c>
      <c r="F129" s="472">
        <v>39426898.280000001</v>
      </c>
      <c r="G129" s="472"/>
      <c r="H129" s="219" t="s">
        <v>56</v>
      </c>
      <c r="I129" s="186">
        <v>40588</v>
      </c>
      <c r="J129" s="187" t="s">
        <v>71</v>
      </c>
      <c r="K129" s="210">
        <v>233131.90700000001</v>
      </c>
      <c r="L129" s="210"/>
      <c r="O129" s="230"/>
      <c r="P129" s="195"/>
    </row>
    <row r="130" spans="1:16" x14ac:dyDescent="0.15">
      <c r="A130" s="193" t="s">
        <v>614</v>
      </c>
      <c r="B130" s="470" t="s">
        <v>634</v>
      </c>
      <c r="C130" s="470"/>
      <c r="D130" s="470"/>
      <c r="E130" s="183" t="s">
        <v>55</v>
      </c>
      <c r="F130" s="472">
        <v>12981333.23</v>
      </c>
      <c r="G130" s="472"/>
      <c r="H130" s="219" t="s">
        <v>56</v>
      </c>
      <c r="I130" s="186">
        <v>40591</v>
      </c>
      <c r="J130" s="187" t="s">
        <v>71</v>
      </c>
      <c r="K130" s="210">
        <v>120017.236</v>
      </c>
      <c r="L130" s="210"/>
      <c r="O130" s="230"/>
      <c r="P130" s="195"/>
    </row>
    <row r="131" spans="1:16" x14ac:dyDescent="0.15">
      <c r="A131" s="193" t="s">
        <v>615</v>
      </c>
      <c r="B131" s="470" t="s">
        <v>635</v>
      </c>
      <c r="C131" s="470"/>
      <c r="D131" s="470"/>
      <c r="E131" s="183" t="s">
        <v>55</v>
      </c>
      <c r="F131" s="472">
        <v>7134613.9800000004</v>
      </c>
      <c r="G131" s="472"/>
      <c r="H131" s="219" t="s">
        <v>56</v>
      </c>
      <c r="I131" s="186">
        <v>40595</v>
      </c>
      <c r="J131" s="187" t="s">
        <v>71</v>
      </c>
      <c r="K131" s="210">
        <v>100048.569</v>
      </c>
      <c r="L131" s="210"/>
      <c r="O131" s="230"/>
      <c r="P131" s="195"/>
    </row>
    <row r="132" spans="1:16" ht="12" thickBot="1" x14ac:dyDescent="0.2">
      <c r="A132" s="193"/>
      <c r="B132" s="470"/>
      <c r="C132" s="470"/>
      <c r="D132" s="470"/>
      <c r="E132" s="183"/>
      <c r="F132" s="472"/>
      <c r="G132" s="472"/>
      <c r="H132" s="219"/>
      <c r="I132" s="186"/>
      <c r="J132" s="201" t="s">
        <v>105</v>
      </c>
      <c r="K132" s="217">
        <f>SUM(K122:K131)</f>
        <v>1504281.0539999998</v>
      </c>
      <c r="L132" s="210"/>
      <c r="O132" s="206" t="s">
        <v>33</v>
      </c>
      <c r="P132" s="207">
        <f>SUM(O121:O131)</f>
        <v>589821.5704620094</v>
      </c>
    </row>
    <row r="133" spans="1:16" ht="12" thickTop="1" x14ac:dyDescent="0.15">
      <c r="A133" s="193" t="s">
        <v>613</v>
      </c>
      <c r="B133" s="470" t="s">
        <v>636</v>
      </c>
      <c r="C133" s="470"/>
      <c r="D133" s="470"/>
      <c r="E133" s="183" t="s">
        <v>55</v>
      </c>
      <c r="F133" s="472">
        <v>129685286.59999999</v>
      </c>
      <c r="G133" s="472"/>
      <c r="H133" s="219" t="s">
        <v>56</v>
      </c>
      <c r="I133" s="186">
        <v>40589</v>
      </c>
      <c r="J133" s="187" t="s">
        <v>71</v>
      </c>
      <c r="K133" s="210">
        <v>120008.202</v>
      </c>
      <c r="L133" s="210"/>
      <c r="P133" s="132">
        <f>+P120-P132</f>
        <v>0</v>
      </c>
    </row>
    <row r="134" spans="1:16" x14ac:dyDescent="0.15">
      <c r="A134" s="193" t="s">
        <v>616</v>
      </c>
      <c r="B134" s="470" t="s">
        <v>637</v>
      </c>
      <c r="C134" s="470"/>
      <c r="D134" s="470"/>
      <c r="E134" s="183" t="s">
        <v>55</v>
      </c>
      <c r="F134" s="472">
        <v>75623537.890000001</v>
      </c>
      <c r="G134" s="472"/>
      <c r="H134" s="219" t="s">
        <v>56</v>
      </c>
      <c r="I134" s="186">
        <v>40595</v>
      </c>
      <c r="J134" s="187" t="s">
        <v>71</v>
      </c>
      <c r="K134" s="210">
        <v>79981.342999999993</v>
      </c>
      <c r="L134" s="210"/>
    </row>
    <row r="135" spans="1:16" x14ac:dyDescent="0.15">
      <c r="A135" s="193" t="s">
        <v>619</v>
      </c>
      <c r="B135" s="470" t="s">
        <v>638</v>
      </c>
      <c r="C135" s="470"/>
      <c r="D135" s="470"/>
      <c r="E135" s="183" t="s">
        <v>55</v>
      </c>
      <c r="F135" s="472">
        <v>87226705.700000003</v>
      </c>
      <c r="G135" s="472"/>
      <c r="H135" s="219" t="s">
        <v>56</v>
      </c>
      <c r="I135" s="186">
        <v>40598</v>
      </c>
      <c r="J135" s="187" t="s">
        <v>71</v>
      </c>
      <c r="K135" s="210">
        <v>99609.32</v>
      </c>
      <c r="L135" s="210"/>
    </row>
    <row r="136" spans="1:16" x14ac:dyDescent="0.15">
      <c r="A136" s="193" t="s">
        <v>620</v>
      </c>
      <c r="B136" s="470" t="s">
        <v>639</v>
      </c>
      <c r="C136" s="470"/>
      <c r="D136" s="470"/>
      <c r="E136" s="183" t="s">
        <v>55</v>
      </c>
      <c r="F136" s="472">
        <v>86384189.879999995</v>
      </c>
      <c r="G136" s="472"/>
      <c r="H136" s="219" t="s">
        <v>56</v>
      </c>
      <c r="I136" s="186">
        <v>40599</v>
      </c>
      <c r="J136" s="187" t="s">
        <v>71</v>
      </c>
      <c r="K136" s="210">
        <v>39931.866999999998</v>
      </c>
      <c r="L136" s="210"/>
    </row>
    <row r="137" spans="1:16" x14ac:dyDescent="0.15">
      <c r="A137" s="193" t="s">
        <v>621</v>
      </c>
      <c r="B137" s="470" t="s">
        <v>640</v>
      </c>
      <c r="C137" s="470"/>
      <c r="D137" s="470"/>
      <c r="E137" s="183" t="s">
        <v>55</v>
      </c>
      <c r="F137" s="472">
        <v>101796396.05</v>
      </c>
      <c r="G137" s="472"/>
      <c r="H137" s="219" t="s">
        <v>56</v>
      </c>
      <c r="I137" s="186">
        <v>40602</v>
      </c>
      <c r="J137" s="187" t="s">
        <v>71</v>
      </c>
      <c r="K137" s="210">
        <v>38042.76</v>
      </c>
      <c r="L137" s="210"/>
    </row>
    <row r="138" spans="1:16" ht="12" thickBot="1" x14ac:dyDescent="0.2">
      <c r="A138" s="193"/>
      <c r="B138" s="470"/>
      <c r="C138" s="470"/>
      <c r="D138" s="470"/>
      <c r="E138" s="183"/>
      <c r="F138" s="472"/>
      <c r="G138" s="472"/>
      <c r="H138" s="219"/>
      <c r="I138" s="187"/>
      <c r="J138" s="201" t="s">
        <v>105</v>
      </c>
      <c r="K138" s="217">
        <f>SUM(K133:K137)</f>
        <v>377573.49199999997</v>
      </c>
      <c r="L138" s="210"/>
    </row>
    <row r="139" spans="1:16" ht="12" thickTop="1" x14ac:dyDescent="0.15">
      <c r="A139" s="193" t="s">
        <v>560</v>
      </c>
      <c r="B139" s="470" t="s">
        <v>625</v>
      </c>
      <c r="C139" s="470"/>
      <c r="D139" s="470"/>
      <c r="E139" s="183" t="s">
        <v>55</v>
      </c>
      <c r="F139" s="472">
        <v>117541933.28</v>
      </c>
      <c r="G139" s="472"/>
      <c r="H139" s="219" t="s">
        <v>56</v>
      </c>
      <c r="I139" s="186">
        <v>40575</v>
      </c>
      <c r="J139" s="187" t="s">
        <v>71</v>
      </c>
      <c r="K139" s="210">
        <v>6680</v>
      </c>
      <c r="L139" s="210"/>
    </row>
    <row r="140" spans="1:16" x14ac:dyDescent="0.15">
      <c r="A140" s="193" t="s">
        <v>617</v>
      </c>
      <c r="B140" s="470" t="s">
        <v>626</v>
      </c>
      <c r="C140" s="470"/>
      <c r="D140" s="470"/>
      <c r="E140" s="183" t="s">
        <v>55</v>
      </c>
      <c r="F140" s="472">
        <v>164969159.03</v>
      </c>
      <c r="G140" s="472"/>
      <c r="H140" s="219" t="s">
        <v>56</v>
      </c>
      <c r="I140" s="186">
        <v>40595</v>
      </c>
      <c r="J140" s="187" t="s">
        <v>71</v>
      </c>
      <c r="K140" s="210">
        <v>155894.95699999999</v>
      </c>
      <c r="L140" s="210"/>
    </row>
    <row r="141" spans="1:16" x14ac:dyDescent="0.15">
      <c r="A141" s="193" t="s">
        <v>618</v>
      </c>
      <c r="B141" s="470" t="s">
        <v>624</v>
      </c>
      <c r="C141" s="470"/>
      <c r="D141" s="470"/>
      <c r="E141" s="183" t="s">
        <v>55</v>
      </c>
      <c r="F141" s="472">
        <v>117840358.38</v>
      </c>
      <c r="G141" s="472"/>
      <c r="H141" s="219" t="s">
        <v>56</v>
      </c>
      <c r="I141" s="186">
        <v>40598</v>
      </c>
      <c r="J141" s="187" t="s">
        <v>71</v>
      </c>
      <c r="K141" s="210">
        <v>240124.29699999999</v>
      </c>
      <c r="L141" s="210"/>
    </row>
    <row r="142" spans="1:16" ht="12" thickBot="1" x14ac:dyDescent="0.2">
      <c r="A142" s="193"/>
      <c r="B142" s="470"/>
      <c r="C142" s="470"/>
      <c r="D142" s="470"/>
      <c r="E142" s="183"/>
      <c r="F142" s="472"/>
      <c r="G142" s="472"/>
      <c r="H142" s="185"/>
      <c r="I142" s="187"/>
      <c r="J142" s="201" t="s">
        <v>106</v>
      </c>
      <c r="K142" s="217">
        <f>SUM(K139:K141)</f>
        <v>402699.25399999996</v>
      </c>
      <c r="L142" s="210"/>
    </row>
    <row r="143" spans="1:16" ht="12" thickTop="1" x14ac:dyDescent="0.15">
      <c r="A143" s="133" t="s">
        <v>568</v>
      </c>
      <c r="B143" s="133" t="s">
        <v>9</v>
      </c>
      <c r="C143" s="220" t="s">
        <v>569</v>
      </c>
      <c r="D143" s="133" t="s">
        <v>570</v>
      </c>
      <c r="E143" s="133" t="s">
        <v>571</v>
      </c>
      <c r="F143" s="133" t="s">
        <v>16</v>
      </c>
      <c r="I143" s="187"/>
      <c r="J143" s="210"/>
      <c r="K143" s="187"/>
      <c r="L143" s="210"/>
    </row>
    <row r="144" spans="1:16" x14ac:dyDescent="0.15">
      <c r="A144" s="193" t="s">
        <v>559</v>
      </c>
      <c r="B144" s="210">
        <v>118911.56299999999</v>
      </c>
      <c r="C144" s="221">
        <f>430081.58/1986098</f>
        <v>0.21654600125472157</v>
      </c>
      <c r="D144" s="222">
        <f>+B144*C144</f>
        <v>25749.823470598902</v>
      </c>
      <c r="E144" s="222">
        <f>+D144*0.1</f>
        <v>2574.9823470598903</v>
      </c>
      <c r="F144" s="223">
        <f>+D144+E144</f>
        <v>28324.805817658791</v>
      </c>
      <c r="H144" s="133"/>
      <c r="I144" s="187"/>
      <c r="J144" s="210"/>
      <c r="K144" s="187"/>
      <c r="L144" s="210"/>
    </row>
    <row r="145" spans="1:14" x14ac:dyDescent="0.15">
      <c r="A145" s="193" t="s">
        <v>561</v>
      </c>
      <c r="B145" s="210">
        <v>200275.5</v>
      </c>
      <c r="C145" s="221">
        <f>436060.55/2008459</f>
        <v>0.21711199979685919</v>
      </c>
      <c r="D145" s="222">
        <f t="shared" ref="D145:D153" si="35">+B145*C145</f>
        <v>43482.214315315876</v>
      </c>
      <c r="E145" s="222">
        <f t="shared" ref="E145:E153" si="36">+D145*0.1</f>
        <v>4348.2214315315878</v>
      </c>
      <c r="F145" s="223">
        <f t="shared" ref="F145:F153" si="37">+D145+E145</f>
        <v>47830.435746847463</v>
      </c>
      <c r="H145" s="133"/>
      <c r="I145" s="187"/>
      <c r="J145" s="210"/>
      <c r="K145" s="187"/>
      <c r="L145" s="210"/>
    </row>
    <row r="146" spans="1:14" x14ac:dyDescent="0.15">
      <c r="A146" s="193" t="s">
        <v>562</v>
      </c>
      <c r="B146" s="210">
        <v>177272.821</v>
      </c>
      <c r="C146" s="221">
        <f>435338.53/1998194</f>
        <v>0.21786599799619058</v>
      </c>
      <c r="D146" s="222">
        <f t="shared" si="35"/>
        <v>38621.720064765053</v>
      </c>
      <c r="E146" s="222">
        <f t="shared" si="36"/>
        <v>3862.1720064765054</v>
      </c>
      <c r="F146" s="223">
        <f t="shared" si="37"/>
        <v>42483.892071241557</v>
      </c>
      <c r="H146" s="133"/>
      <c r="I146" s="187"/>
      <c r="J146" s="210"/>
      <c r="K146" s="187"/>
      <c r="L146" s="210"/>
    </row>
    <row r="147" spans="1:14" x14ac:dyDescent="0.15">
      <c r="A147" s="193" t="s">
        <v>563</v>
      </c>
      <c r="B147" s="210">
        <v>236808.18700000001</v>
      </c>
      <c r="C147" s="221">
        <f>476358.88/2194828</f>
        <v>0.2170369978877616</v>
      </c>
      <c r="D147" s="222">
        <f t="shared" si="35"/>
        <v>51396.137981723652</v>
      </c>
      <c r="E147" s="222">
        <f t="shared" si="36"/>
        <v>5139.6137981723659</v>
      </c>
      <c r="F147" s="223">
        <f t="shared" si="37"/>
        <v>56535.751779896018</v>
      </c>
      <c r="H147" s="133"/>
      <c r="I147" s="187"/>
      <c r="J147" s="210"/>
      <c r="K147" s="187"/>
      <c r="L147" s="210"/>
    </row>
    <row r="148" spans="1:14" s="132" customFormat="1" x14ac:dyDescent="0.15">
      <c r="A148" s="193" t="s">
        <v>609</v>
      </c>
      <c r="B148" s="210">
        <v>160300.41399999999</v>
      </c>
      <c r="C148" s="221">
        <f>430957.23/1952825</f>
        <v>0.22068399882221909</v>
      </c>
      <c r="D148" s="222">
        <f t="shared" si="35"/>
        <v>35375.736374377229</v>
      </c>
      <c r="E148" s="222">
        <f t="shared" si="36"/>
        <v>3537.5736374377229</v>
      </c>
      <c r="F148" s="223">
        <f t="shared" si="37"/>
        <v>38913.310011814952</v>
      </c>
      <c r="G148" s="133"/>
      <c r="H148" s="133"/>
      <c r="I148" s="187"/>
      <c r="J148" s="210"/>
      <c r="K148" s="187"/>
      <c r="L148" s="210"/>
      <c r="N148" s="134"/>
    </row>
    <row r="149" spans="1:14" s="132" customFormat="1" x14ac:dyDescent="0.15">
      <c r="A149" s="193" t="s">
        <v>610</v>
      </c>
      <c r="B149" s="210">
        <v>97392.684000000008</v>
      </c>
      <c r="C149" s="221">
        <f>449497.71/2008659</f>
        <v>0.22377999949219854</v>
      </c>
      <c r="D149" s="222">
        <f t="shared" si="35"/>
        <v>21794.534776063854</v>
      </c>
      <c r="E149" s="222">
        <f t="shared" si="36"/>
        <v>2179.4534776063856</v>
      </c>
      <c r="F149" s="223">
        <f t="shared" si="37"/>
        <v>23973.988253670239</v>
      </c>
      <c r="G149" s="133"/>
      <c r="H149" s="133"/>
      <c r="I149" s="187"/>
      <c r="J149" s="210"/>
      <c r="K149" s="187"/>
      <c r="L149" s="210"/>
      <c r="N149" s="134"/>
    </row>
    <row r="150" spans="1:14" s="132" customFormat="1" x14ac:dyDescent="0.15">
      <c r="A150" s="193" t="s">
        <v>611</v>
      </c>
      <c r="B150" s="210">
        <v>60122.173000000003</v>
      </c>
      <c r="C150" s="221">
        <f>410846.87/1823838</f>
        <v>0.22526500160650234</v>
      </c>
      <c r="D150" s="222">
        <f t="shared" si="35"/>
        <v>13543.421397431412</v>
      </c>
      <c r="E150" s="222">
        <f t="shared" si="36"/>
        <v>1354.3421397431412</v>
      </c>
      <c r="F150" s="223">
        <f t="shared" si="37"/>
        <v>14897.763537174553</v>
      </c>
      <c r="G150" s="133"/>
      <c r="H150" s="133"/>
      <c r="I150" s="187"/>
      <c r="J150" s="210"/>
      <c r="K150" s="187"/>
      <c r="L150" s="210"/>
      <c r="N150" s="134"/>
    </row>
    <row r="151" spans="1:14" s="132" customFormat="1" x14ac:dyDescent="0.15">
      <c r="A151" s="193" t="s">
        <v>612</v>
      </c>
      <c r="B151" s="210">
        <v>233131.90700000001</v>
      </c>
      <c r="C151" s="221">
        <f>486717.01/2150247</f>
        <v>0.22635400026136532</v>
      </c>
      <c r="D151" s="222">
        <f t="shared" si="35"/>
        <v>52770.339738010596</v>
      </c>
      <c r="E151" s="222">
        <f t="shared" si="36"/>
        <v>5277.0339738010598</v>
      </c>
      <c r="F151" s="223">
        <f t="shared" si="37"/>
        <v>58047.373711811655</v>
      </c>
      <c r="G151" s="133"/>
      <c r="H151" s="193"/>
      <c r="I151" s="187"/>
      <c r="J151" s="210"/>
      <c r="K151" s="187"/>
      <c r="L151" s="210"/>
      <c r="N151" s="134"/>
    </row>
    <row r="152" spans="1:14" s="132" customFormat="1" x14ac:dyDescent="0.15">
      <c r="A152" s="193" t="s">
        <v>614</v>
      </c>
      <c r="B152" s="210">
        <v>120017.236</v>
      </c>
      <c r="C152" s="221">
        <f>414230.41/1826139</f>
        <v>0.22683399785010888</v>
      </c>
      <c r="D152" s="222">
        <f t="shared" si="35"/>
        <v>27223.989452800011</v>
      </c>
      <c r="E152" s="222">
        <f t="shared" si="36"/>
        <v>2722.3989452800015</v>
      </c>
      <c r="F152" s="223">
        <f t="shared" si="37"/>
        <v>29946.388398080013</v>
      </c>
      <c r="G152" s="133"/>
      <c r="H152" s="133"/>
      <c r="I152" s="187"/>
      <c r="J152" s="210"/>
      <c r="K152" s="187"/>
      <c r="L152" s="210"/>
      <c r="N152" s="134"/>
    </row>
    <row r="153" spans="1:14" s="132" customFormat="1" x14ac:dyDescent="0.15">
      <c r="A153" s="193" t="s">
        <v>615</v>
      </c>
      <c r="B153" s="210">
        <v>100048.569</v>
      </c>
      <c r="C153" s="221">
        <f>455729.3/2014567</f>
        <v>0.22621699849148724</v>
      </c>
      <c r="D153" s="222">
        <f t="shared" si="35"/>
        <v>22632.686982548457</v>
      </c>
      <c r="E153" s="222">
        <f t="shared" si="36"/>
        <v>2263.2686982548457</v>
      </c>
      <c r="F153" s="223">
        <f t="shared" si="37"/>
        <v>24895.955680803301</v>
      </c>
      <c r="G153" s="133"/>
      <c r="H153" s="193"/>
      <c r="I153" s="187"/>
      <c r="J153" s="210"/>
      <c r="K153" s="187"/>
      <c r="L153" s="210"/>
      <c r="N153" s="134"/>
    </row>
    <row r="154" spans="1:14" s="132" customFormat="1" ht="12" thickBot="1" x14ac:dyDescent="0.2">
      <c r="A154" s="134"/>
      <c r="B154" s="211">
        <f>SUM(B144:B153)</f>
        <v>1504281.0539999998</v>
      </c>
      <c r="C154" s="221"/>
      <c r="D154" s="224">
        <f>SUM(D144:D153)</f>
        <v>332590.60455363506</v>
      </c>
      <c r="E154" s="224">
        <f t="shared" ref="E154:F154" si="38">SUM(E144:E153)</f>
        <v>33259.060455363506</v>
      </c>
      <c r="F154" s="224">
        <f t="shared" si="38"/>
        <v>365849.66500899853</v>
      </c>
      <c r="G154" s="133"/>
      <c r="H154" s="134"/>
      <c r="I154" s="133"/>
      <c r="K154" s="134"/>
      <c r="L154" s="133"/>
      <c r="N154" s="134"/>
    </row>
    <row r="155" spans="1:14" s="132" customFormat="1" ht="12" thickTop="1" x14ac:dyDescent="0.15">
      <c r="A155" s="193" t="s">
        <v>613</v>
      </c>
      <c r="B155" s="210">
        <v>120008.202</v>
      </c>
      <c r="C155" s="221">
        <f>407645.05/1789518</f>
        <v>0.22779600428718794</v>
      </c>
      <c r="D155" s="222">
        <f t="shared" ref="D155:D156" si="39">+B155*C155</f>
        <v>27337.388897289718</v>
      </c>
      <c r="E155" s="222">
        <f t="shared" ref="E155:E156" si="40">+D155*0.1</f>
        <v>2733.738889728972</v>
      </c>
      <c r="F155" s="223">
        <f t="shared" ref="F155:F156" si="41">+D155+E155</f>
        <v>30071.12778701869</v>
      </c>
      <c r="G155" s="133"/>
      <c r="H155" s="134"/>
      <c r="I155" s="133"/>
      <c r="K155" s="134"/>
      <c r="L155" s="133"/>
      <c r="N155" s="134"/>
    </row>
    <row r="156" spans="1:14" s="132" customFormat="1" x14ac:dyDescent="0.15">
      <c r="A156" s="193" t="s">
        <v>616</v>
      </c>
      <c r="B156" s="210">
        <v>79981.342999999993</v>
      </c>
      <c r="C156" s="221">
        <f>415136.26/1813416</f>
        <v>0.22892500121317999</v>
      </c>
      <c r="D156" s="222">
        <f t="shared" si="39"/>
        <v>18309.729043306765</v>
      </c>
      <c r="E156" s="222">
        <f t="shared" si="40"/>
        <v>1830.9729043306766</v>
      </c>
      <c r="F156" s="223">
        <f t="shared" si="41"/>
        <v>20140.701947637441</v>
      </c>
      <c r="G156" s="133"/>
      <c r="H156" s="134"/>
      <c r="I156" s="133"/>
      <c r="K156" s="134"/>
      <c r="L156" s="133"/>
      <c r="N156" s="134"/>
    </row>
    <row r="157" spans="1:14" s="132" customFormat="1" x14ac:dyDescent="0.15">
      <c r="A157" s="193" t="s">
        <v>619</v>
      </c>
      <c r="B157" s="210">
        <v>99609.32</v>
      </c>
      <c r="C157" s="221">
        <f>462037.3/1999097</f>
        <v>0.231123002035419</v>
      </c>
      <c r="D157" s="222">
        <f t="shared" ref="D157:D159" si="42">+B157*C157</f>
        <v>23022.005069106704</v>
      </c>
      <c r="E157" s="222">
        <f t="shared" ref="E157:E159" si="43">+D157*0.1</f>
        <v>2302.2005069106704</v>
      </c>
      <c r="F157" s="223">
        <f t="shared" ref="F157:F159" si="44">+D157+E157</f>
        <v>25324.205576017375</v>
      </c>
      <c r="G157" s="133"/>
      <c r="I157" s="133"/>
      <c r="K157" s="134"/>
      <c r="L157" s="133"/>
      <c r="N157" s="134"/>
    </row>
    <row r="158" spans="1:14" s="132" customFormat="1" x14ac:dyDescent="0.15">
      <c r="A158" s="193" t="s">
        <v>620</v>
      </c>
      <c r="B158" s="210">
        <v>39931.866999999998</v>
      </c>
      <c r="C158" s="221">
        <f>418072.3/1812316</f>
        <v>0.23068399771342304</v>
      </c>
      <c r="D158" s="222">
        <f t="shared" si="42"/>
        <v>9211.6427157207127</v>
      </c>
      <c r="E158" s="222">
        <f t="shared" si="43"/>
        <v>921.16427157207136</v>
      </c>
      <c r="F158" s="223">
        <f t="shared" si="44"/>
        <v>10132.806987292784</v>
      </c>
      <c r="G158" s="133"/>
      <c r="I158" s="133"/>
      <c r="K158" s="134"/>
      <c r="L158" s="133"/>
      <c r="N158" s="134"/>
    </row>
    <row r="159" spans="1:14" s="132" customFormat="1" x14ac:dyDescent="0.15">
      <c r="A159" s="193" t="s">
        <v>621</v>
      </c>
      <c r="B159" s="210">
        <v>38042.76</v>
      </c>
      <c r="C159" s="221">
        <f>901772.11/3858707</f>
        <v>0.23369800039235941</v>
      </c>
      <c r="D159" s="222">
        <f t="shared" si="42"/>
        <v>8890.5169414064349</v>
      </c>
      <c r="E159" s="222">
        <f t="shared" si="43"/>
        <v>889.05169414064358</v>
      </c>
      <c r="F159" s="223">
        <f t="shared" si="44"/>
        <v>9779.5686355470789</v>
      </c>
      <c r="G159" s="133"/>
      <c r="I159" s="133"/>
      <c r="K159" s="134"/>
      <c r="L159" s="133"/>
      <c r="N159" s="134"/>
    </row>
    <row r="160" spans="1:14" s="132" customFormat="1" ht="12" thickBot="1" x14ac:dyDescent="0.2">
      <c r="A160" s="193"/>
      <c r="B160" s="211">
        <f>SUM(B155:B159)</f>
        <v>377573.49199999997</v>
      </c>
      <c r="C160" s="221"/>
      <c r="D160" s="224">
        <f>SUM(D155:D159)</f>
        <v>86771.282666830317</v>
      </c>
      <c r="E160" s="224">
        <f t="shared" ref="E160:F160" si="45">SUM(E155:E159)</f>
        <v>8677.1282666830357</v>
      </c>
      <c r="F160" s="224">
        <f t="shared" si="45"/>
        <v>95448.410933513369</v>
      </c>
      <c r="G160" s="133"/>
      <c r="I160" s="133"/>
      <c r="K160" s="134"/>
      <c r="L160" s="133"/>
      <c r="N160" s="134"/>
    </row>
    <row r="161" spans="1:14" s="132" customFormat="1" ht="12" thickTop="1" x14ac:dyDescent="0.15">
      <c r="A161" s="193" t="s">
        <v>560</v>
      </c>
      <c r="B161" s="210">
        <v>6680</v>
      </c>
      <c r="C161" s="221">
        <f>437903.27/2007009</f>
        <v>0.21818699866318489</v>
      </c>
      <c r="D161" s="222">
        <f t="shared" ref="D161:D163" si="46">+B161*C161</f>
        <v>1457.489151070075</v>
      </c>
      <c r="E161" s="222">
        <f t="shared" ref="E161:E163" si="47">+D161*0.1</f>
        <v>145.74891510700749</v>
      </c>
      <c r="F161" s="223">
        <f t="shared" ref="F161:F163" si="48">+D161+E161</f>
        <v>1603.2380661770824</v>
      </c>
      <c r="G161" s="133"/>
      <c r="I161" s="133"/>
      <c r="K161" s="134"/>
      <c r="L161" s="133"/>
      <c r="N161" s="134"/>
    </row>
    <row r="162" spans="1:14" s="132" customFormat="1" x14ac:dyDescent="0.15">
      <c r="A162" s="193" t="s">
        <v>617</v>
      </c>
      <c r="B162" s="210">
        <v>155894.95699999999</v>
      </c>
      <c r="C162" s="221">
        <f>464684.53/2007849</f>
        <v>0.23143400225813796</v>
      </c>
      <c r="D162" s="222">
        <f t="shared" si="46"/>
        <v>36079.393830370318</v>
      </c>
      <c r="E162" s="222">
        <f t="shared" si="47"/>
        <v>3607.9393830370318</v>
      </c>
      <c r="F162" s="223">
        <f t="shared" si="48"/>
        <v>39687.33321340735</v>
      </c>
      <c r="G162" s="133"/>
      <c r="I162" s="133"/>
      <c r="K162" s="134"/>
      <c r="L162" s="133"/>
      <c r="N162" s="134"/>
    </row>
    <row r="163" spans="1:14" s="132" customFormat="1" x14ac:dyDescent="0.15">
      <c r="A163" s="193" t="s">
        <v>618</v>
      </c>
      <c r="B163" s="210">
        <v>240124.29699999999</v>
      </c>
      <c r="C163" s="221">
        <f>419615.22/1812444</f>
        <v>0.23151899865595846</v>
      </c>
      <c r="D163" s="222">
        <f t="shared" si="46"/>
        <v>55593.336794405965</v>
      </c>
      <c r="E163" s="222">
        <f t="shared" si="47"/>
        <v>5559.3336794405968</v>
      </c>
      <c r="F163" s="223">
        <f t="shared" si="48"/>
        <v>61152.670473846563</v>
      </c>
      <c r="G163" s="133"/>
      <c r="I163" s="133"/>
      <c r="K163" s="134"/>
      <c r="L163" s="133"/>
      <c r="N163" s="134"/>
    </row>
    <row r="164" spans="1:14" s="132" customFormat="1" ht="12" thickBot="1" x14ac:dyDescent="0.2">
      <c r="A164" s="225"/>
      <c r="B164" s="211">
        <f>SUM(B161:B163)</f>
        <v>402699.25399999996</v>
      </c>
      <c r="C164" s="221"/>
      <c r="D164" s="224">
        <f>SUM(D161:D163)</f>
        <v>93130.219775846359</v>
      </c>
      <c r="E164" s="224">
        <f t="shared" ref="E164:F164" si="49">SUM(E161:E163)</f>
        <v>9313.0219775846363</v>
      </c>
      <c r="F164" s="224">
        <f t="shared" si="49"/>
        <v>102443.24175343099</v>
      </c>
      <c r="G164" s="133"/>
      <c r="I164" s="133"/>
      <c r="K164" s="134"/>
      <c r="L164" s="133"/>
      <c r="N164" s="134"/>
    </row>
    <row r="165" spans="1:14" s="132" customFormat="1" ht="12" thickTop="1" x14ac:dyDescent="0.15">
      <c r="A165" s="134"/>
      <c r="B165" s="131"/>
      <c r="D165" s="133"/>
      <c r="E165" s="133"/>
      <c r="F165" s="134"/>
      <c r="G165" s="133"/>
      <c r="I165" s="133"/>
      <c r="K165" s="134"/>
      <c r="L165" s="133"/>
      <c r="N165" s="134"/>
    </row>
    <row r="166" spans="1:14" x14ac:dyDescent="0.15">
      <c r="B166" s="231"/>
    </row>
  </sheetData>
  <mergeCells count="50">
    <mergeCell ref="B140:D140"/>
    <mergeCell ref="F140:G140"/>
    <mergeCell ref="B141:D141"/>
    <mergeCell ref="F141:G141"/>
    <mergeCell ref="B142:D142"/>
    <mergeCell ref="F142:G142"/>
    <mergeCell ref="B133:D133"/>
    <mergeCell ref="F133:G133"/>
    <mergeCell ref="B138:D138"/>
    <mergeCell ref="F138:G138"/>
    <mergeCell ref="B139:D139"/>
    <mergeCell ref="F139:G139"/>
    <mergeCell ref="B134:D134"/>
    <mergeCell ref="F134:G134"/>
    <mergeCell ref="B135:D135"/>
    <mergeCell ref="F135:G135"/>
    <mergeCell ref="B136:D136"/>
    <mergeCell ref="F136:G136"/>
    <mergeCell ref="B137:D137"/>
    <mergeCell ref="F137:G137"/>
    <mergeCell ref="B130:D130"/>
    <mergeCell ref="F130:G130"/>
    <mergeCell ref="B131:D131"/>
    <mergeCell ref="F131:G131"/>
    <mergeCell ref="B132:D132"/>
    <mergeCell ref="F132:G132"/>
    <mergeCell ref="B127:D127"/>
    <mergeCell ref="F127:G127"/>
    <mergeCell ref="B128:D128"/>
    <mergeCell ref="F128:G128"/>
    <mergeCell ref="B129:D129"/>
    <mergeCell ref="F129:G129"/>
    <mergeCell ref="B124:D124"/>
    <mergeCell ref="F124:G124"/>
    <mergeCell ref="B125:D125"/>
    <mergeCell ref="F125:G125"/>
    <mergeCell ref="B126:D126"/>
    <mergeCell ref="F126:G126"/>
    <mergeCell ref="B121:D121"/>
    <mergeCell ref="F121:G121"/>
    <mergeCell ref="B122:D122"/>
    <mergeCell ref="F122:G122"/>
    <mergeCell ref="B123:D123"/>
    <mergeCell ref="F123:G123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  <rowBreaks count="1" manualBreakCount="1">
    <brk id="142" max="16383" man="1"/>
  </row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zoomScale="115" zoomScaleNormal="115" workbookViewId="0">
      <pane ySplit="6" topLeftCell="A7" activePane="bottomLeft" state="frozen"/>
      <selection pane="bottomLeft" activeCell="B21" sqref="B21"/>
    </sheetView>
  </sheetViews>
  <sheetFormatPr defaultColWidth="18.5703125" defaultRowHeight="11.25" x14ac:dyDescent="0.15"/>
  <cols>
    <col min="1" max="1" width="11.85546875" style="134" bestFit="1" customWidth="1"/>
    <col min="2" max="16384" width="18.5703125" style="134"/>
  </cols>
  <sheetData>
    <row r="1" spans="1:2" x14ac:dyDescent="0.15">
      <c r="A1" s="135"/>
    </row>
    <row r="4" spans="1:2" x14ac:dyDescent="0.15">
      <c r="A4" s="255"/>
    </row>
    <row r="5" spans="1:2" x14ac:dyDescent="0.15">
      <c r="A5" s="255"/>
    </row>
    <row r="6" spans="1:2" x14ac:dyDescent="0.15">
      <c r="A6" s="142" t="s">
        <v>7</v>
      </c>
    </row>
    <row r="7" spans="1:2" x14ac:dyDescent="0.15">
      <c r="A7" s="154" t="s">
        <v>494</v>
      </c>
      <c r="B7" s="205">
        <v>310892.74200000003</v>
      </c>
    </row>
    <row r="8" spans="1:2" x14ac:dyDescent="0.15">
      <c r="A8" s="154" t="s">
        <v>495</v>
      </c>
      <c r="B8" s="205">
        <v>100334</v>
      </c>
    </row>
    <row r="9" spans="1:2" x14ac:dyDescent="0.15">
      <c r="A9" s="157" t="s">
        <v>548</v>
      </c>
      <c r="B9" s="205">
        <v>79097</v>
      </c>
    </row>
    <row r="10" spans="1:2" x14ac:dyDescent="0.15">
      <c r="A10" s="157" t="s">
        <v>549</v>
      </c>
      <c r="B10" s="205">
        <v>313775.48</v>
      </c>
    </row>
    <row r="11" spans="1:2" x14ac:dyDescent="0.15">
      <c r="A11" s="157" t="s">
        <v>550</v>
      </c>
      <c r="B11" s="205">
        <v>60094</v>
      </c>
    </row>
    <row r="12" spans="1:2" x14ac:dyDescent="0.15">
      <c r="A12" s="243" t="s">
        <v>551</v>
      </c>
      <c r="B12" s="205">
        <v>140318</v>
      </c>
    </row>
    <row r="13" spans="1:2" x14ac:dyDescent="0.15">
      <c r="A13" s="157" t="s">
        <v>552</v>
      </c>
      <c r="B13" s="205">
        <v>353601.28000000003</v>
      </c>
    </row>
    <row r="14" spans="1:2" x14ac:dyDescent="0.15">
      <c r="A14" s="157" t="s">
        <v>553</v>
      </c>
      <c r="B14" s="205">
        <v>176090.83000000002</v>
      </c>
    </row>
    <row r="15" spans="1:2" x14ac:dyDescent="0.15">
      <c r="A15" s="157" t="s">
        <v>554</v>
      </c>
      <c r="B15" s="205">
        <v>197831</v>
      </c>
    </row>
    <row r="16" spans="1:2" x14ac:dyDescent="0.15">
      <c r="A16" s="157" t="s">
        <v>557</v>
      </c>
      <c r="B16" s="205">
        <v>160285.47999999998</v>
      </c>
    </row>
    <row r="17" spans="1:2" x14ac:dyDescent="0.15">
      <c r="A17" s="157" t="s">
        <v>558</v>
      </c>
      <c r="B17" s="205">
        <v>120159.73999999999</v>
      </c>
    </row>
    <row r="18" spans="1:2" x14ac:dyDescent="0.15">
      <c r="A18" s="157" t="s">
        <v>559</v>
      </c>
      <c r="B18" s="205">
        <v>129121.51</v>
      </c>
    </row>
    <row r="19" spans="1:2" x14ac:dyDescent="0.15">
      <c r="A19" s="157"/>
      <c r="B19" s="205"/>
    </row>
    <row r="20" spans="1:2" x14ac:dyDescent="0.15">
      <c r="A20" s="150" t="s">
        <v>493</v>
      </c>
      <c r="B20" s="205">
        <v>5835.8577620095566</v>
      </c>
    </row>
    <row r="21" spans="1:2" x14ac:dyDescent="0.15">
      <c r="A21" s="157" t="s">
        <v>496</v>
      </c>
      <c r="B21" s="205">
        <v>139497.78999999998</v>
      </c>
    </row>
    <row r="22" spans="1:2" x14ac:dyDescent="0.15">
      <c r="A22" s="157" t="s">
        <v>555</v>
      </c>
      <c r="B22" s="205">
        <v>235925.78</v>
      </c>
    </row>
    <row r="23" spans="1:2" x14ac:dyDescent="0.15">
      <c r="A23" s="157" t="s">
        <v>556</v>
      </c>
      <c r="B23" s="205">
        <v>20034</v>
      </c>
    </row>
    <row r="24" spans="1:2" x14ac:dyDescent="0.15">
      <c r="A24" s="152"/>
      <c r="B24" s="152">
        <f>SUM(B12:B23)</f>
        <v>1678701.2677620098</v>
      </c>
    </row>
    <row r="25" spans="1:2" x14ac:dyDescent="0.15">
      <c r="A25" s="154"/>
      <c r="B25" s="205"/>
    </row>
    <row r="26" spans="1:2" x14ac:dyDescent="0.15">
      <c r="A26" s="154"/>
    </row>
    <row r="27" spans="1:2" x14ac:dyDescent="0.15">
      <c r="A27" s="150"/>
    </row>
    <row r="28" spans="1:2" x14ac:dyDescent="0.15">
      <c r="A28" s="154"/>
    </row>
    <row r="29" spans="1:2" x14ac:dyDescent="0.15">
      <c r="A29" s="154"/>
    </row>
    <row r="30" spans="1:2" x14ac:dyDescent="0.15">
      <c r="A30" s="157"/>
    </row>
    <row r="31" spans="1:2" x14ac:dyDescent="0.15">
      <c r="A31" s="157"/>
    </row>
    <row r="32" spans="1:2" x14ac:dyDescent="0.15">
      <c r="A32" s="157"/>
    </row>
    <row r="33" spans="1:1" x14ac:dyDescent="0.15">
      <c r="A33" s="157"/>
    </row>
    <row r="34" spans="1:1" hidden="1" x14ac:dyDescent="0.15">
      <c r="A34" s="157"/>
    </row>
    <row r="35" spans="1:1" hidden="1" x14ac:dyDescent="0.15">
      <c r="A35" s="157"/>
    </row>
    <row r="36" spans="1:1" hidden="1" x14ac:dyDescent="0.15">
      <c r="A36" s="157"/>
    </row>
    <row r="37" spans="1:1" hidden="1" x14ac:dyDescent="0.15">
      <c r="A37" s="157"/>
    </row>
    <row r="38" spans="1:1" hidden="1" x14ac:dyDescent="0.15">
      <c r="A38" s="157"/>
    </row>
    <row r="39" spans="1:1" hidden="1" x14ac:dyDescent="0.15">
      <c r="A39" s="157"/>
    </row>
    <row r="40" spans="1:1" hidden="1" x14ac:dyDescent="0.15">
      <c r="A40" s="157"/>
    </row>
    <row r="41" spans="1:1" hidden="1" x14ac:dyDescent="0.15">
      <c r="A41" s="157"/>
    </row>
    <row r="42" spans="1:1" hidden="1" x14ac:dyDescent="0.15">
      <c r="A42" s="157"/>
    </row>
    <row r="43" spans="1:1" hidden="1" x14ac:dyDescent="0.15">
      <c r="A43" s="157"/>
    </row>
    <row r="44" spans="1:1" hidden="1" x14ac:dyDescent="0.15">
      <c r="A44" s="157"/>
    </row>
    <row r="45" spans="1:1" hidden="1" x14ac:dyDescent="0.15">
      <c r="A45" s="157"/>
    </row>
    <row r="46" spans="1:1" hidden="1" x14ac:dyDescent="0.15">
      <c r="A46" s="157"/>
    </row>
    <row r="47" spans="1:1" hidden="1" x14ac:dyDescent="0.15">
      <c r="A47" s="157"/>
    </row>
    <row r="48" spans="1:1" hidden="1" x14ac:dyDescent="0.15">
      <c r="A48" s="157"/>
    </row>
    <row r="49" spans="1:1" hidden="1" x14ac:dyDescent="0.15">
      <c r="A49" s="157"/>
    </row>
    <row r="50" spans="1:1" hidden="1" x14ac:dyDescent="0.15">
      <c r="A50" s="157"/>
    </row>
    <row r="51" spans="1:1" hidden="1" x14ac:dyDescent="0.15">
      <c r="A51" s="157"/>
    </row>
    <row r="52" spans="1:1" hidden="1" x14ac:dyDescent="0.15">
      <c r="A52" s="157"/>
    </row>
    <row r="53" spans="1:1" hidden="1" x14ac:dyDescent="0.15">
      <c r="A53" s="157"/>
    </row>
    <row r="54" spans="1:1" hidden="1" x14ac:dyDescent="0.15">
      <c r="A54" s="157"/>
    </row>
    <row r="55" spans="1:1" hidden="1" x14ac:dyDescent="0.15">
      <c r="A55" s="157"/>
    </row>
    <row r="56" spans="1:1" hidden="1" x14ac:dyDescent="0.15">
      <c r="A56" s="157"/>
    </row>
    <row r="57" spans="1:1" hidden="1" x14ac:dyDescent="0.15">
      <c r="A57" s="157"/>
    </row>
    <row r="58" spans="1:1" hidden="1" x14ac:dyDescent="0.15">
      <c r="A58" s="157"/>
    </row>
    <row r="59" spans="1:1" hidden="1" x14ac:dyDescent="0.15">
      <c r="A59" s="157"/>
    </row>
    <row r="60" spans="1:1" hidden="1" x14ac:dyDescent="0.15">
      <c r="A60" s="157"/>
    </row>
    <row r="61" spans="1:1" hidden="1" x14ac:dyDescent="0.15">
      <c r="A61" s="157"/>
    </row>
    <row r="62" spans="1:1" hidden="1" x14ac:dyDescent="0.15">
      <c r="A62" s="157"/>
    </row>
    <row r="63" spans="1:1" hidden="1" x14ac:dyDescent="0.15">
      <c r="A63" s="157"/>
    </row>
    <row r="64" spans="1:1" hidden="1" x14ac:dyDescent="0.15">
      <c r="A64" s="157"/>
    </row>
    <row r="65" spans="1:1" hidden="1" x14ac:dyDescent="0.15">
      <c r="A65" s="157"/>
    </row>
    <row r="66" spans="1:1" hidden="1" x14ac:dyDescent="0.15">
      <c r="A66" s="157"/>
    </row>
    <row r="67" spans="1:1" hidden="1" x14ac:dyDescent="0.15">
      <c r="A67" s="157"/>
    </row>
    <row r="68" spans="1:1" hidden="1" x14ac:dyDescent="0.15">
      <c r="A68" s="150"/>
    </row>
    <row r="69" spans="1:1" hidden="1" x14ac:dyDescent="0.15">
      <c r="A69" s="157"/>
    </row>
    <row r="70" spans="1:1" x14ac:dyDescent="0.15">
      <c r="A70" s="173"/>
    </row>
    <row r="71" spans="1:1" x14ac:dyDescent="0.15">
      <c r="A71" s="177"/>
    </row>
    <row r="72" spans="1:1" x14ac:dyDescent="0.15">
      <c r="A72" s="197"/>
    </row>
    <row r="94" spans="1:15" s="132" customFormat="1" x14ac:dyDescent="0.15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</row>
    <row r="95" spans="1:15" s="132" customFormat="1" x14ac:dyDescent="0.15">
      <c r="A95" s="134"/>
    </row>
    <row r="96" spans="1:15" s="132" customFormat="1" x14ac:dyDescent="0.15">
      <c r="A96" s="134"/>
    </row>
    <row r="97" spans="1:1" s="132" customFormat="1" x14ac:dyDescent="0.15">
      <c r="A97" s="134"/>
    </row>
    <row r="98" spans="1:1" s="132" customFormat="1" x14ac:dyDescent="0.15">
      <c r="A98" s="134"/>
    </row>
    <row r="99" spans="1:1" s="132" customFormat="1" x14ac:dyDescent="0.15">
      <c r="A99" s="134"/>
    </row>
    <row r="100" spans="1:1" s="132" customFormat="1" x14ac:dyDescent="0.15">
      <c r="A100" s="134"/>
    </row>
    <row r="101" spans="1:1" s="132" customFormat="1" x14ac:dyDescent="0.15">
      <c r="A101" s="134"/>
    </row>
    <row r="102" spans="1:1" s="132" customFormat="1" x14ac:dyDescent="0.15">
      <c r="A102" s="134"/>
    </row>
    <row r="103" spans="1:1" s="132" customFormat="1" x14ac:dyDescent="0.15">
      <c r="A103" s="134"/>
    </row>
    <row r="104" spans="1:1" s="132" customFormat="1" x14ac:dyDescent="0.15">
      <c r="A104" s="134"/>
    </row>
    <row r="105" spans="1:1" s="132" customFormat="1" x14ac:dyDescent="0.15">
      <c r="A105" s="134"/>
    </row>
    <row r="106" spans="1:1" s="132" customFormat="1" x14ac:dyDescent="0.15">
      <c r="A106" s="134"/>
    </row>
    <row r="107" spans="1:1" s="132" customFormat="1" x14ac:dyDescent="0.15">
      <c r="A107" s="134"/>
    </row>
    <row r="108" spans="1:1" s="132" customFormat="1" x14ac:dyDescent="0.15">
      <c r="A108" s="134"/>
    </row>
  </sheetData>
  <sortState ref="A7:P68">
    <sortCondition ref="A7:A68"/>
  </sortState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zoomScale="115" zoomScaleNormal="115" workbookViewId="0">
      <pane ySplit="6" topLeftCell="A109" activePane="bottomLeft" state="frozen"/>
      <selection pane="bottomLeft" activeCell="H138" sqref="H138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0.85546875" style="132" bestFit="1" customWidth="1"/>
    <col min="14" max="14" width="11.85546875" style="134" bestFit="1" customWidth="1"/>
    <col min="15" max="15" width="12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517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493</v>
      </c>
      <c r="B7" s="146"/>
      <c r="C7" s="147">
        <v>5835.8577620095566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226">
        <f>+C7</f>
        <v>5835.8577620095566</v>
      </c>
      <c r="P7" s="147">
        <f>+C106</f>
        <v>558309.1447620095</v>
      </c>
    </row>
    <row r="8" spans="1:16" x14ac:dyDescent="0.15">
      <c r="A8" s="154" t="s">
        <v>494</v>
      </c>
      <c r="B8" s="151"/>
      <c r="C8" s="152">
        <v>312350.43799999997</v>
      </c>
      <c r="D8" s="155"/>
      <c r="E8" s="154"/>
      <c r="F8" s="154"/>
      <c r="G8" s="155"/>
      <c r="H8" s="152"/>
      <c r="I8" s="155"/>
      <c r="J8" s="152"/>
      <c r="K8" s="154"/>
      <c r="L8" s="156"/>
      <c r="M8" s="152"/>
      <c r="N8" s="154"/>
      <c r="O8" s="227">
        <f>+O7-J8-M8</f>
        <v>5835.8577620095566</v>
      </c>
      <c r="P8" s="152">
        <f t="shared" ref="P8:P72" si="0">P7+H8-J8-M8</f>
        <v>558309.1447620095</v>
      </c>
    </row>
    <row r="9" spans="1:16" x14ac:dyDescent="0.15">
      <c r="A9" s="154" t="s">
        <v>495</v>
      </c>
      <c r="B9" s="151"/>
      <c r="C9" s="152">
        <v>100334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227">
        <f t="shared" ref="O9:O56" si="1">+O8-J9-M9</f>
        <v>5835.8577620095566</v>
      </c>
      <c r="P9" s="152">
        <f t="shared" si="0"/>
        <v>558309.1447620095</v>
      </c>
    </row>
    <row r="10" spans="1:16" x14ac:dyDescent="0.15">
      <c r="A10" s="154" t="s">
        <v>496</v>
      </c>
      <c r="B10" s="151"/>
      <c r="C10" s="152">
        <v>139788.84899999999</v>
      </c>
      <c r="D10" s="155"/>
      <c r="E10" s="154"/>
      <c r="F10" s="157"/>
      <c r="G10" s="154"/>
      <c r="H10" s="152"/>
      <c r="I10" s="155"/>
      <c r="J10" s="152"/>
      <c r="K10" s="150"/>
      <c r="L10" s="154"/>
      <c r="M10" s="152"/>
      <c r="N10" s="150"/>
      <c r="O10" s="227">
        <f t="shared" si="1"/>
        <v>5835.8577620095566</v>
      </c>
      <c r="P10" s="152">
        <f t="shared" si="0"/>
        <v>558309.1447620095</v>
      </c>
    </row>
    <row r="11" spans="1:16" x14ac:dyDescent="0.15">
      <c r="A11" s="154"/>
      <c r="B11" s="151"/>
      <c r="C11" s="152"/>
      <c r="D11" s="155" t="s">
        <v>518</v>
      </c>
      <c r="E11" s="154" t="s">
        <v>72</v>
      </c>
      <c r="F11" s="157" t="s">
        <v>548</v>
      </c>
      <c r="G11" s="154"/>
      <c r="H11" s="152">
        <v>80095.709000000003</v>
      </c>
      <c r="I11" s="155" t="s">
        <v>518</v>
      </c>
      <c r="J11" s="152"/>
      <c r="K11" s="150"/>
      <c r="L11" s="154" t="s">
        <v>564</v>
      </c>
      <c r="M11" s="152">
        <v>5835.8577620095566</v>
      </c>
      <c r="N11" s="150" t="s">
        <v>493</v>
      </c>
      <c r="O11" s="227">
        <f t="shared" ref="O11:O13" si="2">+O10-J11-M11</f>
        <v>0</v>
      </c>
      <c r="P11" s="152">
        <f t="shared" ref="P11:P13" si="3">P10+H11-J11-M11</f>
        <v>632568.99599999993</v>
      </c>
    </row>
    <row r="12" spans="1:16" x14ac:dyDescent="0.15">
      <c r="A12" s="154"/>
      <c r="B12" s="151"/>
      <c r="C12" s="152"/>
      <c r="D12" s="155"/>
      <c r="E12" s="154"/>
      <c r="F12" s="157"/>
      <c r="G12" s="154"/>
      <c r="H12" s="152"/>
      <c r="I12" s="155" t="s">
        <v>518</v>
      </c>
      <c r="J12" s="152"/>
      <c r="K12" s="150"/>
      <c r="L12" s="154" t="s">
        <v>565</v>
      </c>
      <c r="M12" s="152">
        <v>68336.691999999995</v>
      </c>
      <c r="N12" s="154" t="s">
        <v>494</v>
      </c>
      <c r="O12" s="227">
        <f>C8+O11-J12-M12</f>
        <v>244013.74599999998</v>
      </c>
      <c r="P12" s="152">
        <f t="shared" si="3"/>
        <v>564232.30399999989</v>
      </c>
    </row>
    <row r="13" spans="1:16" x14ac:dyDescent="0.15">
      <c r="A13" s="154"/>
      <c r="B13" s="151"/>
      <c r="C13" s="152"/>
      <c r="D13" s="155"/>
      <c r="E13" s="154"/>
      <c r="F13" s="157"/>
      <c r="G13" s="154"/>
      <c r="H13" s="152"/>
      <c r="I13" s="155" t="s">
        <v>519</v>
      </c>
      <c r="J13" s="152">
        <v>787</v>
      </c>
      <c r="K13" s="154" t="s">
        <v>494</v>
      </c>
      <c r="L13" s="154" t="s">
        <v>565</v>
      </c>
      <c r="M13" s="152">
        <v>77523.570000000007</v>
      </c>
      <c r="N13" s="154" t="s">
        <v>494</v>
      </c>
      <c r="O13" s="227">
        <f t="shared" si="2"/>
        <v>165703.17599999998</v>
      </c>
      <c r="P13" s="152">
        <f t="shared" si="3"/>
        <v>485921.73399999988</v>
      </c>
    </row>
    <row r="14" spans="1:16" x14ac:dyDescent="0.15">
      <c r="A14" s="154"/>
      <c r="B14" s="151"/>
      <c r="C14" s="152"/>
      <c r="D14" s="155" t="s">
        <v>520</v>
      </c>
      <c r="E14" s="154" t="s">
        <v>72</v>
      </c>
      <c r="F14" s="157" t="s">
        <v>549</v>
      </c>
      <c r="G14" s="154"/>
      <c r="H14" s="152">
        <v>120100.478</v>
      </c>
      <c r="I14" s="155" t="s">
        <v>520</v>
      </c>
      <c r="J14" s="152"/>
      <c r="K14" s="150"/>
      <c r="L14" s="154" t="s">
        <v>565</v>
      </c>
      <c r="M14" s="152">
        <v>83925.52</v>
      </c>
      <c r="N14" s="154" t="s">
        <v>494</v>
      </c>
      <c r="O14" s="227">
        <f t="shared" si="1"/>
        <v>81777.655999999974</v>
      </c>
      <c r="P14" s="152">
        <f t="shared" si="0"/>
        <v>522096.69199999981</v>
      </c>
    </row>
    <row r="15" spans="1:16" x14ac:dyDescent="0.15">
      <c r="A15" s="154"/>
      <c r="B15" s="151"/>
      <c r="C15" s="152"/>
      <c r="D15" s="155" t="s">
        <v>521</v>
      </c>
      <c r="E15" s="154" t="s">
        <v>72</v>
      </c>
      <c r="F15" s="157" t="s">
        <v>549</v>
      </c>
      <c r="G15" s="154"/>
      <c r="H15" s="152">
        <v>40119.131000000001</v>
      </c>
      <c r="I15" s="155" t="s">
        <v>521</v>
      </c>
      <c r="J15" s="152"/>
      <c r="K15" s="150"/>
      <c r="L15" s="154" t="s">
        <v>565</v>
      </c>
      <c r="M15" s="152">
        <v>68994.960000000006</v>
      </c>
      <c r="N15" s="154" t="s">
        <v>494</v>
      </c>
      <c r="O15" s="227">
        <f t="shared" si="1"/>
        <v>12782.695999999967</v>
      </c>
      <c r="P15" s="152">
        <f t="shared" si="0"/>
        <v>493220.86299999984</v>
      </c>
    </row>
    <row r="16" spans="1:16" x14ac:dyDescent="0.15">
      <c r="A16" s="154"/>
      <c r="B16" s="151"/>
      <c r="C16" s="152"/>
      <c r="D16" s="155" t="s">
        <v>522</v>
      </c>
      <c r="E16" s="154" t="s">
        <v>72</v>
      </c>
      <c r="F16" s="157" t="s">
        <v>549</v>
      </c>
      <c r="G16" s="154"/>
      <c r="H16" s="152">
        <v>156001</v>
      </c>
      <c r="I16" s="155" t="s">
        <v>522</v>
      </c>
      <c r="J16" s="152">
        <v>670.33960000000002</v>
      </c>
      <c r="K16" s="154" t="s">
        <v>494</v>
      </c>
      <c r="L16" s="154" t="s">
        <v>565</v>
      </c>
      <c r="M16" s="152">
        <v>12112</v>
      </c>
      <c r="N16" s="154" t="s">
        <v>494</v>
      </c>
      <c r="O16" s="227">
        <f t="shared" si="1"/>
        <v>0.35639999996783445</v>
      </c>
      <c r="P16" s="152">
        <f t="shared" si="0"/>
        <v>636439.52339999995</v>
      </c>
    </row>
    <row r="17" spans="1:16" x14ac:dyDescent="0.15">
      <c r="A17" s="154"/>
      <c r="B17" s="151"/>
      <c r="C17" s="152"/>
      <c r="D17" s="155"/>
      <c r="E17" s="154"/>
      <c r="F17" s="157"/>
      <c r="G17" s="154"/>
      <c r="H17" s="152"/>
      <c r="I17" s="155" t="s">
        <v>522</v>
      </c>
      <c r="J17" s="152"/>
      <c r="K17" s="150"/>
      <c r="L17" s="154" t="s">
        <v>565</v>
      </c>
      <c r="M17" s="152">
        <v>63100</v>
      </c>
      <c r="N17" s="154" t="s">
        <v>495</v>
      </c>
      <c r="O17" s="227">
        <f>C9+O16-J17-M17</f>
        <v>37234.356399999961</v>
      </c>
      <c r="P17" s="152">
        <f t="shared" si="0"/>
        <v>573339.52339999995</v>
      </c>
    </row>
    <row r="18" spans="1:16" x14ac:dyDescent="0.15">
      <c r="A18" s="154"/>
      <c r="B18" s="151"/>
      <c r="C18" s="152"/>
      <c r="D18" s="155" t="s">
        <v>522</v>
      </c>
      <c r="E18" s="154" t="s">
        <v>72</v>
      </c>
      <c r="F18" s="157" t="s">
        <v>550</v>
      </c>
      <c r="G18" s="154"/>
      <c r="H18" s="152">
        <v>20014</v>
      </c>
      <c r="I18" s="155" t="s">
        <v>522</v>
      </c>
      <c r="J18" s="152"/>
      <c r="K18" s="150"/>
      <c r="L18" s="154" t="s">
        <v>565</v>
      </c>
      <c r="M18" s="152">
        <v>37234</v>
      </c>
      <c r="N18" s="154" t="s">
        <v>495</v>
      </c>
      <c r="O18" s="227">
        <f t="shared" ref="O18" si="4">+O17-J18-M18</f>
        <v>0.35639999996055849</v>
      </c>
      <c r="P18" s="152">
        <f t="shared" si="0"/>
        <v>556119.52339999995</v>
      </c>
    </row>
    <row r="19" spans="1:16" x14ac:dyDescent="0.15">
      <c r="A19" s="154"/>
      <c r="B19" s="151"/>
      <c r="C19" s="152"/>
      <c r="D19" s="155"/>
      <c r="E19" s="154"/>
      <c r="F19" s="157"/>
      <c r="G19" s="154"/>
      <c r="H19" s="152"/>
      <c r="I19" s="155" t="s">
        <v>522</v>
      </c>
      <c r="J19" s="152"/>
      <c r="K19" s="150"/>
      <c r="L19" s="154" t="s">
        <v>564</v>
      </c>
      <c r="M19" s="152">
        <v>35883</v>
      </c>
      <c r="N19" s="157" t="s">
        <v>496</v>
      </c>
      <c r="O19" s="227">
        <f>C10+O18-J19-M19</f>
        <v>103906.20539999995</v>
      </c>
      <c r="P19" s="152">
        <f t="shared" si="0"/>
        <v>520236.52339999995</v>
      </c>
    </row>
    <row r="20" spans="1:16" x14ac:dyDescent="0.15">
      <c r="A20" s="154"/>
      <c r="B20" s="151"/>
      <c r="C20" s="152"/>
      <c r="D20" s="155"/>
      <c r="E20" s="154"/>
      <c r="F20" s="157"/>
      <c r="G20" s="154"/>
      <c r="H20" s="152"/>
      <c r="I20" s="155" t="s">
        <v>522</v>
      </c>
      <c r="J20" s="152"/>
      <c r="K20" s="150"/>
      <c r="L20" s="154" t="s">
        <v>564</v>
      </c>
      <c r="M20" s="152">
        <v>80510.789999999994</v>
      </c>
      <c r="N20" s="157" t="s">
        <v>496</v>
      </c>
      <c r="O20" s="227">
        <f t="shared" ref="O20" si="5">+O19-J20-M20</f>
        <v>23395.415399999954</v>
      </c>
      <c r="P20" s="152">
        <f t="shared" si="0"/>
        <v>439725.73339999997</v>
      </c>
    </row>
    <row r="21" spans="1:16" x14ac:dyDescent="0.15">
      <c r="A21" s="154"/>
      <c r="B21" s="151"/>
      <c r="C21" s="152"/>
      <c r="D21" s="155" t="s">
        <v>523</v>
      </c>
      <c r="E21" s="154" t="s">
        <v>72</v>
      </c>
      <c r="F21" s="157" t="s">
        <v>550</v>
      </c>
      <c r="G21" s="154"/>
      <c r="H21" s="152">
        <v>40080.300000000003</v>
      </c>
      <c r="I21" s="155" t="s">
        <v>523</v>
      </c>
      <c r="J21" s="152">
        <v>291.06</v>
      </c>
      <c r="K21" s="157" t="s">
        <v>496</v>
      </c>
      <c r="L21" s="154" t="s">
        <v>564</v>
      </c>
      <c r="M21" s="152">
        <v>23104</v>
      </c>
      <c r="N21" s="157" t="s">
        <v>496</v>
      </c>
      <c r="O21" s="227">
        <f t="shared" ref="O21:O27" si="6">+O20-J21-M21</f>
        <v>0.3553999999530788</v>
      </c>
      <c r="P21" s="152">
        <f t="shared" ref="P21:P27" si="7">P20+H21-J21-M21</f>
        <v>456410.97339999996</v>
      </c>
    </row>
    <row r="22" spans="1:16" x14ac:dyDescent="0.15">
      <c r="A22" s="154"/>
      <c r="B22" s="151"/>
      <c r="C22" s="152"/>
      <c r="D22" s="155"/>
      <c r="E22" s="154"/>
      <c r="F22" s="157"/>
      <c r="G22" s="154"/>
      <c r="H22" s="152"/>
      <c r="I22" s="155" t="s">
        <v>523</v>
      </c>
      <c r="J22" s="152"/>
      <c r="K22" s="157"/>
      <c r="L22" s="154" t="s">
        <v>565</v>
      </c>
      <c r="M22" s="152">
        <v>27122</v>
      </c>
      <c r="N22" s="157" t="s">
        <v>548</v>
      </c>
      <c r="O22" s="227">
        <f>H11+O21-J22-M22</f>
        <v>52974.064399999959</v>
      </c>
      <c r="P22" s="152">
        <f t="shared" si="7"/>
        <v>429288.97339999996</v>
      </c>
    </row>
    <row r="23" spans="1:16" x14ac:dyDescent="0.15">
      <c r="A23" s="154"/>
      <c r="B23" s="151"/>
      <c r="C23" s="152"/>
      <c r="D23" s="155" t="s">
        <v>544</v>
      </c>
      <c r="E23" s="154" t="s">
        <v>72</v>
      </c>
      <c r="F23" s="157" t="s">
        <v>551</v>
      </c>
      <c r="G23" s="154"/>
      <c r="H23" s="152">
        <v>40125.72</v>
      </c>
      <c r="I23" s="155" t="s">
        <v>544</v>
      </c>
      <c r="J23" s="152"/>
      <c r="K23" s="150"/>
      <c r="L23" s="154"/>
      <c r="M23" s="152"/>
      <c r="N23" s="154"/>
      <c r="O23" s="227">
        <f t="shared" si="6"/>
        <v>52974.064399999959</v>
      </c>
      <c r="P23" s="152">
        <f t="shared" si="7"/>
        <v>469414.69339999999</v>
      </c>
    </row>
    <row r="24" spans="1:16" x14ac:dyDescent="0.15">
      <c r="A24" s="154"/>
      <c r="B24" s="151"/>
      <c r="C24" s="152"/>
      <c r="D24" s="155" t="s">
        <v>524</v>
      </c>
      <c r="E24" s="154" t="s">
        <v>72</v>
      </c>
      <c r="F24" s="157" t="s">
        <v>551</v>
      </c>
      <c r="G24" s="154"/>
      <c r="H24" s="152">
        <v>100192.561</v>
      </c>
      <c r="I24" s="155" t="s">
        <v>524</v>
      </c>
      <c r="J24" s="152">
        <v>998.90160000000003</v>
      </c>
      <c r="K24" s="157" t="s">
        <v>548</v>
      </c>
      <c r="L24" s="154" t="s">
        <v>565</v>
      </c>
      <c r="M24" s="152">
        <v>51975</v>
      </c>
      <c r="N24" s="157" t="s">
        <v>548</v>
      </c>
      <c r="O24" s="227">
        <f t="shared" si="6"/>
        <v>0.16279999996186234</v>
      </c>
      <c r="P24" s="152">
        <f t="shared" si="7"/>
        <v>516633.35279999999</v>
      </c>
    </row>
    <row r="25" spans="1:16" x14ac:dyDescent="0.15">
      <c r="A25" s="154"/>
      <c r="B25" s="151"/>
      <c r="C25" s="152"/>
      <c r="D25" s="155"/>
      <c r="E25" s="154"/>
      <c r="F25" s="157"/>
      <c r="G25" s="154"/>
      <c r="H25" s="152"/>
      <c r="I25" s="155" t="s">
        <v>524</v>
      </c>
      <c r="J25" s="152"/>
      <c r="K25" s="150"/>
      <c r="L25" s="154" t="s">
        <v>565</v>
      </c>
      <c r="M25" s="152">
        <v>26793</v>
      </c>
      <c r="N25" s="157" t="s">
        <v>549</v>
      </c>
      <c r="O25" s="227">
        <f>+H14+H15+H16+O24-J25-M25</f>
        <v>289427.77179999999</v>
      </c>
      <c r="P25" s="152">
        <f t="shared" si="7"/>
        <v>489840.35279999999</v>
      </c>
    </row>
    <row r="26" spans="1:16" x14ac:dyDescent="0.15">
      <c r="A26" s="154"/>
      <c r="B26" s="151"/>
      <c r="C26" s="152"/>
      <c r="D26" s="155" t="s">
        <v>545</v>
      </c>
      <c r="E26" s="154" t="s">
        <v>72</v>
      </c>
      <c r="F26" s="157" t="s">
        <v>552</v>
      </c>
      <c r="G26" s="154"/>
      <c r="H26" s="152">
        <v>120202.8</v>
      </c>
      <c r="I26" s="155" t="s">
        <v>545</v>
      </c>
      <c r="J26" s="152"/>
      <c r="K26" s="150"/>
      <c r="L26" s="154"/>
      <c r="M26" s="152"/>
      <c r="N26" s="154"/>
      <c r="O26" s="227">
        <f t="shared" si="6"/>
        <v>289427.77179999999</v>
      </c>
      <c r="P26" s="152">
        <f t="shared" si="7"/>
        <v>610043.15280000004</v>
      </c>
    </row>
    <row r="27" spans="1:16" x14ac:dyDescent="0.15">
      <c r="A27" s="154"/>
      <c r="B27" s="151"/>
      <c r="C27" s="152"/>
      <c r="D27" s="155" t="s">
        <v>525</v>
      </c>
      <c r="E27" s="154" t="s">
        <v>72</v>
      </c>
      <c r="F27" s="157" t="s">
        <v>552</v>
      </c>
      <c r="G27" s="154"/>
      <c r="H27" s="152">
        <v>80086.8</v>
      </c>
      <c r="I27" s="155" t="s">
        <v>525</v>
      </c>
      <c r="J27" s="152">
        <v>787.32</v>
      </c>
      <c r="K27" s="157" t="s">
        <v>549</v>
      </c>
      <c r="L27" s="154" t="s">
        <v>565</v>
      </c>
      <c r="M27" s="152">
        <v>47539.27</v>
      </c>
      <c r="N27" s="157" t="s">
        <v>549</v>
      </c>
      <c r="O27" s="227">
        <f t="shared" si="6"/>
        <v>241101.18179999999</v>
      </c>
      <c r="P27" s="152">
        <f t="shared" si="7"/>
        <v>641803.36280000012</v>
      </c>
    </row>
    <row r="28" spans="1:16" x14ac:dyDescent="0.15">
      <c r="A28" s="154"/>
      <c r="B28" s="151"/>
      <c r="C28" s="152"/>
      <c r="D28" s="155"/>
      <c r="E28" s="154"/>
      <c r="F28" s="157"/>
      <c r="G28" s="154"/>
      <c r="H28" s="152"/>
      <c r="I28" s="155" t="s">
        <v>525</v>
      </c>
      <c r="J28" s="152"/>
      <c r="K28" s="150"/>
      <c r="L28" s="154" t="s">
        <v>565</v>
      </c>
      <c r="M28" s="152">
        <v>88390.04</v>
      </c>
      <c r="N28" s="157" t="s">
        <v>549</v>
      </c>
      <c r="O28" s="227">
        <f t="shared" ref="O28:O29" si="8">+O27-J28-M28</f>
        <v>152711.14179999998</v>
      </c>
      <c r="P28" s="152">
        <f t="shared" si="0"/>
        <v>553413.32280000008</v>
      </c>
    </row>
    <row r="29" spans="1:16" x14ac:dyDescent="0.15">
      <c r="A29" s="154"/>
      <c r="B29" s="151"/>
      <c r="C29" s="152"/>
      <c r="D29" s="155"/>
      <c r="E29" s="154"/>
      <c r="F29" s="157"/>
      <c r="G29" s="154"/>
      <c r="H29" s="152"/>
      <c r="I29" s="155" t="s">
        <v>526</v>
      </c>
      <c r="J29" s="152"/>
      <c r="K29" s="154"/>
      <c r="L29" s="154" t="s">
        <v>565</v>
      </c>
      <c r="M29" s="152">
        <v>76743.34</v>
      </c>
      <c r="N29" s="157" t="s">
        <v>549</v>
      </c>
      <c r="O29" s="227">
        <f t="shared" si="8"/>
        <v>75967.801799999987</v>
      </c>
      <c r="P29" s="152">
        <f t="shared" si="0"/>
        <v>476669.98280000011</v>
      </c>
    </row>
    <row r="30" spans="1:16" x14ac:dyDescent="0.15">
      <c r="A30" s="154"/>
      <c r="B30" s="151"/>
      <c r="C30" s="152"/>
      <c r="D30" s="155"/>
      <c r="E30" s="154"/>
      <c r="F30" s="157"/>
      <c r="G30" s="154"/>
      <c r="H30" s="152"/>
      <c r="I30" s="155" t="s">
        <v>526</v>
      </c>
      <c r="J30" s="152"/>
      <c r="K30" s="150"/>
      <c r="L30" s="154" t="s">
        <v>565</v>
      </c>
      <c r="M30" s="152">
        <v>47684.83</v>
      </c>
      <c r="N30" s="157" t="s">
        <v>549</v>
      </c>
      <c r="O30" s="227">
        <f t="shared" si="1"/>
        <v>28282.971799999985</v>
      </c>
      <c r="P30" s="152">
        <f t="shared" si="0"/>
        <v>428985.1528000001</v>
      </c>
    </row>
    <row r="31" spans="1:16" x14ac:dyDescent="0.15">
      <c r="A31" s="154"/>
      <c r="B31" s="151"/>
      <c r="C31" s="152"/>
      <c r="D31" s="155" t="s">
        <v>527</v>
      </c>
      <c r="E31" s="154" t="s">
        <v>72</v>
      </c>
      <c r="F31" s="157" t="s">
        <v>552</v>
      </c>
      <c r="G31" s="154"/>
      <c r="H31" s="152">
        <v>156053.53099999999</v>
      </c>
      <c r="I31" s="155" t="s">
        <v>527</v>
      </c>
      <c r="J31" s="152">
        <v>1658.17</v>
      </c>
      <c r="K31" s="157" t="s">
        <v>549</v>
      </c>
      <c r="L31" s="154" t="s">
        <v>565</v>
      </c>
      <c r="M31" s="152">
        <v>26625</v>
      </c>
      <c r="N31" s="157" t="s">
        <v>549</v>
      </c>
      <c r="O31" s="227">
        <f t="shared" si="1"/>
        <v>-0.19820000001345761</v>
      </c>
      <c r="P31" s="152">
        <f t="shared" si="0"/>
        <v>556755.51380000007</v>
      </c>
    </row>
    <row r="32" spans="1:16" x14ac:dyDescent="0.15">
      <c r="A32" s="154"/>
      <c r="B32" s="151"/>
      <c r="C32" s="152"/>
      <c r="D32" s="155"/>
      <c r="E32" s="154"/>
      <c r="F32" s="157"/>
      <c r="G32" s="154"/>
      <c r="H32" s="152"/>
      <c r="I32" s="155" t="s">
        <v>527</v>
      </c>
      <c r="J32" s="152"/>
      <c r="K32" s="150"/>
      <c r="L32" s="154" t="s">
        <v>565</v>
      </c>
      <c r="M32" s="152">
        <v>52659</v>
      </c>
      <c r="N32" s="157" t="s">
        <v>550</v>
      </c>
      <c r="O32" s="227">
        <f>H18+H21+O31-J32-M32</f>
        <v>7435.1017999999895</v>
      </c>
      <c r="P32" s="152">
        <f t="shared" si="0"/>
        <v>504096.51380000007</v>
      </c>
    </row>
    <row r="33" spans="1:16" x14ac:dyDescent="0.15">
      <c r="A33" s="154"/>
      <c r="B33" s="151"/>
      <c r="C33" s="152"/>
      <c r="D33" s="155"/>
      <c r="E33" s="154"/>
      <c r="F33" s="157"/>
      <c r="G33" s="154"/>
      <c r="H33" s="152"/>
      <c r="I33" s="155" t="s">
        <v>527</v>
      </c>
      <c r="J33" s="152"/>
      <c r="K33" s="150"/>
      <c r="L33" s="154" t="s">
        <v>565</v>
      </c>
      <c r="M33" s="152">
        <v>7435</v>
      </c>
      <c r="N33" s="157" t="s">
        <v>550</v>
      </c>
      <c r="O33" s="227">
        <f t="shared" si="1"/>
        <v>0.10179999998945277</v>
      </c>
      <c r="P33" s="152">
        <f t="shared" si="0"/>
        <v>496661.51380000007</v>
      </c>
    </row>
    <row r="34" spans="1:16" x14ac:dyDescent="0.15">
      <c r="A34" s="154"/>
      <c r="B34" s="151"/>
      <c r="C34" s="152"/>
      <c r="D34" s="155"/>
      <c r="E34" s="154"/>
      <c r="F34" s="157"/>
      <c r="G34" s="154"/>
      <c r="H34" s="152"/>
      <c r="I34" s="155" t="s">
        <v>527</v>
      </c>
      <c r="J34" s="152"/>
      <c r="K34" s="150"/>
      <c r="L34" s="154" t="s">
        <v>565</v>
      </c>
      <c r="M34" s="152">
        <v>67488</v>
      </c>
      <c r="N34" s="157" t="s">
        <v>551</v>
      </c>
      <c r="O34" s="227">
        <f>H23+H24+O33-J34-M34</f>
        <v>72830.382800000021</v>
      </c>
      <c r="P34" s="152">
        <f t="shared" si="0"/>
        <v>429173.51380000007</v>
      </c>
    </row>
    <row r="35" spans="1:16" x14ac:dyDescent="0.15">
      <c r="A35" s="154"/>
      <c r="B35" s="151"/>
      <c r="C35" s="152"/>
      <c r="D35" s="155"/>
      <c r="E35" s="154"/>
      <c r="F35" s="157"/>
      <c r="G35" s="154"/>
      <c r="H35" s="152"/>
      <c r="I35" s="155" t="s">
        <v>527</v>
      </c>
      <c r="J35" s="152"/>
      <c r="K35" s="150"/>
      <c r="L35" s="154" t="s">
        <v>565</v>
      </c>
      <c r="M35" s="152">
        <v>72830</v>
      </c>
      <c r="N35" s="157" t="s">
        <v>551</v>
      </c>
      <c r="O35" s="227">
        <f t="shared" ref="O35:O38" si="9">+O34-J35-M35</f>
        <v>0.38280000002123415</v>
      </c>
      <c r="P35" s="152">
        <f t="shared" si="0"/>
        <v>356343.51380000007</v>
      </c>
    </row>
    <row r="36" spans="1:16" x14ac:dyDescent="0.15">
      <c r="A36" s="154"/>
      <c r="B36" s="151"/>
      <c r="C36" s="152"/>
      <c r="D36" s="155"/>
      <c r="E36" s="154"/>
      <c r="F36" s="157"/>
      <c r="G36" s="154"/>
      <c r="H36" s="152"/>
      <c r="I36" s="155" t="s">
        <v>527</v>
      </c>
      <c r="J36" s="152"/>
      <c r="K36" s="150"/>
      <c r="L36" s="154" t="s">
        <v>565</v>
      </c>
      <c r="M36" s="152">
        <v>8927</v>
      </c>
      <c r="N36" s="157" t="s">
        <v>552</v>
      </c>
      <c r="O36" s="227">
        <f>H26+H27+H31+O35-J36-M36</f>
        <v>347416.51380000002</v>
      </c>
      <c r="P36" s="152">
        <f t="shared" si="0"/>
        <v>347416.51380000007</v>
      </c>
    </row>
    <row r="37" spans="1:16" x14ac:dyDescent="0.15">
      <c r="A37" s="154"/>
      <c r="B37" s="151"/>
      <c r="C37" s="152"/>
      <c r="D37" s="155" t="s">
        <v>528</v>
      </c>
      <c r="E37" s="154" t="s">
        <v>72</v>
      </c>
      <c r="F37" s="157" t="s">
        <v>553</v>
      </c>
      <c r="G37" s="154"/>
      <c r="H37" s="152">
        <v>40045.428</v>
      </c>
      <c r="I37" s="155" t="s">
        <v>528</v>
      </c>
      <c r="J37" s="152">
        <v>825.92</v>
      </c>
      <c r="K37" s="157" t="s">
        <v>552</v>
      </c>
      <c r="L37" s="154" t="s">
        <v>565</v>
      </c>
      <c r="M37" s="152">
        <v>51005.17</v>
      </c>
      <c r="N37" s="157" t="s">
        <v>552</v>
      </c>
      <c r="O37" s="227">
        <f t="shared" ref="O37" si="10">+O36-J37-M37</f>
        <v>295585.42380000005</v>
      </c>
      <c r="P37" s="152">
        <f t="shared" si="0"/>
        <v>335630.85180000012</v>
      </c>
    </row>
    <row r="38" spans="1:16" x14ac:dyDescent="0.15">
      <c r="A38" s="154"/>
      <c r="B38" s="151"/>
      <c r="C38" s="152"/>
      <c r="D38" s="155" t="s">
        <v>529</v>
      </c>
      <c r="E38" s="154" t="s">
        <v>72</v>
      </c>
      <c r="F38" s="157" t="s">
        <v>553</v>
      </c>
      <c r="G38" s="154"/>
      <c r="H38" s="152">
        <v>136045.52900000001</v>
      </c>
      <c r="I38" s="155" t="s">
        <v>529</v>
      </c>
      <c r="J38" s="152">
        <v>396.12049999999999</v>
      </c>
      <c r="K38" s="157" t="s">
        <v>552</v>
      </c>
      <c r="L38" s="154"/>
      <c r="M38" s="152"/>
      <c r="N38" s="157"/>
      <c r="O38" s="227">
        <f t="shared" si="9"/>
        <v>295189.30330000003</v>
      </c>
      <c r="P38" s="152">
        <f t="shared" si="0"/>
        <v>471280.26030000014</v>
      </c>
    </row>
    <row r="39" spans="1:16" x14ac:dyDescent="0.15">
      <c r="A39" s="154"/>
      <c r="B39" s="151"/>
      <c r="C39" s="152"/>
      <c r="D39" s="155" t="s">
        <v>530</v>
      </c>
      <c r="E39" s="154" t="s">
        <v>72</v>
      </c>
      <c r="F39" s="157" t="s">
        <v>554</v>
      </c>
      <c r="G39" s="154"/>
      <c r="H39" s="152">
        <v>100067.027</v>
      </c>
      <c r="I39" s="155" t="s">
        <v>530</v>
      </c>
      <c r="J39" s="152"/>
      <c r="K39" s="157"/>
      <c r="L39" s="154" t="s">
        <v>565</v>
      </c>
      <c r="M39" s="152">
        <v>79376.09</v>
      </c>
      <c r="N39" s="157" t="s">
        <v>552</v>
      </c>
      <c r="O39" s="227">
        <f t="shared" si="1"/>
        <v>215813.21330000003</v>
      </c>
      <c r="P39" s="152">
        <f t="shared" si="0"/>
        <v>491971.19730000023</v>
      </c>
    </row>
    <row r="40" spans="1:16" x14ac:dyDescent="0.15">
      <c r="A40" s="154"/>
      <c r="B40" s="151"/>
      <c r="C40" s="152"/>
      <c r="D40" s="155" t="s">
        <v>531</v>
      </c>
      <c r="E40" s="154" t="s">
        <v>72</v>
      </c>
      <c r="F40" s="157" t="s">
        <v>554</v>
      </c>
      <c r="G40" s="154"/>
      <c r="H40" s="152">
        <v>100167.80100000001</v>
      </c>
      <c r="I40" s="155" t="s">
        <v>531</v>
      </c>
      <c r="J40" s="152">
        <v>634.87</v>
      </c>
      <c r="K40" s="157" t="s">
        <v>552</v>
      </c>
      <c r="L40" s="154"/>
      <c r="M40" s="152"/>
      <c r="N40" s="157"/>
      <c r="O40" s="227">
        <f t="shared" si="1"/>
        <v>215178.34330000004</v>
      </c>
      <c r="P40" s="152">
        <f t="shared" si="0"/>
        <v>591504.12830000021</v>
      </c>
    </row>
    <row r="41" spans="1:16" x14ac:dyDescent="0.15">
      <c r="A41" s="154"/>
      <c r="B41" s="151"/>
      <c r="C41" s="152"/>
      <c r="D41" s="155" t="s">
        <v>532</v>
      </c>
      <c r="E41" s="154" t="s">
        <v>72</v>
      </c>
      <c r="F41" s="157" t="s">
        <v>555</v>
      </c>
      <c r="G41" s="154"/>
      <c r="H41" s="152">
        <v>80079.487999999998</v>
      </c>
      <c r="I41" s="155" t="s">
        <v>532</v>
      </c>
      <c r="J41" s="152">
        <v>572.11599999999999</v>
      </c>
      <c r="K41" s="157" t="s">
        <v>552</v>
      </c>
      <c r="L41" s="154" t="s">
        <v>565</v>
      </c>
      <c r="M41" s="152">
        <v>90358.32</v>
      </c>
      <c r="N41" s="157" t="s">
        <v>552</v>
      </c>
      <c r="O41" s="227">
        <f t="shared" si="1"/>
        <v>124247.90730000002</v>
      </c>
      <c r="P41" s="152">
        <f t="shared" si="0"/>
        <v>580653.18030000012</v>
      </c>
    </row>
    <row r="42" spans="1:16" x14ac:dyDescent="0.15">
      <c r="A42" s="154"/>
      <c r="B42" s="151"/>
      <c r="C42" s="152"/>
      <c r="D42" s="155"/>
      <c r="E42" s="154"/>
      <c r="F42" s="157"/>
      <c r="G42" s="154"/>
      <c r="H42" s="152"/>
      <c r="I42" s="155" t="s">
        <v>533</v>
      </c>
      <c r="J42" s="152"/>
      <c r="K42" s="157"/>
      <c r="L42" s="154" t="s">
        <v>565</v>
      </c>
      <c r="M42" s="152">
        <v>78545.7</v>
      </c>
      <c r="N42" s="157" t="s">
        <v>552</v>
      </c>
      <c r="O42" s="227">
        <f t="shared" si="1"/>
        <v>45702.207300000024</v>
      </c>
      <c r="P42" s="152">
        <f t="shared" si="0"/>
        <v>502107.48030000011</v>
      </c>
    </row>
    <row r="43" spans="1:16" x14ac:dyDescent="0.15">
      <c r="A43" s="154"/>
      <c r="B43" s="151"/>
      <c r="C43" s="152"/>
      <c r="D43" s="155" t="s">
        <v>534</v>
      </c>
      <c r="E43" s="154" t="s">
        <v>72</v>
      </c>
      <c r="F43" s="157" t="s">
        <v>555</v>
      </c>
      <c r="G43" s="154"/>
      <c r="H43" s="152">
        <v>156231</v>
      </c>
      <c r="I43" s="155" t="s">
        <v>534</v>
      </c>
      <c r="J43" s="152">
        <v>312.94</v>
      </c>
      <c r="K43" s="157" t="s">
        <v>552</v>
      </c>
      <c r="L43" s="154" t="s">
        <v>565</v>
      </c>
      <c r="M43" s="152">
        <v>45389</v>
      </c>
      <c r="N43" s="157" t="s">
        <v>552</v>
      </c>
      <c r="O43" s="227">
        <f t="shared" si="1"/>
        <v>0.26730000002135057</v>
      </c>
      <c r="P43" s="152">
        <f t="shared" si="0"/>
        <v>612636.54030000023</v>
      </c>
    </row>
    <row r="44" spans="1:16" x14ac:dyDescent="0.15">
      <c r="A44" s="154"/>
      <c r="B44" s="151"/>
      <c r="C44" s="152"/>
      <c r="D44" s="155"/>
      <c r="E44" s="154"/>
      <c r="F44" s="157"/>
      <c r="G44" s="154"/>
      <c r="H44" s="152"/>
      <c r="I44" s="155" t="s">
        <v>534</v>
      </c>
      <c r="J44" s="152"/>
      <c r="K44" s="154"/>
      <c r="L44" s="154" t="s">
        <v>565</v>
      </c>
      <c r="M44" s="152">
        <v>34760</v>
      </c>
      <c r="N44" s="157" t="s">
        <v>553</v>
      </c>
      <c r="O44" s="227">
        <f>H37+H38+O43-J44-M44</f>
        <v>141331.2243</v>
      </c>
      <c r="P44" s="152">
        <f t="shared" si="0"/>
        <v>577876.54030000023</v>
      </c>
    </row>
    <row r="45" spans="1:16" x14ac:dyDescent="0.15">
      <c r="A45" s="154"/>
      <c r="B45" s="151"/>
      <c r="C45" s="152"/>
      <c r="D45" s="155" t="s">
        <v>534</v>
      </c>
      <c r="E45" s="154" t="s">
        <v>72</v>
      </c>
      <c r="F45" s="157" t="s">
        <v>556</v>
      </c>
      <c r="G45" s="154"/>
      <c r="H45" s="152">
        <v>20034</v>
      </c>
      <c r="I45" s="155" t="s">
        <v>534</v>
      </c>
      <c r="J45" s="152"/>
      <c r="K45" s="154"/>
      <c r="L45" s="154" t="s">
        <v>565</v>
      </c>
      <c r="M45" s="152">
        <v>75251.83</v>
      </c>
      <c r="N45" s="157" t="s">
        <v>553</v>
      </c>
      <c r="O45" s="227">
        <f t="shared" ref="O45:O46" si="11">+O44-J45-M45</f>
        <v>66079.3943</v>
      </c>
      <c r="P45" s="152">
        <f t="shared" si="0"/>
        <v>522658.71030000021</v>
      </c>
    </row>
    <row r="46" spans="1:16" x14ac:dyDescent="0.15">
      <c r="A46" s="154"/>
      <c r="B46" s="151"/>
      <c r="C46" s="152"/>
      <c r="D46" s="155"/>
      <c r="E46" s="154"/>
      <c r="F46" s="157"/>
      <c r="G46" s="154"/>
      <c r="H46" s="152"/>
      <c r="I46" s="155" t="s">
        <v>534</v>
      </c>
      <c r="J46" s="152"/>
      <c r="K46" s="157"/>
      <c r="L46" s="154" t="s">
        <v>565</v>
      </c>
      <c r="M46" s="152">
        <v>66079</v>
      </c>
      <c r="N46" s="157" t="s">
        <v>553</v>
      </c>
      <c r="O46" s="227">
        <f t="shared" si="11"/>
        <v>0.39429999999993015</v>
      </c>
      <c r="P46" s="152">
        <f t="shared" si="0"/>
        <v>456579.71030000021</v>
      </c>
    </row>
    <row r="47" spans="1:16" x14ac:dyDescent="0.15">
      <c r="A47" s="154"/>
      <c r="B47" s="151"/>
      <c r="C47" s="152"/>
      <c r="D47" s="155"/>
      <c r="E47" s="154"/>
      <c r="F47" s="157"/>
      <c r="G47" s="154"/>
      <c r="H47" s="152"/>
      <c r="I47" s="155" t="s">
        <v>534</v>
      </c>
      <c r="J47" s="152"/>
      <c r="K47" s="157"/>
      <c r="L47" s="154" t="s">
        <v>565</v>
      </c>
      <c r="M47" s="152">
        <v>21951</v>
      </c>
      <c r="N47" s="157" t="s">
        <v>554</v>
      </c>
      <c r="O47" s="227">
        <f>H39+H40+O46-J47-M47</f>
        <v>178284.22230000002</v>
      </c>
      <c r="P47" s="152">
        <f t="shared" si="0"/>
        <v>434628.71030000021</v>
      </c>
    </row>
    <row r="48" spans="1:16" x14ac:dyDescent="0.15">
      <c r="A48" s="154"/>
      <c r="B48" s="151"/>
      <c r="C48" s="152"/>
      <c r="D48" s="155" t="s">
        <v>535</v>
      </c>
      <c r="E48" s="154" t="s">
        <v>72</v>
      </c>
      <c r="F48" s="157" t="s">
        <v>557</v>
      </c>
      <c r="G48" s="154"/>
      <c r="H48" s="152">
        <v>60136.375</v>
      </c>
      <c r="I48" s="155" t="s">
        <v>535</v>
      </c>
      <c r="J48" s="152">
        <v>270</v>
      </c>
      <c r="K48" s="157" t="s">
        <v>554</v>
      </c>
      <c r="L48" s="154" t="s">
        <v>565</v>
      </c>
      <c r="M48" s="152">
        <v>50290.2</v>
      </c>
      <c r="N48" s="157" t="s">
        <v>554</v>
      </c>
      <c r="O48" s="227">
        <f t="shared" ref="O48:O51" si="12">+O47-J48-M48</f>
        <v>127724.02230000003</v>
      </c>
      <c r="P48" s="152">
        <f t="shared" si="0"/>
        <v>444204.8853000002</v>
      </c>
    </row>
    <row r="49" spans="1:16" x14ac:dyDescent="0.15">
      <c r="A49" s="154"/>
      <c r="B49" s="151"/>
      <c r="C49" s="152"/>
      <c r="D49" s="155" t="s">
        <v>536</v>
      </c>
      <c r="E49" s="154" t="s">
        <v>72</v>
      </c>
      <c r="F49" s="157" t="s">
        <v>557</v>
      </c>
      <c r="G49" s="154"/>
      <c r="H49" s="152">
        <v>100148.958</v>
      </c>
      <c r="I49" s="155" t="s">
        <v>536</v>
      </c>
      <c r="J49" s="152">
        <v>1102.6637000000001</v>
      </c>
      <c r="K49" s="157" t="s">
        <v>554</v>
      </c>
      <c r="L49" s="154"/>
      <c r="M49" s="152"/>
      <c r="N49" s="157"/>
      <c r="O49" s="227">
        <f t="shared" si="12"/>
        <v>126621.35860000002</v>
      </c>
      <c r="P49" s="152">
        <f t="shared" si="0"/>
        <v>543251.17960000015</v>
      </c>
    </row>
    <row r="50" spans="1:16" x14ac:dyDescent="0.15">
      <c r="A50" s="154"/>
      <c r="B50" s="151"/>
      <c r="C50" s="152"/>
      <c r="D50" s="155" t="s">
        <v>537</v>
      </c>
      <c r="E50" s="154" t="s">
        <v>72</v>
      </c>
      <c r="F50" s="157" t="s">
        <v>558</v>
      </c>
      <c r="G50" s="154"/>
      <c r="H50" s="152">
        <v>120159.401</v>
      </c>
      <c r="I50" s="155" t="s">
        <v>537</v>
      </c>
      <c r="J50" s="152"/>
      <c r="K50" s="157"/>
      <c r="L50" s="154" t="s">
        <v>565</v>
      </c>
      <c r="M50" s="152">
        <v>77492.800000000003</v>
      </c>
      <c r="N50" s="157" t="s">
        <v>554</v>
      </c>
      <c r="O50" s="227">
        <f t="shared" si="12"/>
        <v>49128.558600000018</v>
      </c>
      <c r="P50" s="152">
        <f t="shared" si="0"/>
        <v>585917.78060000006</v>
      </c>
    </row>
    <row r="51" spans="1:16" x14ac:dyDescent="0.15">
      <c r="A51" s="154"/>
      <c r="B51" s="151"/>
      <c r="C51" s="152"/>
      <c r="D51" s="155" t="s">
        <v>538</v>
      </c>
      <c r="E51" s="154" t="s">
        <v>72</v>
      </c>
      <c r="F51" s="157" t="s">
        <v>559</v>
      </c>
      <c r="G51" s="154"/>
      <c r="H51" s="152">
        <v>100193.95699999999</v>
      </c>
      <c r="I51" s="155" t="s">
        <v>538</v>
      </c>
      <c r="J51" s="152">
        <v>1031.79</v>
      </c>
      <c r="K51" s="157" t="s">
        <v>554</v>
      </c>
      <c r="L51" s="154" t="s">
        <v>565</v>
      </c>
      <c r="M51" s="152">
        <v>48097</v>
      </c>
      <c r="N51" s="157" t="s">
        <v>554</v>
      </c>
      <c r="O51" s="227">
        <f t="shared" si="12"/>
        <v>-0.23139999998238636</v>
      </c>
      <c r="P51" s="152">
        <f t="shared" si="0"/>
        <v>636982.94760000007</v>
      </c>
    </row>
    <row r="52" spans="1:16" x14ac:dyDescent="0.15">
      <c r="A52" s="154"/>
      <c r="B52" s="151"/>
      <c r="C52" s="152"/>
      <c r="D52" s="155"/>
      <c r="E52" s="154"/>
      <c r="F52" s="157"/>
      <c r="G52" s="154"/>
      <c r="H52" s="152"/>
      <c r="I52" s="155" t="s">
        <v>538</v>
      </c>
      <c r="J52" s="152"/>
      <c r="K52" s="157"/>
      <c r="L52" s="154" t="s">
        <v>564</v>
      </c>
      <c r="M52" s="152">
        <v>3268</v>
      </c>
      <c r="N52" s="157" t="s">
        <v>555</v>
      </c>
      <c r="O52" s="227">
        <f>H41+H43+O51-J52-M52</f>
        <v>233042.25660000002</v>
      </c>
      <c r="P52" s="152">
        <f t="shared" si="0"/>
        <v>633714.94760000007</v>
      </c>
    </row>
    <row r="53" spans="1:16" x14ac:dyDescent="0.15">
      <c r="A53" s="154"/>
      <c r="B53" s="151"/>
      <c r="C53" s="152"/>
      <c r="D53" s="155"/>
      <c r="E53" s="154"/>
      <c r="F53" s="157"/>
      <c r="G53" s="154"/>
      <c r="H53" s="152"/>
      <c r="I53" s="155" t="s">
        <v>538</v>
      </c>
      <c r="J53" s="152"/>
      <c r="K53" s="157"/>
      <c r="L53" s="154" t="s">
        <v>564</v>
      </c>
      <c r="M53" s="152">
        <v>85012.76</v>
      </c>
      <c r="N53" s="157" t="s">
        <v>555</v>
      </c>
      <c r="O53" s="227">
        <f t="shared" ref="O53:O55" si="13">+O52-J53-M53</f>
        <v>148029.49660000001</v>
      </c>
      <c r="P53" s="152">
        <f t="shared" si="0"/>
        <v>548702.18760000006</v>
      </c>
    </row>
    <row r="54" spans="1:16" x14ac:dyDescent="0.15">
      <c r="A54" s="154"/>
      <c r="B54" s="151"/>
      <c r="C54" s="152"/>
      <c r="D54" s="155"/>
      <c r="E54" s="154"/>
      <c r="F54" s="157"/>
      <c r="G54" s="154"/>
      <c r="H54" s="152"/>
      <c r="I54" s="155" t="s">
        <v>539</v>
      </c>
      <c r="J54" s="152"/>
      <c r="K54" s="157"/>
      <c r="L54" s="154" t="s">
        <v>564</v>
      </c>
      <c r="M54" s="152">
        <v>74174.960000000006</v>
      </c>
      <c r="N54" s="157" t="s">
        <v>555</v>
      </c>
      <c r="O54" s="227">
        <f t="shared" si="13"/>
        <v>73854.536600000007</v>
      </c>
      <c r="P54" s="152">
        <f t="shared" si="0"/>
        <v>474527.22760000004</v>
      </c>
    </row>
    <row r="55" spans="1:16" x14ac:dyDescent="0.15">
      <c r="A55" s="154"/>
      <c r="B55" s="151"/>
      <c r="C55" s="152"/>
      <c r="D55" s="155"/>
      <c r="E55" s="154"/>
      <c r="F55" s="157"/>
      <c r="G55" s="154"/>
      <c r="H55" s="152"/>
      <c r="I55" s="155" t="s">
        <v>539</v>
      </c>
      <c r="J55" s="152"/>
      <c r="K55" s="157"/>
      <c r="L55" s="154" t="s">
        <v>564</v>
      </c>
      <c r="M55" s="152">
        <v>48990.06</v>
      </c>
      <c r="N55" s="157" t="s">
        <v>555</v>
      </c>
      <c r="O55" s="227">
        <f t="shared" si="13"/>
        <v>24864.476600000009</v>
      </c>
      <c r="P55" s="152">
        <f t="shared" si="0"/>
        <v>425537.16760000004</v>
      </c>
    </row>
    <row r="56" spans="1:16" x14ac:dyDescent="0.15">
      <c r="A56" s="154"/>
      <c r="B56" s="151"/>
      <c r="C56" s="152"/>
      <c r="D56" s="155" t="s">
        <v>540</v>
      </c>
      <c r="E56" s="154" t="s">
        <v>72</v>
      </c>
      <c r="F56" s="157" t="s">
        <v>559</v>
      </c>
      <c r="G56" s="154"/>
      <c r="H56" s="152">
        <v>149362</v>
      </c>
      <c r="I56" s="155" t="s">
        <v>540</v>
      </c>
      <c r="J56" s="152">
        <v>384.08</v>
      </c>
      <c r="K56" s="157" t="s">
        <v>555</v>
      </c>
      <c r="L56" s="154" t="s">
        <v>564</v>
      </c>
      <c r="M56" s="152">
        <v>24480</v>
      </c>
      <c r="N56" s="157" t="s">
        <v>555</v>
      </c>
      <c r="O56" s="227">
        <f t="shared" si="1"/>
        <v>0.39660000000731088</v>
      </c>
      <c r="P56" s="152">
        <f t="shared" si="0"/>
        <v>550035.08760000009</v>
      </c>
    </row>
    <row r="57" spans="1:16" x14ac:dyDescent="0.15">
      <c r="A57" s="154"/>
      <c r="B57" s="151"/>
      <c r="C57" s="152"/>
      <c r="D57" s="155"/>
      <c r="E57" s="154"/>
      <c r="F57" s="157"/>
      <c r="G57" s="154"/>
      <c r="H57" s="152"/>
      <c r="I57" s="155" t="s">
        <v>540</v>
      </c>
      <c r="J57" s="152"/>
      <c r="K57" s="157"/>
      <c r="L57" s="154" t="s">
        <v>564</v>
      </c>
      <c r="M57" s="152">
        <v>20034</v>
      </c>
      <c r="N57" s="157" t="s">
        <v>556</v>
      </c>
      <c r="O57" s="227">
        <f>H45+O56-J57-M57</f>
        <v>0.39660000000731088</v>
      </c>
      <c r="P57" s="152">
        <f t="shared" si="0"/>
        <v>530001.08760000009</v>
      </c>
    </row>
    <row r="58" spans="1:16" x14ac:dyDescent="0.15">
      <c r="A58" s="154"/>
      <c r="B58" s="151"/>
      <c r="C58" s="152"/>
      <c r="D58" s="155"/>
      <c r="E58" s="154"/>
      <c r="F58" s="157"/>
      <c r="G58" s="154"/>
      <c r="H58" s="152"/>
      <c r="I58" s="155" t="s">
        <v>540</v>
      </c>
      <c r="J58" s="152"/>
      <c r="K58" s="157"/>
      <c r="L58" s="154" t="s">
        <v>565</v>
      </c>
      <c r="M58" s="152">
        <v>33502</v>
      </c>
      <c r="N58" s="157" t="s">
        <v>557</v>
      </c>
      <c r="O58" s="227">
        <f>H48+H49+O57-J58-M58</f>
        <v>126783.72959999999</v>
      </c>
      <c r="P58" s="152">
        <f t="shared" si="0"/>
        <v>496499.08760000009</v>
      </c>
    </row>
    <row r="59" spans="1:16" x14ac:dyDescent="0.15">
      <c r="A59" s="154"/>
      <c r="B59" s="151"/>
      <c r="C59" s="152"/>
      <c r="D59" s="155" t="s">
        <v>540</v>
      </c>
      <c r="E59" s="154" t="s">
        <v>72</v>
      </c>
      <c r="F59" s="157" t="s">
        <v>560</v>
      </c>
      <c r="G59" s="154"/>
      <c r="H59" s="152">
        <v>6680</v>
      </c>
      <c r="I59" s="155" t="s">
        <v>540</v>
      </c>
      <c r="J59" s="152"/>
      <c r="K59" s="157"/>
      <c r="L59" s="154" t="s">
        <v>565</v>
      </c>
      <c r="M59" s="152">
        <v>81305.48</v>
      </c>
      <c r="N59" s="157" t="s">
        <v>557</v>
      </c>
      <c r="O59" s="227">
        <f t="shared" ref="O59:O60" si="14">+O58-J59-M59</f>
        <v>45478.249599999996</v>
      </c>
      <c r="P59" s="152">
        <f t="shared" si="0"/>
        <v>421873.6076000001</v>
      </c>
    </row>
    <row r="60" spans="1:16" x14ac:dyDescent="0.15">
      <c r="A60" s="154"/>
      <c r="B60" s="151"/>
      <c r="C60" s="152"/>
      <c r="D60" s="155"/>
      <c r="E60" s="154"/>
      <c r="F60" s="157"/>
      <c r="G60" s="154"/>
      <c r="H60" s="152"/>
      <c r="I60" s="155" t="s">
        <v>540</v>
      </c>
      <c r="J60" s="152"/>
      <c r="K60" s="154"/>
      <c r="L60" s="154" t="s">
        <v>565</v>
      </c>
      <c r="M60" s="152">
        <v>45478</v>
      </c>
      <c r="N60" s="157" t="s">
        <v>557</v>
      </c>
      <c r="O60" s="227">
        <f t="shared" si="14"/>
        <v>0.24959999999555293</v>
      </c>
      <c r="P60" s="152">
        <f t="shared" si="0"/>
        <v>376395.6076000001</v>
      </c>
    </row>
    <row r="61" spans="1:16" x14ac:dyDescent="0.15">
      <c r="A61" s="154"/>
      <c r="B61" s="151"/>
      <c r="C61" s="152"/>
      <c r="D61" s="155"/>
      <c r="E61" s="154"/>
      <c r="F61" s="157"/>
      <c r="G61" s="154"/>
      <c r="H61" s="152"/>
      <c r="I61" s="155" t="s">
        <v>540</v>
      </c>
      <c r="J61" s="152"/>
      <c r="K61" s="154"/>
      <c r="L61" s="154" t="s">
        <v>565</v>
      </c>
      <c r="M61" s="152">
        <v>34170</v>
      </c>
      <c r="N61" s="157" t="s">
        <v>558</v>
      </c>
      <c r="O61" s="227">
        <f>H50+O60-J61-M61</f>
        <v>85989.650599999994</v>
      </c>
      <c r="P61" s="152">
        <f t="shared" si="0"/>
        <v>342225.6076000001</v>
      </c>
    </row>
    <row r="62" spans="1:16" x14ac:dyDescent="0.15">
      <c r="A62" s="154"/>
      <c r="B62" s="151"/>
      <c r="C62" s="152"/>
      <c r="D62" s="155" t="s">
        <v>541</v>
      </c>
      <c r="E62" s="154" t="s">
        <v>72</v>
      </c>
      <c r="F62" s="157" t="s">
        <v>561</v>
      </c>
      <c r="G62" s="154"/>
      <c r="H62" s="152">
        <v>120180.594</v>
      </c>
      <c r="I62" s="155" t="s">
        <v>541</v>
      </c>
      <c r="J62" s="152"/>
      <c r="K62" s="154"/>
      <c r="L62" s="154" t="s">
        <v>565</v>
      </c>
      <c r="M62" s="152">
        <v>50399.74</v>
      </c>
      <c r="N62" s="157" t="s">
        <v>558</v>
      </c>
      <c r="O62" s="227">
        <f t="shared" ref="O62:O64" si="15">+O61-J62-M62</f>
        <v>35589.910599999996</v>
      </c>
      <c r="P62" s="152">
        <f t="shared" si="0"/>
        <v>412006.4616000001</v>
      </c>
    </row>
    <row r="63" spans="1:16" x14ac:dyDescent="0.15">
      <c r="A63" s="154"/>
      <c r="B63" s="151"/>
      <c r="C63" s="152"/>
      <c r="D63" s="155" t="s">
        <v>546</v>
      </c>
      <c r="E63" s="154" t="s">
        <v>72</v>
      </c>
      <c r="F63" s="157" t="s">
        <v>561</v>
      </c>
      <c r="G63" s="154"/>
      <c r="H63" s="152">
        <v>80094.906000000003</v>
      </c>
      <c r="I63" s="155" t="s">
        <v>546</v>
      </c>
      <c r="J63" s="152"/>
      <c r="K63" s="157"/>
      <c r="L63" s="154"/>
      <c r="M63" s="152"/>
      <c r="N63" s="157"/>
      <c r="O63" s="227">
        <f t="shared" si="15"/>
        <v>35589.910599999996</v>
      </c>
      <c r="P63" s="152">
        <f t="shared" si="0"/>
        <v>492101.36760000011</v>
      </c>
    </row>
    <row r="64" spans="1:16" x14ac:dyDescent="0.15">
      <c r="A64" s="154"/>
      <c r="B64" s="151"/>
      <c r="C64" s="152"/>
      <c r="D64" s="155" t="s">
        <v>542</v>
      </c>
      <c r="E64" s="154" t="s">
        <v>72</v>
      </c>
      <c r="F64" s="157" t="s">
        <v>562</v>
      </c>
      <c r="G64" s="154"/>
      <c r="H64" s="152">
        <v>100141.841</v>
      </c>
      <c r="I64" s="155" t="s">
        <v>542</v>
      </c>
      <c r="J64" s="152"/>
      <c r="K64" s="157"/>
      <c r="L64" s="154" t="s">
        <v>565</v>
      </c>
      <c r="M64" s="152">
        <v>35590</v>
      </c>
      <c r="N64" s="157" t="s">
        <v>558</v>
      </c>
      <c r="O64" s="227">
        <f t="shared" si="15"/>
        <v>-8.9400000004388858E-2</v>
      </c>
      <c r="P64" s="152">
        <f t="shared" si="0"/>
        <v>556653.20860000013</v>
      </c>
    </row>
    <row r="65" spans="1:16" x14ac:dyDescent="0.15">
      <c r="A65" s="154"/>
      <c r="B65" s="151"/>
      <c r="C65" s="152"/>
      <c r="D65" s="155"/>
      <c r="E65" s="154"/>
      <c r="F65" s="157"/>
      <c r="G65" s="154"/>
      <c r="H65" s="152"/>
      <c r="I65" s="155" t="s">
        <v>542</v>
      </c>
      <c r="J65" s="152"/>
      <c r="K65" s="157"/>
      <c r="L65" s="154" t="s">
        <v>565</v>
      </c>
      <c r="M65" s="152">
        <v>42768</v>
      </c>
      <c r="N65" s="157" t="s">
        <v>559</v>
      </c>
      <c r="O65" s="227">
        <f>H51+H56+O64-J65-M65</f>
        <v>206787.8676</v>
      </c>
      <c r="P65" s="152">
        <f t="shared" si="0"/>
        <v>513885.20860000013</v>
      </c>
    </row>
    <row r="66" spans="1:16" x14ac:dyDescent="0.15">
      <c r="A66" s="154"/>
      <c r="B66" s="151"/>
      <c r="C66" s="152"/>
      <c r="D66" s="155" t="s">
        <v>547</v>
      </c>
      <c r="E66" s="154" t="s">
        <v>72</v>
      </c>
      <c r="F66" s="157" t="s">
        <v>562</v>
      </c>
      <c r="G66" s="154"/>
      <c r="H66" s="152">
        <v>77176</v>
      </c>
      <c r="I66" s="155" t="s">
        <v>547</v>
      </c>
      <c r="J66" s="152"/>
      <c r="K66" s="157"/>
      <c r="L66" s="154"/>
      <c r="M66" s="152"/>
      <c r="N66" s="157"/>
      <c r="O66" s="227">
        <f t="shared" ref="O66:O105" si="16">+O65-J66-M66</f>
        <v>206787.8676</v>
      </c>
      <c r="P66" s="152">
        <f t="shared" si="0"/>
        <v>591061.20860000013</v>
      </c>
    </row>
    <row r="67" spans="1:16" x14ac:dyDescent="0.15">
      <c r="A67" s="154"/>
      <c r="B67" s="151"/>
      <c r="C67" s="152"/>
      <c r="D67" s="155" t="s">
        <v>547</v>
      </c>
      <c r="E67" s="154" t="s">
        <v>72</v>
      </c>
      <c r="F67" s="157" t="s">
        <v>563</v>
      </c>
      <c r="G67" s="154"/>
      <c r="H67" s="152">
        <v>43127</v>
      </c>
      <c r="I67" s="155" t="s">
        <v>547</v>
      </c>
      <c r="J67" s="152"/>
      <c r="K67" s="157"/>
      <c r="L67" s="154"/>
      <c r="M67" s="152"/>
      <c r="N67" s="157"/>
      <c r="O67" s="227">
        <f t="shared" si="16"/>
        <v>206787.8676</v>
      </c>
      <c r="P67" s="152">
        <f t="shared" si="0"/>
        <v>634188.20860000013</v>
      </c>
    </row>
    <row r="68" spans="1:16" x14ac:dyDescent="0.15">
      <c r="A68" s="154"/>
      <c r="B68" s="151"/>
      <c r="C68" s="152"/>
      <c r="D68" s="155" t="s">
        <v>543</v>
      </c>
      <c r="E68" s="154" t="s">
        <v>72</v>
      </c>
      <c r="F68" s="157" t="s">
        <v>563</v>
      </c>
      <c r="G68" s="154"/>
      <c r="H68" s="152">
        <v>40082.732000000004</v>
      </c>
      <c r="I68" s="155" t="s">
        <v>543</v>
      </c>
      <c r="J68" s="152"/>
      <c r="K68" s="157"/>
      <c r="L68" s="154" t="s">
        <v>565</v>
      </c>
      <c r="M68" s="152">
        <v>86353.51</v>
      </c>
      <c r="N68" s="157" t="s">
        <v>559</v>
      </c>
      <c r="O68" s="227">
        <f t="shared" si="16"/>
        <v>120434.3576</v>
      </c>
      <c r="P68" s="152">
        <f t="shared" si="0"/>
        <v>587917.43060000008</v>
      </c>
    </row>
    <row r="69" spans="1:16" hidden="1" x14ac:dyDescent="0.15">
      <c r="A69" s="154"/>
      <c r="B69" s="151"/>
      <c r="C69" s="152"/>
      <c r="D69" s="155"/>
      <c r="E69" s="154"/>
      <c r="F69" s="157"/>
      <c r="G69" s="154"/>
      <c r="H69" s="152"/>
      <c r="I69" s="155"/>
      <c r="J69" s="152"/>
      <c r="K69" s="157"/>
      <c r="L69" s="154"/>
      <c r="M69" s="152"/>
      <c r="N69" s="157"/>
      <c r="O69" s="227">
        <f t="shared" si="16"/>
        <v>120434.3576</v>
      </c>
      <c r="P69" s="152">
        <f t="shared" si="0"/>
        <v>587917.43060000008</v>
      </c>
    </row>
    <row r="70" spans="1:16" hidden="1" x14ac:dyDescent="0.15">
      <c r="A70" s="154"/>
      <c r="B70" s="151"/>
      <c r="C70" s="152"/>
      <c r="D70" s="155"/>
      <c r="E70" s="154"/>
      <c r="F70" s="157"/>
      <c r="G70" s="154"/>
      <c r="H70" s="152"/>
      <c r="I70" s="155"/>
      <c r="J70" s="152"/>
      <c r="K70" s="157"/>
      <c r="L70" s="154"/>
      <c r="M70" s="152"/>
      <c r="N70" s="157"/>
      <c r="O70" s="227">
        <f t="shared" si="16"/>
        <v>120434.3576</v>
      </c>
      <c r="P70" s="152">
        <f t="shared" si="0"/>
        <v>587917.43060000008</v>
      </c>
    </row>
    <row r="71" spans="1:16" hidden="1" x14ac:dyDescent="0.15">
      <c r="A71" s="154"/>
      <c r="B71" s="151"/>
      <c r="C71" s="152"/>
      <c r="D71" s="155"/>
      <c r="E71" s="154"/>
      <c r="F71" s="157"/>
      <c r="G71" s="154"/>
      <c r="H71" s="152"/>
      <c r="I71" s="155"/>
      <c r="J71" s="152"/>
      <c r="K71" s="157"/>
      <c r="L71" s="154"/>
      <c r="M71" s="152"/>
      <c r="N71" s="157"/>
      <c r="O71" s="227">
        <f t="shared" si="16"/>
        <v>120434.3576</v>
      </c>
      <c r="P71" s="152">
        <f t="shared" si="0"/>
        <v>587917.43060000008</v>
      </c>
    </row>
    <row r="72" spans="1:16" hidden="1" x14ac:dyDescent="0.15">
      <c r="A72" s="154"/>
      <c r="B72" s="151"/>
      <c r="C72" s="152"/>
      <c r="D72" s="155"/>
      <c r="E72" s="154"/>
      <c r="F72" s="157"/>
      <c r="G72" s="154"/>
      <c r="H72" s="152"/>
      <c r="I72" s="155"/>
      <c r="J72" s="152"/>
      <c r="K72" s="150"/>
      <c r="L72" s="154"/>
      <c r="M72" s="152"/>
      <c r="N72" s="157"/>
      <c r="O72" s="227">
        <f t="shared" si="16"/>
        <v>120434.3576</v>
      </c>
      <c r="P72" s="152">
        <f t="shared" si="0"/>
        <v>587917.43060000008</v>
      </c>
    </row>
    <row r="73" spans="1:16" hidden="1" x14ac:dyDescent="0.15">
      <c r="A73" s="154"/>
      <c r="B73" s="151"/>
      <c r="C73" s="152"/>
      <c r="D73" s="155"/>
      <c r="E73" s="154"/>
      <c r="F73" s="157"/>
      <c r="G73" s="154"/>
      <c r="H73" s="152"/>
      <c r="I73" s="155"/>
      <c r="J73" s="152"/>
      <c r="K73" s="157"/>
      <c r="L73" s="154"/>
      <c r="M73" s="152"/>
      <c r="N73" s="157"/>
      <c r="O73" s="227">
        <f t="shared" si="16"/>
        <v>120434.3576</v>
      </c>
      <c r="P73" s="152">
        <f t="shared" ref="P73:P105" si="17">P72+H73-J73-M73</f>
        <v>587917.43060000008</v>
      </c>
    </row>
    <row r="74" spans="1:16" hidden="1" x14ac:dyDescent="0.15">
      <c r="A74" s="154"/>
      <c r="B74" s="151"/>
      <c r="C74" s="152"/>
      <c r="D74" s="155"/>
      <c r="E74" s="154"/>
      <c r="F74" s="157"/>
      <c r="G74" s="154"/>
      <c r="H74" s="152"/>
      <c r="I74" s="155"/>
      <c r="J74" s="152"/>
      <c r="K74" s="150"/>
      <c r="L74" s="154"/>
      <c r="M74" s="152"/>
      <c r="N74" s="157"/>
      <c r="O74" s="227">
        <f t="shared" si="16"/>
        <v>120434.3576</v>
      </c>
      <c r="P74" s="152">
        <f t="shared" si="17"/>
        <v>587917.43060000008</v>
      </c>
    </row>
    <row r="75" spans="1:16" hidden="1" x14ac:dyDescent="0.15">
      <c r="A75" s="154"/>
      <c r="B75" s="151"/>
      <c r="C75" s="152"/>
      <c r="D75" s="155"/>
      <c r="E75" s="154"/>
      <c r="F75" s="157"/>
      <c r="G75" s="154"/>
      <c r="H75" s="152"/>
      <c r="I75" s="155"/>
      <c r="J75" s="152"/>
      <c r="K75" s="150"/>
      <c r="L75" s="154"/>
      <c r="M75" s="152"/>
      <c r="N75" s="157"/>
      <c r="O75" s="227">
        <f t="shared" si="16"/>
        <v>120434.3576</v>
      </c>
      <c r="P75" s="152">
        <f t="shared" si="17"/>
        <v>587917.43060000008</v>
      </c>
    </row>
    <row r="76" spans="1:16" hidden="1" x14ac:dyDescent="0.15">
      <c r="A76" s="154"/>
      <c r="B76" s="151"/>
      <c r="C76" s="152"/>
      <c r="D76" s="155"/>
      <c r="E76" s="154"/>
      <c r="F76" s="157"/>
      <c r="G76" s="154"/>
      <c r="H76" s="152"/>
      <c r="I76" s="155"/>
      <c r="J76" s="152"/>
      <c r="K76" s="150"/>
      <c r="L76" s="154"/>
      <c r="M76" s="152"/>
      <c r="N76" s="157"/>
      <c r="O76" s="227">
        <f t="shared" si="16"/>
        <v>120434.3576</v>
      </c>
      <c r="P76" s="152">
        <f t="shared" si="17"/>
        <v>587917.43060000008</v>
      </c>
    </row>
    <row r="77" spans="1:16" hidden="1" x14ac:dyDescent="0.15">
      <c r="A77" s="154"/>
      <c r="B77" s="151"/>
      <c r="C77" s="152"/>
      <c r="D77" s="155"/>
      <c r="E77" s="154"/>
      <c r="F77" s="157"/>
      <c r="G77" s="154"/>
      <c r="H77" s="152"/>
      <c r="I77" s="155"/>
      <c r="J77" s="152"/>
      <c r="K77" s="150"/>
      <c r="L77" s="154"/>
      <c r="M77" s="152"/>
      <c r="N77" s="157"/>
      <c r="O77" s="227">
        <f t="shared" si="16"/>
        <v>120434.3576</v>
      </c>
      <c r="P77" s="152">
        <f t="shared" si="17"/>
        <v>587917.43060000008</v>
      </c>
    </row>
    <row r="78" spans="1:16" hidden="1" x14ac:dyDescent="0.15">
      <c r="A78" s="154"/>
      <c r="B78" s="151"/>
      <c r="C78" s="152"/>
      <c r="D78" s="155"/>
      <c r="E78" s="154"/>
      <c r="F78" s="157"/>
      <c r="G78" s="154"/>
      <c r="H78" s="152"/>
      <c r="I78" s="155"/>
      <c r="J78" s="152"/>
      <c r="K78" s="150"/>
      <c r="L78" s="154"/>
      <c r="M78" s="152"/>
      <c r="N78" s="157"/>
      <c r="O78" s="227">
        <f t="shared" si="16"/>
        <v>120434.3576</v>
      </c>
      <c r="P78" s="152">
        <f t="shared" si="17"/>
        <v>587917.43060000008</v>
      </c>
    </row>
    <row r="79" spans="1:16" hidden="1" x14ac:dyDescent="0.15">
      <c r="A79" s="154"/>
      <c r="B79" s="151"/>
      <c r="C79" s="152"/>
      <c r="D79" s="155"/>
      <c r="E79" s="154"/>
      <c r="F79" s="157"/>
      <c r="G79" s="154"/>
      <c r="H79" s="152"/>
      <c r="I79" s="155"/>
      <c r="J79" s="152"/>
      <c r="K79" s="150"/>
      <c r="L79" s="154"/>
      <c r="M79" s="152"/>
      <c r="N79" s="157"/>
      <c r="O79" s="227">
        <f t="shared" si="16"/>
        <v>120434.3576</v>
      </c>
      <c r="P79" s="152">
        <f t="shared" si="17"/>
        <v>587917.43060000008</v>
      </c>
    </row>
    <row r="80" spans="1:16" hidden="1" x14ac:dyDescent="0.15">
      <c r="A80" s="154"/>
      <c r="B80" s="151"/>
      <c r="C80" s="152"/>
      <c r="D80" s="155"/>
      <c r="E80" s="154"/>
      <c r="F80" s="157"/>
      <c r="G80" s="154"/>
      <c r="H80" s="152"/>
      <c r="I80" s="155"/>
      <c r="J80" s="152"/>
      <c r="K80" s="150"/>
      <c r="L80" s="154"/>
      <c r="M80" s="152"/>
      <c r="N80" s="157"/>
      <c r="O80" s="227">
        <f t="shared" si="16"/>
        <v>120434.3576</v>
      </c>
      <c r="P80" s="152">
        <f t="shared" si="17"/>
        <v>587917.43060000008</v>
      </c>
    </row>
    <row r="81" spans="1:16" hidden="1" x14ac:dyDescent="0.15">
      <c r="A81" s="154"/>
      <c r="B81" s="151"/>
      <c r="C81" s="152"/>
      <c r="D81" s="155"/>
      <c r="E81" s="154"/>
      <c r="F81" s="157"/>
      <c r="G81" s="154"/>
      <c r="H81" s="152"/>
      <c r="I81" s="155"/>
      <c r="J81" s="152"/>
      <c r="K81" s="150"/>
      <c r="L81" s="154"/>
      <c r="M81" s="152"/>
      <c r="N81" s="157"/>
      <c r="O81" s="227">
        <f t="shared" si="16"/>
        <v>120434.3576</v>
      </c>
      <c r="P81" s="152">
        <f t="shared" si="17"/>
        <v>587917.43060000008</v>
      </c>
    </row>
    <row r="82" spans="1:16" hidden="1" x14ac:dyDescent="0.15">
      <c r="A82" s="154"/>
      <c r="B82" s="151"/>
      <c r="C82" s="152"/>
      <c r="D82" s="155"/>
      <c r="E82" s="154"/>
      <c r="F82" s="157"/>
      <c r="G82" s="154"/>
      <c r="H82" s="152"/>
      <c r="I82" s="155"/>
      <c r="J82" s="152"/>
      <c r="K82" s="150"/>
      <c r="L82" s="154"/>
      <c r="M82" s="152"/>
      <c r="N82" s="157"/>
      <c r="O82" s="227">
        <f t="shared" si="16"/>
        <v>120434.3576</v>
      </c>
      <c r="P82" s="152">
        <f t="shared" si="17"/>
        <v>587917.43060000008</v>
      </c>
    </row>
    <row r="83" spans="1:16" hidden="1" x14ac:dyDescent="0.15">
      <c r="A83" s="154"/>
      <c r="B83" s="151"/>
      <c r="C83" s="152"/>
      <c r="D83" s="155"/>
      <c r="E83" s="154"/>
      <c r="F83" s="157"/>
      <c r="G83" s="154"/>
      <c r="H83" s="152"/>
      <c r="I83" s="155"/>
      <c r="J83" s="152"/>
      <c r="K83" s="150"/>
      <c r="L83" s="154"/>
      <c r="M83" s="152"/>
      <c r="N83" s="157"/>
      <c r="O83" s="227">
        <f t="shared" si="16"/>
        <v>120434.3576</v>
      </c>
      <c r="P83" s="152">
        <f t="shared" si="17"/>
        <v>587917.43060000008</v>
      </c>
    </row>
    <row r="84" spans="1:16" hidden="1" x14ac:dyDescent="0.15">
      <c r="A84" s="154"/>
      <c r="B84" s="151"/>
      <c r="C84" s="152"/>
      <c r="D84" s="155"/>
      <c r="E84" s="154"/>
      <c r="F84" s="157"/>
      <c r="G84" s="154"/>
      <c r="H84" s="152"/>
      <c r="I84" s="155"/>
      <c r="J84" s="152"/>
      <c r="K84" s="150"/>
      <c r="L84" s="154"/>
      <c r="M84" s="152"/>
      <c r="N84" s="157"/>
      <c r="O84" s="227">
        <f t="shared" si="16"/>
        <v>120434.3576</v>
      </c>
      <c r="P84" s="152">
        <f t="shared" si="17"/>
        <v>587917.43060000008</v>
      </c>
    </row>
    <row r="85" spans="1:16" hidden="1" x14ac:dyDescent="0.15">
      <c r="A85" s="154"/>
      <c r="B85" s="151"/>
      <c r="C85" s="152"/>
      <c r="D85" s="155"/>
      <c r="E85" s="154"/>
      <c r="F85" s="157"/>
      <c r="G85" s="154"/>
      <c r="H85" s="152"/>
      <c r="I85" s="155"/>
      <c r="J85" s="152"/>
      <c r="K85" s="150"/>
      <c r="L85" s="154"/>
      <c r="M85" s="152"/>
      <c r="N85" s="157"/>
      <c r="O85" s="227">
        <f t="shared" si="16"/>
        <v>120434.3576</v>
      </c>
      <c r="P85" s="152">
        <f t="shared" si="17"/>
        <v>587917.43060000008</v>
      </c>
    </row>
    <row r="86" spans="1:16" hidden="1" x14ac:dyDescent="0.15">
      <c r="A86" s="154"/>
      <c r="B86" s="151"/>
      <c r="C86" s="152"/>
      <c r="D86" s="155"/>
      <c r="E86" s="154"/>
      <c r="F86" s="157"/>
      <c r="G86" s="154"/>
      <c r="H86" s="152"/>
      <c r="I86" s="155"/>
      <c r="J86" s="152"/>
      <c r="K86" s="150"/>
      <c r="L86" s="154"/>
      <c r="M86" s="152"/>
      <c r="N86" s="157"/>
      <c r="O86" s="227">
        <f t="shared" si="16"/>
        <v>120434.3576</v>
      </c>
      <c r="P86" s="152">
        <f t="shared" si="17"/>
        <v>587917.43060000008</v>
      </c>
    </row>
    <row r="87" spans="1:16" hidden="1" x14ac:dyDescent="0.15">
      <c r="A87" s="154"/>
      <c r="B87" s="151"/>
      <c r="C87" s="152"/>
      <c r="D87" s="155"/>
      <c r="E87" s="154"/>
      <c r="F87" s="157"/>
      <c r="G87" s="154"/>
      <c r="H87" s="152"/>
      <c r="I87" s="155"/>
      <c r="J87" s="152"/>
      <c r="K87" s="150"/>
      <c r="L87" s="154"/>
      <c r="M87" s="152"/>
      <c r="N87" s="157"/>
      <c r="O87" s="227">
        <f t="shared" si="16"/>
        <v>120434.3576</v>
      </c>
      <c r="P87" s="152">
        <f t="shared" si="17"/>
        <v>587917.43060000008</v>
      </c>
    </row>
    <row r="88" spans="1:16" hidden="1" x14ac:dyDescent="0.15">
      <c r="A88" s="154"/>
      <c r="B88" s="151"/>
      <c r="C88" s="152"/>
      <c r="D88" s="155"/>
      <c r="E88" s="154"/>
      <c r="F88" s="157"/>
      <c r="G88" s="154"/>
      <c r="H88" s="152"/>
      <c r="I88" s="155"/>
      <c r="J88" s="152"/>
      <c r="K88" s="150"/>
      <c r="L88" s="154"/>
      <c r="M88" s="152"/>
      <c r="N88" s="157"/>
      <c r="O88" s="227">
        <f t="shared" si="16"/>
        <v>120434.3576</v>
      </c>
      <c r="P88" s="152">
        <f t="shared" si="17"/>
        <v>587917.43060000008</v>
      </c>
    </row>
    <row r="89" spans="1:16" hidden="1" x14ac:dyDescent="0.15">
      <c r="A89" s="154"/>
      <c r="B89" s="151"/>
      <c r="C89" s="152"/>
      <c r="D89" s="155"/>
      <c r="E89" s="154"/>
      <c r="F89" s="157"/>
      <c r="G89" s="154"/>
      <c r="H89" s="152"/>
      <c r="I89" s="155"/>
      <c r="J89" s="152"/>
      <c r="K89" s="150"/>
      <c r="L89" s="154"/>
      <c r="M89" s="152"/>
      <c r="N89" s="157"/>
      <c r="O89" s="227">
        <f t="shared" si="16"/>
        <v>120434.3576</v>
      </c>
      <c r="P89" s="152">
        <f t="shared" si="17"/>
        <v>587917.43060000008</v>
      </c>
    </row>
    <row r="90" spans="1:16" hidden="1" x14ac:dyDescent="0.15">
      <c r="A90" s="154"/>
      <c r="B90" s="151"/>
      <c r="C90" s="152"/>
      <c r="D90" s="155"/>
      <c r="E90" s="154"/>
      <c r="F90" s="157"/>
      <c r="G90" s="154"/>
      <c r="H90" s="152"/>
      <c r="I90" s="155"/>
      <c r="J90" s="152"/>
      <c r="K90" s="150"/>
      <c r="L90" s="154"/>
      <c r="M90" s="152"/>
      <c r="N90" s="157"/>
      <c r="O90" s="227">
        <f t="shared" si="16"/>
        <v>120434.3576</v>
      </c>
      <c r="P90" s="152">
        <f t="shared" si="17"/>
        <v>587917.43060000008</v>
      </c>
    </row>
    <row r="91" spans="1:16" hidden="1" x14ac:dyDescent="0.15">
      <c r="A91" s="154"/>
      <c r="B91" s="151"/>
      <c r="C91" s="152"/>
      <c r="D91" s="155"/>
      <c r="E91" s="154"/>
      <c r="F91" s="157"/>
      <c r="G91" s="154"/>
      <c r="H91" s="152"/>
      <c r="I91" s="155"/>
      <c r="J91" s="152"/>
      <c r="K91" s="150"/>
      <c r="L91" s="154"/>
      <c r="M91" s="152"/>
      <c r="N91" s="157"/>
      <c r="O91" s="227">
        <f t="shared" si="16"/>
        <v>120434.3576</v>
      </c>
      <c r="P91" s="152">
        <f t="shared" si="17"/>
        <v>587917.43060000008</v>
      </c>
    </row>
    <row r="92" spans="1:16" hidden="1" x14ac:dyDescent="0.15">
      <c r="A92" s="154"/>
      <c r="B92" s="151"/>
      <c r="C92" s="152"/>
      <c r="D92" s="155"/>
      <c r="E92" s="154"/>
      <c r="F92" s="157"/>
      <c r="G92" s="154"/>
      <c r="H92" s="152"/>
      <c r="I92" s="155"/>
      <c r="J92" s="152"/>
      <c r="K92" s="150"/>
      <c r="L92" s="154"/>
      <c r="M92" s="152"/>
      <c r="N92" s="157"/>
      <c r="O92" s="227">
        <f t="shared" si="16"/>
        <v>120434.3576</v>
      </c>
      <c r="P92" s="152">
        <f t="shared" si="17"/>
        <v>587917.43060000008</v>
      </c>
    </row>
    <row r="93" spans="1:16" hidden="1" x14ac:dyDescent="0.15">
      <c r="A93" s="154"/>
      <c r="B93" s="151"/>
      <c r="C93" s="152"/>
      <c r="D93" s="155"/>
      <c r="E93" s="154"/>
      <c r="F93" s="157"/>
      <c r="G93" s="154"/>
      <c r="H93" s="152"/>
      <c r="I93" s="155"/>
      <c r="J93" s="152"/>
      <c r="K93" s="150"/>
      <c r="L93" s="154"/>
      <c r="M93" s="152"/>
      <c r="N93" s="157"/>
      <c r="O93" s="227">
        <f t="shared" si="16"/>
        <v>120434.3576</v>
      </c>
      <c r="P93" s="152">
        <f t="shared" si="17"/>
        <v>587917.43060000008</v>
      </c>
    </row>
    <row r="94" spans="1:16" hidden="1" x14ac:dyDescent="0.15">
      <c r="A94" s="154"/>
      <c r="B94" s="151"/>
      <c r="C94" s="152"/>
      <c r="D94" s="155"/>
      <c r="E94" s="154"/>
      <c r="F94" s="157"/>
      <c r="G94" s="154"/>
      <c r="H94" s="152"/>
      <c r="I94" s="155"/>
      <c r="J94" s="152"/>
      <c r="K94" s="150"/>
      <c r="L94" s="154"/>
      <c r="M94" s="152"/>
      <c r="N94" s="157"/>
      <c r="O94" s="227">
        <f t="shared" si="16"/>
        <v>120434.3576</v>
      </c>
      <c r="P94" s="152">
        <f t="shared" si="17"/>
        <v>587917.43060000008</v>
      </c>
    </row>
    <row r="95" spans="1:16" hidden="1" x14ac:dyDescent="0.15">
      <c r="A95" s="154"/>
      <c r="B95" s="151"/>
      <c r="C95" s="152"/>
      <c r="D95" s="155"/>
      <c r="E95" s="154"/>
      <c r="F95" s="157"/>
      <c r="G95" s="154"/>
      <c r="H95" s="152"/>
      <c r="I95" s="155"/>
      <c r="J95" s="152"/>
      <c r="K95" s="150"/>
      <c r="L95" s="154"/>
      <c r="M95" s="152"/>
      <c r="N95" s="157"/>
      <c r="O95" s="227">
        <f t="shared" si="16"/>
        <v>120434.3576</v>
      </c>
      <c r="P95" s="152">
        <f t="shared" si="17"/>
        <v>587917.43060000008</v>
      </c>
    </row>
    <row r="96" spans="1:16" hidden="1" x14ac:dyDescent="0.15">
      <c r="A96" s="154"/>
      <c r="B96" s="151"/>
      <c r="C96" s="152"/>
      <c r="D96" s="155"/>
      <c r="E96" s="154"/>
      <c r="F96" s="157"/>
      <c r="G96" s="154"/>
      <c r="H96" s="152"/>
      <c r="I96" s="155"/>
      <c r="J96" s="152"/>
      <c r="K96" s="150"/>
      <c r="L96" s="154"/>
      <c r="M96" s="152"/>
      <c r="N96" s="157"/>
      <c r="O96" s="227">
        <f t="shared" si="16"/>
        <v>120434.3576</v>
      </c>
      <c r="P96" s="152">
        <f t="shared" si="17"/>
        <v>587917.43060000008</v>
      </c>
    </row>
    <row r="97" spans="1:16" hidden="1" x14ac:dyDescent="0.15">
      <c r="A97" s="154"/>
      <c r="B97" s="151"/>
      <c r="C97" s="152"/>
      <c r="D97" s="155"/>
      <c r="E97" s="154"/>
      <c r="F97" s="157"/>
      <c r="G97" s="154"/>
      <c r="H97" s="152"/>
      <c r="I97" s="155"/>
      <c r="J97" s="152"/>
      <c r="K97" s="150"/>
      <c r="L97" s="154"/>
      <c r="M97" s="152"/>
      <c r="N97" s="157"/>
      <c r="O97" s="227">
        <f t="shared" si="16"/>
        <v>120434.3576</v>
      </c>
      <c r="P97" s="152">
        <f t="shared" si="17"/>
        <v>587917.43060000008</v>
      </c>
    </row>
    <row r="98" spans="1:16" hidden="1" x14ac:dyDescent="0.15">
      <c r="A98" s="154"/>
      <c r="B98" s="151"/>
      <c r="C98" s="152"/>
      <c r="D98" s="155"/>
      <c r="E98" s="154"/>
      <c r="F98" s="157"/>
      <c r="G98" s="154"/>
      <c r="H98" s="152"/>
      <c r="I98" s="155"/>
      <c r="J98" s="152"/>
      <c r="K98" s="150"/>
      <c r="L98" s="154"/>
      <c r="M98" s="152"/>
      <c r="N98" s="157"/>
      <c r="O98" s="227">
        <f t="shared" si="16"/>
        <v>120434.3576</v>
      </c>
      <c r="P98" s="152">
        <f t="shared" si="17"/>
        <v>587917.43060000008</v>
      </c>
    </row>
    <row r="99" spans="1:16" hidden="1" x14ac:dyDescent="0.15">
      <c r="A99" s="154"/>
      <c r="B99" s="151"/>
      <c r="C99" s="152"/>
      <c r="D99" s="155"/>
      <c r="E99" s="154"/>
      <c r="F99" s="157"/>
      <c r="G99" s="154"/>
      <c r="H99" s="152"/>
      <c r="I99" s="155"/>
      <c r="J99" s="152"/>
      <c r="K99" s="150"/>
      <c r="L99" s="154"/>
      <c r="M99" s="152"/>
      <c r="N99" s="157"/>
      <c r="O99" s="227">
        <f t="shared" si="16"/>
        <v>120434.3576</v>
      </c>
      <c r="P99" s="152">
        <f t="shared" si="17"/>
        <v>587917.43060000008</v>
      </c>
    </row>
    <row r="100" spans="1:16" hidden="1" x14ac:dyDescent="0.15">
      <c r="A100" s="154"/>
      <c r="B100" s="151"/>
      <c r="C100" s="152"/>
      <c r="D100" s="155"/>
      <c r="E100" s="154"/>
      <c r="F100" s="157"/>
      <c r="G100" s="154"/>
      <c r="H100" s="152"/>
      <c r="I100" s="155"/>
      <c r="J100" s="152"/>
      <c r="K100" s="150"/>
      <c r="L100" s="154"/>
      <c r="M100" s="152"/>
      <c r="N100" s="157"/>
      <c r="O100" s="227">
        <f t="shared" si="16"/>
        <v>120434.3576</v>
      </c>
      <c r="P100" s="152">
        <f t="shared" si="17"/>
        <v>587917.43060000008</v>
      </c>
    </row>
    <row r="101" spans="1:16" hidden="1" x14ac:dyDescent="0.15">
      <c r="A101" s="154"/>
      <c r="B101" s="151"/>
      <c r="C101" s="152"/>
      <c r="D101" s="155"/>
      <c r="E101" s="154"/>
      <c r="F101" s="157"/>
      <c r="G101" s="154"/>
      <c r="H101" s="152"/>
      <c r="I101" s="155"/>
      <c r="J101" s="152"/>
      <c r="K101" s="150"/>
      <c r="L101" s="154"/>
      <c r="M101" s="152"/>
      <c r="N101" s="157"/>
      <c r="O101" s="227">
        <f t="shared" si="16"/>
        <v>120434.3576</v>
      </c>
      <c r="P101" s="152">
        <f t="shared" si="17"/>
        <v>587917.43060000008</v>
      </c>
    </row>
    <row r="102" spans="1:16" hidden="1" x14ac:dyDescent="0.15">
      <c r="A102" s="154"/>
      <c r="B102" s="151"/>
      <c r="C102" s="152"/>
      <c r="D102" s="155"/>
      <c r="E102" s="154"/>
      <c r="F102" s="157"/>
      <c r="G102" s="154"/>
      <c r="H102" s="152"/>
      <c r="I102" s="155"/>
      <c r="J102" s="152"/>
      <c r="K102" s="157"/>
      <c r="L102" s="154"/>
      <c r="M102" s="152"/>
      <c r="N102" s="157"/>
      <c r="O102" s="227">
        <f t="shared" si="16"/>
        <v>120434.3576</v>
      </c>
      <c r="P102" s="152">
        <f t="shared" si="17"/>
        <v>587917.43060000008</v>
      </c>
    </row>
    <row r="103" spans="1:16" hidden="1" x14ac:dyDescent="0.15">
      <c r="A103" s="154"/>
      <c r="B103" s="151"/>
      <c r="C103" s="152"/>
      <c r="D103" s="155"/>
      <c r="E103" s="154"/>
      <c r="F103" s="157"/>
      <c r="G103" s="151"/>
      <c r="H103" s="152"/>
      <c r="I103" s="155"/>
      <c r="J103" s="152"/>
      <c r="K103" s="157"/>
      <c r="L103" s="154"/>
      <c r="M103" s="152"/>
      <c r="N103" s="150"/>
      <c r="O103" s="227">
        <f t="shared" si="16"/>
        <v>120434.3576</v>
      </c>
      <c r="P103" s="152">
        <f t="shared" si="17"/>
        <v>587917.43060000008</v>
      </c>
    </row>
    <row r="104" spans="1:16" hidden="1" x14ac:dyDescent="0.15">
      <c r="A104" s="154"/>
      <c r="B104" s="151"/>
      <c r="C104" s="152"/>
      <c r="D104" s="155"/>
      <c r="E104" s="154"/>
      <c r="F104" s="160"/>
      <c r="G104" s="151"/>
      <c r="H104" s="152"/>
      <c r="I104" s="155"/>
      <c r="J104" s="152"/>
      <c r="K104" s="150"/>
      <c r="L104" s="154"/>
      <c r="M104" s="152"/>
      <c r="N104" s="157"/>
      <c r="O104" s="227">
        <f t="shared" si="16"/>
        <v>120434.3576</v>
      </c>
      <c r="P104" s="152">
        <f t="shared" si="17"/>
        <v>587917.43060000008</v>
      </c>
    </row>
    <row r="105" spans="1:16" hidden="1" x14ac:dyDescent="0.15">
      <c r="A105" s="173"/>
      <c r="B105" s="173"/>
      <c r="C105" s="174"/>
      <c r="D105" s="175"/>
      <c r="E105" s="173"/>
      <c r="F105" s="173"/>
      <c r="G105" s="176"/>
      <c r="H105" s="174"/>
      <c r="I105" s="175"/>
      <c r="J105" s="174"/>
      <c r="K105" s="173"/>
      <c r="L105" s="173"/>
      <c r="M105" s="174"/>
      <c r="N105" s="173"/>
      <c r="O105" s="227">
        <f t="shared" si="16"/>
        <v>120434.3576</v>
      </c>
      <c r="P105" s="152">
        <f t="shared" si="17"/>
        <v>587917.43060000008</v>
      </c>
    </row>
    <row r="106" spans="1:16" x14ac:dyDescent="0.15">
      <c r="A106" s="177"/>
      <c r="B106" s="177"/>
      <c r="C106" s="178">
        <f>SUM(C7:C104)</f>
        <v>558309.1447620095</v>
      </c>
      <c r="D106" s="177"/>
      <c r="E106" s="177"/>
      <c r="F106" s="177"/>
      <c r="G106" s="177"/>
      <c r="H106" s="178">
        <f>SUM(H7:H104)</f>
        <v>2583226.0669999998</v>
      </c>
      <c r="I106" s="179"/>
      <c r="J106" s="178">
        <f>SUM(J7:J104)</f>
        <v>10723.2914</v>
      </c>
      <c r="K106" s="177"/>
      <c r="L106" s="177"/>
      <c r="M106" s="178">
        <f>SUM(M9:M104)</f>
        <v>2542894.4897620096</v>
      </c>
      <c r="N106" s="177"/>
      <c r="O106" s="180"/>
      <c r="P106" s="181">
        <f>C106+H106-J106-M106</f>
        <v>587917.43059999961</v>
      </c>
    </row>
    <row r="107" spans="1:16" x14ac:dyDescent="0.15">
      <c r="A107" s="182"/>
      <c r="B107" s="465"/>
      <c r="C107" s="465"/>
      <c r="D107" s="465"/>
      <c r="E107" s="183"/>
      <c r="F107" s="472"/>
      <c r="G107" s="472"/>
      <c r="H107" s="185"/>
      <c r="I107" s="186"/>
      <c r="J107" s="187"/>
      <c r="K107" s="188"/>
      <c r="L107" s="189" t="s">
        <v>139</v>
      </c>
      <c r="M107" s="190">
        <f>+M106+J106</f>
        <v>2553617.7811620096</v>
      </c>
      <c r="N107" s="197"/>
      <c r="O107" s="230">
        <f>+O105</f>
        <v>120434.3576</v>
      </c>
      <c r="P107" s="195" t="s">
        <v>559</v>
      </c>
    </row>
    <row r="108" spans="1:16" x14ac:dyDescent="0.15">
      <c r="A108" s="193" t="s">
        <v>494</v>
      </c>
      <c r="B108" s="470" t="s">
        <v>572</v>
      </c>
      <c r="C108" s="470"/>
      <c r="D108" s="470"/>
      <c r="E108" s="183" t="s">
        <v>55</v>
      </c>
      <c r="F108" s="472">
        <v>55064073.829999998</v>
      </c>
      <c r="G108" s="472"/>
      <c r="H108" s="219" t="s">
        <v>56</v>
      </c>
      <c r="I108" s="186">
        <v>40547</v>
      </c>
      <c r="J108" s="187" t="s">
        <v>71</v>
      </c>
      <c r="K108" s="210">
        <v>310893.05000000005</v>
      </c>
      <c r="L108" s="210"/>
      <c r="O108" s="230">
        <f>+H59</f>
        <v>6680</v>
      </c>
      <c r="P108" s="195" t="s">
        <v>560</v>
      </c>
    </row>
    <row r="109" spans="1:16" x14ac:dyDescent="0.15">
      <c r="A109" s="193" t="s">
        <v>495</v>
      </c>
      <c r="B109" s="470" t="s">
        <v>573</v>
      </c>
      <c r="C109" s="470"/>
      <c r="D109" s="470"/>
      <c r="E109" s="183" t="s">
        <v>55</v>
      </c>
      <c r="F109" s="472">
        <v>10766084.76</v>
      </c>
      <c r="G109" s="472"/>
      <c r="H109" s="219" t="s">
        <v>56</v>
      </c>
      <c r="I109" s="186">
        <v>40547</v>
      </c>
      <c r="J109" s="187" t="s">
        <v>71</v>
      </c>
      <c r="K109" s="210">
        <v>100334</v>
      </c>
      <c r="L109" s="210"/>
      <c r="O109" s="230">
        <f>+H62+H63</f>
        <v>200275.5</v>
      </c>
      <c r="P109" s="192" t="s">
        <v>561</v>
      </c>
    </row>
    <row r="110" spans="1:16" x14ac:dyDescent="0.15">
      <c r="A110" s="193" t="s">
        <v>548</v>
      </c>
      <c r="B110" s="253" t="s">
        <v>1065</v>
      </c>
      <c r="C110" s="253"/>
      <c r="D110" s="253"/>
      <c r="E110" s="183" t="s">
        <v>55</v>
      </c>
      <c r="F110" s="472">
        <v>11810871.109999999</v>
      </c>
      <c r="G110" s="472"/>
      <c r="H110" s="219" t="s">
        <v>56</v>
      </c>
      <c r="I110" s="186">
        <v>40550</v>
      </c>
      <c r="J110" s="187" t="s">
        <v>71</v>
      </c>
      <c r="K110" s="210">
        <v>79097</v>
      </c>
      <c r="L110" s="210"/>
      <c r="O110" s="230">
        <f>+H64+H66</f>
        <v>177317.84100000001</v>
      </c>
      <c r="P110" s="192" t="s">
        <v>562</v>
      </c>
    </row>
    <row r="111" spans="1:16" x14ac:dyDescent="0.15">
      <c r="A111" s="193" t="s">
        <v>549</v>
      </c>
      <c r="B111" s="253" t="s">
        <v>574</v>
      </c>
      <c r="C111" s="253"/>
      <c r="D111" s="253"/>
      <c r="E111" s="183" t="s">
        <v>55</v>
      </c>
      <c r="F111" s="472">
        <v>93083025.390000001</v>
      </c>
      <c r="G111" s="472"/>
      <c r="H111" s="219" t="s">
        <v>56</v>
      </c>
      <c r="I111" s="186">
        <v>40553</v>
      </c>
      <c r="J111" s="187" t="s">
        <v>71</v>
      </c>
      <c r="K111" s="210">
        <v>313775.48</v>
      </c>
      <c r="L111" s="210"/>
      <c r="O111" s="230">
        <f>+H67+H68</f>
        <v>83209.732000000004</v>
      </c>
      <c r="P111" s="195" t="s">
        <v>563</v>
      </c>
    </row>
    <row r="112" spans="1:16" x14ac:dyDescent="0.15">
      <c r="A112" s="193" t="s">
        <v>550</v>
      </c>
      <c r="B112" s="253" t="s">
        <v>575</v>
      </c>
      <c r="C112" s="253"/>
      <c r="D112" s="253"/>
      <c r="E112" s="183" t="s">
        <v>55</v>
      </c>
      <c r="F112" s="472">
        <v>44588377.799999997</v>
      </c>
      <c r="G112" s="472"/>
      <c r="H112" s="219" t="s">
        <v>56</v>
      </c>
      <c r="I112" s="186">
        <v>40553</v>
      </c>
      <c r="J112" s="187" t="s">
        <v>71</v>
      </c>
      <c r="K112" s="210">
        <v>60094</v>
      </c>
      <c r="L112" s="210"/>
      <c r="O112" s="230"/>
      <c r="P112" s="195"/>
    </row>
    <row r="113" spans="1:16" x14ac:dyDescent="0.15">
      <c r="A113" s="193" t="s">
        <v>551</v>
      </c>
      <c r="B113" s="253" t="s">
        <v>576</v>
      </c>
      <c r="C113" s="253"/>
      <c r="D113" s="253"/>
      <c r="E113" s="183" t="s">
        <v>55</v>
      </c>
      <c r="F113" s="472">
        <v>40986851.07</v>
      </c>
      <c r="G113" s="472"/>
      <c r="H113" s="219" t="s">
        <v>56</v>
      </c>
      <c r="I113" s="186">
        <v>40556</v>
      </c>
      <c r="J113" s="187" t="s">
        <v>71</v>
      </c>
      <c r="K113" s="210">
        <v>140318</v>
      </c>
      <c r="L113" s="210"/>
      <c r="O113" s="230"/>
      <c r="P113" s="195"/>
    </row>
    <row r="114" spans="1:16" x14ac:dyDescent="0.15">
      <c r="A114" s="193" t="s">
        <v>552</v>
      </c>
      <c r="B114" s="253" t="s">
        <v>577</v>
      </c>
      <c r="C114" s="253"/>
      <c r="D114" s="253"/>
      <c r="E114" s="183" t="s">
        <v>55</v>
      </c>
      <c r="F114" s="472">
        <v>23919852.41</v>
      </c>
      <c r="G114" s="472"/>
      <c r="H114" s="219" t="s">
        <v>56</v>
      </c>
      <c r="I114" s="186">
        <v>40560</v>
      </c>
      <c r="J114" s="187" t="s">
        <v>71</v>
      </c>
      <c r="K114" s="210">
        <v>353601.28000000003</v>
      </c>
      <c r="L114" s="210"/>
      <c r="O114" s="230"/>
      <c r="P114" s="195"/>
    </row>
    <row r="115" spans="1:16" x14ac:dyDescent="0.15">
      <c r="A115" s="193" t="s">
        <v>553</v>
      </c>
      <c r="B115" s="253" t="s">
        <v>578</v>
      </c>
      <c r="C115" s="253"/>
      <c r="D115" s="253"/>
      <c r="E115" s="183" t="s">
        <v>55</v>
      </c>
      <c r="F115" s="472">
        <v>3938086.45</v>
      </c>
      <c r="G115" s="472"/>
      <c r="H115" s="219" t="s">
        <v>56</v>
      </c>
      <c r="I115" s="186">
        <v>40562</v>
      </c>
      <c r="J115" s="187" t="s">
        <v>71</v>
      </c>
      <c r="K115" s="210">
        <v>176090.83000000002</v>
      </c>
      <c r="L115" s="210"/>
      <c r="O115" s="230"/>
      <c r="P115" s="195"/>
    </row>
    <row r="116" spans="1:16" x14ac:dyDescent="0.15">
      <c r="A116" s="193" t="s">
        <v>554</v>
      </c>
      <c r="B116" s="253" t="s">
        <v>579</v>
      </c>
      <c r="C116" s="253"/>
      <c r="D116" s="253"/>
      <c r="E116" s="183" t="s">
        <v>55</v>
      </c>
      <c r="F116" s="472">
        <v>47756283.270000003</v>
      </c>
      <c r="G116" s="472"/>
      <c r="H116" s="219" t="s">
        <v>56</v>
      </c>
      <c r="I116" s="186">
        <v>40563</v>
      </c>
      <c r="J116" s="187" t="s">
        <v>71</v>
      </c>
      <c r="K116" s="210">
        <v>197831</v>
      </c>
      <c r="L116" s="210"/>
      <c r="O116" s="230"/>
      <c r="P116" s="195"/>
    </row>
    <row r="117" spans="1:16" x14ac:dyDescent="0.15">
      <c r="A117" s="193" t="s">
        <v>557</v>
      </c>
      <c r="B117" s="253" t="s">
        <v>580</v>
      </c>
      <c r="C117" s="253"/>
      <c r="D117" s="253"/>
      <c r="E117" s="183" t="s">
        <v>55</v>
      </c>
      <c r="F117" s="472">
        <v>26087998.710000001</v>
      </c>
      <c r="G117" s="472"/>
      <c r="H117" s="219" t="s">
        <v>56</v>
      </c>
      <c r="I117" s="186">
        <v>40568</v>
      </c>
      <c r="J117" s="187" t="s">
        <v>71</v>
      </c>
      <c r="K117" s="210">
        <v>160285.47999999998</v>
      </c>
      <c r="L117" s="210"/>
      <c r="O117" s="230"/>
      <c r="P117" s="195"/>
    </row>
    <row r="118" spans="1:16" x14ac:dyDescent="0.15">
      <c r="A118" s="193" t="s">
        <v>558</v>
      </c>
      <c r="B118" s="253" t="s">
        <v>581</v>
      </c>
      <c r="C118" s="253"/>
      <c r="D118" s="253"/>
      <c r="E118" s="183" t="s">
        <v>55</v>
      </c>
      <c r="F118" s="472">
        <v>14354031.91</v>
      </c>
      <c r="G118" s="472"/>
      <c r="H118" s="219" t="s">
        <v>56</v>
      </c>
      <c r="I118" s="186">
        <v>40570</v>
      </c>
      <c r="J118" s="187" t="s">
        <v>71</v>
      </c>
      <c r="K118" s="210">
        <v>120159.73999999999</v>
      </c>
      <c r="L118" s="210"/>
      <c r="O118" s="206" t="s">
        <v>33</v>
      </c>
      <c r="P118" s="207">
        <f>SUM(O107:O117)</f>
        <v>587917.43059999996</v>
      </c>
    </row>
    <row r="119" spans="1:16" x14ac:dyDescent="0.15">
      <c r="A119" s="193" t="s">
        <v>559</v>
      </c>
      <c r="B119" s="253" t="s">
        <v>582</v>
      </c>
      <c r="C119" s="253"/>
      <c r="D119" s="253"/>
      <c r="E119" s="183" t="s">
        <v>55</v>
      </c>
      <c r="F119" s="472">
        <v>40631564.560000002</v>
      </c>
      <c r="G119" s="472"/>
      <c r="H119" s="219" t="s">
        <v>56</v>
      </c>
      <c r="I119" s="186">
        <v>40574</v>
      </c>
      <c r="J119" s="187" t="s">
        <v>71</v>
      </c>
      <c r="K119" s="210">
        <v>129121.51</v>
      </c>
      <c r="L119" s="210"/>
      <c r="P119" s="132">
        <f>+P106-P118</f>
        <v>0</v>
      </c>
    </row>
    <row r="120" spans="1:16" ht="12" thickBot="1" x14ac:dyDescent="0.2">
      <c r="A120" s="193"/>
      <c r="B120" s="470"/>
      <c r="C120" s="470"/>
      <c r="D120" s="470"/>
      <c r="E120" s="183"/>
      <c r="F120" s="472"/>
      <c r="G120" s="472"/>
      <c r="H120" s="219"/>
      <c r="I120" s="187"/>
      <c r="J120" s="201" t="s">
        <v>105</v>
      </c>
      <c r="K120" s="217">
        <f>SUM(K108:K119)</f>
        <v>2141601.37</v>
      </c>
      <c r="L120" s="210"/>
    </row>
    <row r="121" spans="1:16" ht="12" thickTop="1" x14ac:dyDescent="0.15">
      <c r="A121" s="193" t="s">
        <v>493</v>
      </c>
      <c r="B121" s="253" t="s">
        <v>644</v>
      </c>
      <c r="C121" s="253"/>
      <c r="D121" s="253"/>
      <c r="E121" s="183" t="s">
        <v>55</v>
      </c>
      <c r="F121" s="472">
        <v>39176752.869999997</v>
      </c>
      <c r="G121" s="472"/>
      <c r="H121" s="219" t="s">
        <v>56</v>
      </c>
      <c r="I121" s="186">
        <v>40547</v>
      </c>
      <c r="J121" s="187" t="s">
        <v>71</v>
      </c>
      <c r="K121" s="210">
        <v>5836</v>
      </c>
      <c r="L121" s="210"/>
    </row>
    <row r="122" spans="1:16" x14ac:dyDescent="0.15">
      <c r="A122" s="193" t="s">
        <v>496</v>
      </c>
      <c r="B122" s="253" t="s">
        <v>814</v>
      </c>
      <c r="C122" s="253"/>
      <c r="D122" s="253"/>
      <c r="E122" s="183" t="s">
        <v>55</v>
      </c>
      <c r="F122" s="472">
        <v>126311068.48999999</v>
      </c>
      <c r="G122" s="472"/>
      <c r="H122" s="219" t="s">
        <v>56</v>
      </c>
      <c r="I122" s="186">
        <v>40550</v>
      </c>
      <c r="J122" s="187" t="s">
        <v>71</v>
      </c>
      <c r="K122" s="210">
        <v>139497.78999999998</v>
      </c>
      <c r="L122" s="210"/>
    </row>
    <row r="123" spans="1:16" x14ac:dyDescent="0.15">
      <c r="A123" s="193" t="s">
        <v>555</v>
      </c>
      <c r="B123" s="253" t="s">
        <v>566</v>
      </c>
      <c r="C123" s="253"/>
      <c r="D123" s="253"/>
      <c r="E123" s="183" t="s">
        <v>55</v>
      </c>
      <c r="F123" s="472">
        <v>107571832.31</v>
      </c>
      <c r="G123" s="472"/>
      <c r="H123" s="219" t="s">
        <v>56</v>
      </c>
      <c r="I123" s="186">
        <v>40567</v>
      </c>
      <c r="J123" s="187" t="s">
        <v>71</v>
      </c>
      <c r="K123" s="210">
        <v>235925.78</v>
      </c>
      <c r="L123" s="210"/>
    </row>
    <row r="124" spans="1:16" x14ac:dyDescent="0.15">
      <c r="A124" s="193" t="s">
        <v>556</v>
      </c>
      <c r="B124" s="253" t="s">
        <v>567</v>
      </c>
      <c r="C124" s="253"/>
      <c r="D124" s="253"/>
      <c r="E124" s="183" t="s">
        <v>55</v>
      </c>
      <c r="F124" s="472">
        <v>143416194.56</v>
      </c>
      <c r="G124" s="472"/>
      <c r="H124" s="219" t="s">
        <v>56</v>
      </c>
      <c r="I124" s="186">
        <v>40567</v>
      </c>
      <c r="J124" s="187" t="s">
        <v>71</v>
      </c>
      <c r="K124" s="210">
        <v>20034</v>
      </c>
      <c r="L124" s="210"/>
    </row>
    <row r="125" spans="1:16" ht="12" thickBot="1" x14ac:dyDescent="0.2">
      <c r="A125" s="193"/>
      <c r="B125" s="253"/>
      <c r="C125" s="253"/>
      <c r="D125" s="253"/>
      <c r="E125" s="183"/>
      <c r="F125" s="254"/>
      <c r="G125" s="254"/>
      <c r="H125" s="185"/>
      <c r="I125" s="187"/>
      <c r="J125" s="201" t="s">
        <v>106</v>
      </c>
      <c r="K125" s="217">
        <f>SUM(K121:K124)</f>
        <v>401293.56999999995</v>
      </c>
      <c r="L125" s="210"/>
    </row>
    <row r="126" spans="1:16" ht="12" thickTop="1" x14ac:dyDescent="0.15">
      <c r="A126" s="133" t="s">
        <v>568</v>
      </c>
      <c r="B126" s="133" t="s">
        <v>9</v>
      </c>
      <c r="C126" s="220" t="s">
        <v>569</v>
      </c>
      <c r="D126" s="133" t="s">
        <v>570</v>
      </c>
      <c r="E126" s="133" t="s">
        <v>571</v>
      </c>
      <c r="F126" s="133" t="s">
        <v>16</v>
      </c>
      <c r="I126" s="187"/>
      <c r="J126" s="210"/>
      <c r="K126" s="187"/>
      <c r="L126" s="210"/>
    </row>
    <row r="127" spans="1:16" x14ac:dyDescent="0.15">
      <c r="A127" s="193" t="s">
        <v>494</v>
      </c>
      <c r="B127" s="210">
        <v>310893.05000000005</v>
      </c>
      <c r="C127" s="221">
        <f>397644.51/1970703</f>
        <v>0.20177800003349058</v>
      </c>
      <c r="D127" s="222">
        <f>+B127*C127</f>
        <v>62731.377853311998</v>
      </c>
      <c r="E127" s="222">
        <f>+D127*0.1</f>
        <v>6273.1377853312006</v>
      </c>
      <c r="F127" s="223">
        <f>+D127+E127</f>
        <v>69004.515638643206</v>
      </c>
      <c r="H127" s="133"/>
      <c r="I127" s="187"/>
      <c r="J127" s="210"/>
      <c r="K127" s="187"/>
      <c r="L127" s="210"/>
    </row>
    <row r="128" spans="1:16" x14ac:dyDescent="0.15">
      <c r="A128" s="133" t="s">
        <v>495</v>
      </c>
      <c r="B128" s="210">
        <v>100334</v>
      </c>
      <c r="C128" s="221">
        <f>404180.15/2001526</f>
        <v>0.20193599783365293</v>
      </c>
      <c r="D128" s="222">
        <f t="shared" ref="D128:D138" si="18">+B128*C128</f>
        <v>20261.046406641733</v>
      </c>
      <c r="E128" s="222">
        <f t="shared" ref="E128:E138" si="19">+D128*0.1</f>
        <v>2026.1046406641735</v>
      </c>
      <c r="F128" s="223">
        <f t="shared" ref="F128:F138" si="20">+D128+E128</f>
        <v>22287.151047305906</v>
      </c>
      <c r="H128" s="133"/>
      <c r="I128" s="187"/>
      <c r="J128" s="210"/>
      <c r="K128" s="187"/>
      <c r="L128" s="210"/>
    </row>
    <row r="129" spans="1:14" x14ac:dyDescent="0.15">
      <c r="A129" s="193" t="s">
        <v>548</v>
      </c>
      <c r="B129" s="210">
        <v>79097</v>
      </c>
      <c r="C129" s="221">
        <v>0.202185</v>
      </c>
      <c r="D129" s="222">
        <f t="shared" ref="D129:D130" si="21">+B129*C129</f>
        <v>15992.226945</v>
      </c>
      <c r="E129" s="222">
        <f t="shared" ref="E129:E130" si="22">+D129*0.1</f>
        <v>1599.2226945000002</v>
      </c>
      <c r="F129" s="223">
        <f t="shared" ref="F129:F130" si="23">+D129+E129</f>
        <v>17591.449639500002</v>
      </c>
      <c r="H129" s="133"/>
      <c r="I129" s="187"/>
      <c r="J129" s="210"/>
      <c r="K129" s="187"/>
      <c r="L129" s="210"/>
    </row>
    <row r="130" spans="1:14" x14ac:dyDescent="0.15">
      <c r="A130" s="133" t="s">
        <v>549</v>
      </c>
      <c r="B130" s="210">
        <v>313775.48</v>
      </c>
      <c r="C130" s="221">
        <f>381517.96/1899706</f>
        <v>0.20083000211611693</v>
      </c>
      <c r="D130" s="222">
        <f t="shared" si="21"/>
        <v>63015.530312385599</v>
      </c>
      <c r="E130" s="222">
        <f t="shared" si="22"/>
        <v>6301.5530312385599</v>
      </c>
      <c r="F130" s="223">
        <f t="shared" si="23"/>
        <v>69317.083343624166</v>
      </c>
      <c r="H130" s="133"/>
      <c r="I130" s="187"/>
      <c r="J130" s="210"/>
      <c r="K130" s="187"/>
      <c r="L130" s="210"/>
    </row>
    <row r="131" spans="1:14" s="132" customFormat="1" x14ac:dyDescent="0.15">
      <c r="A131" s="133" t="s">
        <v>550</v>
      </c>
      <c r="B131" s="210">
        <v>60094</v>
      </c>
      <c r="C131" s="221">
        <f>403178/1999048</f>
        <v>0.20168500206098103</v>
      </c>
      <c r="D131" s="222">
        <f t="shared" si="18"/>
        <v>12120.058513852593</v>
      </c>
      <c r="E131" s="222">
        <f t="shared" si="19"/>
        <v>1212.0058513852593</v>
      </c>
      <c r="F131" s="223">
        <f t="shared" si="20"/>
        <v>13332.064365237853</v>
      </c>
      <c r="G131" s="133"/>
      <c r="H131" s="133"/>
      <c r="I131" s="187"/>
      <c r="J131" s="210"/>
      <c r="K131" s="187"/>
      <c r="L131" s="210"/>
      <c r="N131" s="134"/>
    </row>
    <row r="132" spans="1:14" s="132" customFormat="1" x14ac:dyDescent="0.15">
      <c r="A132" s="133" t="s">
        <v>551</v>
      </c>
      <c r="B132" s="210">
        <v>140318</v>
      </c>
      <c r="C132" s="221">
        <f>401193.91/1999850</f>
        <v>0.20061200090006751</v>
      </c>
      <c r="D132" s="222">
        <f t="shared" si="18"/>
        <v>28149.474742295672</v>
      </c>
      <c r="E132" s="222">
        <f t="shared" si="19"/>
        <v>2814.9474742295674</v>
      </c>
      <c r="F132" s="223">
        <f t="shared" si="20"/>
        <v>30964.422216525239</v>
      </c>
      <c r="G132" s="133"/>
      <c r="H132" s="133"/>
      <c r="I132" s="187"/>
      <c r="J132" s="210"/>
      <c r="K132" s="187"/>
      <c r="L132" s="210"/>
      <c r="N132" s="134"/>
    </row>
    <row r="133" spans="1:14" s="132" customFormat="1" x14ac:dyDescent="0.15">
      <c r="A133" s="133" t="s">
        <v>552</v>
      </c>
      <c r="B133" s="210">
        <v>353601.28000000003</v>
      </c>
      <c r="C133" s="221">
        <f>803442.21/3950837</f>
        <v>0.20335999941278265</v>
      </c>
      <c r="D133" s="222">
        <f t="shared" si="18"/>
        <v>71908.356093159207</v>
      </c>
      <c r="E133" s="222">
        <f t="shared" si="19"/>
        <v>7190.8356093159209</v>
      </c>
      <c r="F133" s="223">
        <f t="shared" si="20"/>
        <v>79099.191702475131</v>
      </c>
      <c r="G133" s="133"/>
      <c r="H133" s="133"/>
      <c r="I133" s="187"/>
      <c r="J133" s="210"/>
      <c r="K133" s="187"/>
      <c r="L133" s="210"/>
      <c r="N133" s="134"/>
    </row>
    <row r="134" spans="1:14" s="132" customFormat="1" x14ac:dyDescent="0.15">
      <c r="A134" s="133" t="s">
        <v>553</v>
      </c>
      <c r="B134" s="210">
        <v>176090.83000000002</v>
      </c>
      <c r="C134" s="221">
        <f>375121.94/1814752</f>
        <v>0.2067069990830703</v>
      </c>
      <c r="D134" s="222">
        <f t="shared" si="18"/>
        <v>36399.207035347092</v>
      </c>
      <c r="E134" s="222">
        <f t="shared" si="19"/>
        <v>3639.9207035347094</v>
      </c>
      <c r="F134" s="223">
        <f t="shared" si="20"/>
        <v>40039.127738881798</v>
      </c>
      <c r="G134" s="133"/>
      <c r="H134" s="193"/>
      <c r="I134" s="187"/>
      <c r="J134" s="210"/>
      <c r="K134" s="187"/>
      <c r="L134" s="210"/>
      <c r="N134" s="134"/>
    </row>
    <row r="135" spans="1:14" s="132" customFormat="1" x14ac:dyDescent="0.15">
      <c r="A135" s="133" t="s">
        <v>554</v>
      </c>
      <c r="B135" s="210">
        <v>197831</v>
      </c>
      <c r="C135" s="221">
        <f>377147.88/1824553</f>
        <v>0.20670700166013264</v>
      </c>
      <c r="D135" s="222">
        <f t="shared" si="18"/>
        <v>40893.0528454257</v>
      </c>
      <c r="E135" s="222">
        <f t="shared" si="19"/>
        <v>4089.30528454257</v>
      </c>
      <c r="F135" s="223">
        <f t="shared" si="20"/>
        <v>44982.35812996827</v>
      </c>
      <c r="G135" s="133"/>
      <c r="H135" s="133"/>
      <c r="I135" s="187"/>
      <c r="J135" s="210"/>
      <c r="K135" s="187"/>
      <c r="L135" s="210"/>
      <c r="N135" s="134"/>
    </row>
    <row r="136" spans="1:14" s="132" customFormat="1" x14ac:dyDescent="0.15">
      <c r="A136" s="193" t="s">
        <v>557</v>
      </c>
      <c r="B136" s="210">
        <v>160285.47999999998</v>
      </c>
      <c r="C136" s="221">
        <f>429546.07/2007750</f>
        <v>0.21394400199227992</v>
      </c>
      <c r="D136" s="222">
        <f t="shared" si="18"/>
        <v>34292.117052453541</v>
      </c>
      <c r="E136" s="222">
        <f t="shared" si="19"/>
        <v>3429.2117052453541</v>
      </c>
      <c r="F136" s="223">
        <f t="shared" si="20"/>
        <v>37721.328757698895</v>
      </c>
      <c r="G136" s="133"/>
      <c r="H136" s="193"/>
      <c r="I136" s="187"/>
      <c r="J136" s="210"/>
      <c r="K136" s="187"/>
      <c r="L136" s="210"/>
      <c r="N136" s="134"/>
    </row>
    <row r="137" spans="1:14" s="132" customFormat="1" x14ac:dyDescent="0.15">
      <c r="A137" s="193" t="s">
        <v>558</v>
      </c>
      <c r="B137" s="210">
        <v>120159.73999999999</v>
      </c>
      <c r="C137" s="221">
        <f>386766.69/1800506</f>
        <v>0.2148099978561582</v>
      </c>
      <c r="D137" s="222">
        <f t="shared" si="18"/>
        <v>25811.513491796526</v>
      </c>
      <c r="E137" s="222">
        <f t="shared" si="19"/>
        <v>2581.1513491796527</v>
      </c>
      <c r="F137" s="223">
        <f t="shared" si="20"/>
        <v>28392.66484097618</v>
      </c>
      <c r="G137" s="133"/>
      <c r="H137" s="193"/>
      <c r="I137" s="187"/>
      <c r="J137" s="210"/>
      <c r="K137" s="187"/>
      <c r="L137" s="210"/>
      <c r="N137" s="134"/>
    </row>
    <row r="138" spans="1:14" s="132" customFormat="1" x14ac:dyDescent="0.15">
      <c r="A138" s="193" t="s">
        <v>559</v>
      </c>
      <c r="B138" s="210">
        <v>129121.51</v>
      </c>
      <c r="C138" s="221">
        <f>430081.58/1986098</f>
        <v>0.21654600125472157</v>
      </c>
      <c r="D138" s="222">
        <f t="shared" si="18"/>
        <v>27960.746666471543</v>
      </c>
      <c r="E138" s="222">
        <f t="shared" si="19"/>
        <v>2796.0746666471546</v>
      </c>
      <c r="F138" s="223">
        <f t="shared" si="20"/>
        <v>30756.821333118696</v>
      </c>
      <c r="G138" s="133"/>
      <c r="H138" s="193"/>
      <c r="I138" s="187"/>
      <c r="J138" s="210"/>
      <c r="K138" s="187"/>
      <c r="L138" s="210"/>
      <c r="N138" s="134"/>
    </row>
    <row r="139" spans="1:14" s="132" customFormat="1" ht="12" thickBot="1" x14ac:dyDescent="0.2">
      <c r="A139" s="134"/>
      <c r="B139" s="211">
        <f>SUM(B127:B138)</f>
        <v>2141601.37</v>
      </c>
      <c r="C139" s="221"/>
      <c r="D139" s="224">
        <f>SUM(D127:D138)</f>
        <v>439534.70795814123</v>
      </c>
      <c r="E139" s="224">
        <f t="shared" ref="E139:F139" si="24">SUM(E127:E138)</f>
        <v>43953.470795814123</v>
      </c>
      <c r="F139" s="224">
        <f t="shared" si="24"/>
        <v>483488.17875395541</v>
      </c>
      <c r="G139" s="133"/>
      <c r="H139" s="134"/>
      <c r="I139" s="133"/>
      <c r="K139" s="134"/>
      <c r="L139" s="133"/>
      <c r="N139" s="134"/>
    </row>
    <row r="140" spans="1:14" s="132" customFormat="1" ht="12" thickTop="1" x14ac:dyDescent="0.15">
      <c r="A140" s="193" t="s">
        <v>493</v>
      </c>
      <c r="B140" s="210">
        <v>5836</v>
      </c>
      <c r="C140" s="221">
        <f>390053.31/1933436</f>
        <v>0.2017409989262639</v>
      </c>
      <c r="D140" s="222">
        <f t="shared" ref="D140:D143" si="25">+B140*C140</f>
        <v>1177.3604697336762</v>
      </c>
      <c r="E140" s="222">
        <f t="shared" ref="E140:E143" si="26">+D140*0.1</f>
        <v>117.73604697336762</v>
      </c>
      <c r="F140" s="223">
        <f t="shared" ref="F140:F143" si="27">+D140+E140</f>
        <v>1295.0965167070437</v>
      </c>
      <c r="G140" s="133"/>
      <c r="I140" s="133"/>
      <c r="K140" s="134"/>
      <c r="L140" s="133"/>
      <c r="N140" s="134"/>
    </row>
    <row r="141" spans="1:14" s="132" customFormat="1" x14ac:dyDescent="0.15">
      <c r="A141" s="193" t="s">
        <v>496</v>
      </c>
      <c r="B141" s="210">
        <v>139498</v>
      </c>
      <c r="C141" s="221">
        <v>0.2036</v>
      </c>
      <c r="D141" s="222">
        <f t="shared" si="25"/>
        <v>28401.792799999999</v>
      </c>
      <c r="E141" s="222">
        <f t="shared" si="26"/>
        <v>2840.1792800000003</v>
      </c>
      <c r="F141" s="223">
        <f t="shared" si="27"/>
        <v>31241.97208</v>
      </c>
      <c r="G141" s="133"/>
      <c r="I141" s="133"/>
      <c r="K141" s="134"/>
      <c r="L141" s="133"/>
      <c r="N141" s="134"/>
    </row>
    <row r="142" spans="1:14" s="132" customFormat="1" x14ac:dyDescent="0.15">
      <c r="A142" s="193" t="s">
        <v>555</v>
      </c>
      <c r="B142" s="210">
        <v>235925.78</v>
      </c>
      <c r="C142" s="221">
        <f>428380.21/2007499</f>
        <v>0.21338999919800708</v>
      </c>
      <c r="D142" s="222">
        <f t="shared" si="25"/>
        <v>50344.202004989194</v>
      </c>
      <c r="E142" s="222">
        <f t="shared" si="26"/>
        <v>5034.4202004989202</v>
      </c>
      <c r="F142" s="223">
        <f t="shared" si="27"/>
        <v>55378.622205488115</v>
      </c>
      <c r="G142" s="133"/>
      <c r="I142" s="133"/>
      <c r="K142" s="134"/>
      <c r="L142" s="133"/>
      <c r="N142" s="134"/>
    </row>
    <row r="143" spans="1:14" s="132" customFormat="1" x14ac:dyDescent="0.15">
      <c r="A143" s="193" t="s">
        <v>556</v>
      </c>
      <c r="B143" s="210">
        <v>20034</v>
      </c>
      <c r="C143" s="221">
        <f>427140.98/1991194</f>
        <v>0.21451499954298778</v>
      </c>
      <c r="D143" s="222">
        <f t="shared" si="25"/>
        <v>4297.5935008442175</v>
      </c>
      <c r="E143" s="222">
        <f t="shared" si="26"/>
        <v>429.75935008442178</v>
      </c>
      <c r="F143" s="223">
        <f t="shared" si="27"/>
        <v>4727.3528509286389</v>
      </c>
      <c r="G143" s="133"/>
      <c r="I143" s="133"/>
      <c r="K143" s="134"/>
      <c r="L143" s="133"/>
      <c r="N143" s="134"/>
    </row>
    <row r="144" spans="1:14" s="132" customFormat="1" ht="12" thickBot="1" x14ac:dyDescent="0.2">
      <c r="A144" s="225"/>
      <c r="B144" s="211">
        <f>SUM(B140:B143)</f>
        <v>401293.78</v>
      </c>
      <c r="C144" s="221"/>
      <c r="D144" s="224">
        <f t="shared" ref="D144:E144" si="28">SUM(D140:D143)</f>
        <v>84220.948775567085</v>
      </c>
      <c r="E144" s="224">
        <f t="shared" si="28"/>
        <v>8422.0948775567103</v>
      </c>
      <c r="F144" s="224">
        <f>SUM(F140:F143)</f>
        <v>92643.043653123794</v>
      </c>
      <c r="G144" s="133"/>
      <c r="I144" s="133"/>
      <c r="K144" s="134"/>
      <c r="L144" s="133"/>
      <c r="N144" s="134"/>
    </row>
    <row r="145" ht="12" thickTop="1" x14ac:dyDescent="0.15"/>
  </sheetData>
  <mergeCells count="28">
    <mergeCell ref="F124:G124"/>
    <mergeCell ref="F121:G121"/>
    <mergeCell ref="F122:G122"/>
    <mergeCell ref="F123:G123"/>
    <mergeCell ref="F116:G116"/>
    <mergeCell ref="F117:G117"/>
    <mergeCell ref="F118:G118"/>
    <mergeCell ref="F119:G119"/>
    <mergeCell ref="B120:D120"/>
    <mergeCell ref="F120:G120"/>
    <mergeCell ref="F110:G110"/>
    <mergeCell ref="F111:G111"/>
    <mergeCell ref="F112:G112"/>
    <mergeCell ref="F113:G113"/>
    <mergeCell ref="F114:G114"/>
    <mergeCell ref="F115:G115"/>
    <mergeCell ref="B107:D107"/>
    <mergeCell ref="F107:G107"/>
    <mergeCell ref="B108:D108"/>
    <mergeCell ref="F108:G108"/>
    <mergeCell ref="B109:D109"/>
    <mergeCell ref="F109:G109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opLeftCell="D1" zoomScale="115" zoomScaleNormal="115" workbookViewId="0">
      <pane ySplit="6" topLeftCell="A7" activePane="bottomLeft" state="frozen"/>
      <selection pane="bottomLeft" activeCell="J19" sqref="J19:P23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517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493</v>
      </c>
      <c r="B7" s="146"/>
      <c r="C7" s="147">
        <v>5835.8577620095566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5835.8577620095566</v>
      </c>
      <c r="P7" s="147">
        <f>+C105</f>
        <v>558309.1447620095</v>
      </c>
    </row>
    <row r="8" spans="1:16" x14ac:dyDescent="0.15">
      <c r="A8" s="154" t="s">
        <v>494</v>
      </c>
      <c r="B8" s="151"/>
      <c r="C8" s="152">
        <v>312350.43799999997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5835.8577620095566</v>
      </c>
      <c r="P8" s="152">
        <f t="shared" ref="P8:P10" si="0">P7+H8-J8-M8</f>
        <v>558309.1447620095</v>
      </c>
    </row>
    <row r="9" spans="1:16" x14ac:dyDescent="0.15">
      <c r="A9" s="154" t="s">
        <v>495</v>
      </c>
      <c r="B9" s="151"/>
      <c r="C9" s="152">
        <v>100334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10" si="1">+O8-J9-M9</f>
        <v>5835.8577620095566</v>
      </c>
      <c r="P9" s="152">
        <f t="shared" si="0"/>
        <v>558309.1447620095</v>
      </c>
    </row>
    <row r="10" spans="1:16" x14ac:dyDescent="0.15">
      <c r="A10" s="154" t="s">
        <v>496</v>
      </c>
      <c r="B10" s="151"/>
      <c r="C10" s="152">
        <v>139788.84899999999</v>
      </c>
      <c r="D10" s="153"/>
      <c r="E10" s="154"/>
      <c r="F10" s="157"/>
      <c r="G10" s="154"/>
      <c r="H10" s="152"/>
      <c r="I10" s="153"/>
      <c r="J10" s="152"/>
      <c r="K10" s="150"/>
      <c r="L10" s="154"/>
      <c r="M10" s="152"/>
      <c r="N10" s="150"/>
      <c r="O10" s="152">
        <f t="shared" si="1"/>
        <v>5835.8577620095566</v>
      </c>
      <c r="P10" s="152">
        <f t="shared" si="0"/>
        <v>558309.1447620095</v>
      </c>
    </row>
    <row r="11" spans="1:16" x14ac:dyDescent="0.15">
      <c r="A11" s="154"/>
      <c r="B11" s="151"/>
      <c r="C11" s="152"/>
      <c r="D11" s="153" t="s">
        <v>518</v>
      </c>
      <c r="E11" s="257" t="s">
        <v>72</v>
      </c>
      <c r="F11" s="258" t="s">
        <v>548</v>
      </c>
      <c r="G11" s="257"/>
      <c r="H11" s="259">
        <v>80095.709000000003</v>
      </c>
      <c r="I11" s="153" t="s">
        <v>518</v>
      </c>
      <c r="J11" s="152"/>
      <c r="K11" s="150"/>
      <c r="L11" s="154" t="s">
        <v>564</v>
      </c>
      <c r="M11" s="152">
        <v>5836</v>
      </c>
      <c r="N11" s="150" t="s">
        <v>493</v>
      </c>
      <c r="O11" s="152">
        <f t="shared" ref="O11:O14" si="2">+O10-J11-M11</f>
        <v>-0.14223799044339103</v>
      </c>
      <c r="P11" s="152">
        <f t="shared" ref="P11:P14" si="3">P10+H11-J11-M11</f>
        <v>632568.85376200953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518</v>
      </c>
      <c r="J12" s="152"/>
      <c r="K12" s="150"/>
      <c r="L12" s="154" t="s">
        <v>565</v>
      </c>
      <c r="M12" s="152">
        <v>68337</v>
      </c>
      <c r="N12" s="154" t="s">
        <v>494</v>
      </c>
      <c r="O12" s="152">
        <f>C8+O11-J12-M12</f>
        <v>244013.29576200951</v>
      </c>
      <c r="P12" s="152">
        <f t="shared" si="3"/>
        <v>564231.85376200953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519</v>
      </c>
      <c r="J13" s="152">
        <v>787</v>
      </c>
      <c r="K13" s="154" t="s">
        <v>494</v>
      </c>
      <c r="L13" s="154" t="s">
        <v>565</v>
      </c>
      <c r="M13" s="152">
        <v>77523.570000000007</v>
      </c>
      <c r="N13" s="154" t="s">
        <v>494</v>
      </c>
      <c r="O13" s="152">
        <f t="shared" si="2"/>
        <v>165702.7257620095</v>
      </c>
      <c r="P13" s="152">
        <f t="shared" si="3"/>
        <v>485921.28376200952</v>
      </c>
    </row>
    <row r="14" spans="1:16" x14ac:dyDescent="0.15">
      <c r="A14" s="154"/>
      <c r="B14" s="151"/>
      <c r="C14" s="152"/>
      <c r="D14" s="153" t="s">
        <v>520</v>
      </c>
      <c r="E14" s="154" t="s">
        <v>72</v>
      </c>
      <c r="F14" s="157" t="s">
        <v>549</v>
      </c>
      <c r="G14" s="154"/>
      <c r="H14" s="152">
        <v>120100.478</v>
      </c>
      <c r="I14" s="153" t="s">
        <v>520</v>
      </c>
      <c r="J14" s="152"/>
      <c r="K14" s="150"/>
      <c r="L14" s="154" t="s">
        <v>565</v>
      </c>
      <c r="M14" s="152">
        <v>83925.52</v>
      </c>
      <c r="N14" s="154" t="s">
        <v>494</v>
      </c>
      <c r="O14" s="152">
        <f t="shared" si="2"/>
        <v>81777.2057620095</v>
      </c>
      <c r="P14" s="152">
        <f t="shared" si="3"/>
        <v>522096.24176200945</v>
      </c>
    </row>
    <row r="15" spans="1:16" x14ac:dyDescent="0.15">
      <c r="A15" s="154"/>
      <c r="B15" s="151"/>
      <c r="C15" s="152"/>
      <c r="D15" s="153" t="s">
        <v>521</v>
      </c>
      <c r="E15" s="154" t="s">
        <v>72</v>
      </c>
      <c r="F15" s="157" t="s">
        <v>549</v>
      </c>
      <c r="G15" s="154"/>
      <c r="H15" s="152">
        <v>40119.131000000001</v>
      </c>
      <c r="I15" s="153" t="s">
        <v>521</v>
      </c>
      <c r="J15" s="152"/>
      <c r="K15" s="150"/>
      <c r="L15" s="154" t="s">
        <v>565</v>
      </c>
      <c r="M15" s="152">
        <v>68994.960000000006</v>
      </c>
      <c r="N15" s="154" t="s">
        <v>494</v>
      </c>
      <c r="O15" s="152">
        <f t="shared" ref="O15:O55" si="4">+O14-J15-M15</f>
        <v>12782.245762009494</v>
      </c>
      <c r="P15" s="152">
        <f t="shared" ref="P15:P55" si="5">P14+H15-J15-M15</f>
        <v>493220.41276200948</v>
      </c>
    </row>
    <row r="16" spans="1:16" x14ac:dyDescent="0.15">
      <c r="A16" s="154"/>
      <c r="B16" s="151"/>
      <c r="C16" s="152"/>
      <c r="D16" s="153" t="s">
        <v>522</v>
      </c>
      <c r="E16" s="154" t="s">
        <v>72</v>
      </c>
      <c r="F16" s="157" t="s">
        <v>549</v>
      </c>
      <c r="G16" s="154"/>
      <c r="H16" s="152">
        <v>156001</v>
      </c>
      <c r="I16" s="153" t="s">
        <v>522</v>
      </c>
      <c r="J16" s="152">
        <v>670.33960000000002</v>
      </c>
      <c r="K16" s="154" t="s">
        <v>494</v>
      </c>
      <c r="L16" s="154" t="s">
        <v>565</v>
      </c>
      <c r="M16" s="152">
        <v>12112</v>
      </c>
      <c r="N16" s="154" t="s">
        <v>494</v>
      </c>
      <c r="O16" s="152">
        <f t="shared" si="4"/>
        <v>-9.383799050556263E-2</v>
      </c>
      <c r="P16" s="152">
        <f t="shared" si="5"/>
        <v>636439.07316200959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522</v>
      </c>
      <c r="J17" s="152"/>
      <c r="K17" s="150"/>
      <c r="L17" s="154" t="s">
        <v>565</v>
      </c>
      <c r="M17" s="152">
        <v>63100</v>
      </c>
      <c r="N17" s="154" t="s">
        <v>495</v>
      </c>
      <c r="O17" s="152">
        <f>C9+O16-J17-M17</f>
        <v>37233.906162009487</v>
      </c>
      <c r="P17" s="152">
        <f t="shared" ref="P17:P18" si="6">P16+H17-J17-M17</f>
        <v>573339.07316200959</v>
      </c>
    </row>
    <row r="18" spans="1:16" x14ac:dyDescent="0.15">
      <c r="A18" s="154"/>
      <c r="B18" s="151"/>
      <c r="C18" s="152"/>
      <c r="D18" s="153" t="s">
        <v>522</v>
      </c>
      <c r="E18" s="154" t="s">
        <v>72</v>
      </c>
      <c r="F18" s="157" t="s">
        <v>550</v>
      </c>
      <c r="G18" s="154"/>
      <c r="H18" s="152">
        <v>20014</v>
      </c>
      <c r="I18" s="153" t="s">
        <v>522</v>
      </c>
      <c r="J18" s="152"/>
      <c r="K18" s="150"/>
      <c r="L18" s="154" t="s">
        <v>565</v>
      </c>
      <c r="M18" s="152">
        <v>37234</v>
      </c>
      <c r="N18" s="154" t="s">
        <v>495</v>
      </c>
      <c r="O18" s="152">
        <f t="shared" ref="O18" si="7">+O17-J18-M18</f>
        <v>-9.3837990512838587E-2</v>
      </c>
      <c r="P18" s="152">
        <f t="shared" si="6"/>
        <v>556119.07316200959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3" t="s">
        <v>522</v>
      </c>
      <c r="J19" s="259"/>
      <c r="K19" s="260"/>
      <c r="L19" s="257" t="s">
        <v>565</v>
      </c>
      <c r="M19" s="259">
        <v>35883</v>
      </c>
      <c r="N19" s="258" t="s">
        <v>496</v>
      </c>
      <c r="O19" s="259">
        <f>C10+H11+O18-J19-M19</f>
        <v>184001.46416200948</v>
      </c>
      <c r="P19" s="259">
        <f t="shared" ref="P19:P21" si="8">P18+H19-J19-M19</f>
        <v>520236.07316200959</v>
      </c>
    </row>
    <row r="20" spans="1:16" x14ac:dyDescent="0.15">
      <c r="A20" s="154"/>
      <c r="B20" s="151"/>
      <c r="C20" s="152"/>
      <c r="D20" s="153"/>
      <c r="E20" s="154"/>
      <c r="F20" s="157"/>
      <c r="G20" s="154"/>
      <c r="H20" s="152"/>
      <c r="I20" s="153" t="s">
        <v>522</v>
      </c>
      <c r="J20" s="259"/>
      <c r="K20" s="260"/>
      <c r="L20" s="257" t="s">
        <v>565</v>
      </c>
      <c r="M20" s="259">
        <v>80510.789999999994</v>
      </c>
      <c r="N20" s="258" t="s">
        <v>496</v>
      </c>
      <c r="O20" s="259">
        <f t="shared" ref="O20:O21" si="9">+O19-J20-M20</f>
        <v>103490.67416200948</v>
      </c>
      <c r="P20" s="259">
        <f t="shared" si="8"/>
        <v>439725.28316200961</v>
      </c>
    </row>
    <row r="21" spans="1:16" x14ac:dyDescent="0.15">
      <c r="A21" s="154"/>
      <c r="B21" s="151"/>
      <c r="C21" s="152"/>
      <c r="D21" s="153" t="s">
        <v>523</v>
      </c>
      <c r="E21" s="154" t="s">
        <v>72</v>
      </c>
      <c r="F21" s="157" t="s">
        <v>550</v>
      </c>
      <c r="G21" s="154"/>
      <c r="H21" s="152">
        <v>40080.300000000003</v>
      </c>
      <c r="I21" s="153" t="s">
        <v>523</v>
      </c>
      <c r="J21" s="259">
        <v>291.06</v>
      </c>
      <c r="K21" s="258" t="s">
        <v>496</v>
      </c>
      <c r="L21" s="257" t="s">
        <v>565</v>
      </c>
      <c r="M21" s="259">
        <v>50225.45</v>
      </c>
      <c r="N21" s="258" t="s">
        <v>496</v>
      </c>
      <c r="O21" s="259">
        <f t="shared" si="9"/>
        <v>52974.164162009489</v>
      </c>
      <c r="P21" s="259">
        <f t="shared" si="8"/>
        <v>429289.07316200959</v>
      </c>
    </row>
    <row r="22" spans="1:16" x14ac:dyDescent="0.15">
      <c r="A22" s="154"/>
      <c r="B22" s="151"/>
      <c r="C22" s="152"/>
      <c r="D22" s="153" t="s">
        <v>544</v>
      </c>
      <c r="E22" s="154" t="s">
        <v>72</v>
      </c>
      <c r="F22" s="157" t="s">
        <v>551</v>
      </c>
      <c r="G22" s="154"/>
      <c r="H22" s="152">
        <v>40125.72</v>
      </c>
      <c r="I22" s="153" t="s">
        <v>544</v>
      </c>
      <c r="J22" s="259"/>
      <c r="K22" s="260"/>
      <c r="L22" s="257"/>
      <c r="M22" s="259"/>
      <c r="N22" s="257"/>
      <c r="O22" s="259">
        <f t="shared" si="4"/>
        <v>52974.164162009489</v>
      </c>
      <c r="P22" s="259">
        <f t="shared" si="5"/>
        <v>469414.79316200956</v>
      </c>
    </row>
    <row r="23" spans="1:16" x14ac:dyDescent="0.15">
      <c r="A23" s="154"/>
      <c r="B23" s="151"/>
      <c r="C23" s="152"/>
      <c r="D23" s="153" t="s">
        <v>524</v>
      </c>
      <c r="E23" s="154" t="s">
        <v>72</v>
      </c>
      <c r="F23" s="157" t="s">
        <v>551</v>
      </c>
      <c r="G23" s="154"/>
      <c r="H23" s="152">
        <v>100192.561</v>
      </c>
      <c r="I23" s="153" t="s">
        <v>524</v>
      </c>
      <c r="J23" s="259">
        <v>998.90160000000003</v>
      </c>
      <c r="K23" s="258" t="s">
        <v>496</v>
      </c>
      <c r="L23" s="257" t="s">
        <v>565</v>
      </c>
      <c r="M23" s="259">
        <v>51975</v>
      </c>
      <c r="N23" s="258" t="s">
        <v>496</v>
      </c>
      <c r="O23" s="259">
        <f t="shared" si="4"/>
        <v>0.26256200949137565</v>
      </c>
      <c r="P23" s="259">
        <f t="shared" si="5"/>
        <v>516633.45256200957</v>
      </c>
    </row>
    <row r="24" spans="1:16" x14ac:dyDescent="0.15">
      <c r="A24" s="154"/>
      <c r="B24" s="151"/>
      <c r="C24" s="152"/>
      <c r="D24" s="153"/>
      <c r="E24" s="154"/>
      <c r="F24" s="157"/>
      <c r="G24" s="154"/>
      <c r="H24" s="152"/>
      <c r="I24" s="153" t="s">
        <v>524</v>
      </c>
      <c r="J24" s="152"/>
      <c r="K24" s="150"/>
      <c r="L24" s="154" t="s">
        <v>565</v>
      </c>
      <c r="M24" s="152">
        <v>26793</v>
      </c>
      <c r="N24" s="157" t="s">
        <v>549</v>
      </c>
      <c r="O24" s="152">
        <f>H14+H15+H16+O23-J24-M24</f>
        <v>289427.8715620095</v>
      </c>
      <c r="P24" s="152">
        <f t="shared" ref="P24:P28" si="10">P23+H24-J24-M24</f>
        <v>489840.45256200957</v>
      </c>
    </row>
    <row r="25" spans="1:16" x14ac:dyDescent="0.15">
      <c r="A25" s="154"/>
      <c r="B25" s="151"/>
      <c r="C25" s="152"/>
      <c r="D25" s="153" t="s">
        <v>545</v>
      </c>
      <c r="E25" s="154" t="s">
        <v>72</v>
      </c>
      <c r="F25" s="157" t="s">
        <v>552</v>
      </c>
      <c r="G25" s="154"/>
      <c r="H25" s="152">
        <v>120202.8</v>
      </c>
      <c r="I25" s="153" t="s">
        <v>545</v>
      </c>
      <c r="J25" s="152"/>
      <c r="K25" s="150"/>
      <c r="L25" s="154"/>
      <c r="M25" s="152"/>
      <c r="N25" s="154"/>
      <c r="O25" s="152">
        <f t="shared" ref="O25:O28" si="11">+O24-J25-M25</f>
        <v>289427.8715620095</v>
      </c>
      <c r="P25" s="152">
        <f t="shared" si="10"/>
        <v>610043.25256200961</v>
      </c>
    </row>
    <row r="26" spans="1:16" x14ac:dyDescent="0.15">
      <c r="A26" s="154"/>
      <c r="B26" s="151"/>
      <c r="C26" s="152"/>
      <c r="D26" s="153" t="s">
        <v>525</v>
      </c>
      <c r="E26" s="154" t="s">
        <v>72</v>
      </c>
      <c r="F26" s="157" t="s">
        <v>552</v>
      </c>
      <c r="G26" s="154"/>
      <c r="H26" s="152">
        <v>80086.8</v>
      </c>
      <c r="I26" s="153" t="s">
        <v>525</v>
      </c>
      <c r="J26" s="152">
        <v>787.32</v>
      </c>
      <c r="K26" s="157" t="s">
        <v>549</v>
      </c>
      <c r="L26" s="154" t="s">
        <v>565</v>
      </c>
      <c r="M26" s="152">
        <v>47539.27</v>
      </c>
      <c r="N26" s="157" t="s">
        <v>549</v>
      </c>
      <c r="O26" s="152">
        <f t="shared" si="11"/>
        <v>241101.28156200951</v>
      </c>
      <c r="P26" s="152">
        <f t="shared" si="10"/>
        <v>641803.46256200969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525</v>
      </c>
      <c r="J27" s="152"/>
      <c r="K27" s="150"/>
      <c r="L27" s="154" t="s">
        <v>565</v>
      </c>
      <c r="M27" s="152">
        <v>88390.04</v>
      </c>
      <c r="N27" s="157" t="s">
        <v>549</v>
      </c>
      <c r="O27" s="152">
        <f t="shared" si="11"/>
        <v>152711.2415620095</v>
      </c>
      <c r="P27" s="152">
        <f t="shared" si="10"/>
        <v>553413.42256200965</v>
      </c>
    </row>
    <row r="28" spans="1:16" x14ac:dyDescent="0.15">
      <c r="A28" s="154"/>
      <c r="B28" s="151"/>
      <c r="C28" s="152"/>
      <c r="D28" s="153"/>
      <c r="E28" s="154"/>
      <c r="F28" s="157"/>
      <c r="G28" s="154"/>
      <c r="H28" s="152"/>
      <c r="I28" s="153" t="s">
        <v>526</v>
      </c>
      <c r="J28" s="152"/>
      <c r="K28" s="154"/>
      <c r="L28" s="154" t="s">
        <v>565</v>
      </c>
      <c r="M28" s="152">
        <v>76743.34</v>
      </c>
      <c r="N28" s="157" t="s">
        <v>549</v>
      </c>
      <c r="O28" s="152">
        <f t="shared" si="11"/>
        <v>75967.901562009502</v>
      </c>
      <c r="P28" s="152">
        <f t="shared" si="10"/>
        <v>476670.08256200969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526</v>
      </c>
      <c r="J29" s="152"/>
      <c r="K29" s="150"/>
      <c r="L29" s="154" t="s">
        <v>565</v>
      </c>
      <c r="M29" s="152">
        <v>47684.83</v>
      </c>
      <c r="N29" s="157" t="s">
        <v>549</v>
      </c>
      <c r="O29" s="152">
        <f t="shared" si="4"/>
        <v>28283.0715620095</v>
      </c>
      <c r="P29" s="152">
        <f t="shared" si="5"/>
        <v>428985.25256200967</v>
      </c>
    </row>
    <row r="30" spans="1:16" x14ac:dyDescent="0.15">
      <c r="A30" s="154"/>
      <c r="B30" s="151"/>
      <c r="C30" s="152"/>
      <c r="D30" s="153" t="s">
        <v>527</v>
      </c>
      <c r="E30" s="154" t="s">
        <v>72</v>
      </c>
      <c r="F30" s="157" t="s">
        <v>552</v>
      </c>
      <c r="G30" s="154"/>
      <c r="H30" s="152">
        <v>156053.53099999999</v>
      </c>
      <c r="I30" s="153" t="s">
        <v>527</v>
      </c>
      <c r="J30" s="152">
        <v>1658.17</v>
      </c>
      <c r="K30" s="157" t="s">
        <v>549</v>
      </c>
      <c r="L30" s="154" t="s">
        <v>565</v>
      </c>
      <c r="M30" s="152">
        <v>26625</v>
      </c>
      <c r="N30" s="157" t="s">
        <v>549</v>
      </c>
      <c r="O30" s="152">
        <f t="shared" ref="O30:O32" si="12">+O29-J30-M30</f>
        <v>-9.843799049849622E-2</v>
      </c>
      <c r="P30" s="152">
        <f t="shared" ref="P30:P32" si="13">P29+H30-J30-M30</f>
        <v>556755.61356200965</v>
      </c>
    </row>
    <row r="31" spans="1:16" x14ac:dyDescent="0.15">
      <c r="A31" s="154"/>
      <c r="B31" s="151"/>
      <c r="C31" s="152"/>
      <c r="D31" s="153"/>
      <c r="E31" s="154"/>
      <c r="F31" s="157"/>
      <c r="G31" s="154"/>
      <c r="H31" s="152"/>
      <c r="I31" s="153" t="s">
        <v>527</v>
      </c>
      <c r="J31" s="152"/>
      <c r="K31" s="150"/>
      <c r="L31" s="154" t="s">
        <v>565</v>
      </c>
      <c r="M31" s="152">
        <v>52659</v>
      </c>
      <c r="N31" s="157" t="s">
        <v>550</v>
      </c>
      <c r="O31" s="152">
        <f>H18+H21+O30-J31-M31</f>
        <v>7435.2015620095044</v>
      </c>
      <c r="P31" s="152">
        <f t="shared" si="13"/>
        <v>504096.61356200965</v>
      </c>
    </row>
    <row r="32" spans="1:16" x14ac:dyDescent="0.15">
      <c r="A32" s="154"/>
      <c r="B32" s="151"/>
      <c r="C32" s="152"/>
      <c r="D32" s="153"/>
      <c r="E32" s="154"/>
      <c r="F32" s="157"/>
      <c r="G32" s="154"/>
      <c r="H32" s="152"/>
      <c r="I32" s="153" t="s">
        <v>527</v>
      </c>
      <c r="J32" s="152"/>
      <c r="K32" s="150"/>
      <c r="L32" s="154" t="s">
        <v>565</v>
      </c>
      <c r="M32" s="152">
        <v>7435</v>
      </c>
      <c r="N32" s="157" t="s">
        <v>550</v>
      </c>
      <c r="O32" s="152">
        <f t="shared" si="12"/>
        <v>0.20156200950441416</v>
      </c>
      <c r="P32" s="152">
        <f t="shared" si="13"/>
        <v>496661.61356200965</v>
      </c>
    </row>
    <row r="33" spans="1:16" x14ac:dyDescent="0.15">
      <c r="A33" s="154"/>
      <c r="B33" s="151"/>
      <c r="C33" s="152"/>
      <c r="D33" s="153"/>
      <c r="E33" s="154"/>
      <c r="F33" s="157"/>
      <c r="G33" s="154"/>
      <c r="H33" s="152"/>
      <c r="I33" s="153" t="s">
        <v>527</v>
      </c>
      <c r="J33" s="152"/>
      <c r="K33" s="150"/>
      <c r="L33" s="154" t="s">
        <v>565</v>
      </c>
      <c r="M33" s="152">
        <v>67488</v>
      </c>
      <c r="N33" s="157" t="s">
        <v>551</v>
      </c>
      <c r="O33" s="152">
        <f>H22+H23+O32-J33-M33</f>
        <v>72830.482562009536</v>
      </c>
      <c r="P33" s="152">
        <f t="shared" ref="P33:P37" si="14">P32+H33-J33-M33</f>
        <v>429173.61356200965</v>
      </c>
    </row>
    <row r="34" spans="1:16" x14ac:dyDescent="0.15">
      <c r="A34" s="154"/>
      <c r="B34" s="151"/>
      <c r="C34" s="152"/>
      <c r="D34" s="153"/>
      <c r="E34" s="154"/>
      <c r="F34" s="157"/>
      <c r="G34" s="154"/>
      <c r="H34" s="152"/>
      <c r="I34" s="153" t="s">
        <v>527</v>
      </c>
      <c r="J34" s="152"/>
      <c r="K34" s="150"/>
      <c r="L34" s="154" t="s">
        <v>565</v>
      </c>
      <c r="M34" s="152">
        <v>72830</v>
      </c>
      <c r="N34" s="157" t="s">
        <v>551</v>
      </c>
      <c r="O34" s="152">
        <f t="shared" ref="O34:O37" si="15">+O33-J34-M34</f>
        <v>0.48256200953619555</v>
      </c>
      <c r="P34" s="152">
        <f t="shared" si="14"/>
        <v>356343.61356200965</v>
      </c>
    </row>
    <row r="35" spans="1:16" x14ac:dyDescent="0.15">
      <c r="A35" s="154"/>
      <c r="B35" s="151"/>
      <c r="C35" s="152"/>
      <c r="D35" s="153"/>
      <c r="E35" s="154"/>
      <c r="F35" s="157"/>
      <c r="G35" s="154"/>
      <c r="H35" s="152"/>
      <c r="I35" s="153" t="s">
        <v>527</v>
      </c>
      <c r="J35" s="152"/>
      <c r="K35" s="150"/>
      <c r="L35" s="154" t="s">
        <v>565</v>
      </c>
      <c r="M35" s="152">
        <v>8927</v>
      </c>
      <c r="N35" s="157" t="s">
        <v>552</v>
      </c>
      <c r="O35" s="152">
        <f>H25+H26+H30+O34-J35-M35</f>
        <v>347416.61356200953</v>
      </c>
      <c r="P35" s="152">
        <f t="shared" ref="P35:P36" si="16">P34+H35-J35-M35</f>
        <v>347416.61356200965</v>
      </c>
    </row>
    <row r="36" spans="1:16" x14ac:dyDescent="0.15">
      <c r="A36" s="154"/>
      <c r="B36" s="151"/>
      <c r="C36" s="152"/>
      <c r="D36" s="153" t="s">
        <v>528</v>
      </c>
      <c r="E36" s="154" t="s">
        <v>72</v>
      </c>
      <c r="F36" s="157" t="s">
        <v>553</v>
      </c>
      <c r="G36" s="154"/>
      <c r="H36" s="152">
        <v>40045.428</v>
      </c>
      <c r="I36" s="153" t="s">
        <v>528</v>
      </c>
      <c r="J36" s="152">
        <v>825.92</v>
      </c>
      <c r="K36" s="157" t="s">
        <v>552</v>
      </c>
      <c r="L36" s="154" t="s">
        <v>565</v>
      </c>
      <c r="M36" s="152">
        <v>51005.17</v>
      </c>
      <c r="N36" s="157" t="s">
        <v>552</v>
      </c>
      <c r="O36" s="152">
        <f t="shared" ref="O36" si="17">+O35-J36-M36</f>
        <v>295585.52356200956</v>
      </c>
      <c r="P36" s="152">
        <f t="shared" si="16"/>
        <v>335630.95156200969</v>
      </c>
    </row>
    <row r="37" spans="1:16" x14ac:dyDescent="0.15">
      <c r="A37" s="154"/>
      <c r="B37" s="151"/>
      <c r="C37" s="152"/>
      <c r="D37" s="153" t="s">
        <v>529</v>
      </c>
      <c r="E37" s="154" t="s">
        <v>72</v>
      </c>
      <c r="F37" s="157" t="s">
        <v>553</v>
      </c>
      <c r="G37" s="154"/>
      <c r="H37" s="152">
        <v>136045.52900000001</v>
      </c>
      <c r="I37" s="153" t="s">
        <v>529</v>
      </c>
      <c r="J37" s="152">
        <v>396.12049999999999</v>
      </c>
      <c r="K37" s="157" t="s">
        <v>552</v>
      </c>
      <c r="L37" s="154"/>
      <c r="M37" s="152"/>
      <c r="N37" s="157" t="s">
        <v>552</v>
      </c>
      <c r="O37" s="152">
        <f t="shared" si="15"/>
        <v>295189.40306200954</v>
      </c>
      <c r="P37" s="152">
        <f t="shared" si="14"/>
        <v>471280.36006200971</v>
      </c>
    </row>
    <row r="38" spans="1:16" x14ac:dyDescent="0.15">
      <c r="A38" s="154"/>
      <c r="B38" s="151"/>
      <c r="C38" s="152"/>
      <c r="D38" s="153" t="s">
        <v>530</v>
      </c>
      <c r="E38" s="154" t="s">
        <v>72</v>
      </c>
      <c r="F38" s="157" t="s">
        <v>554</v>
      </c>
      <c r="G38" s="154"/>
      <c r="H38" s="152">
        <v>100067.027</v>
      </c>
      <c r="I38" s="153" t="s">
        <v>530</v>
      </c>
      <c r="J38" s="152"/>
      <c r="K38" s="157"/>
      <c r="L38" s="154" t="s">
        <v>565</v>
      </c>
      <c r="M38" s="152">
        <v>79376.09</v>
      </c>
      <c r="N38" s="157" t="s">
        <v>552</v>
      </c>
      <c r="O38" s="152">
        <f t="shared" si="4"/>
        <v>215813.31306200955</v>
      </c>
      <c r="P38" s="152">
        <f t="shared" si="5"/>
        <v>491971.29706200969</v>
      </c>
    </row>
    <row r="39" spans="1:16" x14ac:dyDescent="0.15">
      <c r="A39" s="154"/>
      <c r="B39" s="151"/>
      <c r="C39" s="152"/>
      <c r="D39" s="153" t="s">
        <v>531</v>
      </c>
      <c r="E39" s="154" t="s">
        <v>72</v>
      </c>
      <c r="F39" s="157" t="s">
        <v>554</v>
      </c>
      <c r="G39" s="154"/>
      <c r="H39" s="152">
        <v>100167.80100000001</v>
      </c>
      <c r="I39" s="153" t="s">
        <v>531</v>
      </c>
      <c r="J39" s="152">
        <v>634.87</v>
      </c>
      <c r="K39" s="157" t="s">
        <v>552</v>
      </c>
      <c r="L39" s="154"/>
      <c r="M39" s="152"/>
      <c r="N39" s="157" t="s">
        <v>552</v>
      </c>
      <c r="O39" s="152">
        <f t="shared" si="4"/>
        <v>215178.44306200955</v>
      </c>
      <c r="P39" s="152">
        <f t="shared" si="5"/>
        <v>591504.22806200967</v>
      </c>
    </row>
    <row r="40" spans="1:16" x14ac:dyDescent="0.15">
      <c r="A40" s="154"/>
      <c r="B40" s="151"/>
      <c r="C40" s="152"/>
      <c r="D40" s="153" t="s">
        <v>532</v>
      </c>
      <c r="E40" s="154" t="s">
        <v>72</v>
      </c>
      <c r="F40" s="157" t="s">
        <v>555</v>
      </c>
      <c r="G40" s="154"/>
      <c r="H40" s="152">
        <v>80079.487999999998</v>
      </c>
      <c r="I40" s="153" t="s">
        <v>532</v>
      </c>
      <c r="J40" s="152">
        <v>572.11599999999999</v>
      </c>
      <c r="K40" s="157" t="s">
        <v>552</v>
      </c>
      <c r="L40" s="154" t="s">
        <v>565</v>
      </c>
      <c r="M40" s="152">
        <v>90358.32</v>
      </c>
      <c r="N40" s="157" t="s">
        <v>552</v>
      </c>
      <c r="O40" s="152">
        <f t="shared" si="4"/>
        <v>124248.00706200954</v>
      </c>
      <c r="P40" s="152">
        <f t="shared" si="5"/>
        <v>580653.28006200958</v>
      </c>
    </row>
    <row r="41" spans="1:16" x14ac:dyDescent="0.15">
      <c r="A41" s="154"/>
      <c r="B41" s="151"/>
      <c r="C41" s="152"/>
      <c r="D41" s="153"/>
      <c r="E41" s="154"/>
      <c r="F41" s="157"/>
      <c r="G41" s="154"/>
      <c r="H41" s="152"/>
      <c r="I41" s="153" t="s">
        <v>533</v>
      </c>
      <c r="J41" s="152"/>
      <c r="K41" s="157"/>
      <c r="L41" s="154" t="s">
        <v>565</v>
      </c>
      <c r="M41" s="152">
        <v>78545.7</v>
      </c>
      <c r="N41" s="157" t="s">
        <v>552</v>
      </c>
      <c r="O41" s="152">
        <f t="shared" si="4"/>
        <v>45702.307062009539</v>
      </c>
      <c r="P41" s="152">
        <f t="shared" si="5"/>
        <v>502107.58006200957</v>
      </c>
    </row>
    <row r="42" spans="1:16" x14ac:dyDescent="0.15">
      <c r="A42" s="154"/>
      <c r="B42" s="151"/>
      <c r="C42" s="152"/>
      <c r="D42" s="153" t="s">
        <v>534</v>
      </c>
      <c r="E42" s="154" t="s">
        <v>72</v>
      </c>
      <c r="F42" s="157" t="s">
        <v>555</v>
      </c>
      <c r="G42" s="154"/>
      <c r="H42" s="152">
        <v>156231</v>
      </c>
      <c r="I42" s="153" t="s">
        <v>534</v>
      </c>
      <c r="J42" s="152">
        <v>312.94</v>
      </c>
      <c r="K42" s="157" t="s">
        <v>552</v>
      </c>
      <c r="L42" s="154" t="s">
        <v>565</v>
      </c>
      <c r="M42" s="152">
        <v>45389</v>
      </c>
      <c r="N42" s="157" t="s">
        <v>552</v>
      </c>
      <c r="O42" s="152">
        <f t="shared" si="4"/>
        <v>0.36706200953631196</v>
      </c>
      <c r="P42" s="152">
        <f t="shared" si="5"/>
        <v>612636.64006200968</v>
      </c>
    </row>
    <row r="43" spans="1:16" x14ac:dyDescent="0.15">
      <c r="A43" s="154"/>
      <c r="B43" s="151"/>
      <c r="C43" s="152"/>
      <c r="D43" s="153"/>
      <c r="E43" s="154"/>
      <c r="F43" s="157"/>
      <c r="G43" s="154"/>
      <c r="H43" s="152"/>
      <c r="I43" s="153" t="s">
        <v>534</v>
      </c>
      <c r="J43" s="152"/>
      <c r="K43" s="154"/>
      <c r="L43" s="154" t="s">
        <v>565</v>
      </c>
      <c r="M43" s="152">
        <v>34760</v>
      </c>
      <c r="N43" s="157" t="s">
        <v>553</v>
      </c>
      <c r="O43" s="152">
        <f>H36+H37+O42-J43-M43</f>
        <v>141331.32406200952</v>
      </c>
      <c r="P43" s="152">
        <f t="shared" ref="P43:P45" si="18">P42+H43-J43-M43</f>
        <v>577876.64006200968</v>
      </c>
    </row>
    <row r="44" spans="1:16" x14ac:dyDescent="0.15">
      <c r="A44" s="154"/>
      <c r="B44" s="151"/>
      <c r="C44" s="152"/>
      <c r="D44" s="153" t="s">
        <v>534</v>
      </c>
      <c r="E44" s="154" t="s">
        <v>72</v>
      </c>
      <c r="F44" s="157" t="s">
        <v>556</v>
      </c>
      <c r="G44" s="154"/>
      <c r="H44" s="152">
        <v>20034</v>
      </c>
      <c r="I44" s="153" t="s">
        <v>534</v>
      </c>
      <c r="J44" s="152"/>
      <c r="K44" s="154"/>
      <c r="L44" s="154" t="s">
        <v>565</v>
      </c>
      <c r="M44" s="152">
        <v>75251.83</v>
      </c>
      <c r="N44" s="157" t="s">
        <v>553</v>
      </c>
      <c r="O44" s="152">
        <f t="shared" ref="O44:O45" si="19">+O43-J44-M44</f>
        <v>66079.494062009515</v>
      </c>
      <c r="P44" s="152">
        <f t="shared" si="18"/>
        <v>522658.81006200967</v>
      </c>
    </row>
    <row r="45" spans="1:16" x14ac:dyDescent="0.15">
      <c r="A45" s="154"/>
      <c r="B45" s="151"/>
      <c r="C45" s="152"/>
      <c r="D45" s="153"/>
      <c r="E45" s="154"/>
      <c r="F45" s="157"/>
      <c r="G45" s="154"/>
      <c r="H45" s="152"/>
      <c r="I45" s="153" t="s">
        <v>534</v>
      </c>
      <c r="J45" s="152"/>
      <c r="K45" s="157"/>
      <c r="L45" s="154" t="s">
        <v>565</v>
      </c>
      <c r="M45" s="152">
        <v>66079</v>
      </c>
      <c r="N45" s="157" t="s">
        <v>553</v>
      </c>
      <c r="O45" s="152">
        <f t="shared" si="19"/>
        <v>0.49406200951489154</v>
      </c>
      <c r="P45" s="152">
        <f t="shared" si="18"/>
        <v>456579.81006200967</v>
      </c>
    </row>
    <row r="46" spans="1:16" x14ac:dyDescent="0.15">
      <c r="A46" s="154"/>
      <c r="B46" s="151"/>
      <c r="C46" s="152"/>
      <c r="D46" s="153"/>
      <c r="E46" s="154"/>
      <c r="F46" s="157"/>
      <c r="G46" s="154"/>
      <c r="H46" s="152"/>
      <c r="I46" s="153" t="s">
        <v>534</v>
      </c>
      <c r="J46" s="152"/>
      <c r="K46" s="157"/>
      <c r="L46" s="154" t="s">
        <v>565</v>
      </c>
      <c r="M46" s="152">
        <v>21951</v>
      </c>
      <c r="N46" s="157" t="s">
        <v>554</v>
      </c>
      <c r="O46" s="152">
        <f>H38+H39+O45-J46-M46</f>
        <v>178284.32206200954</v>
      </c>
      <c r="P46" s="152">
        <f t="shared" ref="P46:P50" si="20">P45+H46-J46-M46</f>
        <v>434628.81006200967</v>
      </c>
    </row>
    <row r="47" spans="1:16" x14ac:dyDescent="0.15">
      <c r="A47" s="154"/>
      <c r="B47" s="151"/>
      <c r="C47" s="152"/>
      <c r="D47" s="153" t="s">
        <v>535</v>
      </c>
      <c r="E47" s="154" t="s">
        <v>72</v>
      </c>
      <c r="F47" s="157" t="s">
        <v>557</v>
      </c>
      <c r="G47" s="154"/>
      <c r="H47" s="152">
        <v>60136.375</v>
      </c>
      <c r="I47" s="153" t="s">
        <v>535</v>
      </c>
      <c r="J47" s="152">
        <v>270</v>
      </c>
      <c r="K47" s="157" t="s">
        <v>554</v>
      </c>
      <c r="L47" s="154" t="s">
        <v>565</v>
      </c>
      <c r="M47" s="152">
        <v>50290.2</v>
      </c>
      <c r="N47" s="157" t="s">
        <v>554</v>
      </c>
      <c r="O47" s="152">
        <f t="shared" ref="O47:O50" si="21">+O46-J47-M47</f>
        <v>127724.12206200954</v>
      </c>
      <c r="P47" s="152">
        <f t="shared" si="20"/>
        <v>444204.98506200965</v>
      </c>
    </row>
    <row r="48" spans="1:16" x14ac:dyDescent="0.15">
      <c r="A48" s="154"/>
      <c r="B48" s="151"/>
      <c r="C48" s="152"/>
      <c r="D48" s="153" t="s">
        <v>536</v>
      </c>
      <c r="E48" s="154" t="s">
        <v>72</v>
      </c>
      <c r="F48" s="157" t="s">
        <v>557</v>
      </c>
      <c r="G48" s="154"/>
      <c r="H48" s="152">
        <v>100148.958</v>
      </c>
      <c r="I48" s="153" t="s">
        <v>536</v>
      </c>
      <c r="J48" s="152">
        <v>1102.6637000000001</v>
      </c>
      <c r="K48" s="157" t="s">
        <v>554</v>
      </c>
      <c r="L48" s="154"/>
      <c r="M48" s="152"/>
      <c r="N48" s="157"/>
      <c r="O48" s="152">
        <f t="shared" si="21"/>
        <v>126621.45836200954</v>
      </c>
      <c r="P48" s="152">
        <f t="shared" si="20"/>
        <v>543251.27936200961</v>
      </c>
    </row>
    <row r="49" spans="1:16" x14ac:dyDescent="0.15">
      <c r="A49" s="154"/>
      <c r="B49" s="151"/>
      <c r="C49" s="152"/>
      <c r="D49" s="153" t="s">
        <v>537</v>
      </c>
      <c r="E49" s="154" t="s">
        <v>72</v>
      </c>
      <c r="F49" s="157" t="s">
        <v>558</v>
      </c>
      <c r="G49" s="154"/>
      <c r="H49" s="152">
        <v>120159.401</v>
      </c>
      <c r="I49" s="153" t="s">
        <v>537</v>
      </c>
      <c r="J49" s="152"/>
      <c r="K49" s="157"/>
      <c r="L49" s="154" t="s">
        <v>565</v>
      </c>
      <c r="M49" s="152">
        <v>77492.800000000003</v>
      </c>
      <c r="N49" s="157" t="s">
        <v>554</v>
      </c>
      <c r="O49" s="152">
        <f t="shared" si="21"/>
        <v>49128.658362009533</v>
      </c>
      <c r="P49" s="152">
        <f t="shared" si="20"/>
        <v>585917.88036200951</v>
      </c>
    </row>
    <row r="50" spans="1:16" x14ac:dyDescent="0.15">
      <c r="A50" s="154"/>
      <c r="B50" s="151"/>
      <c r="C50" s="152"/>
      <c r="D50" s="153" t="s">
        <v>538</v>
      </c>
      <c r="E50" s="154" t="s">
        <v>72</v>
      </c>
      <c r="F50" s="157" t="s">
        <v>559</v>
      </c>
      <c r="G50" s="154"/>
      <c r="H50" s="152">
        <v>100193.95699999999</v>
      </c>
      <c r="I50" s="153" t="s">
        <v>538</v>
      </c>
      <c r="J50" s="152">
        <v>1031.79</v>
      </c>
      <c r="K50" s="157" t="s">
        <v>554</v>
      </c>
      <c r="L50" s="154" t="s">
        <v>565</v>
      </c>
      <c r="M50" s="152">
        <v>48097</v>
      </c>
      <c r="N50" s="157" t="s">
        <v>554</v>
      </c>
      <c r="O50" s="152">
        <f t="shared" si="21"/>
        <v>-0.13163799046742497</v>
      </c>
      <c r="P50" s="152">
        <f t="shared" si="20"/>
        <v>636983.04736200953</v>
      </c>
    </row>
    <row r="51" spans="1:16" x14ac:dyDescent="0.15">
      <c r="A51" s="154"/>
      <c r="B51" s="151"/>
      <c r="C51" s="152"/>
      <c r="D51" s="153"/>
      <c r="E51" s="154"/>
      <c r="F51" s="157"/>
      <c r="G51" s="154"/>
      <c r="H51" s="152"/>
      <c r="I51" s="153" t="s">
        <v>538</v>
      </c>
      <c r="J51" s="152"/>
      <c r="K51" s="157"/>
      <c r="L51" s="154" t="s">
        <v>564</v>
      </c>
      <c r="M51" s="152">
        <v>3268</v>
      </c>
      <c r="N51" s="157" t="s">
        <v>555</v>
      </c>
      <c r="O51" s="152">
        <f>H40+H42+O50-J51-M51</f>
        <v>233042.35636200954</v>
      </c>
      <c r="P51" s="152">
        <f t="shared" ref="P51:P54" si="22">P50+H51-J51-M51</f>
        <v>633715.04736200953</v>
      </c>
    </row>
    <row r="52" spans="1:16" x14ac:dyDescent="0.15">
      <c r="A52" s="154"/>
      <c r="B52" s="151"/>
      <c r="C52" s="152"/>
      <c r="D52" s="153"/>
      <c r="E52" s="154"/>
      <c r="F52" s="157"/>
      <c r="G52" s="154"/>
      <c r="H52" s="152"/>
      <c r="I52" s="153" t="s">
        <v>538</v>
      </c>
      <c r="J52" s="152"/>
      <c r="K52" s="157"/>
      <c r="L52" s="154" t="s">
        <v>564</v>
      </c>
      <c r="M52" s="152">
        <v>85012.76</v>
      </c>
      <c r="N52" s="157" t="s">
        <v>555</v>
      </c>
      <c r="O52" s="152">
        <f t="shared" ref="O52:O54" si="23">+O51-J52-M52</f>
        <v>148029.59636200953</v>
      </c>
      <c r="P52" s="152">
        <f t="shared" si="22"/>
        <v>548702.28736200952</v>
      </c>
    </row>
    <row r="53" spans="1:16" x14ac:dyDescent="0.15">
      <c r="A53" s="154"/>
      <c r="B53" s="151"/>
      <c r="C53" s="152"/>
      <c r="D53" s="153"/>
      <c r="E53" s="154"/>
      <c r="F53" s="157"/>
      <c r="G53" s="154"/>
      <c r="H53" s="152"/>
      <c r="I53" s="153" t="s">
        <v>539</v>
      </c>
      <c r="J53" s="152"/>
      <c r="K53" s="157"/>
      <c r="L53" s="154" t="s">
        <v>564</v>
      </c>
      <c r="M53" s="152">
        <v>74174.960000000006</v>
      </c>
      <c r="N53" s="157" t="s">
        <v>555</v>
      </c>
      <c r="O53" s="152">
        <f t="shared" si="23"/>
        <v>73854.636362009522</v>
      </c>
      <c r="P53" s="152">
        <f t="shared" si="22"/>
        <v>474527.3273620095</v>
      </c>
    </row>
    <row r="54" spans="1:16" x14ac:dyDescent="0.15">
      <c r="A54" s="154"/>
      <c r="B54" s="151"/>
      <c r="C54" s="152"/>
      <c r="D54" s="153"/>
      <c r="E54" s="154"/>
      <c r="F54" s="157"/>
      <c r="G54" s="154"/>
      <c r="H54" s="152"/>
      <c r="I54" s="153" t="s">
        <v>539</v>
      </c>
      <c r="J54" s="152"/>
      <c r="K54" s="157"/>
      <c r="L54" s="154" t="s">
        <v>564</v>
      </c>
      <c r="M54" s="152">
        <v>48990.06</v>
      </c>
      <c r="N54" s="157" t="s">
        <v>555</v>
      </c>
      <c r="O54" s="152">
        <f t="shared" si="23"/>
        <v>24864.576362009524</v>
      </c>
      <c r="P54" s="152">
        <f t="shared" si="22"/>
        <v>425537.2673620095</v>
      </c>
    </row>
    <row r="55" spans="1:16" x14ac:dyDescent="0.15">
      <c r="A55" s="154"/>
      <c r="B55" s="151"/>
      <c r="C55" s="152"/>
      <c r="D55" s="153" t="s">
        <v>540</v>
      </c>
      <c r="E55" s="154" t="s">
        <v>72</v>
      </c>
      <c r="F55" s="157" t="s">
        <v>559</v>
      </c>
      <c r="G55" s="154"/>
      <c r="H55" s="152">
        <v>149362</v>
      </c>
      <c r="I55" s="153" t="s">
        <v>540</v>
      </c>
      <c r="J55" s="152">
        <v>384.08</v>
      </c>
      <c r="K55" s="157" t="s">
        <v>555</v>
      </c>
      <c r="L55" s="154" t="s">
        <v>564</v>
      </c>
      <c r="M55" s="152">
        <v>24480</v>
      </c>
      <c r="N55" s="157" t="s">
        <v>555</v>
      </c>
      <c r="O55" s="152">
        <f t="shared" si="4"/>
        <v>0.49636200952227227</v>
      </c>
      <c r="P55" s="152">
        <f t="shared" si="5"/>
        <v>550035.18736200954</v>
      </c>
    </row>
    <row r="56" spans="1:16" x14ac:dyDescent="0.15">
      <c r="A56" s="154"/>
      <c r="B56" s="151"/>
      <c r="C56" s="152"/>
      <c r="D56" s="153"/>
      <c r="E56" s="154"/>
      <c r="F56" s="157"/>
      <c r="G56" s="154"/>
      <c r="H56" s="152"/>
      <c r="I56" s="153" t="s">
        <v>540</v>
      </c>
      <c r="J56" s="152"/>
      <c r="K56" s="157"/>
      <c r="L56" s="154" t="s">
        <v>564</v>
      </c>
      <c r="M56" s="152">
        <v>20034</v>
      </c>
      <c r="N56" s="157" t="s">
        <v>556</v>
      </c>
      <c r="O56" s="152">
        <f>H44+O55-J56-M56</f>
        <v>0.49636200952227227</v>
      </c>
      <c r="P56" s="152">
        <f t="shared" ref="P56:P59" si="24">P55+H56-J56-M56</f>
        <v>530001.18736200954</v>
      </c>
    </row>
    <row r="57" spans="1:16" x14ac:dyDescent="0.15">
      <c r="A57" s="154"/>
      <c r="B57" s="151"/>
      <c r="C57" s="152"/>
      <c r="D57" s="153"/>
      <c r="E57" s="154"/>
      <c r="F57" s="157"/>
      <c r="G57" s="154"/>
      <c r="H57" s="152"/>
      <c r="I57" s="153" t="s">
        <v>540</v>
      </c>
      <c r="J57" s="152"/>
      <c r="K57" s="157"/>
      <c r="L57" s="154" t="s">
        <v>565</v>
      </c>
      <c r="M57" s="152">
        <v>33502</v>
      </c>
      <c r="N57" s="157" t="s">
        <v>557</v>
      </c>
      <c r="O57" s="152">
        <f>H47+H48+O56-J57-M57</f>
        <v>126783.82936200951</v>
      </c>
      <c r="P57" s="152">
        <f t="shared" ref="P57:P58" si="25">P56+H57-J57-M57</f>
        <v>496499.18736200954</v>
      </c>
    </row>
    <row r="58" spans="1:16" x14ac:dyDescent="0.15">
      <c r="A58" s="154"/>
      <c r="B58" s="151"/>
      <c r="C58" s="152"/>
      <c r="D58" s="153" t="s">
        <v>540</v>
      </c>
      <c r="E58" s="154" t="s">
        <v>72</v>
      </c>
      <c r="F58" s="157" t="s">
        <v>560</v>
      </c>
      <c r="G58" s="154"/>
      <c r="H58" s="152">
        <v>6680</v>
      </c>
      <c r="I58" s="153" t="s">
        <v>540</v>
      </c>
      <c r="J58" s="152"/>
      <c r="K58" s="157"/>
      <c r="L58" s="154" t="s">
        <v>565</v>
      </c>
      <c r="M58" s="152">
        <v>81305.48</v>
      </c>
      <c r="N58" s="157" t="s">
        <v>557</v>
      </c>
      <c r="O58" s="152">
        <f t="shared" ref="O58" si="26">+O57-J58-M58</f>
        <v>45478.349362009511</v>
      </c>
      <c r="P58" s="152">
        <f t="shared" si="25"/>
        <v>421873.70736200956</v>
      </c>
    </row>
    <row r="59" spans="1:16" x14ac:dyDescent="0.15">
      <c r="A59" s="154"/>
      <c r="B59" s="151"/>
      <c r="C59" s="152"/>
      <c r="D59" s="153"/>
      <c r="E59" s="154"/>
      <c r="F59" s="157"/>
      <c r="G59" s="154"/>
      <c r="H59" s="152"/>
      <c r="I59" s="153" t="s">
        <v>540</v>
      </c>
      <c r="J59" s="152"/>
      <c r="K59" s="154"/>
      <c r="L59" s="154" t="s">
        <v>565</v>
      </c>
      <c r="M59" s="152">
        <v>45478</v>
      </c>
      <c r="N59" s="157" t="s">
        <v>557</v>
      </c>
      <c r="O59" s="152">
        <f t="shared" ref="O59" si="27">+O58-J59-M59</f>
        <v>0.34936200951051433</v>
      </c>
      <c r="P59" s="152">
        <f t="shared" si="24"/>
        <v>376395.70736200956</v>
      </c>
    </row>
    <row r="60" spans="1:16" x14ac:dyDescent="0.15">
      <c r="A60" s="154"/>
      <c r="B60" s="151"/>
      <c r="C60" s="152"/>
      <c r="D60" s="153"/>
      <c r="E60" s="154"/>
      <c r="F60" s="157"/>
      <c r="G60" s="154"/>
      <c r="H60" s="152"/>
      <c r="I60" s="153" t="s">
        <v>540</v>
      </c>
      <c r="J60" s="152"/>
      <c r="K60" s="154"/>
      <c r="L60" s="154" t="s">
        <v>565</v>
      </c>
      <c r="M60" s="152">
        <v>34170</v>
      </c>
      <c r="N60" s="157" t="s">
        <v>558</v>
      </c>
      <c r="O60" s="152">
        <f>H49+O59-J60-M60</f>
        <v>85989.750362009509</v>
      </c>
      <c r="P60" s="152">
        <f t="shared" ref="P60:P63" si="28">P59+H60-J60-M60</f>
        <v>342225.70736200956</v>
      </c>
    </row>
    <row r="61" spans="1:16" x14ac:dyDescent="0.15">
      <c r="A61" s="154"/>
      <c r="B61" s="151"/>
      <c r="C61" s="152"/>
      <c r="D61" s="153" t="s">
        <v>541</v>
      </c>
      <c r="E61" s="154" t="s">
        <v>72</v>
      </c>
      <c r="F61" s="157" t="s">
        <v>561</v>
      </c>
      <c r="G61" s="154"/>
      <c r="H61" s="152">
        <v>120180.594</v>
      </c>
      <c r="I61" s="153" t="s">
        <v>541</v>
      </c>
      <c r="J61" s="152"/>
      <c r="K61" s="154"/>
      <c r="L61" s="154" t="s">
        <v>565</v>
      </c>
      <c r="M61" s="152">
        <v>50399.74</v>
      </c>
      <c r="N61" s="157" t="s">
        <v>558</v>
      </c>
      <c r="O61" s="152">
        <f t="shared" ref="O61:O63" si="29">+O60-J61-M61</f>
        <v>35590.010362009511</v>
      </c>
      <c r="P61" s="152">
        <f t="shared" si="28"/>
        <v>412006.56136200955</v>
      </c>
    </row>
    <row r="62" spans="1:16" x14ac:dyDescent="0.15">
      <c r="A62" s="154"/>
      <c r="B62" s="151"/>
      <c r="C62" s="152"/>
      <c r="D62" s="153" t="s">
        <v>546</v>
      </c>
      <c r="E62" s="154" t="s">
        <v>72</v>
      </c>
      <c r="F62" s="157" t="s">
        <v>561</v>
      </c>
      <c r="G62" s="154"/>
      <c r="H62" s="152">
        <v>80094.906000000003</v>
      </c>
      <c r="I62" s="153" t="s">
        <v>546</v>
      </c>
      <c r="J62" s="152"/>
      <c r="K62" s="157"/>
      <c r="L62" s="154"/>
      <c r="M62" s="152"/>
      <c r="N62" s="157"/>
      <c r="O62" s="152">
        <f t="shared" si="29"/>
        <v>35590.010362009511</v>
      </c>
      <c r="P62" s="152">
        <f t="shared" si="28"/>
        <v>492101.46736200957</v>
      </c>
    </row>
    <row r="63" spans="1:16" x14ac:dyDescent="0.15">
      <c r="A63" s="154"/>
      <c r="B63" s="151"/>
      <c r="C63" s="152"/>
      <c r="D63" s="153" t="s">
        <v>542</v>
      </c>
      <c r="E63" s="154" t="s">
        <v>72</v>
      </c>
      <c r="F63" s="157" t="s">
        <v>562</v>
      </c>
      <c r="G63" s="154"/>
      <c r="H63" s="152">
        <v>100141.841</v>
      </c>
      <c r="I63" s="153" t="s">
        <v>542</v>
      </c>
      <c r="J63" s="152"/>
      <c r="K63" s="157"/>
      <c r="L63" s="154" t="s">
        <v>565</v>
      </c>
      <c r="M63" s="152">
        <v>35590</v>
      </c>
      <c r="N63" s="157" t="s">
        <v>558</v>
      </c>
      <c r="O63" s="152">
        <f t="shared" si="29"/>
        <v>1.0362009510572534E-2</v>
      </c>
      <c r="P63" s="152">
        <f t="shared" si="28"/>
        <v>556653.30836200959</v>
      </c>
    </row>
    <row r="64" spans="1:16" x14ac:dyDescent="0.15">
      <c r="A64" s="154"/>
      <c r="B64" s="151"/>
      <c r="C64" s="152"/>
      <c r="D64" s="153"/>
      <c r="E64" s="154"/>
      <c r="F64" s="157"/>
      <c r="G64" s="154"/>
      <c r="H64" s="152"/>
      <c r="I64" s="153" t="s">
        <v>542</v>
      </c>
      <c r="J64" s="152"/>
      <c r="K64" s="157"/>
      <c r="L64" s="154" t="s">
        <v>565</v>
      </c>
      <c r="M64" s="152">
        <v>42768</v>
      </c>
      <c r="N64" s="157" t="s">
        <v>559</v>
      </c>
      <c r="O64" s="152">
        <f>H50+H55+O63-J64-M64</f>
        <v>206787.96736200951</v>
      </c>
      <c r="P64" s="152">
        <f t="shared" ref="P64:P66" si="30">P63+H64-J64-M64</f>
        <v>513885.30836200959</v>
      </c>
    </row>
    <row r="65" spans="1:16" x14ac:dyDescent="0.15">
      <c r="A65" s="154"/>
      <c r="B65" s="151"/>
      <c r="C65" s="152"/>
      <c r="D65" s="153" t="s">
        <v>547</v>
      </c>
      <c r="E65" s="154" t="s">
        <v>72</v>
      </c>
      <c r="F65" s="157" t="s">
        <v>562</v>
      </c>
      <c r="G65" s="154"/>
      <c r="H65" s="152">
        <v>77176</v>
      </c>
      <c r="I65" s="153" t="s">
        <v>547</v>
      </c>
      <c r="J65" s="152"/>
      <c r="K65" s="157"/>
      <c r="L65" s="154"/>
      <c r="M65" s="152"/>
      <c r="N65" s="157"/>
      <c r="O65" s="152">
        <f t="shared" ref="O65:O66" si="31">+O64-J65-M65</f>
        <v>206787.96736200951</v>
      </c>
      <c r="P65" s="152">
        <f t="shared" si="30"/>
        <v>591061.30836200959</v>
      </c>
    </row>
    <row r="66" spans="1:16" x14ac:dyDescent="0.15">
      <c r="A66" s="154"/>
      <c r="B66" s="151"/>
      <c r="C66" s="152"/>
      <c r="D66" s="153" t="s">
        <v>547</v>
      </c>
      <c r="E66" s="154" t="s">
        <v>72</v>
      </c>
      <c r="F66" s="157" t="s">
        <v>563</v>
      </c>
      <c r="G66" s="154"/>
      <c r="H66" s="152">
        <v>43127</v>
      </c>
      <c r="I66" s="153" t="s">
        <v>547</v>
      </c>
      <c r="J66" s="152"/>
      <c r="K66" s="157"/>
      <c r="L66" s="154"/>
      <c r="M66" s="152"/>
      <c r="N66" s="157"/>
      <c r="O66" s="152">
        <f t="shared" si="31"/>
        <v>206787.96736200951</v>
      </c>
      <c r="P66" s="152">
        <f t="shared" si="30"/>
        <v>634188.30836200959</v>
      </c>
    </row>
    <row r="67" spans="1:16" x14ac:dyDescent="0.15">
      <c r="A67" s="154"/>
      <c r="B67" s="151"/>
      <c r="C67" s="152"/>
      <c r="D67" s="153" t="s">
        <v>543</v>
      </c>
      <c r="E67" s="154" t="s">
        <v>72</v>
      </c>
      <c r="F67" s="157" t="s">
        <v>563</v>
      </c>
      <c r="G67" s="154"/>
      <c r="H67" s="152">
        <v>40082.732000000004</v>
      </c>
      <c r="I67" s="153" t="s">
        <v>543</v>
      </c>
      <c r="J67" s="152"/>
      <c r="K67" s="157"/>
      <c r="L67" s="154" t="s">
        <v>565</v>
      </c>
      <c r="M67" s="152">
        <v>86353.51</v>
      </c>
      <c r="N67" s="157" t="s">
        <v>559</v>
      </c>
      <c r="O67" s="152">
        <f t="shared" ref="O67:O104" si="32">+O66-J67-M67</f>
        <v>120434.45736200952</v>
      </c>
      <c r="P67" s="152">
        <f t="shared" ref="P67:P104" si="33">P66+H67-J67-M67</f>
        <v>587917.53036200954</v>
      </c>
    </row>
    <row r="68" spans="1:16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7"/>
      <c r="L68" s="154"/>
      <c r="M68" s="152"/>
      <c r="N68" s="157"/>
      <c r="O68" s="152">
        <f t="shared" si="32"/>
        <v>120434.45736200952</v>
      </c>
      <c r="P68" s="152">
        <f t="shared" si="33"/>
        <v>587917.53036200954</v>
      </c>
    </row>
    <row r="69" spans="1:16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7"/>
      <c r="L69" s="154"/>
      <c r="M69" s="152"/>
      <c r="N69" s="157"/>
      <c r="O69" s="152">
        <f t="shared" si="32"/>
        <v>120434.45736200952</v>
      </c>
      <c r="P69" s="152">
        <f t="shared" si="33"/>
        <v>587917.53036200954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7"/>
      <c r="L70" s="154"/>
      <c r="M70" s="152"/>
      <c r="N70" s="157"/>
      <c r="O70" s="152">
        <f t="shared" si="32"/>
        <v>120434.45736200952</v>
      </c>
      <c r="P70" s="152">
        <f t="shared" si="33"/>
        <v>587917.53036200954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0"/>
      <c r="L71" s="154"/>
      <c r="M71" s="152"/>
      <c r="N71" s="157"/>
      <c r="O71" s="152">
        <f t="shared" si="32"/>
        <v>120434.45736200952</v>
      </c>
      <c r="P71" s="152">
        <f t="shared" si="33"/>
        <v>587917.53036200954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152"/>
      <c r="N72" s="157"/>
      <c r="O72" s="152">
        <f t="shared" si="32"/>
        <v>120434.45736200952</v>
      </c>
      <c r="P72" s="152">
        <f t="shared" si="33"/>
        <v>587917.53036200954</v>
      </c>
    </row>
    <row r="73" spans="1:16" hidden="1" x14ac:dyDescent="0.15">
      <c r="A73" s="154"/>
      <c r="B73" s="151"/>
      <c r="C73" s="152"/>
      <c r="D73" s="153"/>
      <c r="E73" s="154"/>
      <c r="F73" s="157"/>
      <c r="G73" s="154"/>
      <c r="H73" s="152"/>
      <c r="I73" s="153"/>
      <c r="J73" s="152"/>
      <c r="K73" s="150"/>
      <c r="L73" s="154"/>
      <c r="M73" s="152"/>
      <c r="N73" s="157"/>
      <c r="O73" s="152">
        <f t="shared" si="32"/>
        <v>120434.45736200952</v>
      </c>
      <c r="P73" s="152">
        <f t="shared" si="33"/>
        <v>587917.53036200954</v>
      </c>
    </row>
    <row r="74" spans="1:16" hidden="1" x14ac:dyDescent="0.15">
      <c r="A74" s="154"/>
      <c r="B74" s="151"/>
      <c r="C74" s="152"/>
      <c r="D74" s="153"/>
      <c r="E74" s="154"/>
      <c r="F74" s="157"/>
      <c r="G74" s="154"/>
      <c r="H74" s="152"/>
      <c r="I74" s="153"/>
      <c r="J74" s="152"/>
      <c r="K74" s="150"/>
      <c r="L74" s="154"/>
      <c r="M74" s="152"/>
      <c r="N74" s="157"/>
      <c r="O74" s="152">
        <f t="shared" si="32"/>
        <v>120434.45736200952</v>
      </c>
      <c r="P74" s="152">
        <f t="shared" si="33"/>
        <v>587917.53036200954</v>
      </c>
    </row>
    <row r="75" spans="1:16" hidden="1" x14ac:dyDescent="0.15">
      <c r="A75" s="154"/>
      <c r="B75" s="151"/>
      <c r="C75" s="152"/>
      <c r="D75" s="153"/>
      <c r="E75" s="154"/>
      <c r="F75" s="157"/>
      <c r="G75" s="154"/>
      <c r="H75" s="152"/>
      <c r="I75" s="153"/>
      <c r="J75" s="152"/>
      <c r="K75" s="150"/>
      <c r="L75" s="154"/>
      <c r="M75" s="152"/>
      <c r="N75" s="157"/>
      <c r="O75" s="152">
        <f t="shared" si="32"/>
        <v>120434.45736200952</v>
      </c>
      <c r="P75" s="152">
        <f t="shared" si="33"/>
        <v>587917.53036200954</v>
      </c>
    </row>
    <row r="76" spans="1:16" hidden="1" x14ac:dyDescent="0.15">
      <c r="A76" s="154"/>
      <c r="B76" s="151"/>
      <c r="C76" s="152"/>
      <c r="D76" s="153"/>
      <c r="E76" s="154"/>
      <c r="F76" s="157"/>
      <c r="G76" s="154"/>
      <c r="H76" s="152"/>
      <c r="I76" s="153"/>
      <c r="J76" s="152"/>
      <c r="K76" s="150"/>
      <c r="L76" s="154"/>
      <c r="M76" s="152"/>
      <c r="N76" s="157"/>
      <c r="O76" s="152">
        <f t="shared" si="32"/>
        <v>120434.45736200952</v>
      </c>
      <c r="P76" s="152">
        <f t="shared" si="33"/>
        <v>587917.53036200954</v>
      </c>
    </row>
    <row r="77" spans="1:16" hidden="1" x14ac:dyDescent="0.15">
      <c r="A77" s="154"/>
      <c r="B77" s="151"/>
      <c r="C77" s="152"/>
      <c r="D77" s="153"/>
      <c r="E77" s="154"/>
      <c r="F77" s="157"/>
      <c r="G77" s="154"/>
      <c r="H77" s="152"/>
      <c r="I77" s="153"/>
      <c r="J77" s="152"/>
      <c r="K77" s="150"/>
      <c r="L77" s="154"/>
      <c r="M77" s="152"/>
      <c r="N77" s="157"/>
      <c r="O77" s="152">
        <f t="shared" si="32"/>
        <v>120434.45736200952</v>
      </c>
      <c r="P77" s="152">
        <f t="shared" si="33"/>
        <v>587917.53036200954</v>
      </c>
    </row>
    <row r="78" spans="1:16" hidden="1" x14ac:dyDescent="0.15">
      <c r="A78" s="154"/>
      <c r="B78" s="151"/>
      <c r="C78" s="152"/>
      <c r="D78" s="153"/>
      <c r="E78" s="154"/>
      <c r="F78" s="157"/>
      <c r="G78" s="154"/>
      <c r="H78" s="152"/>
      <c r="I78" s="153"/>
      <c r="J78" s="152"/>
      <c r="K78" s="150"/>
      <c r="L78" s="154"/>
      <c r="M78" s="152"/>
      <c r="N78" s="157"/>
      <c r="O78" s="152">
        <f t="shared" si="32"/>
        <v>120434.45736200952</v>
      </c>
      <c r="P78" s="152">
        <f t="shared" si="33"/>
        <v>587917.53036200954</v>
      </c>
    </row>
    <row r="79" spans="1:16" hidden="1" x14ac:dyDescent="0.15">
      <c r="A79" s="154"/>
      <c r="B79" s="151"/>
      <c r="C79" s="152"/>
      <c r="D79" s="153"/>
      <c r="E79" s="154"/>
      <c r="F79" s="157"/>
      <c r="G79" s="154"/>
      <c r="H79" s="152"/>
      <c r="I79" s="153"/>
      <c r="J79" s="152"/>
      <c r="K79" s="150"/>
      <c r="L79" s="154"/>
      <c r="M79" s="152"/>
      <c r="N79" s="157"/>
      <c r="O79" s="152">
        <f t="shared" si="32"/>
        <v>120434.45736200952</v>
      </c>
      <c r="P79" s="152">
        <f t="shared" si="33"/>
        <v>587917.53036200954</v>
      </c>
    </row>
    <row r="80" spans="1:16" hidden="1" x14ac:dyDescent="0.15">
      <c r="A80" s="154"/>
      <c r="B80" s="151"/>
      <c r="C80" s="152"/>
      <c r="D80" s="153"/>
      <c r="E80" s="154"/>
      <c r="F80" s="157"/>
      <c r="G80" s="154"/>
      <c r="H80" s="152"/>
      <c r="I80" s="153"/>
      <c r="J80" s="152"/>
      <c r="K80" s="150"/>
      <c r="L80" s="154"/>
      <c r="M80" s="152"/>
      <c r="N80" s="157"/>
      <c r="O80" s="152">
        <f t="shared" si="32"/>
        <v>120434.45736200952</v>
      </c>
      <c r="P80" s="152">
        <f t="shared" si="33"/>
        <v>587917.53036200954</v>
      </c>
    </row>
    <row r="81" spans="1:16" hidden="1" x14ac:dyDescent="0.15">
      <c r="A81" s="154"/>
      <c r="B81" s="151"/>
      <c r="C81" s="152"/>
      <c r="D81" s="153"/>
      <c r="E81" s="154"/>
      <c r="F81" s="157"/>
      <c r="G81" s="154"/>
      <c r="H81" s="152"/>
      <c r="I81" s="153"/>
      <c r="J81" s="152"/>
      <c r="K81" s="150"/>
      <c r="L81" s="154"/>
      <c r="M81" s="152"/>
      <c r="N81" s="157"/>
      <c r="O81" s="152">
        <f t="shared" si="32"/>
        <v>120434.45736200952</v>
      </c>
      <c r="P81" s="152">
        <f t="shared" si="33"/>
        <v>587917.53036200954</v>
      </c>
    </row>
    <row r="82" spans="1:16" hidden="1" x14ac:dyDescent="0.15">
      <c r="A82" s="154"/>
      <c r="B82" s="151"/>
      <c r="C82" s="152"/>
      <c r="D82" s="153"/>
      <c r="E82" s="154"/>
      <c r="F82" s="157"/>
      <c r="G82" s="154"/>
      <c r="H82" s="152"/>
      <c r="I82" s="153"/>
      <c r="J82" s="152"/>
      <c r="K82" s="150"/>
      <c r="L82" s="154"/>
      <c r="M82" s="152"/>
      <c r="N82" s="157"/>
      <c r="O82" s="152">
        <f t="shared" si="32"/>
        <v>120434.45736200952</v>
      </c>
      <c r="P82" s="152">
        <f t="shared" si="33"/>
        <v>587917.53036200954</v>
      </c>
    </row>
    <row r="83" spans="1:16" hidden="1" x14ac:dyDescent="0.15">
      <c r="A83" s="154"/>
      <c r="B83" s="151"/>
      <c r="C83" s="152"/>
      <c r="D83" s="153"/>
      <c r="E83" s="154"/>
      <c r="F83" s="157"/>
      <c r="G83" s="154"/>
      <c r="H83" s="152"/>
      <c r="I83" s="153"/>
      <c r="J83" s="152"/>
      <c r="K83" s="150"/>
      <c r="L83" s="154"/>
      <c r="M83" s="152"/>
      <c r="N83" s="157"/>
      <c r="O83" s="152">
        <f t="shared" si="32"/>
        <v>120434.45736200952</v>
      </c>
      <c r="P83" s="152">
        <f t="shared" si="33"/>
        <v>587917.53036200954</v>
      </c>
    </row>
    <row r="84" spans="1:16" hidden="1" x14ac:dyDescent="0.15">
      <c r="A84" s="154"/>
      <c r="B84" s="151"/>
      <c r="C84" s="152"/>
      <c r="D84" s="153"/>
      <c r="E84" s="154"/>
      <c r="F84" s="157"/>
      <c r="G84" s="154"/>
      <c r="H84" s="152"/>
      <c r="I84" s="153"/>
      <c r="J84" s="152"/>
      <c r="K84" s="150"/>
      <c r="L84" s="154"/>
      <c r="M84" s="152"/>
      <c r="N84" s="157"/>
      <c r="O84" s="152">
        <f t="shared" si="32"/>
        <v>120434.45736200952</v>
      </c>
      <c r="P84" s="152">
        <f t="shared" si="33"/>
        <v>587917.53036200954</v>
      </c>
    </row>
    <row r="85" spans="1:16" hidden="1" x14ac:dyDescent="0.15">
      <c r="A85" s="154"/>
      <c r="B85" s="151"/>
      <c r="C85" s="152"/>
      <c r="D85" s="153"/>
      <c r="E85" s="154"/>
      <c r="F85" s="157"/>
      <c r="G85" s="154"/>
      <c r="H85" s="152"/>
      <c r="I85" s="153"/>
      <c r="J85" s="152"/>
      <c r="K85" s="150"/>
      <c r="L85" s="154"/>
      <c r="M85" s="152"/>
      <c r="N85" s="157"/>
      <c r="O85" s="152">
        <f t="shared" si="32"/>
        <v>120434.45736200952</v>
      </c>
      <c r="P85" s="152">
        <f t="shared" si="33"/>
        <v>587917.53036200954</v>
      </c>
    </row>
    <row r="86" spans="1:16" hidden="1" x14ac:dyDescent="0.15">
      <c r="A86" s="154"/>
      <c r="B86" s="151"/>
      <c r="C86" s="152"/>
      <c r="D86" s="153"/>
      <c r="E86" s="154"/>
      <c r="F86" s="157"/>
      <c r="G86" s="154"/>
      <c r="H86" s="152"/>
      <c r="I86" s="153"/>
      <c r="J86" s="152"/>
      <c r="K86" s="150"/>
      <c r="L86" s="154"/>
      <c r="M86" s="152"/>
      <c r="N86" s="157"/>
      <c r="O86" s="152">
        <f t="shared" si="32"/>
        <v>120434.45736200952</v>
      </c>
      <c r="P86" s="152">
        <f t="shared" si="33"/>
        <v>587917.53036200954</v>
      </c>
    </row>
    <row r="87" spans="1:16" hidden="1" x14ac:dyDescent="0.15">
      <c r="A87" s="154"/>
      <c r="B87" s="151"/>
      <c r="C87" s="152"/>
      <c r="D87" s="153"/>
      <c r="E87" s="154"/>
      <c r="F87" s="157"/>
      <c r="G87" s="154"/>
      <c r="H87" s="152"/>
      <c r="I87" s="153"/>
      <c r="J87" s="152"/>
      <c r="K87" s="150"/>
      <c r="L87" s="154"/>
      <c r="M87" s="152"/>
      <c r="N87" s="157"/>
      <c r="O87" s="152">
        <f t="shared" si="32"/>
        <v>120434.45736200952</v>
      </c>
      <c r="P87" s="152">
        <f t="shared" si="33"/>
        <v>587917.53036200954</v>
      </c>
    </row>
    <row r="88" spans="1:16" hidden="1" x14ac:dyDescent="0.15">
      <c r="A88" s="154"/>
      <c r="B88" s="151"/>
      <c r="C88" s="152"/>
      <c r="D88" s="153"/>
      <c r="E88" s="154"/>
      <c r="F88" s="157"/>
      <c r="G88" s="154"/>
      <c r="H88" s="152"/>
      <c r="I88" s="153"/>
      <c r="J88" s="152"/>
      <c r="K88" s="150"/>
      <c r="L88" s="154"/>
      <c r="M88" s="152"/>
      <c r="N88" s="157"/>
      <c r="O88" s="152">
        <f t="shared" si="32"/>
        <v>120434.45736200952</v>
      </c>
      <c r="P88" s="152">
        <f t="shared" si="33"/>
        <v>587917.53036200954</v>
      </c>
    </row>
    <row r="89" spans="1:16" hidden="1" x14ac:dyDescent="0.15">
      <c r="A89" s="154"/>
      <c r="B89" s="151"/>
      <c r="C89" s="152"/>
      <c r="D89" s="153"/>
      <c r="E89" s="154"/>
      <c r="F89" s="157"/>
      <c r="G89" s="154"/>
      <c r="H89" s="152"/>
      <c r="I89" s="153"/>
      <c r="J89" s="152"/>
      <c r="K89" s="150"/>
      <c r="L89" s="154"/>
      <c r="M89" s="152"/>
      <c r="N89" s="157"/>
      <c r="O89" s="152">
        <f t="shared" si="32"/>
        <v>120434.45736200952</v>
      </c>
      <c r="P89" s="152">
        <f t="shared" si="33"/>
        <v>587917.53036200954</v>
      </c>
    </row>
    <row r="90" spans="1:16" hidden="1" x14ac:dyDescent="0.15">
      <c r="A90" s="154"/>
      <c r="B90" s="151"/>
      <c r="C90" s="152"/>
      <c r="D90" s="153"/>
      <c r="E90" s="154"/>
      <c r="F90" s="157"/>
      <c r="G90" s="154"/>
      <c r="H90" s="152"/>
      <c r="I90" s="153"/>
      <c r="J90" s="152"/>
      <c r="K90" s="150"/>
      <c r="L90" s="154"/>
      <c r="M90" s="152"/>
      <c r="N90" s="157"/>
      <c r="O90" s="152">
        <f t="shared" si="32"/>
        <v>120434.45736200952</v>
      </c>
      <c r="P90" s="152">
        <f t="shared" si="33"/>
        <v>587917.53036200954</v>
      </c>
    </row>
    <row r="91" spans="1:16" hidden="1" x14ac:dyDescent="0.15">
      <c r="A91" s="154"/>
      <c r="B91" s="151"/>
      <c r="C91" s="152"/>
      <c r="D91" s="153"/>
      <c r="E91" s="154"/>
      <c r="F91" s="157"/>
      <c r="G91" s="154"/>
      <c r="H91" s="152"/>
      <c r="I91" s="153"/>
      <c r="J91" s="152"/>
      <c r="K91" s="150"/>
      <c r="L91" s="154"/>
      <c r="M91" s="152"/>
      <c r="N91" s="157"/>
      <c r="O91" s="152">
        <f t="shared" si="32"/>
        <v>120434.45736200952</v>
      </c>
      <c r="P91" s="152">
        <f t="shared" si="33"/>
        <v>587917.53036200954</v>
      </c>
    </row>
    <row r="92" spans="1:16" hidden="1" x14ac:dyDescent="0.15">
      <c r="A92" s="154"/>
      <c r="B92" s="151"/>
      <c r="C92" s="152"/>
      <c r="D92" s="153"/>
      <c r="E92" s="154"/>
      <c r="F92" s="157"/>
      <c r="G92" s="154"/>
      <c r="H92" s="152"/>
      <c r="I92" s="153"/>
      <c r="J92" s="152"/>
      <c r="K92" s="150"/>
      <c r="L92" s="154"/>
      <c r="M92" s="152"/>
      <c r="N92" s="157"/>
      <c r="O92" s="152">
        <f t="shared" si="32"/>
        <v>120434.45736200952</v>
      </c>
      <c r="P92" s="152">
        <f t="shared" si="33"/>
        <v>587917.53036200954</v>
      </c>
    </row>
    <row r="93" spans="1:16" hidden="1" x14ac:dyDescent="0.15">
      <c r="A93" s="154"/>
      <c r="B93" s="151"/>
      <c r="C93" s="152"/>
      <c r="D93" s="153"/>
      <c r="E93" s="154"/>
      <c r="F93" s="157"/>
      <c r="G93" s="154"/>
      <c r="H93" s="152"/>
      <c r="I93" s="153"/>
      <c r="J93" s="152"/>
      <c r="K93" s="150"/>
      <c r="L93" s="154"/>
      <c r="M93" s="152"/>
      <c r="N93" s="157"/>
      <c r="O93" s="152">
        <f t="shared" si="32"/>
        <v>120434.45736200952</v>
      </c>
      <c r="P93" s="152">
        <f t="shared" si="33"/>
        <v>587917.53036200954</v>
      </c>
    </row>
    <row r="94" spans="1:16" hidden="1" x14ac:dyDescent="0.15">
      <c r="A94" s="154"/>
      <c r="B94" s="151"/>
      <c r="C94" s="152"/>
      <c r="D94" s="153"/>
      <c r="E94" s="154"/>
      <c r="F94" s="157"/>
      <c r="G94" s="154"/>
      <c r="H94" s="152"/>
      <c r="I94" s="153"/>
      <c r="J94" s="152"/>
      <c r="K94" s="150"/>
      <c r="L94" s="154"/>
      <c r="M94" s="152"/>
      <c r="N94" s="157"/>
      <c r="O94" s="152">
        <f t="shared" si="32"/>
        <v>120434.45736200952</v>
      </c>
      <c r="P94" s="152">
        <f t="shared" si="33"/>
        <v>587917.53036200954</v>
      </c>
    </row>
    <row r="95" spans="1:16" hidden="1" x14ac:dyDescent="0.15">
      <c r="A95" s="154"/>
      <c r="B95" s="151"/>
      <c r="C95" s="152"/>
      <c r="D95" s="153"/>
      <c r="E95" s="154"/>
      <c r="F95" s="157"/>
      <c r="G95" s="154"/>
      <c r="H95" s="152"/>
      <c r="I95" s="153"/>
      <c r="J95" s="152"/>
      <c r="K95" s="150"/>
      <c r="L95" s="154"/>
      <c r="M95" s="152"/>
      <c r="N95" s="157"/>
      <c r="O95" s="152">
        <f t="shared" si="32"/>
        <v>120434.45736200952</v>
      </c>
      <c r="P95" s="152">
        <f t="shared" si="33"/>
        <v>587917.53036200954</v>
      </c>
    </row>
    <row r="96" spans="1:16" hidden="1" x14ac:dyDescent="0.15">
      <c r="A96" s="154"/>
      <c r="B96" s="151"/>
      <c r="C96" s="152"/>
      <c r="D96" s="153"/>
      <c r="E96" s="154"/>
      <c r="F96" s="157"/>
      <c r="G96" s="154"/>
      <c r="H96" s="152"/>
      <c r="I96" s="153"/>
      <c r="J96" s="152"/>
      <c r="K96" s="150"/>
      <c r="L96" s="154"/>
      <c r="M96" s="152"/>
      <c r="N96" s="157"/>
      <c r="O96" s="152">
        <f t="shared" si="32"/>
        <v>120434.45736200952</v>
      </c>
      <c r="P96" s="152">
        <f t="shared" si="33"/>
        <v>587917.53036200954</v>
      </c>
    </row>
    <row r="97" spans="1:16" hidden="1" x14ac:dyDescent="0.15">
      <c r="A97" s="154"/>
      <c r="B97" s="151"/>
      <c r="C97" s="152"/>
      <c r="D97" s="153"/>
      <c r="E97" s="154"/>
      <c r="F97" s="157"/>
      <c r="G97" s="154"/>
      <c r="H97" s="152"/>
      <c r="I97" s="153"/>
      <c r="J97" s="152"/>
      <c r="K97" s="150"/>
      <c r="L97" s="154"/>
      <c r="M97" s="152"/>
      <c r="N97" s="157"/>
      <c r="O97" s="152">
        <f t="shared" si="32"/>
        <v>120434.45736200952</v>
      </c>
      <c r="P97" s="152">
        <f t="shared" si="33"/>
        <v>587917.53036200954</v>
      </c>
    </row>
    <row r="98" spans="1:16" hidden="1" x14ac:dyDescent="0.15">
      <c r="A98" s="154"/>
      <c r="B98" s="151"/>
      <c r="C98" s="152"/>
      <c r="D98" s="153"/>
      <c r="E98" s="154"/>
      <c r="F98" s="157"/>
      <c r="G98" s="154"/>
      <c r="H98" s="152"/>
      <c r="I98" s="153"/>
      <c r="J98" s="152"/>
      <c r="K98" s="150"/>
      <c r="L98" s="154"/>
      <c r="M98" s="152"/>
      <c r="N98" s="157"/>
      <c r="O98" s="152">
        <f t="shared" si="32"/>
        <v>120434.45736200952</v>
      </c>
      <c r="P98" s="152">
        <f t="shared" si="33"/>
        <v>587917.53036200954</v>
      </c>
    </row>
    <row r="99" spans="1:16" hidden="1" x14ac:dyDescent="0.15">
      <c r="A99" s="154"/>
      <c r="B99" s="151"/>
      <c r="C99" s="152"/>
      <c r="D99" s="153"/>
      <c r="E99" s="154"/>
      <c r="F99" s="157"/>
      <c r="G99" s="154"/>
      <c r="H99" s="152"/>
      <c r="I99" s="153"/>
      <c r="J99" s="152"/>
      <c r="K99" s="150"/>
      <c r="L99" s="154"/>
      <c r="M99" s="152"/>
      <c r="N99" s="157"/>
      <c r="O99" s="152">
        <f t="shared" si="32"/>
        <v>120434.45736200952</v>
      </c>
      <c r="P99" s="152">
        <f t="shared" si="33"/>
        <v>587917.53036200954</v>
      </c>
    </row>
    <row r="100" spans="1:16" hidden="1" x14ac:dyDescent="0.15">
      <c r="A100" s="154"/>
      <c r="B100" s="151"/>
      <c r="C100" s="152"/>
      <c r="D100" s="153"/>
      <c r="E100" s="154"/>
      <c r="F100" s="157"/>
      <c r="G100" s="154"/>
      <c r="H100" s="152"/>
      <c r="I100" s="153"/>
      <c r="J100" s="152"/>
      <c r="K100" s="150"/>
      <c r="L100" s="154"/>
      <c r="M100" s="152"/>
      <c r="N100" s="157"/>
      <c r="O100" s="152">
        <f t="shared" si="32"/>
        <v>120434.45736200952</v>
      </c>
      <c r="P100" s="152">
        <f t="shared" si="33"/>
        <v>587917.53036200954</v>
      </c>
    </row>
    <row r="101" spans="1:16" hidden="1" x14ac:dyDescent="0.15">
      <c r="A101" s="154"/>
      <c r="B101" s="151"/>
      <c r="C101" s="152"/>
      <c r="D101" s="153"/>
      <c r="E101" s="154"/>
      <c r="F101" s="157"/>
      <c r="G101" s="154"/>
      <c r="H101" s="152"/>
      <c r="I101" s="153"/>
      <c r="J101" s="152"/>
      <c r="K101" s="157"/>
      <c r="L101" s="154"/>
      <c r="M101" s="152"/>
      <c r="N101" s="157"/>
      <c r="O101" s="152">
        <f t="shared" si="32"/>
        <v>120434.45736200952</v>
      </c>
      <c r="P101" s="152">
        <f t="shared" si="33"/>
        <v>587917.53036200954</v>
      </c>
    </row>
    <row r="102" spans="1:16" hidden="1" x14ac:dyDescent="0.15">
      <c r="A102" s="154"/>
      <c r="B102" s="151"/>
      <c r="C102" s="152"/>
      <c r="D102" s="153"/>
      <c r="E102" s="154"/>
      <c r="F102" s="157"/>
      <c r="G102" s="151"/>
      <c r="H102" s="152"/>
      <c r="I102" s="153"/>
      <c r="J102" s="152"/>
      <c r="K102" s="157"/>
      <c r="L102" s="154"/>
      <c r="M102" s="152"/>
      <c r="N102" s="150"/>
      <c r="O102" s="152">
        <f t="shared" si="32"/>
        <v>120434.45736200952</v>
      </c>
      <c r="P102" s="152">
        <f t="shared" si="33"/>
        <v>587917.53036200954</v>
      </c>
    </row>
    <row r="103" spans="1:16" hidden="1" x14ac:dyDescent="0.15">
      <c r="A103" s="154"/>
      <c r="B103" s="151"/>
      <c r="C103" s="152"/>
      <c r="D103" s="153"/>
      <c r="E103" s="154"/>
      <c r="F103" s="160"/>
      <c r="G103" s="151"/>
      <c r="H103" s="152"/>
      <c r="I103" s="153"/>
      <c r="J103" s="152"/>
      <c r="K103" s="150"/>
      <c r="L103" s="154"/>
      <c r="M103" s="152"/>
      <c r="N103" s="157"/>
      <c r="O103" s="152">
        <f t="shared" si="32"/>
        <v>120434.45736200952</v>
      </c>
      <c r="P103" s="152">
        <f t="shared" si="33"/>
        <v>587917.53036200954</v>
      </c>
    </row>
    <row r="104" spans="1:16" x14ac:dyDescent="0.15">
      <c r="A104" s="173"/>
      <c r="B104" s="173"/>
      <c r="C104" s="174"/>
      <c r="D104" s="175"/>
      <c r="E104" s="173"/>
      <c r="F104" s="173"/>
      <c r="G104" s="176"/>
      <c r="H104" s="174"/>
      <c r="I104" s="175"/>
      <c r="J104" s="174"/>
      <c r="K104" s="173"/>
      <c r="L104" s="173"/>
      <c r="M104" s="174"/>
      <c r="N104" s="173"/>
      <c r="O104" s="152">
        <f t="shared" si="32"/>
        <v>120434.45736200952</v>
      </c>
      <c r="P104" s="152">
        <f t="shared" si="33"/>
        <v>587917.53036200954</v>
      </c>
    </row>
    <row r="105" spans="1:16" x14ac:dyDescent="0.15">
      <c r="A105" s="177"/>
      <c r="B105" s="177"/>
      <c r="C105" s="178">
        <f>SUM(C7:C103)</f>
        <v>558309.1447620095</v>
      </c>
      <c r="D105" s="177"/>
      <c r="E105" s="177"/>
      <c r="F105" s="177"/>
      <c r="G105" s="177"/>
      <c r="H105" s="178">
        <f>SUM(H7:H103)</f>
        <v>2583226.0669999998</v>
      </c>
      <c r="I105" s="179"/>
      <c r="J105" s="178">
        <f>SUM(J7:J103)</f>
        <v>10723.2914</v>
      </c>
      <c r="K105" s="177"/>
      <c r="L105" s="177"/>
      <c r="M105" s="178">
        <f>SUM(M9:M103)</f>
        <v>2542894.39</v>
      </c>
      <c r="N105" s="177"/>
      <c r="O105" s="180"/>
      <c r="P105" s="181">
        <f>C105+H105-J105-M105</f>
        <v>587917.53036200907</v>
      </c>
    </row>
    <row r="106" spans="1:16" x14ac:dyDescent="0.15">
      <c r="A106" s="182"/>
      <c r="B106" s="465"/>
      <c r="C106" s="465"/>
      <c r="D106" s="465"/>
      <c r="E106" s="183"/>
      <c r="F106" s="472"/>
      <c r="G106" s="472"/>
      <c r="H106" s="185"/>
      <c r="I106" s="186"/>
      <c r="J106" s="187"/>
      <c r="K106" s="188"/>
      <c r="L106" s="189" t="s">
        <v>139</v>
      </c>
      <c r="M106" s="190">
        <f>+M105+J105</f>
        <v>2553617.6814000001</v>
      </c>
      <c r="N106" s="188"/>
      <c r="O106" s="191">
        <f>+O104</f>
        <v>120434.45736200952</v>
      </c>
      <c r="P106" s="195" t="s">
        <v>559</v>
      </c>
    </row>
    <row r="107" spans="1:16" x14ac:dyDescent="0.15">
      <c r="A107" s="193" t="s">
        <v>494</v>
      </c>
      <c r="B107" s="470" t="s">
        <v>572</v>
      </c>
      <c r="C107" s="470"/>
      <c r="D107" s="470"/>
      <c r="E107" s="183" t="s">
        <v>55</v>
      </c>
      <c r="F107" s="472">
        <v>55064073.829999998</v>
      </c>
      <c r="G107" s="472"/>
      <c r="H107" s="219" t="s">
        <v>56</v>
      </c>
      <c r="I107" s="186">
        <v>40547</v>
      </c>
      <c r="J107" s="187" t="s">
        <v>71</v>
      </c>
      <c r="K107" s="210">
        <v>310893.05000000005</v>
      </c>
      <c r="L107" s="210"/>
      <c r="O107" s="191">
        <f>+H58</f>
        <v>6680</v>
      </c>
      <c r="P107" s="195" t="s">
        <v>560</v>
      </c>
    </row>
    <row r="108" spans="1:16" x14ac:dyDescent="0.15">
      <c r="A108" s="193" t="s">
        <v>495</v>
      </c>
      <c r="B108" s="470" t="s">
        <v>573</v>
      </c>
      <c r="C108" s="470"/>
      <c r="D108" s="470"/>
      <c r="E108" s="183" t="s">
        <v>55</v>
      </c>
      <c r="F108" s="472">
        <v>10766084.76</v>
      </c>
      <c r="G108" s="472"/>
      <c r="H108" s="219" t="s">
        <v>56</v>
      </c>
      <c r="I108" s="186">
        <v>40547</v>
      </c>
      <c r="J108" s="187" t="s">
        <v>71</v>
      </c>
      <c r="K108" s="210">
        <v>100334</v>
      </c>
      <c r="L108" s="210"/>
      <c r="O108" s="191">
        <f>+H61+H62</f>
        <v>200275.5</v>
      </c>
      <c r="P108" s="192" t="s">
        <v>561</v>
      </c>
    </row>
    <row r="109" spans="1:16" x14ac:dyDescent="0.15">
      <c r="A109" s="193" t="s">
        <v>549</v>
      </c>
      <c r="B109" s="239" t="s">
        <v>574</v>
      </c>
      <c r="C109" s="239"/>
      <c r="D109" s="239"/>
      <c r="E109" s="183" t="s">
        <v>55</v>
      </c>
      <c r="F109" s="472">
        <v>93083025.390000001</v>
      </c>
      <c r="G109" s="472"/>
      <c r="H109" s="219" t="s">
        <v>56</v>
      </c>
      <c r="I109" s="186">
        <v>40553</v>
      </c>
      <c r="J109" s="187" t="s">
        <v>71</v>
      </c>
      <c r="K109" s="210">
        <v>313775.48</v>
      </c>
      <c r="L109" s="210"/>
      <c r="O109" s="191">
        <f>+H63+H65</f>
        <v>177317.84100000001</v>
      </c>
      <c r="P109" s="192" t="s">
        <v>562</v>
      </c>
    </row>
    <row r="110" spans="1:16" x14ac:dyDescent="0.15">
      <c r="A110" s="193" t="s">
        <v>550</v>
      </c>
      <c r="B110" s="239" t="s">
        <v>575</v>
      </c>
      <c r="C110" s="239"/>
      <c r="D110" s="239"/>
      <c r="E110" s="183" t="s">
        <v>55</v>
      </c>
      <c r="F110" s="472">
        <v>44588377.799999997</v>
      </c>
      <c r="G110" s="472"/>
      <c r="H110" s="219" t="s">
        <v>56</v>
      </c>
      <c r="I110" s="186">
        <v>40553</v>
      </c>
      <c r="J110" s="187" t="s">
        <v>71</v>
      </c>
      <c r="K110" s="210">
        <v>60094</v>
      </c>
      <c r="L110" s="210"/>
      <c r="O110" s="191">
        <f>+H66+H67</f>
        <v>83209.732000000004</v>
      </c>
      <c r="P110" s="195" t="s">
        <v>563</v>
      </c>
    </row>
    <row r="111" spans="1:16" x14ac:dyDescent="0.15">
      <c r="A111" s="193" t="s">
        <v>551</v>
      </c>
      <c r="B111" s="239" t="s">
        <v>576</v>
      </c>
      <c r="C111" s="239"/>
      <c r="D111" s="239"/>
      <c r="E111" s="183" t="s">
        <v>55</v>
      </c>
      <c r="F111" s="472">
        <v>40986851.07</v>
      </c>
      <c r="G111" s="472"/>
      <c r="H111" s="219" t="s">
        <v>56</v>
      </c>
      <c r="I111" s="186">
        <v>40556</v>
      </c>
      <c r="J111" s="187" t="s">
        <v>71</v>
      </c>
      <c r="K111" s="210">
        <v>140318</v>
      </c>
      <c r="L111" s="210"/>
      <c r="O111" s="191"/>
      <c r="P111" s="195"/>
    </row>
    <row r="112" spans="1:16" x14ac:dyDescent="0.15">
      <c r="A112" s="193" t="s">
        <v>552</v>
      </c>
      <c r="B112" s="239" t="s">
        <v>577</v>
      </c>
      <c r="C112" s="239"/>
      <c r="D112" s="239"/>
      <c r="E112" s="183" t="s">
        <v>55</v>
      </c>
      <c r="F112" s="472">
        <v>23919852.41</v>
      </c>
      <c r="G112" s="472"/>
      <c r="H112" s="219" t="s">
        <v>56</v>
      </c>
      <c r="I112" s="186">
        <v>40560</v>
      </c>
      <c r="J112" s="187" t="s">
        <v>71</v>
      </c>
      <c r="K112" s="210">
        <v>353601.28000000003</v>
      </c>
      <c r="L112" s="210"/>
      <c r="O112" s="191"/>
      <c r="P112" s="195"/>
    </row>
    <row r="113" spans="1:16" x14ac:dyDescent="0.15">
      <c r="A113" s="193" t="s">
        <v>553</v>
      </c>
      <c r="B113" s="239" t="s">
        <v>578</v>
      </c>
      <c r="C113" s="239"/>
      <c r="D113" s="239"/>
      <c r="E113" s="183" t="s">
        <v>55</v>
      </c>
      <c r="F113" s="472">
        <v>3938086.45</v>
      </c>
      <c r="G113" s="472"/>
      <c r="H113" s="219" t="s">
        <v>56</v>
      </c>
      <c r="I113" s="186">
        <v>40562</v>
      </c>
      <c r="J113" s="187" t="s">
        <v>71</v>
      </c>
      <c r="K113" s="210">
        <v>176090.83000000002</v>
      </c>
      <c r="L113" s="210"/>
      <c r="O113" s="191"/>
      <c r="P113" s="195"/>
    </row>
    <row r="114" spans="1:16" x14ac:dyDescent="0.15">
      <c r="A114" s="193" t="s">
        <v>554</v>
      </c>
      <c r="B114" s="239" t="s">
        <v>579</v>
      </c>
      <c r="C114" s="239"/>
      <c r="D114" s="239"/>
      <c r="E114" s="183" t="s">
        <v>55</v>
      </c>
      <c r="F114" s="472">
        <v>47756283.270000003</v>
      </c>
      <c r="G114" s="472"/>
      <c r="H114" s="219" t="s">
        <v>56</v>
      </c>
      <c r="I114" s="186">
        <v>40563</v>
      </c>
      <c r="J114" s="187" t="s">
        <v>71</v>
      </c>
      <c r="K114" s="210">
        <v>197831</v>
      </c>
      <c r="L114" s="210"/>
      <c r="O114" s="191"/>
      <c r="P114" s="195"/>
    </row>
    <row r="115" spans="1:16" x14ac:dyDescent="0.15">
      <c r="A115" s="193" t="s">
        <v>557</v>
      </c>
      <c r="B115" s="239" t="s">
        <v>580</v>
      </c>
      <c r="C115" s="239"/>
      <c r="D115" s="239"/>
      <c r="E115" s="183" t="s">
        <v>55</v>
      </c>
      <c r="F115" s="472">
        <v>26087998.710000001</v>
      </c>
      <c r="G115" s="472"/>
      <c r="H115" s="219" t="s">
        <v>56</v>
      </c>
      <c r="I115" s="186">
        <v>40568</v>
      </c>
      <c r="J115" s="187" t="s">
        <v>71</v>
      </c>
      <c r="K115" s="210">
        <v>160285.47999999998</v>
      </c>
      <c r="L115" s="210"/>
      <c r="O115" s="191"/>
      <c r="P115" s="195"/>
    </row>
    <row r="116" spans="1:16" x14ac:dyDescent="0.15">
      <c r="A116" s="193" t="s">
        <v>558</v>
      </c>
      <c r="B116" s="239" t="s">
        <v>581</v>
      </c>
      <c r="C116" s="239"/>
      <c r="D116" s="239"/>
      <c r="E116" s="183" t="s">
        <v>55</v>
      </c>
      <c r="F116" s="472">
        <v>14354031.91</v>
      </c>
      <c r="G116" s="472"/>
      <c r="H116" s="219" t="s">
        <v>56</v>
      </c>
      <c r="I116" s="186">
        <v>40570</v>
      </c>
      <c r="J116" s="187" t="s">
        <v>71</v>
      </c>
      <c r="K116" s="210">
        <v>120159.73999999999</v>
      </c>
      <c r="L116" s="210"/>
      <c r="O116" s="191"/>
      <c r="P116" s="195"/>
    </row>
    <row r="117" spans="1:16" x14ac:dyDescent="0.15">
      <c r="A117" s="193" t="s">
        <v>559</v>
      </c>
      <c r="B117" s="239" t="s">
        <v>582</v>
      </c>
      <c r="C117" s="239"/>
      <c r="D117" s="239"/>
      <c r="E117" s="183" t="s">
        <v>55</v>
      </c>
      <c r="F117" s="472">
        <v>40631564.560000002</v>
      </c>
      <c r="G117" s="472"/>
      <c r="H117" s="219" t="s">
        <v>56</v>
      </c>
      <c r="I117" s="186">
        <v>40574</v>
      </c>
      <c r="J117" s="187" t="s">
        <v>71</v>
      </c>
      <c r="K117" s="210">
        <v>129121.51</v>
      </c>
      <c r="L117" s="210"/>
      <c r="O117" s="206" t="s">
        <v>33</v>
      </c>
      <c r="P117" s="207">
        <f>SUM(O106:O116)</f>
        <v>587917.53036200954</v>
      </c>
    </row>
    <row r="118" spans="1:16" ht="12" thickBot="1" x14ac:dyDescent="0.2">
      <c r="A118" s="193"/>
      <c r="B118" s="470"/>
      <c r="C118" s="470"/>
      <c r="D118" s="470"/>
      <c r="E118" s="183"/>
      <c r="F118" s="472"/>
      <c r="G118" s="472"/>
      <c r="H118" s="219"/>
      <c r="I118" s="187"/>
      <c r="J118" s="201" t="s">
        <v>105</v>
      </c>
      <c r="K118" s="217">
        <f>SUM(K107:K117)</f>
        <v>2062504.37</v>
      </c>
      <c r="L118" s="210"/>
      <c r="P118" s="132">
        <f>+P105-P117</f>
        <v>0</v>
      </c>
    </row>
    <row r="119" spans="1:16" ht="12" thickTop="1" x14ac:dyDescent="0.15">
      <c r="A119" s="193" t="s">
        <v>493</v>
      </c>
      <c r="B119" s="470" t="s">
        <v>644</v>
      </c>
      <c r="C119" s="470"/>
      <c r="D119" s="470"/>
      <c r="E119" s="183" t="s">
        <v>55</v>
      </c>
      <c r="F119" s="472">
        <v>39176752.869999997</v>
      </c>
      <c r="G119" s="472"/>
      <c r="H119" s="219" t="s">
        <v>56</v>
      </c>
      <c r="I119" s="186">
        <v>40547</v>
      </c>
      <c r="J119" s="187" t="s">
        <v>71</v>
      </c>
      <c r="K119" s="210">
        <v>5836</v>
      </c>
      <c r="L119" s="210"/>
    </row>
    <row r="120" spans="1:16" x14ac:dyDescent="0.15">
      <c r="A120" s="193" t="s">
        <v>496</v>
      </c>
      <c r="B120" s="470" t="s">
        <v>814</v>
      </c>
      <c r="C120" s="470"/>
      <c r="D120" s="470"/>
      <c r="E120" s="183" t="s">
        <v>55</v>
      </c>
      <c r="F120" s="472">
        <v>126311068.48999999</v>
      </c>
      <c r="G120" s="472"/>
      <c r="H120" s="219" t="s">
        <v>56</v>
      </c>
      <c r="I120" s="186">
        <v>40550</v>
      </c>
      <c r="J120" s="187" t="s">
        <v>71</v>
      </c>
      <c r="K120" s="210">
        <v>218594.24</v>
      </c>
      <c r="L120" s="210"/>
    </row>
    <row r="121" spans="1:16" x14ac:dyDescent="0.15">
      <c r="A121" s="193" t="s">
        <v>555</v>
      </c>
      <c r="B121" s="470" t="s">
        <v>566</v>
      </c>
      <c r="C121" s="470"/>
      <c r="D121" s="470"/>
      <c r="E121" s="183" t="s">
        <v>55</v>
      </c>
      <c r="F121" s="472">
        <v>107571832.31</v>
      </c>
      <c r="G121" s="472"/>
      <c r="H121" s="219" t="s">
        <v>56</v>
      </c>
      <c r="I121" s="186">
        <v>40567</v>
      </c>
      <c r="J121" s="187" t="s">
        <v>71</v>
      </c>
      <c r="K121" s="210">
        <v>235925.78</v>
      </c>
      <c r="L121" s="210"/>
    </row>
    <row r="122" spans="1:16" x14ac:dyDescent="0.15">
      <c r="A122" s="193" t="s">
        <v>556</v>
      </c>
      <c r="B122" s="470" t="s">
        <v>567</v>
      </c>
      <c r="C122" s="470"/>
      <c r="D122" s="470"/>
      <c r="E122" s="183" t="s">
        <v>55</v>
      </c>
      <c r="F122" s="472">
        <v>143416194.56</v>
      </c>
      <c r="G122" s="472"/>
      <c r="H122" s="219" t="s">
        <v>56</v>
      </c>
      <c r="I122" s="186">
        <v>40567</v>
      </c>
      <c r="J122" s="187" t="s">
        <v>71</v>
      </c>
      <c r="K122" s="210">
        <v>20034</v>
      </c>
      <c r="L122" s="210"/>
    </row>
    <row r="123" spans="1:16" ht="12" thickBot="1" x14ac:dyDescent="0.2">
      <c r="A123" s="193"/>
      <c r="B123" s="470"/>
      <c r="C123" s="470"/>
      <c r="D123" s="470"/>
      <c r="E123" s="183"/>
      <c r="F123" s="472"/>
      <c r="G123" s="472"/>
      <c r="H123" s="185"/>
      <c r="I123" s="187"/>
      <c r="J123" s="201" t="s">
        <v>106</v>
      </c>
      <c r="K123" s="217">
        <f>SUM(K119:K122)</f>
        <v>480390.02</v>
      </c>
      <c r="L123" s="210"/>
    </row>
    <row r="124" spans="1:16" ht="12" thickTop="1" x14ac:dyDescent="0.15">
      <c r="A124" s="133" t="s">
        <v>568</v>
      </c>
      <c r="B124" s="133" t="s">
        <v>9</v>
      </c>
      <c r="C124" s="220" t="s">
        <v>569</v>
      </c>
      <c r="D124" s="133" t="s">
        <v>570</v>
      </c>
      <c r="E124" s="133" t="s">
        <v>571</v>
      </c>
      <c r="F124" s="133" t="s">
        <v>16</v>
      </c>
      <c r="I124" s="187"/>
      <c r="J124" s="210"/>
      <c r="K124" s="187"/>
      <c r="L124" s="210"/>
    </row>
    <row r="125" spans="1:16" x14ac:dyDescent="0.15">
      <c r="A125" s="193" t="s">
        <v>494</v>
      </c>
      <c r="B125" s="210">
        <v>310893.05000000005</v>
      </c>
      <c r="C125" s="221">
        <f>397644.51/1970703</f>
        <v>0.20177800003349058</v>
      </c>
      <c r="D125" s="222">
        <f>+B125*C125</f>
        <v>62731.377853311998</v>
      </c>
      <c r="E125" s="222">
        <f>+D125*0.1</f>
        <v>6273.1377853312006</v>
      </c>
      <c r="F125" s="223">
        <f>+D125+E125</f>
        <v>69004.515638643206</v>
      </c>
      <c r="H125" s="133"/>
      <c r="I125" s="187"/>
      <c r="J125" s="210"/>
      <c r="K125" s="187"/>
      <c r="L125" s="210"/>
    </row>
    <row r="126" spans="1:16" x14ac:dyDescent="0.15">
      <c r="A126" s="133" t="s">
        <v>495</v>
      </c>
      <c r="B126" s="210">
        <v>100334</v>
      </c>
      <c r="C126" s="221">
        <f>404180.15/2001526</f>
        <v>0.20193599783365293</v>
      </c>
      <c r="D126" s="222">
        <f t="shared" ref="D126:D135" si="34">+B126*C126</f>
        <v>20261.046406641733</v>
      </c>
      <c r="E126" s="222">
        <f t="shared" ref="E126:E135" si="35">+D126*0.1</f>
        <v>2026.1046406641735</v>
      </c>
      <c r="F126" s="223">
        <f t="shared" ref="F126:F135" si="36">+D126+E126</f>
        <v>22287.151047305906</v>
      </c>
      <c r="H126" s="133"/>
      <c r="I126" s="187"/>
      <c r="J126" s="210"/>
      <c r="K126" s="187"/>
      <c r="L126" s="210"/>
    </row>
    <row r="127" spans="1:16" x14ac:dyDescent="0.15">
      <c r="A127" s="133" t="s">
        <v>549</v>
      </c>
      <c r="B127" s="210">
        <v>313775.48</v>
      </c>
      <c r="C127" s="221">
        <f>381517.96/1899706</f>
        <v>0.20083000211611693</v>
      </c>
      <c r="D127" s="222">
        <f t="shared" si="34"/>
        <v>63015.530312385599</v>
      </c>
      <c r="E127" s="222">
        <f t="shared" si="35"/>
        <v>6301.5530312385599</v>
      </c>
      <c r="F127" s="223">
        <f t="shared" si="36"/>
        <v>69317.083343624166</v>
      </c>
      <c r="H127" s="133"/>
      <c r="I127" s="187"/>
      <c r="J127" s="210"/>
      <c r="K127" s="187"/>
      <c r="L127" s="210"/>
    </row>
    <row r="128" spans="1:16" x14ac:dyDescent="0.15">
      <c r="A128" s="133" t="s">
        <v>550</v>
      </c>
      <c r="B128" s="210">
        <v>60094</v>
      </c>
      <c r="C128" s="221">
        <f>403178/1999048</f>
        <v>0.20168500206098103</v>
      </c>
      <c r="D128" s="222">
        <f t="shared" si="34"/>
        <v>12120.058513852593</v>
      </c>
      <c r="E128" s="222">
        <f t="shared" si="35"/>
        <v>1212.0058513852593</v>
      </c>
      <c r="F128" s="223">
        <f t="shared" si="36"/>
        <v>13332.064365237853</v>
      </c>
      <c r="H128" s="133"/>
      <c r="I128" s="187"/>
      <c r="J128" s="210"/>
      <c r="K128" s="187"/>
      <c r="L128" s="210"/>
    </row>
    <row r="129" spans="1:12" x14ac:dyDescent="0.15">
      <c r="A129" s="133" t="s">
        <v>551</v>
      </c>
      <c r="B129" s="210">
        <v>140318</v>
      </c>
      <c r="C129" s="221">
        <f>401193.91/1999850</f>
        <v>0.20061200090006751</v>
      </c>
      <c r="D129" s="222">
        <f t="shared" si="34"/>
        <v>28149.474742295672</v>
      </c>
      <c r="E129" s="222">
        <f t="shared" si="35"/>
        <v>2814.9474742295674</v>
      </c>
      <c r="F129" s="223">
        <f t="shared" si="36"/>
        <v>30964.422216525239</v>
      </c>
      <c r="H129" s="133"/>
      <c r="I129" s="187"/>
      <c r="J129" s="210"/>
      <c r="K129" s="187"/>
      <c r="L129" s="210"/>
    </row>
    <row r="130" spans="1:12" x14ac:dyDescent="0.15">
      <c r="A130" s="133" t="s">
        <v>552</v>
      </c>
      <c r="B130" s="210">
        <v>353601.28000000003</v>
      </c>
      <c r="C130" s="221">
        <f>803442.21/3950837</f>
        <v>0.20335999941278265</v>
      </c>
      <c r="D130" s="222">
        <f t="shared" si="34"/>
        <v>71908.356093159207</v>
      </c>
      <c r="E130" s="222">
        <f t="shared" si="35"/>
        <v>7190.8356093159209</v>
      </c>
      <c r="F130" s="223">
        <f t="shared" si="36"/>
        <v>79099.191702475131</v>
      </c>
      <c r="H130" s="133"/>
      <c r="I130" s="187"/>
      <c r="J130" s="210"/>
      <c r="K130" s="187"/>
      <c r="L130" s="210"/>
    </row>
    <row r="131" spans="1:12" x14ac:dyDescent="0.15">
      <c r="A131" s="133" t="s">
        <v>553</v>
      </c>
      <c r="B131" s="210">
        <v>176090.83000000002</v>
      </c>
      <c r="C131" s="221">
        <f>375121.94/1814752</f>
        <v>0.2067069990830703</v>
      </c>
      <c r="D131" s="222">
        <f t="shared" si="34"/>
        <v>36399.207035347092</v>
      </c>
      <c r="E131" s="222">
        <f t="shared" si="35"/>
        <v>3639.9207035347094</v>
      </c>
      <c r="F131" s="223">
        <f t="shared" si="36"/>
        <v>40039.127738881798</v>
      </c>
      <c r="H131" s="193"/>
      <c r="I131" s="187"/>
      <c r="J131" s="210"/>
      <c r="K131" s="187"/>
      <c r="L131" s="210"/>
    </row>
    <row r="132" spans="1:12" x14ac:dyDescent="0.15">
      <c r="A132" s="133" t="s">
        <v>554</v>
      </c>
      <c r="B132" s="210">
        <v>197831</v>
      </c>
      <c r="C132" s="221">
        <f>377147.88/1824553</f>
        <v>0.20670700166013264</v>
      </c>
      <c r="D132" s="222">
        <f t="shared" si="34"/>
        <v>40893.0528454257</v>
      </c>
      <c r="E132" s="222">
        <f t="shared" si="35"/>
        <v>4089.30528454257</v>
      </c>
      <c r="F132" s="223">
        <f t="shared" si="36"/>
        <v>44982.35812996827</v>
      </c>
      <c r="H132" s="133"/>
      <c r="I132" s="187"/>
      <c r="J132" s="210"/>
      <c r="K132" s="187"/>
      <c r="L132" s="210"/>
    </row>
    <row r="133" spans="1:12" x14ac:dyDescent="0.15">
      <c r="A133" s="193" t="s">
        <v>557</v>
      </c>
      <c r="B133" s="210">
        <v>160285.47999999998</v>
      </c>
      <c r="C133" s="221">
        <f>429546.07/2007750</f>
        <v>0.21394400199227992</v>
      </c>
      <c r="D133" s="222">
        <f t="shared" si="34"/>
        <v>34292.117052453541</v>
      </c>
      <c r="E133" s="222">
        <f t="shared" si="35"/>
        <v>3429.2117052453541</v>
      </c>
      <c r="F133" s="223">
        <f t="shared" si="36"/>
        <v>37721.328757698895</v>
      </c>
      <c r="H133" s="193"/>
      <c r="I133" s="187"/>
      <c r="J133" s="210"/>
      <c r="K133" s="187"/>
      <c r="L133" s="210"/>
    </row>
    <row r="134" spans="1:12" x14ac:dyDescent="0.15">
      <c r="A134" s="193" t="s">
        <v>558</v>
      </c>
      <c r="B134" s="210">
        <v>120159.73999999999</v>
      </c>
      <c r="C134" s="221">
        <f>386766.69/1800506</f>
        <v>0.2148099978561582</v>
      </c>
      <c r="D134" s="222">
        <f t="shared" si="34"/>
        <v>25811.513491796526</v>
      </c>
      <c r="E134" s="222">
        <f t="shared" si="35"/>
        <v>2581.1513491796527</v>
      </c>
      <c r="F134" s="223">
        <f t="shared" si="36"/>
        <v>28392.66484097618</v>
      </c>
      <c r="H134" s="193"/>
      <c r="I134" s="187"/>
      <c r="J134" s="210"/>
      <c r="K134" s="187"/>
      <c r="L134" s="210"/>
    </row>
    <row r="135" spans="1:12" x14ac:dyDescent="0.15">
      <c r="A135" s="193" t="s">
        <v>559</v>
      </c>
      <c r="B135" s="210">
        <v>129121.51</v>
      </c>
      <c r="C135" s="221">
        <f>430081.58/1986098</f>
        <v>0.21654600125472157</v>
      </c>
      <c r="D135" s="222">
        <f t="shared" si="34"/>
        <v>27960.746666471543</v>
      </c>
      <c r="E135" s="222">
        <f t="shared" si="35"/>
        <v>2796.0746666471546</v>
      </c>
      <c r="F135" s="223">
        <f t="shared" si="36"/>
        <v>30756.821333118696</v>
      </c>
      <c r="H135" s="193"/>
      <c r="I135" s="187"/>
      <c r="J135" s="210"/>
      <c r="K135" s="187"/>
      <c r="L135" s="210"/>
    </row>
    <row r="136" spans="1:12" ht="12" thickBot="1" x14ac:dyDescent="0.2">
      <c r="B136" s="211">
        <f>SUM(B125:B135)</f>
        <v>2062504.37</v>
      </c>
      <c r="C136" s="221"/>
      <c r="D136" s="224">
        <f t="shared" ref="D136:E136" si="37">SUM(D125:D135)</f>
        <v>423542.48101314122</v>
      </c>
      <c r="E136" s="224">
        <f t="shared" si="37"/>
        <v>42354.248101314122</v>
      </c>
      <c r="F136" s="224">
        <f>SUM(F125:F135)</f>
        <v>465896.7291144554</v>
      </c>
      <c r="H136" s="134"/>
    </row>
    <row r="137" spans="1:12" ht="12" thickTop="1" x14ac:dyDescent="0.15">
      <c r="A137" s="193" t="s">
        <v>493</v>
      </c>
      <c r="B137" s="210">
        <v>5836</v>
      </c>
      <c r="C137" s="221">
        <f>390053.31/1933436</f>
        <v>0.2017409989262639</v>
      </c>
      <c r="D137" s="222">
        <f t="shared" ref="D137:D140" si="38">+B137*C137</f>
        <v>1177.3604697336762</v>
      </c>
      <c r="E137" s="222">
        <f t="shared" ref="E137:E140" si="39">+D137*0.1</f>
        <v>117.73604697336762</v>
      </c>
      <c r="F137" s="223">
        <f t="shared" ref="F137:F140" si="40">+D137+E137</f>
        <v>1295.0965167070437</v>
      </c>
    </row>
    <row r="138" spans="1:12" x14ac:dyDescent="0.15">
      <c r="A138" s="193" t="s">
        <v>496</v>
      </c>
      <c r="B138" s="210">
        <v>218594</v>
      </c>
      <c r="C138" s="221">
        <v>0.2036</v>
      </c>
      <c r="D138" s="222">
        <f t="shared" ref="D138:D139" si="41">+B138*C138</f>
        <v>44505.738400000002</v>
      </c>
      <c r="E138" s="222">
        <f t="shared" ref="E138:E139" si="42">+D138*0.1</f>
        <v>4450.57384</v>
      </c>
      <c r="F138" s="223">
        <f t="shared" ref="F138:F139" si="43">+D138+E138</f>
        <v>48956.312239999999</v>
      </c>
    </row>
    <row r="139" spans="1:12" x14ac:dyDescent="0.15">
      <c r="A139" s="193" t="s">
        <v>555</v>
      </c>
      <c r="B139" s="210">
        <v>235925.78</v>
      </c>
      <c r="C139" s="221">
        <f>428380.21/2007499</f>
        <v>0.21338999919800708</v>
      </c>
      <c r="D139" s="222">
        <f t="shared" si="41"/>
        <v>50344.202004989194</v>
      </c>
      <c r="E139" s="222">
        <f t="shared" si="42"/>
        <v>5034.4202004989202</v>
      </c>
      <c r="F139" s="223">
        <f t="shared" si="43"/>
        <v>55378.622205488115</v>
      </c>
    </row>
    <row r="140" spans="1:12" x14ac:dyDescent="0.15">
      <c r="A140" s="193" t="s">
        <v>556</v>
      </c>
      <c r="B140" s="210">
        <v>20034</v>
      </c>
      <c r="C140" s="221">
        <f>427140.98/1991194</f>
        <v>0.21451499954298778</v>
      </c>
      <c r="D140" s="222">
        <f t="shared" si="38"/>
        <v>4297.5935008442175</v>
      </c>
      <c r="E140" s="222">
        <f t="shared" si="39"/>
        <v>429.75935008442178</v>
      </c>
      <c r="F140" s="223">
        <f t="shared" si="40"/>
        <v>4727.3528509286389</v>
      </c>
    </row>
    <row r="141" spans="1:12" ht="12" thickBot="1" x14ac:dyDescent="0.2">
      <c r="A141" s="225"/>
      <c r="B141" s="211">
        <f>SUM(B137:B140)</f>
        <v>480389.78</v>
      </c>
      <c r="C141" s="221"/>
      <c r="D141" s="224">
        <f>SUM(D137:D140)</f>
        <v>100324.89437556709</v>
      </c>
      <c r="E141" s="224">
        <f t="shared" ref="E141:F141" si="44">SUM(E137:E140)</f>
        <v>10032.489437556709</v>
      </c>
      <c r="F141" s="224">
        <f t="shared" si="44"/>
        <v>110357.3838131238</v>
      </c>
    </row>
    <row r="142" spans="1:12" ht="12" thickTop="1" x14ac:dyDescent="0.15"/>
  </sheetData>
  <mergeCells count="33">
    <mergeCell ref="B120:D120"/>
    <mergeCell ref="F120:G120"/>
    <mergeCell ref="J3:L3"/>
    <mergeCell ref="A4:C4"/>
    <mergeCell ref="D4:H4"/>
    <mergeCell ref="I4:N4"/>
    <mergeCell ref="J5:K5"/>
    <mergeCell ref="L5:N5"/>
    <mergeCell ref="B106:D106"/>
    <mergeCell ref="F106:G106"/>
    <mergeCell ref="B107:D107"/>
    <mergeCell ref="F107:G107"/>
    <mergeCell ref="B108:D108"/>
    <mergeCell ref="F108:G108"/>
    <mergeCell ref="F109:G109"/>
    <mergeCell ref="F110:G110"/>
    <mergeCell ref="F111:G111"/>
    <mergeCell ref="B118:D118"/>
    <mergeCell ref="F118:G118"/>
    <mergeCell ref="B119:D119"/>
    <mergeCell ref="F119:G119"/>
    <mergeCell ref="F117:G117"/>
    <mergeCell ref="F112:G112"/>
    <mergeCell ref="F113:G113"/>
    <mergeCell ref="F114:G114"/>
    <mergeCell ref="F115:G115"/>
    <mergeCell ref="F116:G116"/>
    <mergeCell ref="B121:D121"/>
    <mergeCell ref="F121:G121"/>
    <mergeCell ref="B122:D122"/>
    <mergeCell ref="F122:G122"/>
    <mergeCell ref="B123:D123"/>
    <mergeCell ref="F123:G123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="115" zoomScaleNormal="115" workbookViewId="0">
      <pane ySplit="6" topLeftCell="A58" activePane="bottomLeft" state="frozen"/>
      <selection pane="bottomLeft" activeCell="B106" sqref="B106:D106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2.140625" style="132" customWidth="1"/>
    <col min="4" max="4" width="11.28515625" style="133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516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443</v>
      </c>
      <c r="B7" s="146"/>
      <c r="C7" s="147">
        <v>100079.54786200947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100079.54786200947</v>
      </c>
      <c r="P7" s="147">
        <f>+C88</f>
        <v>500208.5148620095</v>
      </c>
    </row>
    <row r="8" spans="1:16" x14ac:dyDescent="0.15">
      <c r="A8" s="154" t="s">
        <v>444</v>
      </c>
      <c r="B8" s="151"/>
      <c r="C8" s="152">
        <v>120077.86599999999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100079.54786200947</v>
      </c>
      <c r="P8" s="152">
        <f t="shared" ref="P8:P9" si="0">P7+H8-J8-M8</f>
        <v>500208.5148620095</v>
      </c>
    </row>
    <row r="9" spans="1:16" x14ac:dyDescent="0.15">
      <c r="A9" s="154" t="s">
        <v>445</v>
      </c>
      <c r="B9" s="151"/>
      <c r="C9" s="152">
        <v>120145.189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" si="1">+O8-J9-M9</f>
        <v>100079.54786200947</v>
      </c>
      <c r="P9" s="152">
        <f t="shared" si="0"/>
        <v>500208.5148620095</v>
      </c>
    </row>
    <row r="10" spans="1:16" x14ac:dyDescent="0.15">
      <c r="A10" s="154" t="s">
        <v>446</v>
      </c>
      <c r="B10" s="151"/>
      <c r="C10" s="152">
        <v>159905.91200000001</v>
      </c>
      <c r="D10" s="153"/>
      <c r="E10" s="154"/>
      <c r="F10" s="157"/>
      <c r="G10" s="154"/>
      <c r="H10" s="152"/>
      <c r="I10" s="153"/>
      <c r="J10" s="152"/>
      <c r="K10" s="150"/>
      <c r="L10" s="154"/>
      <c r="M10" s="152"/>
      <c r="N10" s="150"/>
      <c r="O10" s="152">
        <f t="shared" ref="O10:O11" si="2">+O9-J10-M10</f>
        <v>100079.54786200947</v>
      </c>
      <c r="P10" s="152">
        <f t="shared" ref="P10:P11" si="3">P9+H10-J10-M10</f>
        <v>500208.5148620095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/>
      <c r="J11" s="152"/>
      <c r="K11" s="150"/>
      <c r="L11" s="154"/>
      <c r="M11" s="152"/>
      <c r="N11" s="150"/>
      <c r="O11" s="152">
        <f t="shared" si="2"/>
        <v>100079.54786200947</v>
      </c>
      <c r="P11" s="152">
        <f t="shared" si="3"/>
        <v>500208.5148620095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456</v>
      </c>
      <c r="J12" s="152"/>
      <c r="K12" s="150"/>
      <c r="L12" s="154" t="s">
        <v>497</v>
      </c>
      <c r="M12" s="152">
        <v>76637.62</v>
      </c>
      <c r="N12" s="150" t="s">
        <v>443</v>
      </c>
      <c r="O12" s="152">
        <f t="shared" ref="O12:O15" si="4">+O11-J12-M12</f>
        <v>23441.92786200947</v>
      </c>
      <c r="P12" s="152">
        <f t="shared" ref="P12:P15" si="5">P11+H12-J12-M12</f>
        <v>423570.8948620095</v>
      </c>
    </row>
    <row r="13" spans="1:16" x14ac:dyDescent="0.15">
      <c r="A13" s="154"/>
      <c r="B13" s="151"/>
      <c r="C13" s="152"/>
      <c r="D13" s="153" t="s">
        <v>457</v>
      </c>
      <c r="E13" s="154" t="s">
        <v>72</v>
      </c>
      <c r="F13" s="157" t="s">
        <v>484</v>
      </c>
      <c r="G13" s="154"/>
      <c r="H13" s="152">
        <v>160251.84599999999</v>
      </c>
      <c r="I13" s="153" t="s">
        <v>457</v>
      </c>
      <c r="J13" s="152"/>
      <c r="K13" s="150"/>
      <c r="L13" s="154" t="s">
        <v>497</v>
      </c>
      <c r="M13" s="152">
        <v>23442</v>
      </c>
      <c r="N13" s="154" t="s">
        <v>443</v>
      </c>
      <c r="O13" s="152">
        <f t="shared" si="4"/>
        <v>-7.213799052988179E-2</v>
      </c>
      <c r="P13" s="152">
        <f t="shared" si="5"/>
        <v>560380.74086200946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457</v>
      </c>
      <c r="J14" s="152"/>
      <c r="K14" s="150"/>
      <c r="L14" s="154" t="s">
        <v>498</v>
      </c>
      <c r="M14" s="152">
        <v>50090</v>
      </c>
      <c r="N14" s="154" t="s">
        <v>444</v>
      </c>
      <c r="O14" s="152">
        <f>C8+O13-J14-M14</f>
        <v>69987.793862009465</v>
      </c>
      <c r="P14" s="152">
        <f t="shared" si="5"/>
        <v>510290.74086200946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457</v>
      </c>
      <c r="J15" s="152"/>
      <c r="K15" s="150"/>
      <c r="L15" s="154" t="s">
        <v>498</v>
      </c>
      <c r="M15" s="152">
        <v>69988</v>
      </c>
      <c r="N15" s="154" t="s">
        <v>444</v>
      </c>
      <c r="O15" s="152">
        <f t="shared" si="4"/>
        <v>-0.20613799053535331</v>
      </c>
      <c r="P15" s="152">
        <f t="shared" si="5"/>
        <v>440302.74086200946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457</v>
      </c>
      <c r="J16" s="152"/>
      <c r="K16" s="150"/>
      <c r="L16" s="154" t="s">
        <v>498</v>
      </c>
      <c r="M16" s="152">
        <v>19631</v>
      </c>
      <c r="N16" s="154" t="s">
        <v>445</v>
      </c>
      <c r="O16" s="152">
        <f>C9+O15-J16-M16</f>
        <v>100513.98286200946</v>
      </c>
      <c r="P16" s="152">
        <f t="shared" ref="P16:P20" si="6">P15+H16-J16-M16</f>
        <v>420671.74086200946</v>
      </c>
    </row>
    <row r="17" spans="1:16" x14ac:dyDescent="0.15">
      <c r="A17" s="154"/>
      <c r="B17" s="151"/>
      <c r="C17" s="152"/>
      <c r="D17" s="153" t="s">
        <v>481</v>
      </c>
      <c r="E17" s="154" t="s">
        <v>72</v>
      </c>
      <c r="F17" s="157" t="s">
        <v>484</v>
      </c>
      <c r="G17" s="154"/>
      <c r="H17" s="152">
        <v>120201.764</v>
      </c>
      <c r="I17" s="153" t="s">
        <v>481</v>
      </c>
      <c r="J17" s="152"/>
      <c r="K17" s="150"/>
      <c r="L17" s="154"/>
      <c r="M17" s="152"/>
      <c r="N17" s="154"/>
      <c r="O17" s="152">
        <f t="shared" ref="O17:O20" si="7">+O16-J17-M17</f>
        <v>100513.98286200946</v>
      </c>
      <c r="P17" s="152">
        <f t="shared" si="6"/>
        <v>540873.50486200943</v>
      </c>
    </row>
    <row r="18" spans="1:16" x14ac:dyDescent="0.15">
      <c r="A18" s="154"/>
      <c r="B18" s="151"/>
      <c r="C18" s="152"/>
      <c r="D18" s="153" t="s">
        <v>482</v>
      </c>
      <c r="E18" s="154" t="s">
        <v>72</v>
      </c>
      <c r="F18" s="157" t="s">
        <v>485</v>
      </c>
      <c r="G18" s="154"/>
      <c r="H18" s="152">
        <v>80083.532999999996</v>
      </c>
      <c r="I18" s="153" t="s">
        <v>482</v>
      </c>
      <c r="J18" s="152"/>
      <c r="K18" s="150"/>
      <c r="L18" s="154"/>
      <c r="M18" s="152"/>
      <c r="N18" s="154"/>
      <c r="O18" s="152">
        <f t="shared" si="7"/>
        <v>100513.98286200946</v>
      </c>
      <c r="P18" s="152">
        <f t="shared" si="6"/>
        <v>620957.03786200937</v>
      </c>
    </row>
    <row r="19" spans="1:16" x14ac:dyDescent="0.15">
      <c r="A19" s="154"/>
      <c r="B19" s="151"/>
      <c r="C19" s="152"/>
      <c r="D19" s="153" t="s">
        <v>458</v>
      </c>
      <c r="E19" s="154" t="s">
        <v>72</v>
      </c>
      <c r="F19" s="157" t="s">
        <v>485</v>
      </c>
      <c r="G19" s="154"/>
      <c r="H19" s="152">
        <v>40116.788</v>
      </c>
      <c r="I19" s="153" t="s">
        <v>458</v>
      </c>
      <c r="J19" s="152"/>
      <c r="K19" s="150"/>
      <c r="L19" s="154" t="s">
        <v>498</v>
      </c>
      <c r="M19" s="152">
        <v>71906.87</v>
      </c>
      <c r="N19" s="154" t="s">
        <v>445</v>
      </c>
      <c r="O19" s="152">
        <f t="shared" si="7"/>
        <v>28607.112862009468</v>
      </c>
      <c r="P19" s="152">
        <f t="shared" si="6"/>
        <v>589166.95586200932</v>
      </c>
    </row>
    <row r="20" spans="1:16" x14ac:dyDescent="0.15">
      <c r="A20" s="154"/>
      <c r="B20" s="151"/>
      <c r="C20" s="152"/>
      <c r="D20" s="153"/>
      <c r="E20" s="154"/>
      <c r="F20" s="157"/>
      <c r="G20" s="154"/>
      <c r="H20" s="152"/>
      <c r="I20" s="153" t="s">
        <v>458</v>
      </c>
      <c r="J20" s="152"/>
      <c r="K20" s="150"/>
      <c r="L20" s="154" t="s">
        <v>498</v>
      </c>
      <c r="M20" s="152">
        <v>28607</v>
      </c>
      <c r="N20" s="154" t="s">
        <v>445</v>
      </c>
      <c r="O20" s="152">
        <f t="shared" si="7"/>
        <v>0.1128620094677899</v>
      </c>
      <c r="P20" s="152">
        <f t="shared" si="6"/>
        <v>560559.95586200932</v>
      </c>
    </row>
    <row r="21" spans="1:16" x14ac:dyDescent="0.15">
      <c r="A21" s="154"/>
      <c r="B21" s="151"/>
      <c r="C21" s="152"/>
      <c r="D21" s="153"/>
      <c r="E21" s="154"/>
      <c r="F21" s="157"/>
      <c r="G21" s="154"/>
      <c r="H21" s="152"/>
      <c r="I21" s="153" t="s">
        <v>458</v>
      </c>
      <c r="J21" s="152"/>
      <c r="K21" s="150"/>
      <c r="L21" s="154" t="s">
        <v>498</v>
      </c>
      <c r="M21" s="152">
        <v>31968</v>
      </c>
      <c r="N21" s="154" t="s">
        <v>446</v>
      </c>
      <c r="O21" s="152">
        <f>C10+O20-J21-M21</f>
        <v>127938.02486200948</v>
      </c>
      <c r="P21" s="152">
        <f t="shared" ref="P21:P29" si="8">P20+H21-J21-M21</f>
        <v>528591.95586200932</v>
      </c>
    </row>
    <row r="22" spans="1:16" x14ac:dyDescent="0.15">
      <c r="A22" s="154"/>
      <c r="B22" s="151"/>
      <c r="C22" s="152"/>
      <c r="D22" s="153" t="s">
        <v>459</v>
      </c>
      <c r="E22" s="154" t="s">
        <v>72</v>
      </c>
      <c r="F22" s="157" t="s">
        <v>486</v>
      </c>
      <c r="G22" s="154"/>
      <c r="H22" s="152">
        <v>116212.895</v>
      </c>
      <c r="I22" s="153" t="s">
        <v>459</v>
      </c>
      <c r="J22" s="152">
        <v>789.76</v>
      </c>
      <c r="K22" s="154" t="s">
        <v>446</v>
      </c>
      <c r="L22" s="154" t="s">
        <v>498</v>
      </c>
      <c r="M22" s="152">
        <v>60191.3</v>
      </c>
      <c r="N22" s="154" t="s">
        <v>446</v>
      </c>
      <c r="O22" s="152">
        <f t="shared" ref="O22:O29" si="9">+O21-J22-M22</f>
        <v>66956.964862009481</v>
      </c>
      <c r="P22" s="152">
        <f t="shared" si="8"/>
        <v>583823.79086200928</v>
      </c>
    </row>
    <row r="23" spans="1:16" x14ac:dyDescent="0.15">
      <c r="A23" s="154"/>
      <c r="B23" s="151"/>
      <c r="C23" s="152"/>
      <c r="D23" s="153"/>
      <c r="E23" s="154"/>
      <c r="F23" s="157"/>
      <c r="G23" s="154"/>
      <c r="H23" s="152"/>
      <c r="I23" s="153" t="s">
        <v>459</v>
      </c>
      <c r="J23" s="152"/>
      <c r="K23" s="150"/>
      <c r="L23" s="154" t="s">
        <v>498</v>
      </c>
      <c r="M23" s="152">
        <v>66957</v>
      </c>
      <c r="N23" s="154" t="s">
        <v>446</v>
      </c>
      <c r="O23" s="152">
        <f t="shared" si="9"/>
        <v>-3.5137990518705919E-2</v>
      </c>
      <c r="P23" s="152">
        <f t="shared" si="8"/>
        <v>516866.79086200928</v>
      </c>
    </row>
    <row r="24" spans="1:16" x14ac:dyDescent="0.15">
      <c r="A24" s="154"/>
      <c r="B24" s="151"/>
      <c r="C24" s="152"/>
      <c r="D24" s="153"/>
      <c r="E24" s="154"/>
      <c r="F24" s="157"/>
      <c r="G24" s="154"/>
      <c r="H24" s="152"/>
      <c r="I24" s="153" t="s">
        <v>459</v>
      </c>
      <c r="J24" s="152"/>
      <c r="K24" s="150"/>
      <c r="L24" s="154" t="s">
        <v>497</v>
      </c>
      <c r="M24" s="152">
        <v>7005</v>
      </c>
      <c r="N24" s="157" t="s">
        <v>484</v>
      </c>
      <c r="O24" s="152">
        <f>H13+H17+O23-J24-M24</f>
        <v>273448.5748620095</v>
      </c>
      <c r="P24" s="152">
        <f t="shared" ref="P24:P27" si="10">P23+H24-J24-M24</f>
        <v>509861.79086200928</v>
      </c>
    </row>
    <row r="25" spans="1:16" x14ac:dyDescent="0.15">
      <c r="A25" s="154"/>
      <c r="B25" s="151"/>
      <c r="C25" s="152"/>
      <c r="D25" s="153" t="s">
        <v>460</v>
      </c>
      <c r="E25" s="154" t="s">
        <v>72</v>
      </c>
      <c r="F25" s="157" t="s">
        <v>486</v>
      </c>
      <c r="G25" s="154"/>
      <c r="H25" s="152">
        <v>40069</v>
      </c>
      <c r="I25" s="153" t="s">
        <v>460</v>
      </c>
      <c r="J25" s="152"/>
      <c r="K25" s="150"/>
      <c r="L25" s="154" t="s">
        <v>497</v>
      </c>
      <c r="M25" s="152">
        <v>82775.17</v>
      </c>
      <c r="N25" s="157" t="s">
        <v>484</v>
      </c>
      <c r="O25" s="152">
        <f t="shared" ref="O25:O27" si="11">+O24-J25-M25</f>
        <v>190673.40486200951</v>
      </c>
      <c r="P25" s="152">
        <f t="shared" si="10"/>
        <v>467155.62086200929</v>
      </c>
    </row>
    <row r="26" spans="1:16" x14ac:dyDescent="0.15">
      <c r="A26" s="154"/>
      <c r="B26" s="151"/>
      <c r="C26" s="152"/>
      <c r="D26" s="153" t="s">
        <v>460</v>
      </c>
      <c r="E26" s="154" t="s">
        <v>72</v>
      </c>
      <c r="F26" s="157" t="s">
        <v>508</v>
      </c>
      <c r="G26" s="154"/>
      <c r="H26" s="152">
        <v>120244</v>
      </c>
      <c r="I26" s="153" t="s">
        <v>460</v>
      </c>
      <c r="J26" s="152"/>
      <c r="K26" s="150"/>
      <c r="L26" s="154" t="s">
        <v>497</v>
      </c>
      <c r="M26" s="152">
        <v>84705.75</v>
      </c>
      <c r="N26" s="157" t="s">
        <v>484</v>
      </c>
      <c r="O26" s="152">
        <f t="shared" si="11"/>
        <v>105967.65486200951</v>
      </c>
      <c r="P26" s="152">
        <f t="shared" si="10"/>
        <v>502693.87086200924</v>
      </c>
    </row>
    <row r="27" spans="1:16" x14ac:dyDescent="0.15">
      <c r="A27" s="154"/>
      <c r="B27" s="151"/>
      <c r="C27" s="152"/>
      <c r="D27" s="153" t="s">
        <v>461</v>
      </c>
      <c r="E27" s="154" t="s">
        <v>72</v>
      </c>
      <c r="F27" s="157" t="s">
        <v>508</v>
      </c>
      <c r="G27" s="154"/>
      <c r="H27" s="152">
        <v>60106.457999999999</v>
      </c>
      <c r="I27" s="153" t="s">
        <v>461</v>
      </c>
      <c r="J27" s="152">
        <v>5361.06</v>
      </c>
      <c r="K27" s="157" t="s">
        <v>484</v>
      </c>
      <c r="L27" s="154"/>
      <c r="M27" s="152"/>
      <c r="N27" s="154"/>
      <c r="O27" s="152">
        <f t="shared" si="11"/>
        <v>100606.59486200952</v>
      </c>
      <c r="P27" s="152">
        <f t="shared" si="10"/>
        <v>557439.26886200916</v>
      </c>
    </row>
    <row r="28" spans="1:16" x14ac:dyDescent="0.15">
      <c r="A28" s="154"/>
      <c r="B28" s="151"/>
      <c r="C28" s="152"/>
      <c r="D28" s="153" t="s">
        <v>462</v>
      </c>
      <c r="E28" s="154" t="s">
        <v>72</v>
      </c>
      <c r="F28" s="157" t="s">
        <v>487</v>
      </c>
      <c r="G28" s="154"/>
      <c r="H28" s="152">
        <v>60117.612000000001</v>
      </c>
      <c r="I28" s="153" t="s">
        <v>462</v>
      </c>
      <c r="J28" s="152">
        <v>1450.12</v>
      </c>
      <c r="K28" s="157" t="s">
        <v>484</v>
      </c>
      <c r="L28" s="154"/>
      <c r="M28" s="152"/>
      <c r="N28" s="154"/>
      <c r="O28" s="152">
        <f t="shared" si="9"/>
        <v>99156.47486200952</v>
      </c>
      <c r="P28" s="152">
        <f t="shared" si="8"/>
        <v>616106.76086200913</v>
      </c>
    </row>
    <row r="29" spans="1:16" x14ac:dyDescent="0.15">
      <c r="A29" s="154"/>
      <c r="B29" s="151"/>
      <c r="C29" s="152"/>
      <c r="D29" s="153" t="s">
        <v>463</v>
      </c>
      <c r="E29" s="154" t="s">
        <v>72</v>
      </c>
      <c r="F29" s="157" t="s">
        <v>487</v>
      </c>
      <c r="G29" s="154"/>
      <c r="H29" s="152">
        <v>80015.107000000004</v>
      </c>
      <c r="I29" s="153" t="s">
        <v>463</v>
      </c>
      <c r="J29" s="152">
        <v>2415.7399999999998</v>
      </c>
      <c r="K29" s="157" t="s">
        <v>484</v>
      </c>
      <c r="L29" s="154" t="s">
        <v>497</v>
      </c>
      <c r="M29" s="152">
        <v>73852.45</v>
      </c>
      <c r="N29" s="157" t="s">
        <v>484</v>
      </c>
      <c r="O29" s="152">
        <f t="shared" si="9"/>
        <v>22888.284862009517</v>
      </c>
      <c r="P29" s="152">
        <f t="shared" si="8"/>
        <v>619853.67786200915</v>
      </c>
    </row>
    <row r="30" spans="1:16" x14ac:dyDescent="0.15">
      <c r="A30" s="154"/>
      <c r="B30" s="151"/>
      <c r="C30" s="152"/>
      <c r="D30" s="153"/>
      <c r="E30" s="154"/>
      <c r="F30" s="157"/>
      <c r="G30" s="154"/>
      <c r="H30" s="152"/>
      <c r="I30" s="153" t="s">
        <v>463</v>
      </c>
      <c r="J30" s="152"/>
      <c r="K30" s="154"/>
      <c r="L30" s="154" t="s">
        <v>497</v>
      </c>
      <c r="M30" s="152">
        <v>22888</v>
      </c>
      <c r="N30" s="157" t="s">
        <v>484</v>
      </c>
      <c r="O30" s="152">
        <f t="shared" ref="O30:O87" si="12">+O29-J30-M30</f>
        <v>0.28486200951738283</v>
      </c>
      <c r="P30" s="152">
        <f t="shared" ref="P30:P87" si="13">P29+H30-J30-M30</f>
        <v>596965.67786200915</v>
      </c>
    </row>
    <row r="31" spans="1:16" x14ac:dyDescent="0.15">
      <c r="A31" s="154"/>
      <c r="B31" s="151"/>
      <c r="C31" s="152"/>
      <c r="D31" s="153"/>
      <c r="E31" s="154"/>
      <c r="F31" s="157"/>
      <c r="G31" s="154"/>
      <c r="H31" s="152"/>
      <c r="I31" s="153" t="s">
        <v>463</v>
      </c>
      <c r="J31" s="152"/>
      <c r="K31" s="154"/>
      <c r="L31" s="154" t="s">
        <v>497</v>
      </c>
      <c r="M31" s="152">
        <v>45863</v>
      </c>
      <c r="N31" s="157" t="s">
        <v>485</v>
      </c>
      <c r="O31" s="152">
        <f>+H18+H19+O30-J31-M31</f>
        <v>74337.605862009514</v>
      </c>
      <c r="P31" s="152">
        <f t="shared" ref="P31:P33" si="14">P30+H31-J31-M31</f>
        <v>551102.67786200915</v>
      </c>
    </row>
    <row r="32" spans="1:16" x14ac:dyDescent="0.15">
      <c r="A32" s="154"/>
      <c r="B32" s="151"/>
      <c r="C32" s="152"/>
      <c r="D32" s="153" t="s">
        <v>464</v>
      </c>
      <c r="E32" s="154" t="s">
        <v>72</v>
      </c>
      <c r="F32" s="157" t="s">
        <v>487</v>
      </c>
      <c r="G32" s="154"/>
      <c r="H32" s="152">
        <v>13079</v>
      </c>
      <c r="I32" s="153" t="s">
        <v>464</v>
      </c>
      <c r="J32" s="152">
        <v>1205.1199999999999</v>
      </c>
      <c r="K32" s="157" t="s">
        <v>485</v>
      </c>
      <c r="L32" s="154" t="s">
        <v>497</v>
      </c>
      <c r="M32" s="152">
        <v>57877.599999999999</v>
      </c>
      <c r="N32" s="157" t="s">
        <v>485</v>
      </c>
      <c r="O32" s="152">
        <f t="shared" ref="O32:O33" si="15">+O31-J32-M32</f>
        <v>15254.88586200952</v>
      </c>
      <c r="P32" s="152">
        <f t="shared" si="14"/>
        <v>505098.95786200918</v>
      </c>
    </row>
    <row r="33" spans="1:16" x14ac:dyDescent="0.15">
      <c r="A33" s="154"/>
      <c r="B33" s="151"/>
      <c r="C33" s="152"/>
      <c r="D33" s="153" t="s">
        <v>464</v>
      </c>
      <c r="E33" s="154" t="s">
        <v>72</v>
      </c>
      <c r="F33" s="157" t="s">
        <v>488</v>
      </c>
      <c r="G33" s="154"/>
      <c r="H33" s="152">
        <v>26922</v>
      </c>
      <c r="I33" s="153" t="s">
        <v>464</v>
      </c>
      <c r="J33" s="152"/>
      <c r="K33" s="154"/>
      <c r="L33" s="154" t="s">
        <v>497</v>
      </c>
      <c r="M33" s="152">
        <v>15255</v>
      </c>
      <c r="N33" s="157" t="s">
        <v>485</v>
      </c>
      <c r="O33" s="152">
        <f t="shared" si="15"/>
        <v>-0.11413799048023066</v>
      </c>
      <c r="P33" s="152">
        <f t="shared" si="14"/>
        <v>516765.95786200918</v>
      </c>
    </row>
    <row r="34" spans="1:16" x14ac:dyDescent="0.15">
      <c r="A34" s="154"/>
      <c r="B34" s="151"/>
      <c r="C34" s="152"/>
      <c r="D34" s="153"/>
      <c r="E34" s="154"/>
      <c r="F34" s="157"/>
      <c r="G34" s="154"/>
      <c r="H34" s="152"/>
      <c r="I34" s="153" t="s">
        <v>464</v>
      </c>
      <c r="J34" s="152"/>
      <c r="K34" s="154"/>
      <c r="L34" s="154" t="s">
        <v>498</v>
      </c>
      <c r="M34" s="152">
        <v>70764</v>
      </c>
      <c r="N34" s="157" t="s">
        <v>486</v>
      </c>
      <c r="O34" s="152">
        <f>H22+H25+O33-J34-M34</f>
        <v>85517.780862009531</v>
      </c>
      <c r="P34" s="152">
        <f t="shared" ref="P34:P36" si="16">P33+H34-J34-M34</f>
        <v>446001.95786200918</v>
      </c>
    </row>
    <row r="35" spans="1:16" x14ac:dyDescent="0.15">
      <c r="A35" s="154"/>
      <c r="B35" s="151"/>
      <c r="C35" s="152"/>
      <c r="D35" s="153" t="s">
        <v>465</v>
      </c>
      <c r="E35" s="154" t="s">
        <v>72</v>
      </c>
      <c r="F35" s="157" t="s">
        <v>488</v>
      </c>
      <c r="G35" s="154"/>
      <c r="H35" s="152">
        <v>155893</v>
      </c>
      <c r="I35" s="153" t="s">
        <v>465</v>
      </c>
      <c r="J35" s="152">
        <v>515</v>
      </c>
      <c r="K35" s="157" t="s">
        <v>486</v>
      </c>
      <c r="L35" s="154" t="s">
        <v>498</v>
      </c>
      <c r="M35" s="152">
        <v>58576.74</v>
      </c>
      <c r="N35" s="157" t="s">
        <v>486</v>
      </c>
      <c r="O35" s="152">
        <f t="shared" ref="O35:O36" si="17">+O34-J35-M35</f>
        <v>26426.040862009533</v>
      </c>
      <c r="P35" s="152">
        <f t="shared" si="16"/>
        <v>542803.21786200919</v>
      </c>
    </row>
    <row r="36" spans="1:16" x14ac:dyDescent="0.15">
      <c r="A36" s="154"/>
      <c r="B36" s="151"/>
      <c r="C36" s="152"/>
      <c r="D36" s="153" t="s">
        <v>465</v>
      </c>
      <c r="E36" s="154" t="s">
        <v>72</v>
      </c>
      <c r="F36" s="157" t="s">
        <v>509</v>
      </c>
      <c r="G36" s="154"/>
      <c r="H36" s="152">
        <v>60085</v>
      </c>
      <c r="I36" s="153" t="s">
        <v>465</v>
      </c>
      <c r="J36" s="152"/>
      <c r="K36" s="154"/>
      <c r="L36" s="154" t="s">
        <v>498</v>
      </c>
      <c r="M36" s="152">
        <v>26426</v>
      </c>
      <c r="N36" s="157" t="s">
        <v>486</v>
      </c>
      <c r="O36" s="152">
        <f t="shared" si="17"/>
        <v>4.0862009533157106E-2</v>
      </c>
      <c r="P36" s="152">
        <f t="shared" si="16"/>
        <v>576462.21786200919</v>
      </c>
    </row>
    <row r="37" spans="1:16" x14ac:dyDescent="0.15">
      <c r="A37" s="154"/>
      <c r="B37" s="151"/>
      <c r="C37" s="152"/>
      <c r="D37" s="153"/>
      <c r="E37" s="154"/>
      <c r="F37" s="157"/>
      <c r="G37" s="154"/>
      <c r="H37" s="152"/>
      <c r="I37" s="153" t="s">
        <v>465</v>
      </c>
      <c r="J37" s="152"/>
      <c r="K37" s="154"/>
      <c r="L37" s="154" t="s">
        <v>497</v>
      </c>
      <c r="M37" s="152">
        <v>43913</v>
      </c>
      <c r="N37" s="157" t="s">
        <v>508</v>
      </c>
      <c r="O37" s="152">
        <f>H26+H27+O36-J37-M37</f>
        <v>136437.49886200952</v>
      </c>
      <c r="P37" s="152">
        <f t="shared" ref="P37:P44" si="18">P36+H37-J37-M37</f>
        <v>532549.21786200919</v>
      </c>
    </row>
    <row r="38" spans="1:16" x14ac:dyDescent="0.15">
      <c r="A38" s="154"/>
      <c r="B38" s="151"/>
      <c r="C38" s="152"/>
      <c r="D38" s="153"/>
      <c r="E38" s="154"/>
      <c r="F38" s="157"/>
      <c r="G38" s="154"/>
      <c r="H38" s="152"/>
      <c r="I38" s="153" t="s">
        <v>465</v>
      </c>
      <c r="J38" s="152"/>
      <c r="K38" s="157"/>
      <c r="L38" s="154" t="s">
        <v>497</v>
      </c>
      <c r="M38" s="152">
        <v>73285.710000000006</v>
      </c>
      <c r="N38" s="157" t="s">
        <v>508</v>
      </c>
      <c r="O38" s="152">
        <f t="shared" ref="O38:O44" si="19">+O37-J38-M38</f>
        <v>63151.788862009518</v>
      </c>
      <c r="P38" s="152">
        <f t="shared" si="18"/>
        <v>459263.50786200917</v>
      </c>
    </row>
    <row r="39" spans="1:16" x14ac:dyDescent="0.15">
      <c r="A39" s="154"/>
      <c r="B39" s="151"/>
      <c r="C39" s="152"/>
      <c r="D39" s="153" t="s">
        <v>466</v>
      </c>
      <c r="E39" s="154" t="s">
        <v>72</v>
      </c>
      <c r="F39" s="157" t="s">
        <v>509</v>
      </c>
      <c r="G39" s="154"/>
      <c r="H39" s="152">
        <v>60072.491999999998</v>
      </c>
      <c r="I39" s="153" t="s">
        <v>466</v>
      </c>
      <c r="J39" s="152">
        <v>1100</v>
      </c>
      <c r="K39" s="157" t="s">
        <v>508</v>
      </c>
      <c r="L39" s="154" t="s">
        <v>497</v>
      </c>
      <c r="M39" s="152">
        <v>62052</v>
      </c>
      <c r="N39" s="157" t="s">
        <v>508</v>
      </c>
      <c r="O39" s="152">
        <f t="shared" si="19"/>
        <v>-0.21113799048180226</v>
      </c>
      <c r="P39" s="152">
        <f t="shared" si="18"/>
        <v>456183.99986200919</v>
      </c>
    </row>
    <row r="40" spans="1:16" x14ac:dyDescent="0.15">
      <c r="A40" s="154"/>
      <c r="B40" s="151"/>
      <c r="C40" s="152"/>
      <c r="D40" s="153"/>
      <c r="E40" s="154"/>
      <c r="F40" s="157"/>
      <c r="G40" s="154"/>
      <c r="H40" s="152"/>
      <c r="I40" s="153" t="s">
        <v>466</v>
      </c>
      <c r="J40" s="152"/>
      <c r="K40" s="157"/>
      <c r="L40" s="154" t="s">
        <v>498</v>
      </c>
      <c r="M40" s="152">
        <v>25994</v>
      </c>
      <c r="N40" s="157" t="s">
        <v>487</v>
      </c>
      <c r="O40" s="152">
        <f>H28+H29+H32+O39-J40-M40</f>
        <v>127217.50786200952</v>
      </c>
      <c r="P40" s="152">
        <f t="shared" ref="P40:P43" si="20">P39+H40-J40-M40</f>
        <v>430189.99986200919</v>
      </c>
    </row>
    <row r="41" spans="1:16" x14ac:dyDescent="0.15">
      <c r="A41" s="154"/>
      <c r="B41" s="151"/>
      <c r="C41" s="152"/>
      <c r="D41" s="153" t="s">
        <v>467</v>
      </c>
      <c r="E41" s="154" t="s">
        <v>72</v>
      </c>
      <c r="F41" s="157" t="s">
        <v>509</v>
      </c>
      <c r="G41" s="154"/>
      <c r="H41" s="152">
        <v>119927.30499999999</v>
      </c>
      <c r="I41" s="153" t="s">
        <v>467</v>
      </c>
      <c r="J41" s="152">
        <v>1519</v>
      </c>
      <c r="K41" s="157" t="s">
        <v>487</v>
      </c>
      <c r="L41" s="154"/>
      <c r="M41" s="152"/>
      <c r="N41" s="157"/>
      <c r="O41" s="152">
        <f t="shared" ref="O41:O43" si="21">+O40-J41-M41</f>
        <v>125698.50786200952</v>
      </c>
      <c r="P41" s="152">
        <f t="shared" si="20"/>
        <v>548598.30486200913</v>
      </c>
    </row>
    <row r="42" spans="1:16" x14ac:dyDescent="0.15">
      <c r="A42" s="154"/>
      <c r="B42" s="151"/>
      <c r="C42" s="152"/>
      <c r="D42" s="153" t="s">
        <v>468</v>
      </c>
      <c r="E42" s="154" t="s">
        <v>72</v>
      </c>
      <c r="F42" s="157" t="s">
        <v>489</v>
      </c>
      <c r="G42" s="154"/>
      <c r="H42" s="152">
        <v>120105.749</v>
      </c>
      <c r="I42" s="153" t="s">
        <v>468</v>
      </c>
      <c r="J42" s="152"/>
      <c r="K42" s="157"/>
      <c r="L42" s="154" t="s">
        <v>498</v>
      </c>
      <c r="M42" s="152">
        <v>75515.31</v>
      </c>
      <c r="N42" s="157" t="s">
        <v>487</v>
      </c>
      <c r="O42" s="152">
        <f t="shared" si="21"/>
        <v>50183.197862009518</v>
      </c>
      <c r="P42" s="152">
        <f t="shared" si="20"/>
        <v>593188.74386200914</v>
      </c>
    </row>
    <row r="43" spans="1:16" x14ac:dyDescent="0.15">
      <c r="A43" s="154"/>
      <c r="B43" s="151"/>
      <c r="C43" s="152"/>
      <c r="D43" s="153"/>
      <c r="E43" s="154"/>
      <c r="F43" s="157"/>
      <c r="G43" s="154"/>
      <c r="H43" s="152"/>
      <c r="I43" s="153" t="s">
        <v>469</v>
      </c>
      <c r="J43" s="152">
        <v>1121.1099999999999</v>
      </c>
      <c r="K43" s="157" t="s">
        <v>487</v>
      </c>
      <c r="L43" s="154"/>
      <c r="M43" s="152"/>
      <c r="N43" s="154"/>
      <c r="O43" s="152">
        <f t="shared" si="21"/>
        <v>49062.087862009517</v>
      </c>
      <c r="P43" s="152">
        <f t="shared" si="20"/>
        <v>592067.63386200916</v>
      </c>
    </row>
    <row r="44" spans="1:16" x14ac:dyDescent="0.15">
      <c r="A44" s="154"/>
      <c r="B44" s="151"/>
      <c r="C44" s="152"/>
      <c r="D44" s="153" t="s">
        <v>470</v>
      </c>
      <c r="E44" s="154" t="s">
        <v>72</v>
      </c>
      <c r="F44" s="157" t="s">
        <v>489</v>
      </c>
      <c r="G44" s="154"/>
      <c r="H44" s="152">
        <v>100050.291</v>
      </c>
      <c r="I44" s="153" t="s">
        <v>470</v>
      </c>
      <c r="J44" s="152">
        <v>535</v>
      </c>
      <c r="K44" s="157" t="s">
        <v>487</v>
      </c>
      <c r="L44" s="154" t="s">
        <v>498</v>
      </c>
      <c r="M44" s="152">
        <v>2032</v>
      </c>
      <c r="N44" s="157" t="s">
        <v>487</v>
      </c>
      <c r="O44" s="152">
        <f t="shared" si="19"/>
        <v>46495.087862009517</v>
      </c>
      <c r="P44" s="152">
        <f t="shared" si="18"/>
        <v>689550.92486200912</v>
      </c>
    </row>
    <row r="45" spans="1:16" x14ac:dyDescent="0.15">
      <c r="A45" s="154"/>
      <c r="B45" s="151"/>
      <c r="C45" s="152"/>
      <c r="D45" s="153"/>
      <c r="E45" s="154"/>
      <c r="F45" s="157"/>
      <c r="G45" s="154"/>
      <c r="H45" s="152"/>
      <c r="I45" s="153" t="s">
        <v>470</v>
      </c>
      <c r="J45" s="152"/>
      <c r="K45" s="154"/>
      <c r="L45" s="154" t="s">
        <v>498</v>
      </c>
      <c r="M45" s="152">
        <v>46495</v>
      </c>
      <c r="N45" s="157" t="s">
        <v>487</v>
      </c>
      <c r="O45" s="152">
        <f t="shared" si="12"/>
        <v>8.7862009517266415E-2</v>
      </c>
      <c r="P45" s="152">
        <f t="shared" si="13"/>
        <v>643055.92486200912</v>
      </c>
    </row>
    <row r="46" spans="1:16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4"/>
      <c r="L46" s="154" t="s">
        <v>497</v>
      </c>
      <c r="M46" s="152">
        <v>41715</v>
      </c>
      <c r="N46" s="157" t="s">
        <v>488</v>
      </c>
      <c r="O46" s="152">
        <f>H33+H35+O45-J46-M46</f>
        <v>141100.08786200953</v>
      </c>
      <c r="P46" s="152">
        <f t="shared" ref="P46:P48" si="22">P45+H46-J46-M46</f>
        <v>601340.92486200912</v>
      </c>
    </row>
    <row r="47" spans="1:16" x14ac:dyDescent="0.15">
      <c r="A47" s="154"/>
      <c r="B47" s="151"/>
      <c r="C47" s="152"/>
      <c r="D47" s="153"/>
      <c r="E47" s="154"/>
      <c r="F47" s="157"/>
      <c r="G47" s="154"/>
      <c r="H47" s="152"/>
      <c r="I47" s="153" t="s">
        <v>471</v>
      </c>
      <c r="J47" s="152"/>
      <c r="K47" s="157"/>
      <c r="L47" s="154" t="s">
        <v>497</v>
      </c>
      <c r="M47" s="152">
        <v>75820</v>
      </c>
      <c r="N47" s="157" t="s">
        <v>488</v>
      </c>
      <c r="O47" s="152">
        <f t="shared" ref="O47:O48" si="23">+O46-J47-M47</f>
        <v>65280.087862009532</v>
      </c>
      <c r="P47" s="152">
        <f t="shared" si="22"/>
        <v>525520.92486200912</v>
      </c>
    </row>
    <row r="48" spans="1:16" x14ac:dyDescent="0.15">
      <c r="A48" s="154"/>
      <c r="B48" s="151"/>
      <c r="C48" s="152"/>
      <c r="D48" s="153" t="s">
        <v>472</v>
      </c>
      <c r="E48" s="154" t="s">
        <v>72</v>
      </c>
      <c r="F48" s="157" t="s">
        <v>490</v>
      </c>
      <c r="G48" s="154"/>
      <c r="H48" s="152">
        <v>156110</v>
      </c>
      <c r="I48" s="153" t="s">
        <v>472</v>
      </c>
      <c r="J48" s="152">
        <v>354.928</v>
      </c>
      <c r="K48" s="157" t="s">
        <v>488</v>
      </c>
      <c r="L48" s="154" t="s">
        <v>497</v>
      </c>
      <c r="M48" s="152">
        <v>64925</v>
      </c>
      <c r="N48" s="157" t="s">
        <v>488</v>
      </c>
      <c r="O48" s="152">
        <f t="shared" si="23"/>
        <v>0.15986200953193475</v>
      </c>
      <c r="P48" s="152">
        <f t="shared" si="22"/>
        <v>616350.99686200917</v>
      </c>
    </row>
    <row r="49" spans="1:16" x14ac:dyDescent="0.15">
      <c r="A49" s="154"/>
      <c r="B49" s="151"/>
      <c r="C49" s="152"/>
      <c r="D49" s="153" t="s">
        <v>472</v>
      </c>
      <c r="E49" s="154" t="s">
        <v>72</v>
      </c>
      <c r="F49" s="157" t="s">
        <v>491</v>
      </c>
      <c r="G49" s="154"/>
      <c r="H49" s="152">
        <v>60056</v>
      </c>
      <c r="I49" s="153" t="s">
        <v>472</v>
      </c>
      <c r="J49" s="152"/>
      <c r="K49" s="157"/>
      <c r="L49" s="154" t="s">
        <v>497</v>
      </c>
      <c r="M49" s="152">
        <v>15748</v>
      </c>
      <c r="N49" s="157" t="s">
        <v>509</v>
      </c>
      <c r="O49" s="152">
        <f>H36+H39+H41+O48-J49-M49</f>
        <v>224336.95686200954</v>
      </c>
      <c r="P49" s="152">
        <f t="shared" ref="P49:P52" si="24">P48+H49-J49-M49</f>
        <v>660658.99686200917</v>
      </c>
    </row>
    <row r="50" spans="1:16" x14ac:dyDescent="0.15">
      <c r="A50" s="154"/>
      <c r="B50" s="151"/>
      <c r="C50" s="152"/>
      <c r="D50" s="153"/>
      <c r="E50" s="154"/>
      <c r="F50" s="157"/>
      <c r="G50" s="154"/>
      <c r="H50" s="152"/>
      <c r="I50" s="153" t="s">
        <v>472</v>
      </c>
      <c r="J50" s="152"/>
      <c r="K50" s="157"/>
      <c r="L50" s="154" t="s">
        <v>497</v>
      </c>
      <c r="M50" s="152">
        <v>81641.72</v>
      </c>
      <c r="N50" s="157" t="s">
        <v>509</v>
      </c>
      <c r="O50" s="152">
        <f t="shared" ref="O50:O52" si="25">+O49-J50-M50</f>
        <v>142695.23686200954</v>
      </c>
      <c r="P50" s="152">
        <f t="shared" si="24"/>
        <v>579017.2768620092</v>
      </c>
    </row>
    <row r="51" spans="1:16" x14ac:dyDescent="0.15">
      <c r="A51" s="154"/>
      <c r="B51" s="151"/>
      <c r="C51" s="152"/>
      <c r="D51" s="153"/>
      <c r="E51" s="154"/>
      <c r="F51" s="157"/>
      <c r="G51" s="154"/>
      <c r="H51" s="152"/>
      <c r="I51" s="153" t="s">
        <v>472</v>
      </c>
      <c r="J51" s="152"/>
      <c r="K51" s="157"/>
      <c r="L51" s="154" t="s">
        <v>497</v>
      </c>
      <c r="M51" s="152">
        <v>86457.46</v>
      </c>
      <c r="N51" s="157" t="s">
        <v>509</v>
      </c>
      <c r="O51" s="152">
        <f t="shared" si="25"/>
        <v>56237.77686200953</v>
      </c>
      <c r="P51" s="152">
        <f t="shared" si="24"/>
        <v>492559.81686200917</v>
      </c>
    </row>
    <row r="52" spans="1:16" x14ac:dyDescent="0.15">
      <c r="A52" s="154"/>
      <c r="B52" s="151"/>
      <c r="C52" s="152"/>
      <c r="D52" s="153" t="s">
        <v>473</v>
      </c>
      <c r="E52" s="154" t="s">
        <v>72</v>
      </c>
      <c r="F52" s="157" t="s">
        <v>491</v>
      </c>
      <c r="G52" s="154"/>
      <c r="H52" s="152">
        <v>100216.97100000001</v>
      </c>
      <c r="I52" s="153" t="s">
        <v>473</v>
      </c>
      <c r="J52" s="152"/>
      <c r="K52" s="157"/>
      <c r="L52" s="154" t="s">
        <v>497</v>
      </c>
      <c r="M52" s="152">
        <v>51568.13</v>
      </c>
      <c r="N52" s="157" t="s">
        <v>509</v>
      </c>
      <c r="O52" s="152">
        <f t="shared" si="25"/>
        <v>4669.6468620095329</v>
      </c>
      <c r="P52" s="152">
        <f t="shared" si="24"/>
        <v>541208.65786200913</v>
      </c>
    </row>
    <row r="53" spans="1:16" x14ac:dyDescent="0.15">
      <c r="A53" s="154"/>
      <c r="B53" s="151"/>
      <c r="C53" s="152"/>
      <c r="D53" s="153" t="s">
        <v>483</v>
      </c>
      <c r="E53" s="154" t="s">
        <v>72</v>
      </c>
      <c r="F53" s="157" t="s">
        <v>492</v>
      </c>
      <c r="G53" s="154"/>
      <c r="H53" s="152">
        <v>59979.315999999999</v>
      </c>
      <c r="I53" s="153" t="s">
        <v>483</v>
      </c>
      <c r="J53" s="152"/>
      <c r="K53" s="157"/>
      <c r="L53" s="154"/>
      <c r="M53" s="152"/>
      <c r="N53" s="157"/>
      <c r="O53" s="152">
        <f t="shared" si="12"/>
        <v>4669.6468620095329</v>
      </c>
      <c r="P53" s="152">
        <f t="shared" si="13"/>
        <v>601187.97386200912</v>
      </c>
    </row>
    <row r="54" spans="1:16" x14ac:dyDescent="0.15">
      <c r="A54" s="154"/>
      <c r="B54" s="151"/>
      <c r="C54" s="152"/>
      <c r="D54" s="153" t="s">
        <v>474</v>
      </c>
      <c r="E54" s="154" t="s">
        <v>72</v>
      </c>
      <c r="F54" s="157" t="s">
        <v>493</v>
      </c>
      <c r="G54" s="154"/>
      <c r="H54" s="152">
        <v>40023.523999999998</v>
      </c>
      <c r="I54" s="153" t="s">
        <v>474</v>
      </c>
      <c r="J54" s="152"/>
      <c r="K54" s="157"/>
      <c r="L54" s="154" t="s">
        <v>497</v>
      </c>
      <c r="M54" s="152">
        <v>4670</v>
      </c>
      <c r="N54" s="157" t="s">
        <v>509</v>
      </c>
      <c r="O54" s="152">
        <f t="shared" ref="O54:O56" si="26">+O53-J54-M54</f>
        <v>-0.35313799046707572</v>
      </c>
      <c r="P54" s="152">
        <f t="shared" ref="P54:P56" si="27">P53+H54-J54-M54</f>
        <v>636541.4978620091</v>
      </c>
    </row>
    <row r="55" spans="1:16" x14ac:dyDescent="0.15">
      <c r="A55" s="154"/>
      <c r="B55" s="151"/>
      <c r="C55" s="152"/>
      <c r="D55" s="153"/>
      <c r="E55" s="154"/>
      <c r="F55" s="157"/>
      <c r="G55" s="154"/>
      <c r="H55" s="152"/>
      <c r="I55" s="153" t="s">
        <v>474</v>
      </c>
      <c r="J55" s="152"/>
      <c r="K55" s="157"/>
      <c r="L55" s="154" t="s">
        <v>497</v>
      </c>
      <c r="M55" s="152">
        <v>73450</v>
      </c>
      <c r="N55" s="157" t="s">
        <v>489</v>
      </c>
      <c r="O55" s="152">
        <f>H42+H44+O54-J55-M55</f>
        <v>146705.68686200952</v>
      </c>
      <c r="P55" s="152">
        <f t="shared" si="27"/>
        <v>563091.4978620091</v>
      </c>
    </row>
    <row r="56" spans="1:16" x14ac:dyDescent="0.15">
      <c r="A56" s="154"/>
      <c r="B56" s="151"/>
      <c r="C56" s="152"/>
      <c r="D56" s="153"/>
      <c r="E56" s="154"/>
      <c r="F56" s="157"/>
      <c r="G56" s="154"/>
      <c r="H56" s="152"/>
      <c r="I56" s="153" t="s">
        <v>475</v>
      </c>
      <c r="J56" s="152">
        <v>459.86009999999999</v>
      </c>
      <c r="K56" s="157" t="s">
        <v>489</v>
      </c>
      <c r="L56" s="154"/>
      <c r="M56" s="152"/>
      <c r="N56" s="157"/>
      <c r="O56" s="152">
        <f t="shared" si="26"/>
        <v>146245.82676200953</v>
      </c>
      <c r="P56" s="152">
        <f t="shared" si="27"/>
        <v>562631.63776200905</v>
      </c>
    </row>
    <row r="57" spans="1:16" x14ac:dyDescent="0.15">
      <c r="A57" s="154"/>
      <c r="B57" s="151"/>
      <c r="C57" s="152"/>
      <c r="D57" s="153" t="s">
        <v>476</v>
      </c>
      <c r="E57" s="154" t="s">
        <v>72</v>
      </c>
      <c r="F57" s="157" t="s">
        <v>493</v>
      </c>
      <c r="G57" s="154"/>
      <c r="H57" s="152">
        <v>43764</v>
      </c>
      <c r="I57" s="153" t="s">
        <v>476</v>
      </c>
      <c r="J57" s="152"/>
      <c r="K57" s="150"/>
      <c r="L57" s="154" t="s">
        <v>497</v>
      </c>
      <c r="M57" s="152">
        <v>70494.25</v>
      </c>
      <c r="N57" s="157" t="s">
        <v>489</v>
      </c>
      <c r="O57" s="152">
        <f t="shared" si="12"/>
        <v>75751.576762009528</v>
      </c>
      <c r="P57" s="152">
        <f t="shared" si="13"/>
        <v>535901.38776200905</v>
      </c>
    </row>
    <row r="58" spans="1:16" x14ac:dyDescent="0.15">
      <c r="A58" s="154"/>
      <c r="B58" s="151"/>
      <c r="C58" s="152"/>
      <c r="D58" s="153" t="s">
        <v>476</v>
      </c>
      <c r="E58" s="154" t="s">
        <v>72</v>
      </c>
      <c r="F58" s="157" t="s">
        <v>494</v>
      </c>
      <c r="G58" s="154"/>
      <c r="H58" s="152">
        <v>76341</v>
      </c>
      <c r="I58" s="153" t="s">
        <v>476</v>
      </c>
      <c r="J58" s="152"/>
      <c r="K58" s="157"/>
      <c r="L58" s="154" t="s">
        <v>497</v>
      </c>
      <c r="M58" s="152">
        <v>45237.06</v>
      </c>
      <c r="N58" s="157" t="s">
        <v>489</v>
      </c>
      <c r="O58" s="152">
        <f t="shared" si="12"/>
        <v>30514.516762009531</v>
      </c>
      <c r="P58" s="152">
        <f t="shared" si="13"/>
        <v>567005.32776200911</v>
      </c>
    </row>
    <row r="59" spans="1:16" x14ac:dyDescent="0.15">
      <c r="A59" s="154"/>
      <c r="B59" s="151"/>
      <c r="C59" s="152"/>
      <c r="D59" s="153"/>
      <c r="E59" s="154"/>
      <c r="F59" s="157"/>
      <c r="G59" s="154"/>
      <c r="H59" s="152"/>
      <c r="I59" s="153" t="s">
        <v>476</v>
      </c>
      <c r="J59" s="152"/>
      <c r="K59" s="150"/>
      <c r="L59" s="154" t="s">
        <v>497</v>
      </c>
      <c r="M59" s="152">
        <v>30515</v>
      </c>
      <c r="N59" s="157" t="s">
        <v>489</v>
      </c>
      <c r="O59" s="152">
        <f t="shared" si="12"/>
        <v>-0.48323799046920612</v>
      </c>
      <c r="P59" s="152">
        <f t="shared" si="13"/>
        <v>536490.32776200911</v>
      </c>
    </row>
    <row r="60" spans="1:16" x14ac:dyDescent="0.15">
      <c r="A60" s="154"/>
      <c r="B60" s="151"/>
      <c r="C60" s="152"/>
      <c r="D60" s="153"/>
      <c r="E60" s="154"/>
      <c r="F60" s="157"/>
      <c r="G60" s="154"/>
      <c r="H60" s="152"/>
      <c r="I60" s="153" t="s">
        <v>476</v>
      </c>
      <c r="J60" s="152"/>
      <c r="K60" s="150"/>
      <c r="L60" s="154" t="s">
        <v>497</v>
      </c>
      <c r="M60" s="152">
        <v>53093</v>
      </c>
      <c r="N60" s="157" t="s">
        <v>490</v>
      </c>
      <c r="O60" s="152">
        <f>H48+O59-J60-M60</f>
        <v>103016.51676200953</v>
      </c>
      <c r="P60" s="152">
        <f t="shared" ref="P60:P62" si="28">P59+H60-J60-M60</f>
        <v>483397.32776200911</v>
      </c>
    </row>
    <row r="61" spans="1:16" x14ac:dyDescent="0.15">
      <c r="A61" s="154"/>
      <c r="B61" s="151"/>
      <c r="C61" s="152"/>
      <c r="D61" s="153" t="s">
        <v>477</v>
      </c>
      <c r="E61" s="154" t="s">
        <v>72</v>
      </c>
      <c r="F61" s="157" t="s">
        <v>494</v>
      </c>
      <c r="G61" s="154"/>
      <c r="H61" s="152">
        <v>79995.437999999995</v>
      </c>
      <c r="I61" s="153" t="s">
        <v>477</v>
      </c>
      <c r="J61" s="152"/>
      <c r="K61" s="150"/>
      <c r="L61" s="154" t="s">
        <v>497</v>
      </c>
      <c r="M61" s="152">
        <v>72405.320000000007</v>
      </c>
      <c r="N61" s="157" t="s">
        <v>490</v>
      </c>
      <c r="O61" s="152">
        <f t="shared" ref="O61:O62" si="29">+O60-J61-M61</f>
        <v>30611.196762009524</v>
      </c>
      <c r="P61" s="152">
        <f t="shared" si="28"/>
        <v>490987.44576200907</v>
      </c>
    </row>
    <row r="62" spans="1:16" x14ac:dyDescent="0.15">
      <c r="A62" s="154"/>
      <c r="B62" s="151"/>
      <c r="C62" s="152"/>
      <c r="D62" s="153"/>
      <c r="E62" s="154"/>
      <c r="F62" s="157"/>
      <c r="G62" s="154"/>
      <c r="H62" s="152"/>
      <c r="I62" s="153" t="s">
        <v>477</v>
      </c>
      <c r="J62" s="152"/>
      <c r="K62" s="150"/>
      <c r="L62" s="154" t="s">
        <v>497</v>
      </c>
      <c r="M62" s="152">
        <v>30611</v>
      </c>
      <c r="N62" s="157" t="s">
        <v>490</v>
      </c>
      <c r="O62" s="152">
        <f t="shared" si="29"/>
        <v>0.19676200952380896</v>
      </c>
      <c r="P62" s="152">
        <f t="shared" si="28"/>
        <v>460376.44576200907</v>
      </c>
    </row>
    <row r="63" spans="1:16" x14ac:dyDescent="0.15">
      <c r="A63" s="154"/>
      <c r="B63" s="151"/>
      <c r="C63" s="152"/>
      <c r="D63" s="153"/>
      <c r="E63" s="154"/>
      <c r="F63" s="157"/>
      <c r="G63" s="154"/>
      <c r="H63" s="152"/>
      <c r="I63" s="153" t="s">
        <v>477</v>
      </c>
      <c r="J63" s="152"/>
      <c r="K63" s="150"/>
      <c r="L63" s="154" t="s">
        <v>497</v>
      </c>
      <c r="M63" s="152">
        <v>16310</v>
      </c>
      <c r="N63" s="157" t="s">
        <v>491</v>
      </c>
      <c r="O63" s="152">
        <f>H49+H52+O62-J63-M63</f>
        <v>143963.16776200954</v>
      </c>
      <c r="P63" s="152">
        <f t="shared" ref="P63:P65" si="30">P62+H63-J63-M63</f>
        <v>444066.44576200907</v>
      </c>
    </row>
    <row r="64" spans="1:16" x14ac:dyDescent="0.15">
      <c r="A64" s="154"/>
      <c r="B64" s="151"/>
      <c r="C64" s="152"/>
      <c r="D64" s="153" t="s">
        <v>478</v>
      </c>
      <c r="E64" s="154" t="s">
        <v>72</v>
      </c>
      <c r="F64" s="157" t="s">
        <v>494</v>
      </c>
      <c r="G64" s="154"/>
      <c r="H64" s="152">
        <v>156014</v>
      </c>
      <c r="I64" s="153" t="s">
        <v>478</v>
      </c>
      <c r="J64" s="152"/>
      <c r="K64" s="150"/>
      <c r="L64" s="154" t="s">
        <v>497</v>
      </c>
      <c r="M64" s="152">
        <v>73474.89</v>
      </c>
      <c r="N64" s="157" t="s">
        <v>491</v>
      </c>
      <c r="O64" s="152">
        <f t="shared" ref="O64:O65" si="31">+O63-J64-M64</f>
        <v>70488.277762009544</v>
      </c>
      <c r="P64" s="152">
        <f t="shared" si="30"/>
        <v>526605.55576200911</v>
      </c>
    </row>
    <row r="65" spans="1:16" x14ac:dyDescent="0.15">
      <c r="A65" s="154"/>
      <c r="B65" s="151"/>
      <c r="C65" s="152"/>
      <c r="D65" s="153" t="s">
        <v>478</v>
      </c>
      <c r="E65" s="154" t="s">
        <v>72</v>
      </c>
      <c r="F65" s="157" t="s">
        <v>495</v>
      </c>
      <c r="G65" s="154"/>
      <c r="H65" s="152">
        <v>40017</v>
      </c>
      <c r="I65" s="153" t="s">
        <v>478</v>
      </c>
      <c r="J65" s="152"/>
      <c r="K65" s="150"/>
      <c r="L65" s="154" t="s">
        <v>497</v>
      </c>
      <c r="M65" s="152">
        <v>70488</v>
      </c>
      <c r="N65" s="157" t="s">
        <v>491</v>
      </c>
      <c r="O65" s="152">
        <f t="shared" si="31"/>
        <v>0.27776200954394881</v>
      </c>
      <c r="P65" s="152">
        <f t="shared" si="30"/>
        <v>496134.55576200911</v>
      </c>
    </row>
    <row r="66" spans="1:16" x14ac:dyDescent="0.15">
      <c r="A66" s="154"/>
      <c r="B66" s="151"/>
      <c r="C66" s="152"/>
      <c r="D66" s="153"/>
      <c r="E66" s="154"/>
      <c r="F66" s="157"/>
      <c r="G66" s="154"/>
      <c r="H66" s="152"/>
      <c r="I66" s="153" t="s">
        <v>478</v>
      </c>
      <c r="J66" s="152"/>
      <c r="K66" s="150"/>
      <c r="L66" s="154" t="s">
        <v>497</v>
      </c>
      <c r="M66" s="152">
        <v>9329</v>
      </c>
      <c r="N66" s="157" t="s">
        <v>492</v>
      </c>
      <c r="O66" s="152">
        <f>H53+O65-J66-M66</f>
        <v>50650.593762009543</v>
      </c>
      <c r="P66" s="152">
        <f t="shared" ref="P66:P74" si="32">P65+H66-J66-M66</f>
        <v>486805.55576200911</v>
      </c>
    </row>
    <row r="67" spans="1:16" x14ac:dyDescent="0.15">
      <c r="A67" s="154"/>
      <c r="B67" s="151"/>
      <c r="C67" s="152"/>
      <c r="D67" s="153" t="s">
        <v>479</v>
      </c>
      <c r="E67" s="154" t="s">
        <v>72</v>
      </c>
      <c r="F67" s="157" t="s">
        <v>495</v>
      </c>
      <c r="G67" s="154"/>
      <c r="H67" s="152">
        <v>60317</v>
      </c>
      <c r="I67" s="153" t="s">
        <v>479</v>
      </c>
      <c r="J67" s="152">
        <v>921.47</v>
      </c>
      <c r="K67" s="157" t="s">
        <v>492</v>
      </c>
      <c r="L67" s="154" t="s">
        <v>497</v>
      </c>
      <c r="M67" s="152">
        <v>49729</v>
      </c>
      <c r="N67" s="157" t="s">
        <v>492</v>
      </c>
      <c r="O67" s="152">
        <f t="shared" ref="O67:O74" si="33">+O66-J67-M67</f>
        <v>0.12376200954167871</v>
      </c>
      <c r="P67" s="152">
        <f t="shared" si="32"/>
        <v>496472.08576200914</v>
      </c>
    </row>
    <row r="68" spans="1:16" x14ac:dyDescent="0.15">
      <c r="A68" s="154"/>
      <c r="B68" s="151"/>
      <c r="C68" s="152"/>
      <c r="D68" s="153" t="s">
        <v>479</v>
      </c>
      <c r="E68" s="154" t="s">
        <v>72</v>
      </c>
      <c r="F68" s="157" t="s">
        <v>496</v>
      </c>
      <c r="G68" s="154"/>
      <c r="H68" s="152">
        <v>59741</v>
      </c>
      <c r="I68" s="153" t="s">
        <v>479</v>
      </c>
      <c r="J68" s="152"/>
      <c r="K68" s="157"/>
      <c r="L68" s="154" t="s">
        <v>498</v>
      </c>
      <c r="M68" s="152">
        <v>29601</v>
      </c>
      <c r="N68" s="157" t="s">
        <v>493</v>
      </c>
      <c r="O68" s="152">
        <f>H54+H57+O67-J68-M68</f>
        <v>54186.647762009554</v>
      </c>
      <c r="P68" s="152">
        <f t="shared" si="32"/>
        <v>526612.08576200914</v>
      </c>
    </row>
    <row r="69" spans="1:16" x14ac:dyDescent="0.15">
      <c r="A69" s="154"/>
      <c r="B69" s="151"/>
      <c r="C69" s="152"/>
      <c r="D69" s="153"/>
      <c r="E69" s="154"/>
      <c r="F69" s="157"/>
      <c r="G69" s="154"/>
      <c r="H69" s="152"/>
      <c r="I69" s="153" t="s">
        <v>479</v>
      </c>
      <c r="J69" s="152"/>
      <c r="K69" s="157"/>
      <c r="L69" s="154" t="s">
        <v>498</v>
      </c>
      <c r="M69" s="152">
        <v>47624.13</v>
      </c>
      <c r="N69" s="157" t="s">
        <v>493</v>
      </c>
      <c r="O69" s="152">
        <f t="shared" si="33"/>
        <v>6562.5177620095565</v>
      </c>
      <c r="P69" s="152">
        <f t="shared" si="32"/>
        <v>478987.95576200914</v>
      </c>
    </row>
    <row r="70" spans="1:16" x14ac:dyDescent="0.15">
      <c r="A70" s="154"/>
      <c r="B70" s="151"/>
      <c r="C70" s="152"/>
      <c r="D70" s="153" t="s">
        <v>480</v>
      </c>
      <c r="E70" s="154" t="s">
        <v>72</v>
      </c>
      <c r="F70" s="157" t="s">
        <v>496</v>
      </c>
      <c r="G70" s="154"/>
      <c r="H70" s="152">
        <v>80047.849000000002</v>
      </c>
      <c r="I70" s="153" t="s">
        <v>480</v>
      </c>
      <c r="J70" s="152">
        <v>726.66</v>
      </c>
      <c r="K70" s="157" t="s">
        <v>493</v>
      </c>
      <c r="L70" s="154"/>
      <c r="M70" s="152"/>
      <c r="N70" s="157"/>
      <c r="O70" s="152">
        <f t="shared" si="33"/>
        <v>5835.8577620095566</v>
      </c>
      <c r="P70" s="152">
        <f t="shared" si="32"/>
        <v>558309.14476200915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7"/>
      <c r="L71" s="154"/>
      <c r="M71" s="152"/>
      <c r="N71" s="157"/>
      <c r="O71" s="152">
        <f t="shared" si="33"/>
        <v>5835.8577620095566</v>
      </c>
      <c r="P71" s="152">
        <f t="shared" si="32"/>
        <v>558309.14476200915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7"/>
      <c r="L72" s="154"/>
      <c r="M72" s="152"/>
      <c r="N72" s="157"/>
      <c r="O72" s="152">
        <f t="shared" si="33"/>
        <v>5835.8577620095566</v>
      </c>
      <c r="P72" s="152">
        <f t="shared" si="32"/>
        <v>558309.14476200915</v>
      </c>
    </row>
    <row r="73" spans="1:16" hidden="1" x14ac:dyDescent="0.15">
      <c r="A73" s="154"/>
      <c r="B73" s="151"/>
      <c r="C73" s="152"/>
      <c r="D73" s="153"/>
      <c r="E73" s="154"/>
      <c r="F73" s="157"/>
      <c r="G73" s="154"/>
      <c r="H73" s="152"/>
      <c r="I73" s="153"/>
      <c r="J73" s="152"/>
      <c r="K73" s="150"/>
      <c r="L73" s="154"/>
      <c r="M73" s="152"/>
      <c r="N73" s="157"/>
      <c r="O73" s="152">
        <f t="shared" si="33"/>
        <v>5835.8577620095566</v>
      </c>
      <c r="P73" s="152">
        <f t="shared" si="32"/>
        <v>558309.14476200915</v>
      </c>
    </row>
    <row r="74" spans="1:16" hidden="1" x14ac:dyDescent="0.15">
      <c r="A74" s="154"/>
      <c r="B74" s="151"/>
      <c r="C74" s="152"/>
      <c r="D74" s="153"/>
      <c r="E74" s="154"/>
      <c r="F74" s="157"/>
      <c r="G74" s="154"/>
      <c r="H74" s="152"/>
      <c r="I74" s="153"/>
      <c r="J74" s="152"/>
      <c r="K74" s="150"/>
      <c r="L74" s="154"/>
      <c r="M74" s="152"/>
      <c r="N74" s="157"/>
      <c r="O74" s="152">
        <f t="shared" si="33"/>
        <v>5835.8577620095566</v>
      </c>
      <c r="P74" s="152">
        <f t="shared" si="32"/>
        <v>558309.14476200915</v>
      </c>
    </row>
    <row r="75" spans="1:16" hidden="1" x14ac:dyDescent="0.15">
      <c r="A75" s="154"/>
      <c r="B75" s="151"/>
      <c r="C75" s="152"/>
      <c r="D75" s="153"/>
      <c r="E75" s="154"/>
      <c r="F75" s="157"/>
      <c r="G75" s="154"/>
      <c r="H75" s="152"/>
      <c r="I75" s="153"/>
      <c r="J75" s="152"/>
      <c r="K75" s="150"/>
      <c r="L75" s="154"/>
      <c r="M75" s="152"/>
      <c r="N75" s="157"/>
      <c r="O75" s="152">
        <f t="shared" si="12"/>
        <v>5835.8577620095566</v>
      </c>
      <c r="P75" s="152">
        <f t="shared" si="13"/>
        <v>558309.14476200915</v>
      </c>
    </row>
    <row r="76" spans="1:16" hidden="1" x14ac:dyDescent="0.15">
      <c r="A76" s="154"/>
      <c r="B76" s="151"/>
      <c r="C76" s="152"/>
      <c r="D76" s="153"/>
      <c r="E76" s="154"/>
      <c r="F76" s="157"/>
      <c r="G76" s="154"/>
      <c r="H76" s="152"/>
      <c r="I76" s="153"/>
      <c r="J76" s="152"/>
      <c r="K76" s="150"/>
      <c r="L76" s="154"/>
      <c r="M76" s="152"/>
      <c r="N76" s="157"/>
      <c r="O76" s="152">
        <f t="shared" si="12"/>
        <v>5835.8577620095566</v>
      </c>
      <c r="P76" s="152">
        <f t="shared" si="13"/>
        <v>558309.14476200915</v>
      </c>
    </row>
    <row r="77" spans="1:16" hidden="1" x14ac:dyDescent="0.15">
      <c r="A77" s="154"/>
      <c r="B77" s="151"/>
      <c r="C77" s="152"/>
      <c r="D77" s="153"/>
      <c r="E77" s="154"/>
      <c r="F77" s="157"/>
      <c r="G77" s="154"/>
      <c r="H77" s="152"/>
      <c r="I77" s="153"/>
      <c r="J77" s="152"/>
      <c r="K77" s="150"/>
      <c r="L77" s="154"/>
      <c r="M77" s="152"/>
      <c r="N77" s="157"/>
      <c r="O77" s="152">
        <f t="shared" si="12"/>
        <v>5835.8577620095566</v>
      </c>
      <c r="P77" s="152">
        <f t="shared" si="13"/>
        <v>558309.14476200915</v>
      </c>
    </row>
    <row r="78" spans="1:16" hidden="1" x14ac:dyDescent="0.15">
      <c r="A78" s="154"/>
      <c r="B78" s="151"/>
      <c r="C78" s="152"/>
      <c r="D78" s="153"/>
      <c r="E78" s="154"/>
      <c r="F78" s="157"/>
      <c r="G78" s="154"/>
      <c r="H78" s="152"/>
      <c r="I78" s="153"/>
      <c r="J78" s="152"/>
      <c r="K78" s="157"/>
      <c r="L78" s="154"/>
      <c r="M78" s="152"/>
      <c r="N78" s="157"/>
      <c r="O78" s="152">
        <f t="shared" si="12"/>
        <v>5835.8577620095566</v>
      </c>
      <c r="P78" s="152">
        <f t="shared" si="13"/>
        <v>558309.14476200915</v>
      </c>
    </row>
    <row r="79" spans="1:16" hidden="1" x14ac:dyDescent="0.15">
      <c r="A79" s="154"/>
      <c r="B79" s="151"/>
      <c r="C79" s="152"/>
      <c r="D79" s="153"/>
      <c r="E79" s="154"/>
      <c r="F79" s="157"/>
      <c r="G79" s="154"/>
      <c r="H79" s="152"/>
      <c r="I79" s="153"/>
      <c r="J79" s="152"/>
      <c r="K79" s="157"/>
      <c r="L79" s="154"/>
      <c r="M79" s="152"/>
      <c r="N79" s="157"/>
      <c r="O79" s="152">
        <f t="shared" si="12"/>
        <v>5835.8577620095566</v>
      </c>
      <c r="P79" s="152">
        <f t="shared" si="13"/>
        <v>558309.14476200915</v>
      </c>
    </row>
    <row r="80" spans="1:16" hidden="1" x14ac:dyDescent="0.15">
      <c r="A80" s="154"/>
      <c r="B80" s="151"/>
      <c r="C80" s="152"/>
      <c r="D80" s="153"/>
      <c r="E80" s="154"/>
      <c r="F80" s="157"/>
      <c r="G80" s="154"/>
      <c r="H80" s="152"/>
      <c r="I80" s="153"/>
      <c r="J80" s="152"/>
      <c r="K80" s="150"/>
      <c r="L80" s="154"/>
      <c r="M80" s="152"/>
      <c r="N80" s="157"/>
      <c r="O80" s="152">
        <f t="shared" si="12"/>
        <v>5835.8577620095566</v>
      </c>
      <c r="P80" s="152">
        <f t="shared" si="13"/>
        <v>558309.14476200915</v>
      </c>
    </row>
    <row r="81" spans="1:16" hidden="1" x14ac:dyDescent="0.15">
      <c r="A81" s="154"/>
      <c r="B81" s="151"/>
      <c r="C81" s="152"/>
      <c r="D81" s="153"/>
      <c r="E81" s="154"/>
      <c r="F81" s="157"/>
      <c r="G81" s="154"/>
      <c r="H81" s="152"/>
      <c r="I81" s="153"/>
      <c r="J81" s="152"/>
      <c r="K81" s="150"/>
      <c r="L81" s="154"/>
      <c r="M81" s="152"/>
      <c r="N81" s="157"/>
      <c r="O81" s="152">
        <f t="shared" si="12"/>
        <v>5835.8577620095566</v>
      </c>
      <c r="P81" s="152">
        <f t="shared" si="13"/>
        <v>558309.14476200915</v>
      </c>
    </row>
    <row r="82" spans="1:16" hidden="1" x14ac:dyDescent="0.15">
      <c r="A82" s="154"/>
      <c r="B82" s="151"/>
      <c r="C82" s="152"/>
      <c r="D82" s="153"/>
      <c r="E82" s="154"/>
      <c r="F82" s="157"/>
      <c r="G82" s="154"/>
      <c r="H82" s="152"/>
      <c r="I82" s="153"/>
      <c r="J82" s="152"/>
      <c r="K82" s="157"/>
      <c r="L82" s="154"/>
      <c r="M82" s="152"/>
      <c r="N82" s="157"/>
      <c r="O82" s="152">
        <f t="shared" si="12"/>
        <v>5835.8577620095566</v>
      </c>
      <c r="P82" s="152">
        <f t="shared" si="13"/>
        <v>558309.14476200915</v>
      </c>
    </row>
    <row r="83" spans="1:16" hidden="1" x14ac:dyDescent="0.15">
      <c r="A83" s="154"/>
      <c r="B83" s="151"/>
      <c r="C83" s="152"/>
      <c r="D83" s="153"/>
      <c r="E83" s="154"/>
      <c r="F83" s="157"/>
      <c r="G83" s="154"/>
      <c r="H83" s="152"/>
      <c r="I83" s="153"/>
      <c r="J83" s="152"/>
      <c r="K83" s="150"/>
      <c r="L83" s="154"/>
      <c r="M83" s="152"/>
      <c r="N83" s="157"/>
      <c r="O83" s="152">
        <f t="shared" si="12"/>
        <v>5835.8577620095566</v>
      </c>
      <c r="P83" s="152">
        <f t="shared" si="13"/>
        <v>558309.14476200915</v>
      </c>
    </row>
    <row r="84" spans="1:16" hidden="1" x14ac:dyDescent="0.15">
      <c r="A84" s="154"/>
      <c r="B84" s="151"/>
      <c r="C84" s="152"/>
      <c r="D84" s="153"/>
      <c r="E84" s="154"/>
      <c r="F84" s="157"/>
      <c r="G84" s="154"/>
      <c r="H84" s="152"/>
      <c r="I84" s="153"/>
      <c r="J84" s="152"/>
      <c r="K84" s="157"/>
      <c r="L84" s="154"/>
      <c r="M84" s="152"/>
      <c r="N84" s="157"/>
      <c r="O84" s="152">
        <f t="shared" si="12"/>
        <v>5835.8577620095566</v>
      </c>
      <c r="P84" s="152">
        <f t="shared" si="13"/>
        <v>558309.14476200915</v>
      </c>
    </row>
    <row r="85" spans="1:16" hidden="1" x14ac:dyDescent="0.15">
      <c r="A85" s="154"/>
      <c r="B85" s="151"/>
      <c r="C85" s="152"/>
      <c r="D85" s="153"/>
      <c r="E85" s="154"/>
      <c r="F85" s="157"/>
      <c r="G85" s="151"/>
      <c r="H85" s="152"/>
      <c r="I85" s="153"/>
      <c r="J85" s="152"/>
      <c r="K85" s="157"/>
      <c r="L85" s="154"/>
      <c r="M85" s="152"/>
      <c r="N85" s="150"/>
      <c r="O85" s="152">
        <f t="shared" si="12"/>
        <v>5835.8577620095566</v>
      </c>
      <c r="P85" s="152">
        <f t="shared" si="13"/>
        <v>558309.14476200915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0"/>
      <c r="L86" s="154"/>
      <c r="M86" s="152"/>
      <c r="N86" s="157"/>
      <c r="O86" s="152">
        <f t="shared" si="12"/>
        <v>5835.8577620095566</v>
      </c>
      <c r="P86" s="152">
        <f t="shared" si="13"/>
        <v>558309.14476200915</v>
      </c>
    </row>
    <row r="87" spans="1:16" x14ac:dyDescent="0.15">
      <c r="A87" s="173"/>
      <c r="B87" s="173"/>
      <c r="C87" s="174"/>
      <c r="D87" s="175"/>
      <c r="E87" s="173"/>
      <c r="F87" s="173"/>
      <c r="G87" s="176"/>
      <c r="H87" s="174"/>
      <c r="I87" s="175"/>
      <c r="J87" s="174"/>
      <c r="K87" s="173"/>
      <c r="L87" s="173"/>
      <c r="M87" s="174"/>
      <c r="N87" s="173"/>
      <c r="O87" s="152">
        <f t="shared" si="12"/>
        <v>5835.8577620095566</v>
      </c>
      <c r="P87" s="152">
        <f t="shared" si="13"/>
        <v>558309.14476200915</v>
      </c>
    </row>
    <row r="88" spans="1:16" x14ac:dyDescent="0.15">
      <c r="A88" s="177"/>
      <c r="B88" s="177"/>
      <c r="C88" s="178">
        <f>SUM(C7:C86)</f>
        <v>500208.5148620095</v>
      </c>
      <c r="D88" s="177"/>
      <c r="E88" s="177"/>
      <c r="F88" s="177"/>
      <c r="G88" s="177"/>
      <c r="H88" s="178">
        <f>SUM(H7:H86)</f>
        <v>2546176.9380000001</v>
      </c>
      <c r="I88" s="179"/>
      <c r="J88" s="178">
        <f>SUM(J7:J86)</f>
        <v>18474.828100000002</v>
      </c>
      <c r="K88" s="177"/>
      <c r="L88" s="177"/>
      <c r="M88" s="178">
        <f>SUM(M9:M86)</f>
        <v>2469601.48</v>
      </c>
      <c r="N88" s="177"/>
      <c r="O88" s="180"/>
      <c r="P88" s="181">
        <f>C88+H88-J88-M88</f>
        <v>558309.14476200938</v>
      </c>
    </row>
    <row r="89" spans="1:16" x14ac:dyDescent="0.15">
      <c r="A89" s="182"/>
      <c r="B89" s="465"/>
      <c r="C89" s="465"/>
      <c r="D89" s="465"/>
      <c r="E89" s="183"/>
      <c r="F89" s="472"/>
      <c r="G89" s="472"/>
      <c r="H89" s="185"/>
      <c r="I89" s="186"/>
      <c r="J89" s="187"/>
      <c r="K89" s="188"/>
      <c r="L89" s="189" t="s">
        <v>139</v>
      </c>
      <c r="M89" s="190">
        <f>+M88+J88</f>
        <v>2488076.3081</v>
      </c>
      <c r="N89" s="188"/>
      <c r="O89" s="191">
        <f>+O87</f>
        <v>5835.8577620095566</v>
      </c>
      <c r="P89" s="195" t="s">
        <v>493</v>
      </c>
    </row>
    <row r="90" spans="1:16" s="167" customFormat="1" x14ac:dyDescent="0.15">
      <c r="A90" s="133" t="s">
        <v>443</v>
      </c>
      <c r="B90" s="470" t="s">
        <v>511</v>
      </c>
      <c r="C90" s="470"/>
      <c r="D90" s="470"/>
      <c r="E90" s="183" t="s">
        <v>55</v>
      </c>
      <c r="F90" s="472">
        <v>27102502.850000001</v>
      </c>
      <c r="G90" s="472"/>
      <c r="H90" s="219" t="s">
        <v>56</v>
      </c>
      <c r="I90" s="186">
        <v>40505</v>
      </c>
      <c r="J90" s="187" t="s">
        <v>71</v>
      </c>
      <c r="K90" s="210">
        <v>100079.62</v>
      </c>
      <c r="L90" s="188"/>
      <c r="M90" s="190"/>
      <c r="N90" s="188"/>
      <c r="O90" s="191">
        <f>+H58+H61+H64</f>
        <v>312350.43799999997</v>
      </c>
      <c r="P90" s="192" t="s">
        <v>494</v>
      </c>
    </row>
    <row r="91" spans="1:16" s="167" customFormat="1" x14ac:dyDescent="0.15">
      <c r="A91" s="133" t="s">
        <v>484</v>
      </c>
      <c r="B91" s="470" t="s">
        <v>512</v>
      </c>
      <c r="C91" s="470"/>
      <c r="D91" s="470"/>
      <c r="E91" s="183" t="s">
        <v>55</v>
      </c>
      <c r="F91" s="472">
        <v>2812945.58</v>
      </c>
      <c r="G91" s="472"/>
      <c r="H91" s="219" t="s">
        <v>56</v>
      </c>
      <c r="I91" s="186">
        <v>40520</v>
      </c>
      <c r="J91" s="187" t="s">
        <v>71</v>
      </c>
      <c r="K91" s="210">
        <v>271226.37</v>
      </c>
      <c r="L91" s="188"/>
      <c r="M91" s="190"/>
      <c r="N91" s="188"/>
      <c r="O91" s="191">
        <f>+H65+H67</f>
        <v>100334</v>
      </c>
      <c r="P91" s="192" t="s">
        <v>495</v>
      </c>
    </row>
    <row r="92" spans="1:16" s="167" customFormat="1" x14ac:dyDescent="0.15">
      <c r="A92" s="133" t="s">
        <v>485</v>
      </c>
      <c r="B92" s="470" t="s">
        <v>513</v>
      </c>
      <c r="C92" s="470"/>
      <c r="D92" s="470"/>
      <c r="E92" s="183" t="s">
        <v>55</v>
      </c>
      <c r="F92" s="472">
        <v>45049188.780000001</v>
      </c>
      <c r="G92" s="472"/>
      <c r="H92" s="219" t="s">
        <v>56</v>
      </c>
      <c r="I92" s="186">
        <v>40525</v>
      </c>
      <c r="J92" s="187" t="s">
        <v>71</v>
      </c>
      <c r="K92" s="210">
        <v>118995.6</v>
      </c>
      <c r="L92" s="188"/>
      <c r="M92" s="190"/>
      <c r="N92" s="188"/>
      <c r="O92" s="191">
        <f>+H68+H70</f>
        <v>139788.84899999999</v>
      </c>
      <c r="P92" s="195" t="s">
        <v>496</v>
      </c>
    </row>
    <row r="93" spans="1:16" s="167" customFormat="1" x14ac:dyDescent="0.15">
      <c r="A93" s="133" t="s">
        <v>508</v>
      </c>
      <c r="B93" s="470" t="s">
        <v>510</v>
      </c>
      <c r="C93" s="470"/>
      <c r="D93" s="470"/>
      <c r="E93" s="183" t="s">
        <v>55</v>
      </c>
      <c r="F93" s="472">
        <v>20629525.489999998</v>
      </c>
      <c r="G93" s="472"/>
      <c r="H93" s="185" t="s">
        <v>56</v>
      </c>
      <c r="I93" s="186">
        <v>40527</v>
      </c>
      <c r="J93" s="187" t="s">
        <v>71</v>
      </c>
      <c r="K93" s="210">
        <v>179250.71000000002</v>
      </c>
      <c r="L93" s="188"/>
      <c r="M93" s="190"/>
      <c r="N93" s="188"/>
      <c r="O93" s="191"/>
      <c r="P93" s="195"/>
    </row>
    <row r="94" spans="1:16" s="167" customFormat="1" x14ac:dyDescent="0.15">
      <c r="A94" s="133" t="s">
        <v>488</v>
      </c>
      <c r="B94" s="470" t="s">
        <v>514</v>
      </c>
      <c r="C94" s="470"/>
      <c r="D94" s="470"/>
      <c r="E94" s="183" t="s">
        <v>55</v>
      </c>
      <c r="F94" s="472">
        <v>10990345.58</v>
      </c>
      <c r="G94" s="472"/>
      <c r="H94" s="219" t="s">
        <v>56</v>
      </c>
      <c r="I94" s="186">
        <v>40532</v>
      </c>
      <c r="J94" s="187" t="s">
        <v>71</v>
      </c>
      <c r="K94" s="210">
        <v>182460</v>
      </c>
      <c r="L94" s="188"/>
      <c r="M94" s="190"/>
      <c r="N94" s="188"/>
      <c r="O94" s="191"/>
      <c r="P94" s="195"/>
    </row>
    <row r="95" spans="1:16" s="167" customFormat="1" x14ac:dyDescent="0.15">
      <c r="A95" s="133" t="s">
        <v>509</v>
      </c>
      <c r="B95" s="470" t="s">
        <v>515</v>
      </c>
      <c r="C95" s="470"/>
      <c r="D95" s="470"/>
      <c r="E95" s="183" t="s">
        <v>55</v>
      </c>
      <c r="F95" s="472">
        <v>8510753.5</v>
      </c>
      <c r="G95" s="472"/>
      <c r="H95" s="219" t="s">
        <v>56</v>
      </c>
      <c r="I95" s="186">
        <v>40532</v>
      </c>
      <c r="J95" s="187" t="s">
        <v>71</v>
      </c>
      <c r="K95" s="210">
        <v>240085.31</v>
      </c>
      <c r="L95" s="188"/>
      <c r="M95" s="190"/>
      <c r="N95" s="188"/>
      <c r="O95" s="191"/>
      <c r="P95" s="195"/>
    </row>
    <row r="96" spans="1:16" s="167" customFormat="1" x14ac:dyDescent="0.15">
      <c r="A96" s="133" t="s">
        <v>489</v>
      </c>
      <c r="B96" s="470" t="s">
        <v>504</v>
      </c>
      <c r="C96" s="470"/>
      <c r="D96" s="470"/>
      <c r="E96" s="183" t="s">
        <v>55</v>
      </c>
      <c r="F96" s="472">
        <v>60945907.810000002</v>
      </c>
      <c r="G96" s="472"/>
      <c r="H96" s="219" t="s">
        <v>56</v>
      </c>
      <c r="I96" s="186">
        <v>40536</v>
      </c>
      <c r="J96" s="187" t="s">
        <v>71</v>
      </c>
      <c r="K96" s="210">
        <v>219696.31</v>
      </c>
      <c r="L96" s="188"/>
      <c r="M96" s="190"/>
      <c r="N96" s="188"/>
      <c r="O96" s="191"/>
      <c r="P96" s="195"/>
    </row>
    <row r="97" spans="1:16" s="167" customFormat="1" x14ac:dyDescent="0.15">
      <c r="A97" s="193" t="s">
        <v>490</v>
      </c>
      <c r="B97" s="470" t="s">
        <v>505</v>
      </c>
      <c r="C97" s="470"/>
      <c r="D97" s="470"/>
      <c r="E97" s="183" t="s">
        <v>55</v>
      </c>
      <c r="F97" s="472">
        <v>89294707.719999999</v>
      </c>
      <c r="G97" s="472"/>
      <c r="H97" s="219" t="s">
        <v>56</v>
      </c>
      <c r="I97" s="186">
        <v>40539</v>
      </c>
      <c r="J97" s="187" t="s">
        <v>71</v>
      </c>
      <c r="K97" s="210">
        <v>156109.32</v>
      </c>
      <c r="L97" s="188"/>
      <c r="M97" s="190"/>
      <c r="N97" s="188"/>
      <c r="O97" s="191"/>
      <c r="P97" s="195"/>
    </row>
    <row r="98" spans="1:16" s="167" customFormat="1" x14ac:dyDescent="0.15">
      <c r="A98" s="133" t="s">
        <v>491</v>
      </c>
      <c r="B98" s="470" t="s">
        <v>506</v>
      </c>
      <c r="C98" s="470"/>
      <c r="D98" s="470"/>
      <c r="E98" s="183" t="s">
        <v>55</v>
      </c>
      <c r="F98" s="472">
        <v>18886868.329999998</v>
      </c>
      <c r="G98" s="472"/>
      <c r="H98" s="219" t="s">
        <v>56</v>
      </c>
      <c r="I98" s="186">
        <v>40541</v>
      </c>
      <c r="J98" s="187" t="s">
        <v>71</v>
      </c>
      <c r="K98" s="210">
        <v>160272.89000000001</v>
      </c>
      <c r="L98" s="188"/>
      <c r="M98" s="190"/>
      <c r="N98" s="188"/>
      <c r="O98" s="191"/>
      <c r="P98" s="195"/>
    </row>
    <row r="99" spans="1:16" s="167" customFormat="1" ht="11.25" customHeight="1" x14ac:dyDescent="0.15">
      <c r="A99" s="193" t="s">
        <v>492</v>
      </c>
      <c r="B99" s="470" t="s">
        <v>507</v>
      </c>
      <c r="C99" s="470"/>
      <c r="D99" s="470"/>
      <c r="E99" s="183" t="s">
        <v>55</v>
      </c>
      <c r="F99" s="472">
        <v>38923780.189999998</v>
      </c>
      <c r="G99" s="472"/>
      <c r="H99" s="219" t="s">
        <v>56</v>
      </c>
      <c r="I99" s="186">
        <v>40547</v>
      </c>
      <c r="J99" s="187" t="s">
        <v>71</v>
      </c>
      <c r="K99" s="210">
        <v>59058</v>
      </c>
      <c r="L99" s="188"/>
      <c r="M99" s="190"/>
      <c r="N99" s="188"/>
      <c r="O99" s="191"/>
      <c r="P99" s="195"/>
    </row>
    <row r="100" spans="1:16" s="167" customFormat="1" ht="12" thickBot="1" x14ac:dyDescent="0.2">
      <c r="A100" s="193"/>
      <c r="B100" s="470"/>
      <c r="C100" s="470"/>
      <c r="D100" s="470"/>
      <c r="E100" s="183"/>
      <c r="F100" s="472"/>
      <c r="G100" s="472"/>
      <c r="H100" s="185"/>
      <c r="I100" s="186"/>
      <c r="J100" s="217" t="s">
        <v>105</v>
      </c>
      <c r="K100" s="211">
        <f>SUM(K90:K99)</f>
        <v>1687234.1300000004</v>
      </c>
      <c r="L100" s="188"/>
      <c r="M100" s="190"/>
      <c r="N100" s="188"/>
      <c r="O100" s="206" t="s">
        <v>33</v>
      </c>
      <c r="P100" s="207">
        <f>SUM(O89:O99)</f>
        <v>558309.1447620095</v>
      </c>
    </row>
    <row r="101" spans="1:16" s="167" customFormat="1" ht="12" thickTop="1" x14ac:dyDescent="0.15">
      <c r="A101" s="193" t="s">
        <v>444</v>
      </c>
      <c r="B101" s="470" t="s">
        <v>499</v>
      </c>
      <c r="C101" s="470"/>
      <c r="D101" s="470"/>
      <c r="E101" s="183" t="s">
        <v>55</v>
      </c>
      <c r="F101" s="472">
        <v>101163248.2</v>
      </c>
      <c r="G101" s="472"/>
      <c r="H101" s="219" t="s">
        <v>56</v>
      </c>
      <c r="I101" s="186">
        <v>40508</v>
      </c>
      <c r="J101" s="187" t="s">
        <v>71</v>
      </c>
      <c r="K101" s="210">
        <v>120078</v>
      </c>
      <c r="L101" s="188"/>
      <c r="M101" s="190"/>
      <c r="N101" s="188"/>
      <c r="O101" s="190"/>
      <c r="P101" s="197">
        <f>+P88-P100</f>
        <v>0</v>
      </c>
    </row>
    <row r="102" spans="1:16" x14ac:dyDescent="0.15">
      <c r="A102" s="193" t="s">
        <v>445</v>
      </c>
      <c r="B102" s="470" t="s">
        <v>500</v>
      </c>
      <c r="C102" s="470"/>
      <c r="D102" s="470"/>
      <c r="E102" s="183" t="s">
        <v>55</v>
      </c>
      <c r="F102" s="472">
        <v>101991200.48</v>
      </c>
      <c r="G102" s="472"/>
      <c r="H102" s="219" t="s">
        <v>56</v>
      </c>
      <c r="I102" s="186">
        <v>40511</v>
      </c>
      <c r="J102" s="187" t="s">
        <v>71</v>
      </c>
      <c r="K102" s="210">
        <v>120144.87</v>
      </c>
    </row>
    <row r="103" spans="1:16" x14ac:dyDescent="0.15">
      <c r="A103" s="193" t="s">
        <v>446</v>
      </c>
      <c r="B103" s="470" t="s">
        <v>501</v>
      </c>
      <c r="C103" s="470"/>
      <c r="D103" s="470"/>
      <c r="E103" s="183" t="s">
        <v>55</v>
      </c>
      <c r="F103" s="472">
        <v>204241225.44999999</v>
      </c>
      <c r="G103" s="472"/>
      <c r="H103" s="219" t="s">
        <v>56</v>
      </c>
      <c r="I103" s="186">
        <v>40515</v>
      </c>
      <c r="J103" s="187" t="s">
        <v>71</v>
      </c>
      <c r="K103" s="210">
        <v>159116.29999999999</v>
      </c>
    </row>
    <row r="104" spans="1:16" x14ac:dyDescent="0.15">
      <c r="A104" s="193" t="s">
        <v>486</v>
      </c>
      <c r="B104" s="470" t="s">
        <v>502</v>
      </c>
      <c r="C104" s="470"/>
      <c r="D104" s="470"/>
      <c r="E104" s="183" t="s">
        <v>55</v>
      </c>
      <c r="F104" s="472">
        <v>244578212.52000001</v>
      </c>
      <c r="G104" s="472"/>
      <c r="H104" s="219" t="s">
        <v>56</v>
      </c>
      <c r="I104" s="186">
        <v>40525</v>
      </c>
      <c r="J104" s="187" t="s">
        <v>71</v>
      </c>
      <c r="K104" s="210">
        <v>155766.74</v>
      </c>
    </row>
    <row r="105" spans="1:16" x14ac:dyDescent="0.15">
      <c r="A105" s="193" t="s">
        <v>487</v>
      </c>
      <c r="B105" s="470" t="s">
        <v>503</v>
      </c>
      <c r="C105" s="470"/>
      <c r="D105" s="470"/>
      <c r="E105" s="183" t="s">
        <v>55</v>
      </c>
      <c r="F105" s="472">
        <v>68336926.819999993</v>
      </c>
      <c r="G105" s="472"/>
      <c r="H105" s="219" t="s">
        <v>56</v>
      </c>
      <c r="I105" s="186">
        <v>40528</v>
      </c>
      <c r="J105" s="187" t="s">
        <v>71</v>
      </c>
      <c r="K105" s="210">
        <v>150036.31</v>
      </c>
    </row>
    <row r="106" spans="1:16" x14ac:dyDescent="0.15">
      <c r="A106" s="193" t="s">
        <v>493</v>
      </c>
      <c r="B106" s="470" t="s">
        <v>644</v>
      </c>
      <c r="C106" s="470"/>
      <c r="D106" s="470"/>
      <c r="E106" s="183" t="s">
        <v>55</v>
      </c>
      <c r="F106" s="472">
        <v>39176752.869999997</v>
      </c>
      <c r="G106" s="472"/>
      <c r="H106" s="219" t="s">
        <v>56</v>
      </c>
      <c r="I106" s="186">
        <v>40547</v>
      </c>
      <c r="J106" s="187" t="s">
        <v>71</v>
      </c>
      <c r="K106" s="210">
        <v>77225.13</v>
      </c>
    </row>
    <row r="107" spans="1:16" ht="12" thickBot="1" x14ac:dyDescent="0.2">
      <c r="J107" s="218" t="s">
        <v>106</v>
      </c>
      <c r="K107" s="211">
        <f>SUM(K101:K106)</f>
        <v>782367.35</v>
      </c>
    </row>
    <row r="108" spans="1:16" ht="12" thickTop="1" x14ac:dyDescent="0.15"/>
    <row r="109" spans="1:16" x14ac:dyDescent="0.15">
      <c r="K109" s="205"/>
    </row>
    <row r="110" spans="1:16" x14ac:dyDescent="0.15">
      <c r="A110" s="133"/>
      <c r="B110" s="470"/>
      <c r="C110" s="470"/>
      <c r="D110" s="470"/>
      <c r="E110" s="183"/>
      <c r="F110" s="472"/>
      <c r="G110" s="472"/>
      <c r="H110" s="219"/>
      <c r="I110" s="186"/>
    </row>
    <row r="111" spans="1:16" x14ac:dyDescent="0.15">
      <c r="A111" s="133"/>
      <c r="B111" s="470"/>
      <c r="C111" s="470"/>
      <c r="D111" s="470"/>
      <c r="E111" s="183"/>
      <c r="F111" s="472"/>
      <c r="G111" s="472"/>
      <c r="H111" s="219"/>
      <c r="I111" s="186"/>
    </row>
    <row r="112" spans="1:16" x14ac:dyDescent="0.15">
      <c r="A112" s="133"/>
      <c r="B112" s="470"/>
      <c r="C112" s="470"/>
      <c r="D112" s="470"/>
      <c r="E112" s="183"/>
      <c r="F112" s="472"/>
      <c r="G112" s="472"/>
      <c r="H112" s="219"/>
      <c r="I112" s="186"/>
    </row>
  </sheetData>
  <mergeCells count="48">
    <mergeCell ref="B104:D104"/>
    <mergeCell ref="F104:G104"/>
    <mergeCell ref="B105:D105"/>
    <mergeCell ref="F105:G105"/>
    <mergeCell ref="B106:D106"/>
    <mergeCell ref="F106:G106"/>
    <mergeCell ref="B101:D101"/>
    <mergeCell ref="F101:G101"/>
    <mergeCell ref="B102:D102"/>
    <mergeCell ref="F102:G102"/>
    <mergeCell ref="B103:D103"/>
    <mergeCell ref="F103:G103"/>
    <mergeCell ref="B98:D98"/>
    <mergeCell ref="F98:G98"/>
    <mergeCell ref="B99:D99"/>
    <mergeCell ref="F99:G99"/>
    <mergeCell ref="B100:D100"/>
    <mergeCell ref="F100:G100"/>
    <mergeCell ref="B95:D95"/>
    <mergeCell ref="F95:G95"/>
    <mergeCell ref="B96:D96"/>
    <mergeCell ref="F96:G96"/>
    <mergeCell ref="B97:D97"/>
    <mergeCell ref="F97:G97"/>
    <mergeCell ref="B92:D92"/>
    <mergeCell ref="F92:G92"/>
    <mergeCell ref="B93:D93"/>
    <mergeCell ref="F93:G93"/>
    <mergeCell ref="B94:D94"/>
    <mergeCell ref="F94:G94"/>
    <mergeCell ref="B89:D89"/>
    <mergeCell ref="F89:G89"/>
    <mergeCell ref="B90:D90"/>
    <mergeCell ref="F90:G90"/>
    <mergeCell ref="B91:D91"/>
    <mergeCell ref="F91:G91"/>
    <mergeCell ref="J3:L3"/>
    <mergeCell ref="A4:C4"/>
    <mergeCell ref="D4:H4"/>
    <mergeCell ref="I4:N4"/>
    <mergeCell ref="J5:K5"/>
    <mergeCell ref="L5:N5"/>
    <mergeCell ref="F110:G110"/>
    <mergeCell ref="F111:G111"/>
    <mergeCell ref="F112:G112"/>
    <mergeCell ref="B112:D112"/>
    <mergeCell ref="B110:D110"/>
    <mergeCell ref="B111:D111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zoomScale="115" zoomScaleNormal="115" workbookViewId="0">
      <pane ySplit="6" topLeftCell="A28" activePane="bottomLeft" state="frozen"/>
      <selection pane="bottomLeft" activeCell="A106" sqref="A106:XFD114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1.140625" style="132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419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360</v>
      </c>
      <c r="B7" s="146"/>
      <c r="C7" s="147">
        <v>15392.898862009475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15392.898862009475</v>
      </c>
      <c r="P7" s="147">
        <f>+C104</f>
        <v>557608.44586200942</v>
      </c>
    </row>
    <row r="8" spans="1:16" x14ac:dyDescent="0.15">
      <c r="A8" s="154" t="s">
        <v>392</v>
      </c>
      <c r="B8" s="151"/>
      <c r="C8" s="152">
        <v>37947.271999999997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15392.898862009475</v>
      </c>
      <c r="P8" s="152">
        <f t="shared" ref="P8:P9" si="0">P7+H8-J8-M8</f>
        <v>557608.44586200942</v>
      </c>
    </row>
    <row r="9" spans="1:16" x14ac:dyDescent="0.15">
      <c r="A9" s="154" t="s">
        <v>415</v>
      </c>
      <c r="B9" s="151"/>
      <c r="C9" s="152">
        <v>116158.16499999999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" si="1">+O8-J9-M9</f>
        <v>15392.898862009475</v>
      </c>
      <c r="P9" s="152">
        <f t="shared" si="0"/>
        <v>557608.44586200942</v>
      </c>
    </row>
    <row r="10" spans="1:16" x14ac:dyDescent="0.15">
      <c r="A10" s="154" t="s">
        <v>414</v>
      </c>
      <c r="B10" s="151"/>
      <c r="C10" s="152">
        <v>272181.897</v>
      </c>
      <c r="D10" s="153"/>
      <c r="E10" s="154"/>
      <c r="F10" s="157"/>
      <c r="G10" s="154"/>
      <c r="H10" s="152"/>
      <c r="I10" s="153"/>
      <c r="J10" s="152"/>
      <c r="K10" s="150"/>
      <c r="L10" s="154"/>
      <c r="M10" s="152"/>
      <c r="N10" s="150"/>
      <c r="O10" s="152">
        <f t="shared" ref="O10" si="2">+O9-J10-M10</f>
        <v>15392.898862009475</v>
      </c>
      <c r="P10" s="152">
        <f t="shared" ref="P10" si="3">P9+H10-J10-M10</f>
        <v>557608.44586200942</v>
      </c>
    </row>
    <row r="11" spans="1:16" x14ac:dyDescent="0.15">
      <c r="A11" s="154" t="s">
        <v>416</v>
      </c>
      <c r="B11" s="151"/>
      <c r="C11" s="152">
        <v>115928.213</v>
      </c>
      <c r="D11" s="153"/>
      <c r="E11" s="154"/>
      <c r="F11" s="157"/>
      <c r="G11" s="154"/>
      <c r="H11" s="152"/>
      <c r="I11" s="153"/>
      <c r="J11" s="152"/>
      <c r="K11" s="150"/>
      <c r="L11" s="154"/>
      <c r="M11" s="152"/>
      <c r="N11" s="150"/>
      <c r="O11" s="152">
        <f t="shared" ref="O11:O80" si="4">+O10-J11-M11</f>
        <v>15392.898862009475</v>
      </c>
      <c r="P11" s="152">
        <f t="shared" ref="P11:P80" si="5">P10+H11-J11-M11</f>
        <v>557608.44586200942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420</v>
      </c>
      <c r="J12" s="152"/>
      <c r="K12" s="150"/>
      <c r="L12" s="154" t="s">
        <v>447</v>
      </c>
      <c r="M12" s="152">
        <v>858.81</v>
      </c>
      <c r="N12" s="150" t="s">
        <v>360</v>
      </c>
      <c r="O12" s="152">
        <f t="shared" si="4"/>
        <v>14534.088862009476</v>
      </c>
      <c r="P12" s="152">
        <f t="shared" si="5"/>
        <v>556749.63586200937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421</v>
      </c>
      <c r="J13" s="152"/>
      <c r="K13" s="150"/>
      <c r="L13" s="154" t="s">
        <v>447</v>
      </c>
      <c r="M13" s="152">
        <v>14534</v>
      </c>
      <c r="N13" s="154" t="s">
        <v>360</v>
      </c>
      <c r="O13" s="152">
        <f t="shared" si="4"/>
        <v>8.8862009475633386E-2</v>
      </c>
      <c r="P13" s="152">
        <f t="shared" si="5"/>
        <v>542215.63586200937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421</v>
      </c>
      <c r="J14" s="152"/>
      <c r="K14" s="150"/>
      <c r="L14" s="154" t="s">
        <v>447</v>
      </c>
      <c r="M14" s="152">
        <v>37947</v>
      </c>
      <c r="N14" s="154" t="s">
        <v>392</v>
      </c>
      <c r="O14" s="152">
        <f>C8+O13-J14-M14</f>
        <v>0.36086200947465841</v>
      </c>
      <c r="P14" s="152">
        <f t="shared" ref="P14" si="6">P13+H14-J14-M14</f>
        <v>504268.63586200937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421</v>
      </c>
      <c r="J15" s="152"/>
      <c r="K15" s="150"/>
      <c r="L15" s="154" t="s">
        <v>447</v>
      </c>
      <c r="M15" s="152">
        <v>23172</v>
      </c>
      <c r="N15" s="154" t="s">
        <v>415</v>
      </c>
      <c r="O15" s="152">
        <f>C9+O14-J15-M15</f>
        <v>92986.525862009468</v>
      </c>
      <c r="P15" s="152">
        <f t="shared" ref="P15:P17" si="7">P14+H15-J15-M15</f>
        <v>481096.63586200937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422</v>
      </c>
      <c r="J16" s="152"/>
      <c r="K16" s="150"/>
      <c r="L16" s="154" t="s">
        <v>447</v>
      </c>
      <c r="M16" s="152">
        <v>62926.26</v>
      </c>
      <c r="N16" s="154" t="s">
        <v>415</v>
      </c>
      <c r="O16" s="152">
        <f t="shared" ref="O16:O17" si="8">+O15-J16-M16</f>
        <v>30060.265862009466</v>
      </c>
      <c r="P16" s="152">
        <f t="shared" si="7"/>
        <v>418170.37586200936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423</v>
      </c>
      <c r="J17" s="152">
        <v>6986.05</v>
      </c>
      <c r="K17" s="154" t="s">
        <v>415</v>
      </c>
      <c r="L17" s="154" t="s">
        <v>447</v>
      </c>
      <c r="M17" s="152">
        <v>23074</v>
      </c>
      <c r="N17" s="154" t="s">
        <v>415</v>
      </c>
      <c r="O17" s="152">
        <f t="shared" si="8"/>
        <v>0.21586200946694589</v>
      </c>
      <c r="P17" s="152">
        <f t="shared" si="7"/>
        <v>388110.32586200937</v>
      </c>
    </row>
    <row r="18" spans="1:16" x14ac:dyDescent="0.15">
      <c r="A18" s="154"/>
      <c r="B18" s="151"/>
      <c r="C18" s="152"/>
      <c r="D18" s="153"/>
      <c r="E18" s="154"/>
      <c r="F18" s="157"/>
      <c r="G18" s="154"/>
      <c r="H18" s="152"/>
      <c r="I18" s="153" t="s">
        <v>423</v>
      </c>
      <c r="J18" s="152"/>
      <c r="K18" s="150"/>
      <c r="L18" s="154" t="s">
        <v>447</v>
      </c>
      <c r="M18" s="152">
        <v>52861</v>
      </c>
      <c r="N18" s="154" t="s">
        <v>414</v>
      </c>
      <c r="O18" s="152">
        <f>C10+O17-J18-M18</f>
        <v>219321.11286200944</v>
      </c>
      <c r="P18" s="152">
        <f t="shared" ref="P18:P21" si="9">P17+H18-J18-M18</f>
        <v>335249.32586200937</v>
      </c>
    </row>
    <row r="19" spans="1:16" x14ac:dyDescent="0.15">
      <c r="A19" s="154"/>
      <c r="B19" s="151"/>
      <c r="C19" s="152"/>
      <c r="D19" s="153" t="s">
        <v>436</v>
      </c>
      <c r="E19" s="154" t="s">
        <v>72</v>
      </c>
      <c r="F19" s="157" t="s">
        <v>437</v>
      </c>
      <c r="G19" s="154"/>
      <c r="H19" s="152">
        <v>116273.95600000001</v>
      </c>
      <c r="I19" s="153" t="s">
        <v>436</v>
      </c>
      <c r="J19" s="152"/>
      <c r="K19" s="150"/>
      <c r="L19" s="154"/>
      <c r="M19" s="152"/>
      <c r="N19" s="154"/>
      <c r="O19" s="152">
        <f t="shared" ref="O19:O21" si="10">+O18-J19-M19</f>
        <v>219321.11286200944</v>
      </c>
      <c r="P19" s="152">
        <f t="shared" si="9"/>
        <v>451523.28186200937</v>
      </c>
    </row>
    <row r="20" spans="1:16" x14ac:dyDescent="0.15">
      <c r="A20" s="154"/>
      <c r="B20" s="151"/>
      <c r="C20" s="152"/>
      <c r="D20" s="153" t="s">
        <v>438</v>
      </c>
      <c r="E20" s="154" t="s">
        <v>72</v>
      </c>
      <c r="F20" s="157" t="s">
        <v>437</v>
      </c>
      <c r="G20" s="154"/>
      <c r="H20" s="152">
        <v>116351.416</v>
      </c>
      <c r="I20" s="153" t="s">
        <v>438</v>
      </c>
      <c r="J20" s="152"/>
      <c r="K20" s="150"/>
      <c r="L20" s="154"/>
      <c r="M20" s="152"/>
      <c r="N20" s="154"/>
      <c r="O20" s="152">
        <f t="shared" si="10"/>
        <v>219321.11286200944</v>
      </c>
      <c r="P20" s="152">
        <f t="shared" si="9"/>
        <v>567874.6978620094</v>
      </c>
    </row>
    <row r="21" spans="1:16" x14ac:dyDescent="0.15">
      <c r="A21" s="154"/>
      <c r="B21" s="151"/>
      <c r="C21" s="152"/>
      <c r="D21" s="153"/>
      <c r="E21" s="154"/>
      <c r="F21" s="157"/>
      <c r="G21" s="154"/>
      <c r="H21" s="152"/>
      <c r="I21" s="153" t="s">
        <v>424</v>
      </c>
      <c r="J21" s="152">
        <v>355</v>
      </c>
      <c r="K21" s="154" t="s">
        <v>414</v>
      </c>
      <c r="L21" s="154" t="s">
        <v>447</v>
      </c>
      <c r="M21" s="152">
        <v>72428.039999999994</v>
      </c>
      <c r="N21" s="154" t="s">
        <v>414</v>
      </c>
      <c r="O21" s="152">
        <f t="shared" si="10"/>
        <v>146538.07286200946</v>
      </c>
      <c r="P21" s="152">
        <f t="shared" si="9"/>
        <v>495091.65786200942</v>
      </c>
    </row>
    <row r="22" spans="1:16" x14ac:dyDescent="0.15">
      <c r="A22" s="154"/>
      <c r="B22" s="151"/>
      <c r="C22" s="152"/>
      <c r="D22" s="153"/>
      <c r="E22" s="154"/>
      <c r="F22" s="157"/>
      <c r="G22" s="154"/>
      <c r="H22" s="152"/>
      <c r="I22" s="153" t="s">
        <v>425</v>
      </c>
      <c r="J22" s="152">
        <v>639</v>
      </c>
      <c r="K22" s="154" t="s">
        <v>414</v>
      </c>
      <c r="L22" s="154" t="s">
        <v>447</v>
      </c>
      <c r="M22" s="152">
        <v>87028.92</v>
      </c>
      <c r="N22" s="154" t="s">
        <v>414</v>
      </c>
      <c r="O22" s="152">
        <f t="shared" si="4"/>
        <v>58870.152862009461</v>
      </c>
      <c r="P22" s="152">
        <f t="shared" si="5"/>
        <v>407423.73786200944</v>
      </c>
    </row>
    <row r="23" spans="1:16" x14ac:dyDescent="0.15">
      <c r="A23" s="154"/>
      <c r="B23" s="151"/>
      <c r="C23" s="152"/>
      <c r="D23" s="153" t="s">
        <v>426</v>
      </c>
      <c r="E23" s="154" t="s">
        <v>72</v>
      </c>
      <c r="F23" s="157" t="s">
        <v>439</v>
      </c>
      <c r="G23" s="154"/>
      <c r="H23" s="152">
        <v>120223.01</v>
      </c>
      <c r="I23" s="153" t="s">
        <v>426</v>
      </c>
      <c r="J23" s="152">
        <v>485</v>
      </c>
      <c r="K23" s="154" t="s">
        <v>414</v>
      </c>
      <c r="L23" s="154"/>
      <c r="M23" s="152"/>
      <c r="N23" s="154"/>
      <c r="O23" s="152">
        <f t="shared" si="4"/>
        <v>58385.152862009461</v>
      </c>
      <c r="P23" s="152">
        <f t="shared" si="5"/>
        <v>527161.74786200945</v>
      </c>
    </row>
    <row r="24" spans="1:16" x14ac:dyDescent="0.15">
      <c r="A24" s="154"/>
      <c r="B24" s="151"/>
      <c r="C24" s="152"/>
      <c r="D24" s="153"/>
      <c r="E24" s="154"/>
      <c r="F24" s="157"/>
      <c r="G24" s="154"/>
      <c r="H24" s="152"/>
      <c r="I24" s="153" t="s">
        <v>427</v>
      </c>
      <c r="J24" s="152">
        <v>996</v>
      </c>
      <c r="K24" s="154" t="s">
        <v>414</v>
      </c>
      <c r="L24" s="154"/>
      <c r="M24" s="152"/>
      <c r="N24" s="154"/>
      <c r="O24" s="152">
        <f t="shared" si="4"/>
        <v>57389.152862009461</v>
      </c>
      <c r="P24" s="152">
        <f t="shared" si="5"/>
        <v>526165.74786200945</v>
      </c>
    </row>
    <row r="25" spans="1:16" x14ac:dyDescent="0.15">
      <c r="A25" s="154"/>
      <c r="B25" s="151"/>
      <c r="C25" s="152"/>
      <c r="D25" s="153"/>
      <c r="E25" s="154"/>
      <c r="F25" s="157"/>
      <c r="G25" s="154"/>
      <c r="H25" s="152"/>
      <c r="I25" s="153" t="s">
        <v>428</v>
      </c>
      <c r="J25" s="152"/>
      <c r="K25" s="154"/>
      <c r="L25" s="154" t="s">
        <v>447</v>
      </c>
      <c r="M25" s="152">
        <v>6622.08</v>
      </c>
      <c r="N25" s="154" t="s">
        <v>414</v>
      </c>
      <c r="O25" s="152">
        <f t="shared" si="4"/>
        <v>50767.07286200946</v>
      </c>
      <c r="P25" s="152">
        <f t="shared" si="5"/>
        <v>519543.66786200943</v>
      </c>
    </row>
    <row r="26" spans="1:16" x14ac:dyDescent="0.15">
      <c r="A26" s="154"/>
      <c r="B26" s="151"/>
      <c r="C26" s="152"/>
      <c r="D26" s="153"/>
      <c r="E26" s="154"/>
      <c r="F26" s="157"/>
      <c r="G26" s="154"/>
      <c r="H26" s="152"/>
      <c r="I26" s="153" t="s">
        <v>429</v>
      </c>
      <c r="J26" s="152"/>
      <c r="K26" s="154"/>
      <c r="L26" s="154" t="s">
        <v>447</v>
      </c>
      <c r="M26" s="152">
        <v>50767</v>
      </c>
      <c r="N26" s="154" t="s">
        <v>414</v>
      </c>
      <c r="O26" s="152">
        <f t="shared" si="4"/>
        <v>7.2862009459640831E-2</v>
      </c>
      <c r="P26" s="152">
        <f t="shared" si="5"/>
        <v>468776.66786200943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429</v>
      </c>
      <c r="J27" s="152"/>
      <c r="K27" s="154"/>
      <c r="L27" s="154" t="s">
        <v>447</v>
      </c>
      <c r="M27" s="152">
        <v>41356</v>
      </c>
      <c r="N27" s="154" t="s">
        <v>416</v>
      </c>
      <c r="O27" s="152">
        <f>C11+O26-J27-M27</f>
        <v>74572.285862009463</v>
      </c>
      <c r="P27" s="152">
        <f t="shared" ref="P27:P29" si="11">P26+H27-J27-M27</f>
        <v>427420.66786200943</v>
      </c>
    </row>
    <row r="28" spans="1:16" x14ac:dyDescent="0.15">
      <c r="A28" s="154"/>
      <c r="B28" s="151"/>
      <c r="C28" s="152"/>
      <c r="D28" s="153"/>
      <c r="E28" s="154"/>
      <c r="F28" s="157"/>
      <c r="G28" s="154"/>
      <c r="H28" s="152"/>
      <c r="I28" s="153" t="s">
        <v>430</v>
      </c>
      <c r="J28" s="152"/>
      <c r="K28" s="154"/>
      <c r="L28" s="154" t="s">
        <v>447</v>
      </c>
      <c r="M28" s="152">
        <v>71802.55</v>
      </c>
      <c r="N28" s="154" t="s">
        <v>416</v>
      </c>
      <c r="O28" s="152">
        <f t="shared" ref="O28:O29" si="12">+O27-J28-M28</f>
        <v>2769.7358620094601</v>
      </c>
      <c r="P28" s="152">
        <f t="shared" si="11"/>
        <v>355618.11786200944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430</v>
      </c>
      <c r="J29" s="152"/>
      <c r="K29" s="157"/>
      <c r="L29" s="154" t="s">
        <v>447</v>
      </c>
      <c r="M29" s="152">
        <v>2770</v>
      </c>
      <c r="N29" s="154" t="s">
        <v>416</v>
      </c>
      <c r="O29" s="152">
        <f t="shared" si="12"/>
        <v>-0.26413799053989351</v>
      </c>
      <c r="P29" s="152">
        <f t="shared" si="11"/>
        <v>352848.11786200944</v>
      </c>
    </row>
    <row r="30" spans="1:16" x14ac:dyDescent="0.15">
      <c r="A30" s="154"/>
      <c r="B30" s="151"/>
      <c r="C30" s="152"/>
      <c r="D30" s="153"/>
      <c r="E30" s="154"/>
      <c r="F30" s="157"/>
      <c r="G30" s="154"/>
      <c r="H30" s="152"/>
      <c r="I30" s="153" t="s">
        <v>430</v>
      </c>
      <c r="J30" s="152"/>
      <c r="K30" s="157"/>
      <c r="L30" s="154" t="s">
        <v>447</v>
      </c>
      <c r="M30" s="152">
        <v>12938</v>
      </c>
      <c r="N30" s="157" t="s">
        <v>437</v>
      </c>
      <c r="O30" s="152">
        <f>H19+H20+O29-J30-M30</f>
        <v>219687.10786200946</v>
      </c>
      <c r="P30" s="152">
        <f t="shared" ref="P30:P33" si="13">P29+H30-J30-M30</f>
        <v>339910.11786200944</v>
      </c>
    </row>
    <row r="31" spans="1:16" x14ac:dyDescent="0.15">
      <c r="A31" s="154"/>
      <c r="B31" s="151"/>
      <c r="C31" s="152"/>
      <c r="D31" s="153" t="s">
        <v>431</v>
      </c>
      <c r="E31" s="154" t="s">
        <v>72</v>
      </c>
      <c r="F31" s="157" t="s">
        <v>443</v>
      </c>
      <c r="G31" s="154"/>
      <c r="H31" s="152">
        <v>120122.88</v>
      </c>
      <c r="I31" s="153" t="s">
        <v>431</v>
      </c>
      <c r="J31" s="152"/>
      <c r="K31" s="157"/>
      <c r="L31" s="154" t="s">
        <v>447</v>
      </c>
      <c r="M31" s="152">
        <v>82912</v>
      </c>
      <c r="N31" s="157" t="s">
        <v>437</v>
      </c>
      <c r="O31" s="152">
        <f t="shared" ref="O31:O33" si="14">+O30-J31-M31</f>
        <v>136775.10786200946</v>
      </c>
      <c r="P31" s="152">
        <f t="shared" si="13"/>
        <v>377120.99786200945</v>
      </c>
    </row>
    <row r="32" spans="1:16" x14ac:dyDescent="0.15">
      <c r="A32" s="154"/>
      <c r="B32" s="151"/>
      <c r="C32" s="152"/>
      <c r="D32" s="153" t="s">
        <v>432</v>
      </c>
      <c r="E32" s="154" t="s">
        <v>72</v>
      </c>
      <c r="F32" s="157" t="s">
        <v>444</v>
      </c>
      <c r="G32" s="154"/>
      <c r="H32" s="152">
        <v>120077.86599999999</v>
      </c>
      <c r="I32" s="153" t="s">
        <v>432</v>
      </c>
      <c r="J32" s="152">
        <v>2128</v>
      </c>
      <c r="K32" s="157" t="s">
        <v>437</v>
      </c>
      <c r="L32" s="154"/>
      <c r="M32" s="152"/>
      <c r="N32" s="154"/>
      <c r="O32" s="152">
        <f t="shared" si="14"/>
        <v>134647.10786200946</v>
      </c>
      <c r="P32" s="152">
        <f t="shared" si="13"/>
        <v>495070.86386200943</v>
      </c>
    </row>
    <row r="33" spans="1:16" x14ac:dyDescent="0.15">
      <c r="A33" s="154"/>
      <c r="B33" s="151"/>
      <c r="C33" s="152"/>
      <c r="D33" s="153" t="s">
        <v>440</v>
      </c>
      <c r="E33" s="154" t="s">
        <v>72</v>
      </c>
      <c r="F33" s="157" t="s">
        <v>445</v>
      </c>
      <c r="G33" s="154"/>
      <c r="H33" s="152">
        <v>120145.189</v>
      </c>
      <c r="I33" s="153" t="s">
        <v>440</v>
      </c>
      <c r="J33" s="152"/>
      <c r="K33" s="154"/>
      <c r="L33" s="154"/>
      <c r="M33" s="152"/>
      <c r="N33" s="154"/>
      <c r="O33" s="152">
        <f t="shared" si="14"/>
        <v>134647.10786200946</v>
      </c>
      <c r="P33" s="152">
        <f t="shared" si="13"/>
        <v>615216.05286200938</v>
      </c>
    </row>
    <row r="34" spans="1:16" x14ac:dyDescent="0.15">
      <c r="A34" s="154"/>
      <c r="B34" s="151"/>
      <c r="C34" s="152"/>
      <c r="D34" s="153"/>
      <c r="E34" s="154"/>
      <c r="F34" s="157"/>
      <c r="G34" s="154"/>
      <c r="H34" s="152"/>
      <c r="I34" s="153" t="s">
        <v>433</v>
      </c>
      <c r="J34" s="152">
        <v>2374.4899999999998</v>
      </c>
      <c r="K34" s="157" t="s">
        <v>437</v>
      </c>
      <c r="L34" s="154" t="s">
        <v>447</v>
      </c>
      <c r="M34" s="152">
        <v>78325.88</v>
      </c>
      <c r="N34" s="157" t="s">
        <v>437</v>
      </c>
      <c r="O34" s="152">
        <f t="shared" si="4"/>
        <v>53946.737862009468</v>
      </c>
      <c r="P34" s="152">
        <f t="shared" si="5"/>
        <v>534515.68286200939</v>
      </c>
    </row>
    <row r="35" spans="1:16" x14ac:dyDescent="0.15">
      <c r="A35" s="154"/>
      <c r="B35" s="151"/>
      <c r="C35" s="152"/>
      <c r="D35" s="153"/>
      <c r="E35" s="154"/>
      <c r="F35" s="157"/>
      <c r="G35" s="154"/>
      <c r="H35" s="152"/>
      <c r="I35" s="153" t="s">
        <v>433</v>
      </c>
      <c r="J35" s="152"/>
      <c r="K35" s="154"/>
      <c r="L35" s="154" t="s">
        <v>447</v>
      </c>
      <c r="M35" s="152">
        <v>15197.08</v>
      </c>
      <c r="N35" s="157" t="s">
        <v>437</v>
      </c>
      <c r="O35" s="152">
        <f t="shared" si="4"/>
        <v>38749.657862009466</v>
      </c>
      <c r="P35" s="152">
        <f t="shared" si="5"/>
        <v>519318.60286200937</v>
      </c>
    </row>
    <row r="36" spans="1:16" x14ac:dyDescent="0.15">
      <c r="A36" s="154"/>
      <c r="B36" s="151"/>
      <c r="C36" s="152"/>
      <c r="D36" s="153"/>
      <c r="E36" s="154"/>
      <c r="F36" s="157"/>
      <c r="G36" s="154"/>
      <c r="H36" s="152"/>
      <c r="I36" s="153" t="s">
        <v>434</v>
      </c>
      <c r="J36" s="152"/>
      <c r="K36" s="157"/>
      <c r="L36" s="154" t="s">
        <v>447</v>
      </c>
      <c r="M36" s="152">
        <v>38750</v>
      </c>
      <c r="N36" s="157" t="s">
        <v>437</v>
      </c>
      <c r="O36" s="152">
        <f t="shared" si="4"/>
        <v>-0.34213799053395633</v>
      </c>
      <c r="P36" s="152">
        <f t="shared" si="5"/>
        <v>480568.60286200937</v>
      </c>
    </row>
    <row r="37" spans="1:16" x14ac:dyDescent="0.15">
      <c r="A37" s="154"/>
      <c r="B37" s="151"/>
      <c r="C37" s="152"/>
      <c r="D37" s="153"/>
      <c r="E37" s="154"/>
      <c r="F37" s="157"/>
      <c r="G37" s="154"/>
      <c r="H37" s="152"/>
      <c r="I37" s="153" t="s">
        <v>434</v>
      </c>
      <c r="J37" s="152"/>
      <c r="K37" s="157"/>
      <c r="L37" s="154" t="s">
        <v>448</v>
      </c>
      <c r="M37" s="152">
        <v>47052</v>
      </c>
      <c r="N37" s="157" t="s">
        <v>439</v>
      </c>
      <c r="O37" s="152">
        <f>H23+O36-J37-M37</f>
        <v>73170.667862009461</v>
      </c>
      <c r="P37" s="152">
        <f t="shared" ref="P37:P39" si="15">P36+H37-J37-M37</f>
        <v>433516.60286200937</v>
      </c>
    </row>
    <row r="38" spans="1:16" x14ac:dyDescent="0.15">
      <c r="A38" s="154"/>
      <c r="B38" s="151"/>
      <c r="C38" s="152"/>
      <c r="D38" s="153" t="s">
        <v>441</v>
      </c>
      <c r="E38" s="154" t="s">
        <v>72</v>
      </c>
      <c r="F38" s="157" t="s">
        <v>446</v>
      </c>
      <c r="G38" s="154"/>
      <c r="H38" s="152">
        <v>119896.989</v>
      </c>
      <c r="I38" s="153" t="s">
        <v>441</v>
      </c>
      <c r="J38" s="152"/>
      <c r="K38" s="157"/>
      <c r="L38" s="154"/>
      <c r="M38" s="152"/>
      <c r="N38" s="154"/>
      <c r="O38" s="152">
        <f t="shared" ref="O38:O39" si="16">+O37-J38-M38</f>
        <v>73170.667862009461</v>
      </c>
      <c r="P38" s="152">
        <f t="shared" si="15"/>
        <v>553413.59186200937</v>
      </c>
    </row>
    <row r="39" spans="1:16" x14ac:dyDescent="0.15">
      <c r="A39" s="154"/>
      <c r="B39" s="151"/>
      <c r="C39" s="152"/>
      <c r="D39" s="153" t="s">
        <v>442</v>
      </c>
      <c r="E39" s="154" t="s">
        <v>72</v>
      </c>
      <c r="F39" s="157" t="s">
        <v>446</v>
      </c>
      <c r="G39" s="154"/>
      <c r="H39" s="152">
        <v>40008.923000000003</v>
      </c>
      <c r="I39" s="153" t="s">
        <v>442</v>
      </c>
      <c r="J39" s="152"/>
      <c r="K39" s="157"/>
      <c r="L39" s="154"/>
      <c r="M39" s="152"/>
      <c r="N39" s="154"/>
      <c r="O39" s="152">
        <f t="shared" si="16"/>
        <v>73170.667862009461</v>
      </c>
      <c r="P39" s="152">
        <f t="shared" si="15"/>
        <v>593422.51486200932</v>
      </c>
    </row>
    <row r="40" spans="1:16" x14ac:dyDescent="0.15">
      <c r="A40" s="154"/>
      <c r="B40" s="151"/>
      <c r="C40" s="152"/>
      <c r="D40" s="153"/>
      <c r="E40" s="154"/>
      <c r="F40" s="157"/>
      <c r="G40" s="154"/>
      <c r="H40" s="152"/>
      <c r="I40" s="153" t="s">
        <v>435</v>
      </c>
      <c r="J40" s="152"/>
      <c r="K40" s="157"/>
      <c r="L40" s="154" t="s">
        <v>448</v>
      </c>
      <c r="M40" s="152">
        <v>73171</v>
      </c>
      <c r="N40" s="157" t="s">
        <v>439</v>
      </c>
      <c r="O40" s="152">
        <f t="shared" si="4"/>
        <v>-0.33213799053919502</v>
      </c>
      <c r="P40" s="152">
        <f t="shared" si="5"/>
        <v>520251.51486200932</v>
      </c>
    </row>
    <row r="41" spans="1:16" x14ac:dyDescent="0.15">
      <c r="A41" s="154"/>
      <c r="B41" s="151"/>
      <c r="C41" s="152"/>
      <c r="D41" s="153"/>
      <c r="E41" s="154"/>
      <c r="F41" s="157"/>
      <c r="G41" s="154"/>
      <c r="H41" s="152"/>
      <c r="I41" s="153" t="s">
        <v>435</v>
      </c>
      <c r="J41" s="152"/>
      <c r="K41" s="157"/>
      <c r="L41" s="154" t="s">
        <v>447</v>
      </c>
      <c r="M41" s="152">
        <v>20043</v>
      </c>
      <c r="N41" s="157" t="s">
        <v>443</v>
      </c>
      <c r="O41" s="152">
        <f>H31+O40-J41-M41</f>
        <v>100079.54786200947</v>
      </c>
      <c r="P41" s="152">
        <f t="shared" si="5"/>
        <v>500208.51486200932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0"/>
      <c r="L42" s="154"/>
      <c r="M42" s="152"/>
      <c r="N42" s="157"/>
      <c r="O42" s="152">
        <f t="shared" si="4"/>
        <v>100079.54786200947</v>
      </c>
      <c r="P42" s="152">
        <f t="shared" si="5"/>
        <v>500208.51486200932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0"/>
      <c r="L43" s="154"/>
      <c r="M43" s="152"/>
      <c r="N43" s="157"/>
      <c r="O43" s="152">
        <f t="shared" si="4"/>
        <v>100079.54786200947</v>
      </c>
      <c r="P43" s="152">
        <f t="shared" si="5"/>
        <v>500208.51486200932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4"/>
        <v>100079.54786200947</v>
      </c>
      <c r="P44" s="152">
        <f t="shared" si="5"/>
        <v>500208.51486200932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4"/>
        <v>100079.54786200947</v>
      </c>
      <c r="P45" s="152">
        <f t="shared" si="5"/>
        <v>500208.51486200932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4"/>
        <v>100079.54786200947</v>
      </c>
      <c r="P46" s="152">
        <f t="shared" si="5"/>
        <v>500208.51486200932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4"/>
        <v>100079.54786200947</v>
      </c>
      <c r="P47" s="152">
        <f t="shared" si="5"/>
        <v>500208.51486200932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4"/>
        <v>100079.54786200947</v>
      </c>
      <c r="P48" s="152">
        <f t="shared" si="5"/>
        <v>500208.51486200932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4"/>
        <v>100079.54786200947</v>
      </c>
      <c r="P49" s="152">
        <f t="shared" si="5"/>
        <v>500208.51486200932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4"/>
        <v>100079.54786200947</v>
      </c>
      <c r="P50" s="152">
        <f t="shared" si="5"/>
        <v>500208.51486200932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4"/>
        <v>100079.54786200947</v>
      </c>
      <c r="P51" s="152">
        <f t="shared" si="5"/>
        <v>500208.51486200932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7"/>
      <c r="L52" s="154"/>
      <c r="M52" s="152"/>
      <c r="N52" s="157"/>
      <c r="O52" s="152">
        <f t="shared" si="4"/>
        <v>100079.54786200947</v>
      </c>
      <c r="P52" s="152">
        <f t="shared" si="5"/>
        <v>500208.51486200932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7"/>
      <c r="L53" s="154"/>
      <c r="M53" s="152"/>
      <c r="N53" s="157"/>
      <c r="O53" s="152">
        <f t="shared" si="4"/>
        <v>100079.54786200947</v>
      </c>
      <c r="P53" s="152">
        <f t="shared" si="5"/>
        <v>500208.51486200932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4"/>
        <v>100079.54786200947</v>
      </c>
      <c r="P54" s="152">
        <f t="shared" si="5"/>
        <v>500208.51486200932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7"/>
      <c r="L55" s="154"/>
      <c r="M55" s="152"/>
      <c r="N55" s="157"/>
      <c r="O55" s="152">
        <f t="shared" si="4"/>
        <v>100079.54786200947</v>
      </c>
      <c r="P55" s="152">
        <f t="shared" si="5"/>
        <v>500208.51486200932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0"/>
      <c r="L56" s="154"/>
      <c r="M56" s="152"/>
      <c r="N56" s="157"/>
      <c r="O56" s="152">
        <f t="shared" si="4"/>
        <v>100079.54786200947</v>
      </c>
      <c r="P56" s="152">
        <f t="shared" si="5"/>
        <v>500208.51486200932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0"/>
      <c r="L57" s="154"/>
      <c r="M57" s="152"/>
      <c r="N57" s="157"/>
      <c r="O57" s="152">
        <f t="shared" si="4"/>
        <v>100079.54786200947</v>
      </c>
      <c r="P57" s="152">
        <f t="shared" si="5"/>
        <v>500208.51486200932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0"/>
      <c r="L58" s="154"/>
      <c r="M58" s="152"/>
      <c r="N58" s="157"/>
      <c r="O58" s="152">
        <f t="shared" si="4"/>
        <v>100079.54786200947</v>
      </c>
      <c r="P58" s="152">
        <f t="shared" si="5"/>
        <v>500208.51486200932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0"/>
      <c r="L59" s="154"/>
      <c r="M59" s="152"/>
      <c r="N59" s="157"/>
      <c r="O59" s="152">
        <f t="shared" si="4"/>
        <v>100079.54786200947</v>
      </c>
      <c r="P59" s="152">
        <f t="shared" si="5"/>
        <v>500208.51486200932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0"/>
      <c r="L60" s="154"/>
      <c r="M60" s="152"/>
      <c r="N60" s="157"/>
      <c r="O60" s="152">
        <f t="shared" si="4"/>
        <v>100079.54786200947</v>
      </c>
      <c r="P60" s="152">
        <f t="shared" si="5"/>
        <v>500208.51486200932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7"/>
      <c r="L61" s="154"/>
      <c r="M61" s="152"/>
      <c r="N61" s="157"/>
      <c r="O61" s="152">
        <f t="shared" si="4"/>
        <v>100079.54786200947</v>
      </c>
      <c r="P61" s="152">
        <f t="shared" si="5"/>
        <v>500208.51486200932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7"/>
      <c r="L62" s="154"/>
      <c r="M62" s="152"/>
      <c r="N62" s="157"/>
      <c r="O62" s="152">
        <f t="shared" si="4"/>
        <v>100079.54786200947</v>
      </c>
      <c r="P62" s="152">
        <f t="shared" si="5"/>
        <v>500208.51486200932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0"/>
      <c r="L63" s="154"/>
      <c r="M63" s="152"/>
      <c r="N63" s="157"/>
      <c r="O63" s="152">
        <f t="shared" si="4"/>
        <v>100079.54786200947</v>
      </c>
      <c r="P63" s="152">
        <f t="shared" si="5"/>
        <v>500208.51486200932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0"/>
      <c r="L64" s="154"/>
      <c r="M64" s="152"/>
      <c r="N64" s="157"/>
      <c r="O64" s="152">
        <f t="shared" si="4"/>
        <v>100079.54786200947</v>
      </c>
      <c r="P64" s="152">
        <f t="shared" si="5"/>
        <v>500208.51486200932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7"/>
      <c r="L65" s="154"/>
      <c r="M65" s="152"/>
      <c r="N65" s="157"/>
      <c r="O65" s="152">
        <f t="shared" si="4"/>
        <v>100079.54786200947</v>
      </c>
      <c r="P65" s="152">
        <f t="shared" si="5"/>
        <v>500208.51486200932</v>
      </c>
    </row>
    <row r="66" spans="1:16" hidden="1" x14ac:dyDescent="0.15">
      <c r="A66" s="154"/>
      <c r="B66" s="151"/>
      <c r="C66" s="152"/>
      <c r="D66" s="153"/>
      <c r="E66" s="154"/>
      <c r="F66" s="157"/>
      <c r="G66" s="154"/>
      <c r="H66" s="152"/>
      <c r="I66" s="153"/>
      <c r="J66" s="152"/>
      <c r="K66" s="150"/>
      <c r="L66" s="154"/>
      <c r="M66" s="152"/>
      <c r="N66" s="157"/>
      <c r="O66" s="152">
        <f t="shared" si="4"/>
        <v>100079.54786200947</v>
      </c>
      <c r="P66" s="152">
        <f t="shared" si="5"/>
        <v>500208.51486200932</v>
      </c>
    </row>
    <row r="67" spans="1:16" hidden="1" x14ac:dyDescent="0.15">
      <c r="A67" s="154"/>
      <c r="B67" s="151"/>
      <c r="C67" s="152"/>
      <c r="D67" s="153"/>
      <c r="E67" s="154"/>
      <c r="F67" s="157"/>
      <c r="G67" s="154"/>
      <c r="H67" s="152"/>
      <c r="I67" s="153"/>
      <c r="J67" s="152"/>
      <c r="K67" s="157"/>
      <c r="L67" s="154"/>
      <c r="M67" s="152"/>
      <c r="N67" s="157"/>
      <c r="O67" s="152">
        <f t="shared" si="4"/>
        <v>100079.54786200947</v>
      </c>
      <c r="P67" s="152">
        <f t="shared" si="5"/>
        <v>500208.51486200932</v>
      </c>
    </row>
    <row r="68" spans="1:16" hidden="1" x14ac:dyDescent="0.15">
      <c r="A68" s="154"/>
      <c r="B68" s="151"/>
      <c r="C68" s="152"/>
      <c r="D68" s="153"/>
      <c r="E68" s="154"/>
      <c r="F68" s="157"/>
      <c r="G68" s="154"/>
      <c r="H68" s="152"/>
      <c r="I68" s="153"/>
      <c r="J68" s="152"/>
      <c r="K68" s="157"/>
      <c r="L68" s="154"/>
      <c r="M68" s="152"/>
      <c r="N68" s="157"/>
      <c r="O68" s="152">
        <f t="shared" si="4"/>
        <v>100079.54786200947</v>
      </c>
      <c r="P68" s="152">
        <f t="shared" si="5"/>
        <v>500208.51486200932</v>
      </c>
    </row>
    <row r="69" spans="1:16" hidden="1" x14ac:dyDescent="0.15">
      <c r="A69" s="154"/>
      <c r="B69" s="151"/>
      <c r="C69" s="152"/>
      <c r="D69" s="153"/>
      <c r="E69" s="154"/>
      <c r="F69" s="157"/>
      <c r="G69" s="154"/>
      <c r="H69" s="152"/>
      <c r="I69" s="153"/>
      <c r="J69" s="152"/>
      <c r="K69" s="157"/>
      <c r="L69" s="154"/>
      <c r="M69" s="152"/>
      <c r="N69" s="157"/>
      <c r="O69" s="152">
        <f t="shared" si="4"/>
        <v>100079.54786200947</v>
      </c>
      <c r="P69" s="152">
        <f t="shared" si="5"/>
        <v>500208.51486200932</v>
      </c>
    </row>
    <row r="70" spans="1:16" hidden="1" x14ac:dyDescent="0.15">
      <c r="A70" s="154"/>
      <c r="B70" s="151"/>
      <c r="C70" s="152"/>
      <c r="D70" s="153"/>
      <c r="E70" s="154"/>
      <c r="F70" s="157"/>
      <c r="G70" s="154"/>
      <c r="H70" s="152"/>
      <c r="I70" s="153"/>
      <c r="J70" s="152"/>
      <c r="K70" s="154"/>
      <c r="L70" s="154"/>
      <c r="M70" s="152"/>
      <c r="N70" s="157"/>
      <c r="O70" s="152">
        <f t="shared" si="4"/>
        <v>100079.54786200947</v>
      </c>
      <c r="P70" s="152">
        <f t="shared" si="5"/>
        <v>500208.51486200932</v>
      </c>
    </row>
    <row r="71" spans="1:16" hidden="1" x14ac:dyDescent="0.15">
      <c r="A71" s="154"/>
      <c r="B71" s="151"/>
      <c r="C71" s="152"/>
      <c r="D71" s="153"/>
      <c r="E71" s="154"/>
      <c r="F71" s="157"/>
      <c r="G71" s="154"/>
      <c r="H71" s="152"/>
      <c r="I71" s="153"/>
      <c r="J71" s="152"/>
      <c r="K71" s="154"/>
      <c r="L71" s="154"/>
      <c r="M71" s="152"/>
      <c r="N71" s="157"/>
      <c r="O71" s="152">
        <f t="shared" si="4"/>
        <v>100079.54786200947</v>
      </c>
      <c r="P71" s="152">
        <f t="shared" si="5"/>
        <v>500208.51486200932</v>
      </c>
    </row>
    <row r="72" spans="1:16" hidden="1" x14ac:dyDescent="0.15">
      <c r="A72" s="154"/>
      <c r="B72" s="151"/>
      <c r="C72" s="152"/>
      <c r="D72" s="153"/>
      <c r="E72" s="154"/>
      <c r="F72" s="157"/>
      <c r="G72" s="154"/>
      <c r="H72" s="152"/>
      <c r="I72" s="153"/>
      <c r="J72" s="152"/>
      <c r="K72" s="154"/>
      <c r="L72" s="154"/>
      <c r="M72" s="152"/>
      <c r="N72" s="157"/>
      <c r="O72" s="152">
        <f t="shared" si="4"/>
        <v>100079.54786200947</v>
      </c>
      <c r="P72" s="152">
        <f t="shared" si="5"/>
        <v>500208.51486200932</v>
      </c>
    </row>
    <row r="73" spans="1:16" hidden="1" x14ac:dyDescent="0.15">
      <c r="A73" s="154"/>
      <c r="B73" s="151"/>
      <c r="C73" s="152"/>
      <c r="D73" s="153"/>
      <c r="E73" s="154"/>
      <c r="F73" s="157"/>
      <c r="G73" s="154"/>
      <c r="H73" s="152"/>
      <c r="I73" s="153"/>
      <c r="J73" s="152"/>
      <c r="K73" s="154"/>
      <c r="L73" s="154"/>
      <c r="M73" s="152"/>
      <c r="N73" s="157"/>
      <c r="O73" s="152">
        <f t="shared" si="4"/>
        <v>100079.54786200947</v>
      </c>
      <c r="P73" s="152">
        <f t="shared" si="5"/>
        <v>500208.51486200932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0"/>
      <c r="L74" s="154"/>
      <c r="M74" s="152"/>
      <c r="N74" s="157"/>
      <c r="O74" s="152">
        <f t="shared" si="4"/>
        <v>100079.54786200947</v>
      </c>
      <c r="P74" s="152">
        <f t="shared" si="5"/>
        <v>500208.51486200932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0"/>
      <c r="L75" s="154"/>
      <c r="M75" s="152"/>
      <c r="N75" s="157"/>
      <c r="O75" s="152">
        <f t="shared" si="4"/>
        <v>100079.54786200947</v>
      </c>
      <c r="P75" s="152">
        <f t="shared" si="5"/>
        <v>500208.51486200932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0"/>
      <c r="L76" s="154"/>
      <c r="M76" s="152"/>
      <c r="N76" s="157"/>
      <c r="O76" s="152">
        <f t="shared" si="4"/>
        <v>100079.54786200947</v>
      </c>
      <c r="P76" s="152">
        <f t="shared" si="5"/>
        <v>500208.51486200932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0"/>
      <c r="L77" s="154"/>
      <c r="M77" s="152"/>
      <c r="N77" s="157"/>
      <c r="O77" s="152">
        <f t="shared" si="4"/>
        <v>100079.54786200947</v>
      </c>
      <c r="P77" s="152">
        <f t="shared" si="5"/>
        <v>500208.51486200932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0"/>
      <c r="L78" s="154"/>
      <c r="M78" s="152"/>
      <c r="N78" s="157"/>
      <c r="O78" s="152">
        <f t="shared" si="4"/>
        <v>100079.54786200947</v>
      </c>
      <c r="P78" s="152">
        <f t="shared" si="5"/>
        <v>500208.51486200932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0"/>
      <c r="L79" s="154"/>
      <c r="M79" s="152"/>
      <c r="N79" s="157"/>
      <c r="O79" s="152">
        <f t="shared" si="4"/>
        <v>100079.54786200947</v>
      </c>
      <c r="P79" s="152">
        <f t="shared" si="5"/>
        <v>500208.51486200932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7"/>
      <c r="L80" s="154"/>
      <c r="M80" s="152"/>
      <c r="N80" s="157"/>
      <c r="O80" s="152">
        <f t="shared" si="4"/>
        <v>100079.54786200947</v>
      </c>
      <c r="P80" s="152">
        <f t="shared" si="5"/>
        <v>500208.51486200932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7"/>
      <c r="L81" s="154"/>
      <c r="M81" s="152"/>
      <c r="N81" s="157"/>
      <c r="O81" s="152">
        <f t="shared" ref="O81:O102" si="17">+O80-J81-M81</f>
        <v>100079.54786200947</v>
      </c>
      <c r="P81" s="152">
        <f t="shared" ref="P81:P102" si="18">P80+H81-J81-M81</f>
        <v>500208.51486200932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17"/>
        <v>100079.54786200947</v>
      </c>
      <c r="P82" s="152">
        <f t="shared" si="18"/>
        <v>500208.51486200932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9"/>
      <c r="L83" s="154"/>
      <c r="M83" s="152"/>
      <c r="N83" s="157"/>
      <c r="O83" s="152">
        <f t="shared" si="17"/>
        <v>100079.54786200947</v>
      </c>
      <c r="P83" s="152">
        <f t="shared" si="18"/>
        <v>500208.51486200932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9"/>
      <c r="L84" s="154"/>
      <c r="M84" s="152"/>
      <c r="N84" s="157"/>
      <c r="O84" s="152">
        <f t="shared" si="17"/>
        <v>100079.54786200947</v>
      </c>
      <c r="P84" s="152">
        <f t="shared" si="18"/>
        <v>500208.51486200932</v>
      </c>
    </row>
    <row r="85" spans="1:16" hidden="1" x14ac:dyDescent="0.15">
      <c r="A85" s="154"/>
      <c r="B85" s="151"/>
      <c r="C85" s="152"/>
      <c r="D85" s="153"/>
      <c r="E85" s="154"/>
      <c r="F85" s="157"/>
      <c r="G85" s="151"/>
      <c r="H85" s="152"/>
      <c r="I85" s="153"/>
      <c r="J85" s="152"/>
      <c r="K85" s="159"/>
      <c r="L85" s="154"/>
      <c r="M85" s="152"/>
      <c r="N85" s="157"/>
      <c r="O85" s="152">
        <f t="shared" si="17"/>
        <v>100079.54786200947</v>
      </c>
      <c r="P85" s="152">
        <f t="shared" si="18"/>
        <v>500208.51486200932</v>
      </c>
    </row>
    <row r="86" spans="1:16" hidden="1" x14ac:dyDescent="0.15">
      <c r="A86" s="154"/>
      <c r="B86" s="151"/>
      <c r="C86" s="152"/>
      <c r="D86" s="153"/>
      <c r="E86" s="154"/>
      <c r="F86" s="157"/>
      <c r="G86" s="151"/>
      <c r="H86" s="152"/>
      <c r="I86" s="153"/>
      <c r="J86" s="152"/>
      <c r="K86" s="159"/>
      <c r="L86" s="154"/>
      <c r="M86" s="152"/>
      <c r="N86" s="157"/>
      <c r="O86" s="152">
        <f t="shared" si="17"/>
        <v>100079.54786200947</v>
      </c>
      <c r="P86" s="152">
        <f t="shared" si="18"/>
        <v>500208.51486200932</v>
      </c>
    </row>
    <row r="87" spans="1:16" hidden="1" x14ac:dyDescent="0.15">
      <c r="A87" s="154"/>
      <c r="B87" s="151"/>
      <c r="C87" s="152"/>
      <c r="D87" s="153"/>
      <c r="E87" s="154"/>
      <c r="F87" s="157"/>
      <c r="G87" s="151"/>
      <c r="H87" s="152"/>
      <c r="I87" s="153"/>
      <c r="J87" s="152"/>
      <c r="K87" s="157"/>
      <c r="L87" s="154"/>
      <c r="M87" s="152"/>
      <c r="N87" s="157"/>
      <c r="O87" s="152">
        <f t="shared" si="17"/>
        <v>100079.54786200947</v>
      </c>
      <c r="P87" s="152">
        <f t="shared" si="18"/>
        <v>500208.51486200932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7"/>
      <c r="L88" s="154"/>
      <c r="M88" s="152"/>
      <c r="N88" s="157"/>
      <c r="O88" s="152">
        <f t="shared" si="17"/>
        <v>100079.54786200947</v>
      </c>
      <c r="P88" s="152">
        <f t="shared" si="18"/>
        <v>500208.51486200932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7"/>
      <c r="L89" s="154"/>
      <c r="M89" s="152"/>
      <c r="N89" s="150"/>
      <c r="O89" s="152">
        <f t="shared" si="17"/>
        <v>100079.54786200947</v>
      </c>
      <c r="P89" s="152">
        <f t="shared" si="18"/>
        <v>500208.51486200932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9"/>
      <c r="L90" s="154"/>
      <c r="M90" s="152"/>
      <c r="N90" s="157"/>
      <c r="O90" s="152">
        <f t="shared" si="17"/>
        <v>100079.54786200947</v>
      </c>
      <c r="P90" s="152">
        <f t="shared" si="18"/>
        <v>500208.51486200932</v>
      </c>
    </row>
    <row r="91" spans="1:16" hidden="1" x14ac:dyDescent="0.15">
      <c r="A91" s="154"/>
      <c r="B91" s="151"/>
      <c r="C91" s="152"/>
      <c r="D91" s="153"/>
      <c r="E91" s="154"/>
      <c r="F91" s="157"/>
      <c r="G91" s="151"/>
      <c r="H91" s="152"/>
      <c r="I91" s="153"/>
      <c r="J91" s="152"/>
      <c r="K91" s="159"/>
      <c r="L91" s="154"/>
      <c r="M91" s="152"/>
      <c r="N91" s="157"/>
      <c r="O91" s="152">
        <f t="shared" si="17"/>
        <v>100079.54786200947</v>
      </c>
      <c r="P91" s="152">
        <f t="shared" si="18"/>
        <v>500208.51486200932</v>
      </c>
    </row>
    <row r="92" spans="1:16" hidden="1" x14ac:dyDescent="0.15">
      <c r="A92" s="154"/>
      <c r="B92" s="151"/>
      <c r="C92" s="152"/>
      <c r="D92" s="153"/>
      <c r="E92" s="154"/>
      <c r="F92" s="157"/>
      <c r="G92" s="151"/>
      <c r="H92" s="152"/>
      <c r="I92" s="153"/>
      <c r="J92" s="152"/>
      <c r="K92" s="159"/>
      <c r="L92" s="154"/>
      <c r="M92" s="152"/>
      <c r="N92" s="157"/>
      <c r="O92" s="152">
        <f t="shared" si="17"/>
        <v>100079.54786200947</v>
      </c>
      <c r="P92" s="152">
        <f t="shared" si="18"/>
        <v>500208.51486200932</v>
      </c>
    </row>
    <row r="93" spans="1:16" hidden="1" x14ac:dyDescent="0.15">
      <c r="A93" s="154"/>
      <c r="B93" s="151"/>
      <c r="C93" s="152"/>
      <c r="D93" s="153"/>
      <c r="E93" s="154"/>
      <c r="F93" s="157"/>
      <c r="G93" s="151"/>
      <c r="H93" s="152"/>
      <c r="I93" s="153"/>
      <c r="J93" s="152"/>
      <c r="K93" s="159"/>
      <c r="L93" s="154"/>
      <c r="M93" s="152"/>
      <c r="N93" s="157"/>
      <c r="O93" s="152">
        <f t="shared" si="17"/>
        <v>100079.54786200947</v>
      </c>
      <c r="P93" s="152">
        <f t="shared" si="18"/>
        <v>500208.51486200932</v>
      </c>
    </row>
    <row r="94" spans="1:16" hidden="1" x14ac:dyDescent="0.15">
      <c r="A94" s="154"/>
      <c r="B94" s="151"/>
      <c r="C94" s="152"/>
      <c r="D94" s="153"/>
      <c r="E94" s="154"/>
      <c r="F94" s="157"/>
      <c r="G94" s="151"/>
      <c r="H94" s="152"/>
      <c r="I94" s="153"/>
      <c r="J94" s="152"/>
      <c r="K94" s="157"/>
      <c r="L94" s="154"/>
      <c r="M94" s="152"/>
      <c r="N94" s="157"/>
      <c r="O94" s="152">
        <f t="shared" si="17"/>
        <v>100079.54786200947</v>
      </c>
      <c r="P94" s="152">
        <f t="shared" si="18"/>
        <v>500208.51486200932</v>
      </c>
    </row>
    <row r="95" spans="1:16" hidden="1" x14ac:dyDescent="0.15">
      <c r="A95" s="154"/>
      <c r="B95" s="151"/>
      <c r="C95" s="152"/>
      <c r="D95" s="153"/>
      <c r="E95" s="154"/>
      <c r="F95" s="157"/>
      <c r="G95" s="151"/>
      <c r="H95" s="152"/>
      <c r="I95" s="153"/>
      <c r="J95" s="152"/>
      <c r="K95" s="157"/>
      <c r="L95" s="154"/>
      <c r="M95" s="152"/>
      <c r="N95" s="157"/>
      <c r="O95" s="152">
        <f t="shared" si="17"/>
        <v>100079.54786200947</v>
      </c>
      <c r="P95" s="152">
        <f t="shared" si="18"/>
        <v>500208.51486200932</v>
      </c>
    </row>
    <row r="96" spans="1:16" hidden="1" x14ac:dyDescent="0.15">
      <c r="A96" s="154"/>
      <c r="B96" s="151"/>
      <c r="C96" s="152"/>
      <c r="D96" s="153"/>
      <c r="E96" s="154"/>
      <c r="F96" s="160"/>
      <c r="G96" s="151"/>
      <c r="H96" s="152"/>
      <c r="I96" s="153"/>
      <c r="J96" s="152"/>
      <c r="K96" s="159"/>
      <c r="L96" s="154"/>
      <c r="M96" s="152"/>
      <c r="N96" s="157"/>
      <c r="O96" s="152">
        <f t="shared" si="17"/>
        <v>100079.54786200947</v>
      </c>
      <c r="P96" s="152">
        <f t="shared" si="18"/>
        <v>500208.51486200932</v>
      </c>
    </row>
    <row r="97" spans="1:16" hidden="1" x14ac:dyDescent="0.15">
      <c r="A97" s="154"/>
      <c r="B97" s="151"/>
      <c r="C97" s="152"/>
      <c r="D97" s="153"/>
      <c r="E97" s="154"/>
      <c r="F97" s="160"/>
      <c r="G97" s="151"/>
      <c r="H97" s="152"/>
      <c r="I97" s="153"/>
      <c r="J97" s="152"/>
      <c r="K97" s="159"/>
      <c r="L97" s="154"/>
      <c r="M97" s="152"/>
      <c r="N97" s="157"/>
      <c r="O97" s="152">
        <f t="shared" si="17"/>
        <v>100079.54786200947</v>
      </c>
      <c r="P97" s="152">
        <f t="shared" si="18"/>
        <v>500208.51486200932</v>
      </c>
    </row>
    <row r="98" spans="1:16" hidden="1" x14ac:dyDescent="0.15">
      <c r="A98" s="154"/>
      <c r="B98" s="151"/>
      <c r="C98" s="152"/>
      <c r="D98" s="153"/>
      <c r="E98" s="154"/>
      <c r="F98" s="160"/>
      <c r="G98" s="151"/>
      <c r="H98" s="152"/>
      <c r="I98" s="153"/>
      <c r="J98" s="152"/>
      <c r="K98" s="159"/>
      <c r="L98" s="154"/>
      <c r="M98" s="152"/>
      <c r="N98" s="157"/>
      <c r="O98" s="152">
        <f t="shared" si="17"/>
        <v>100079.54786200947</v>
      </c>
      <c r="P98" s="152">
        <f t="shared" si="18"/>
        <v>500208.51486200932</v>
      </c>
    </row>
    <row r="99" spans="1:16" hidden="1" x14ac:dyDescent="0.15">
      <c r="A99" s="154"/>
      <c r="B99" s="151"/>
      <c r="C99" s="152"/>
      <c r="D99" s="153"/>
      <c r="E99" s="154"/>
      <c r="F99" s="157"/>
      <c r="G99" s="151"/>
      <c r="H99" s="152"/>
      <c r="I99" s="153"/>
      <c r="J99" s="152"/>
      <c r="K99" s="159"/>
      <c r="L99" s="154"/>
      <c r="M99" s="152"/>
      <c r="N99" s="157"/>
      <c r="O99" s="152">
        <f t="shared" si="17"/>
        <v>100079.54786200947</v>
      </c>
      <c r="P99" s="152">
        <f t="shared" si="18"/>
        <v>500208.51486200932</v>
      </c>
    </row>
    <row r="100" spans="1:16" hidden="1" x14ac:dyDescent="0.15">
      <c r="A100" s="154"/>
      <c r="B100" s="151"/>
      <c r="C100" s="152"/>
      <c r="D100" s="153"/>
      <c r="E100" s="154"/>
      <c r="F100" s="157"/>
      <c r="G100" s="151"/>
      <c r="H100" s="152"/>
      <c r="I100" s="153"/>
      <c r="J100" s="152"/>
      <c r="K100" s="150"/>
      <c r="L100" s="154"/>
      <c r="M100" s="152"/>
      <c r="N100" s="157"/>
      <c r="O100" s="152">
        <f t="shared" si="17"/>
        <v>100079.54786200947</v>
      </c>
      <c r="P100" s="152">
        <f t="shared" si="18"/>
        <v>500208.51486200932</v>
      </c>
    </row>
    <row r="101" spans="1:16" hidden="1" x14ac:dyDescent="0.15">
      <c r="A101" s="154"/>
      <c r="B101" s="151"/>
      <c r="C101" s="152"/>
      <c r="D101" s="153"/>
      <c r="E101" s="154"/>
      <c r="F101" s="157"/>
      <c r="G101" s="151"/>
      <c r="H101" s="152"/>
      <c r="I101" s="153"/>
      <c r="J101" s="152"/>
      <c r="K101" s="157"/>
      <c r="L101" s="154"/>
      <c r="M101" s="152"/>
      <c r="N101" s="150"/>
      <c r="O101" s="152">
        <f t="shared" si="17"/>
        <v>100079.54786200947</v>
      </c>
      <c r="P101" s="152">
        <f t="shared" si="18"/>
        <v>500208.51486200932</v>
      </c>
    </row>
    <row r="102" spans="1:16" hidden="1" x14ac:dyDescent="0.15">
      <c r="A102" s="154"/>
      <c r="B102" s="151"/>
      <c r="C102" s="152"/>
      <c r="D102" s="153"/>
      <c r="E102" s="154"/>
      <c r="F102" s="160"/>
      <c r="G102" s="151"/>
      <c r="H102" s="152"/>
      <c r="I102" s="153"/>
      <c r="J102" s="152"/>
      <c r="K102" s="150"/>
      <c r="L102" s="154"/>
      <c r="M102" s="152"/>
      <c r="N102" s="157"/>
      <c r="O102" s="152">
        <f t="shared" si="17"/>
        <v>100079.54786200947</v>
      </c>
      <c r="P102" s="152">
        <f t="shared" si="18"/>
        <v>500208.51486200932</v>
      </c>
    </row>
    <row r="103" spans="1:16" x14ac:dyDescent="0.15">
      <c r="A103" s="173"/>
      <c r="B103" s="173"/>
      <c r="C103" s="174"/>
      <c r="D103" s="175"/>
      <c r="E103" s="173"/>
      <c r="F103" s="173"/>
      <c r="G103" s="176"/>
      <c r="H103" s="174"/>
      <c r="I103" s="175"/>
      <c r="J103" s="174"/>
      <c r="K103" s="173"/>
      <c r="L103" s="173"/>
      <c r="M103" s="174"/>
      <c r="N103" s="173"/>
      <c r="O103" s="152">
        <f t="shared" ref="O103" si="19">+O102-J103-M103</f>
        <v>100079.54786200947</v>
      </c>
      <c r="P103" s="152">
        <f t="shared" ref="P103" si="20">P102+H103-J103-M103</f>
        <v>500208.51486200932</v>
      </c>
    </row>
    <row r="104" spans="1:16" x14ac:dyDescent="0.15">
      <c r="A104" s="177"/>
      <c r="B104" s="177"/>
      <c r="C104" s="178">
        <f>SUM(C7:C102)</f>
        <v>557608.44586200942</v>
      </c>
      <c r="D104" s="177"/>
      <c r="E104" s="177"/>
      <c r="F104" s="177"/>
      <c r="G104" s="177"/>
      <c r="H104" s="178">
        <f>SUM(H7:H102)</f>
        <v>873100.22900000005</v>
      </c>
      <c r="I104" s="179"/>
      <c r="J104" s="178">
        <f>SUM(J7:J102)</f>
        <v>13963.539999999999</v>
      </c>
      <c r="K104" s="177"/>
      <c r="L104" s="177"/>
      <c r="M104" s="178">
        <f>SUM(M9:M102)</f>
        <v>916536.62</v>
      </c>
      <c r="N104" s="177"/>
      <c r="O104" s="180"/>
      <c r="P104" s="181">
        <f>C104+H104-J104-M104</f>
        <v>500208.51486200944</v>
      </c>
    </row>
    <row r="105" spans="1:16" x14ac:dyDescent="0.15">
      <c r="A105" s="182"/>
      <c r="B105" s="465"/>
      <c r="C105" s="465"/>
      <c r="D105" s="465"/>
      <c r="E105" s="183"/>
      <c r="F105" s="472"/>
      <c r="G105" s="472"/>
      <c r="H105" s="185"/>
      <c r="I105" s="186"/>
      <c r="J105" s="187"/>
      <c r="K105" s="188"/>
      <c r="L105" s="189" t="s">
        <v>139</v>
      </c>
      <c r="M105" s="190">
        <f>+M104+J104</f>
        <v>930500.16</v>
      </c>
      <c r="N105" s="188"/>
      <c r="O105" s="191">
        <f>+O103</f>
        <v>100079.54786200947</v>
      </c>
      <c r="P105" s="195" t="s">
        <v>443</v>
      </c>
    </row>
    <row r="106" spans="1:16" s="167" customFormat="1" x14ac:dyDescent="0.15">
      <c r="A106" s="133" t="s">
        <v>360</v>
      </c>
      <c r="B106" s="470" t="s">
        <v>417</v>
      </c>
      <c r="C106" s="470"/>
      <c r="D106" s="470"/>
      <c r="E106" s="183" t="s">
        <v>55</v>
      </c>
      <c r="F106" s="472">
        <v>70172287.049999997</v>
      </c>
      <c r="G106" s="472"/>
      <c r="H106" s="185" t="s">
        <v>56</v>
      </c>
      <c r="I106" s="186">
        <v>40308</v>
      </c>
      <c r="J106" s="187" t="s">
        <v>71</v>
      </c>
      <c r="K106" s="210">
        <v>15392.81</v>
      </c>
      <c r="L106" s="188"/>
      <c r="M106" s="190"/>
      <c r="N106" s="188"/>
      <c r="O106" s="191">
        <f>+H32</f>
        <v>120077.86599999999</v>
      </c>
      <c r="P106" s="192" t="s">
        <v>444</v>
      </c>
    </row>
    <row r="107" spans="1:16" s="167" customFormat="1" x14ac:dyDescent="0.15">
      <c r="A107" s="133" t="s">
        <v>392</v>
      </c>
      <c r="B107" s="470" t="s">
        <v>450</v>
      </c>
      <c r="C107" s="470"/>
      <c r="D107" s="470"/>
      <c r="E107" s="183" t="s">
        <v>55</v>
      </c>
      <c r="F107" s="472">
        <v>10576189.140000001</v>
      </c>
      <c r="G107" s="472"/>
      <c r="H107" s="185" t="s">
        <v>56</v>
      </c>
      <c r="I107" s="186">
        <v>40422</v>
      </c>
      <c r="J107" s="187" t="s">
        <v>71</v>
      </c>
      <c r="K107" s="210">
        <v>37947</v>
      </c>
      <c r="L107" s="188"/>
      <c r="M107" s="190"/>
      <c r="N107" s="188"/>
      <c r="O107" s="191">
        <f>+H33</f>
        <v>120145.189</v>
      </c>
      <c r="P107" s="192" t="s">
        <v>445</v>
      </c>
    </row>
    <row r="108" spans="1:16" s="167" customFormat="1" x14ac:dyDescent="0.15">
      <c r="A108" s="133" t="s">
        <v>415</v>
      </c>
      <c r="B108" s="470" t="s">
        <v>451</v>
      </c>
      <c r="C108" s="470"/>
      <c r="D108" s="470"/>
      <c r="E108" s="183" t="s">
        <v>55</v>
      </c>
      <c r="F108" s="472">
        <v>32832859.899999999</v>
      </c>
      <c r="G108" s="472"/>
      <c r="H108" s="185" t="s">
        <v>56</v>
      </c>
      <c r="I108" s="186">
        <v>40469</v>
      </c>
      <c r="J108" s="187" t="s">
        <v>71</v>
      </c>
      <c r="K108" s="210">
        <v>109172.26000000001</v>
      </c>
      <c r="L108" s="188"/>
      <c r="M108" s="190"/>
      <c r="N108" s="188"/>
      <c r="O108" s="191">
        <f>+H38+H39</f>
        <v>159905.91200000001</v>
      </c>
      <c r="P108" s="195" t="s">
        <v>446</v>
      </c>
    </row>
    <row r="109" spans="1:16" s="167" customFormat="1" x14ac:dyDescent="0.15">
      <c r="A109" s="133" t="s">
        <v>414</v>
      </c>
      <c r="B109" s="470" t="s">
        <v>452</v>
      </c>
      <c r="C109" s="470"/>
      <c r="D109" s="470"/>
      <c r="E109" s="183" t="s">
        <v>55</v>
      </c>
      <c r="F109" s="472">
        <v>29046831.899999999</v>
      </c>
      <c r="G109" s="472"/>
      <c r="H109" s="185" t="s">
        <v>56</v>
      </c>
      <c r="I109" s="186">
        <v>40470</v>
      </c>
      <c r="J109" s="187" t="s">
        <v>71</v>
      </c>
      <c r="K109" s="210">
        <v>269707.03999999998</v>
      </c>
      <c r="L109" s="188"/>
      <c r="M109" s="190"/>
      <c r="N109" s="188"/>
      <c r="O109" s="191"/>
      <c r="P109" s="195"/>
    </row>
    <row r="110" spans="1:16" s="167" customFormat="1" x14ac:dyDescent="0.15">
      <c r="A110" s="133" t="s">
        <v>416</v>
      </c>
      <c r="B110" s="470" t="s">
        <v>453</v>
      </c>
      <c r="C110" s="470"/>
      <c r="D110" s="470"/>
      <c r="E110" s="183" t="s">
        <v>55</v>
      </c>
      <c r="F110" s="472">
        <v>11012015.84</v>
      </c>
      <c r="G110" s="472"/>
      <c r="H110" s="185" t="s">
        <v>56</v>
      </c>
      <c r="I110" s="186">
        <v>40483</v>
      </c>
      <c r="J110" s="187" t="s">
        <v>71</v>
      </c>
      <c r="K110" s="210">
        <v>115928.55</v>
      </c>
      <c r="L110" s="188"/>
      <c r="M110" s="190"/>
      <c r="N110" s="188"/>
      <c r="O110" s="191"/>
      <c r="P110" s="195"/>
    </row>
    <row r="111" spans="1:16" s="167" customFormat="1" x14ac:dyDescent="0.15">
      <c r="A111" s="133" t="s">
        <v>437</v>
      </c>
      <c r="B111" s="470" t="s">
        <v>454</v>
      </c>
      <c r="C111" s="470"/>
      <c r="D111" s="470"/>
      <c r="E111" s="183" t="s">
        <v>55</v>
      </c>
      <c r="F111" s="472">
        <v>39393984.82</v>
      </c>
      <c r="G111" s="472"/>
      <c r="H111" s="185" t="s">
        <v>56</v>
      </c>
      <c r="I111" s="186">
        <v>40493</v>
      </c>
      <c r="J111" s="187" t="s">
        <v>71</v>
      </c>
      <c r="K111" s="210">
        <v>228122.96</v>
      </c>
      <c r="L111" s="188"/>
      <c r="M111" s="190"/>
      <c r="N111" s="188"/>
      <c r="O111" s="191"/>
      <c r="P111" s="195"/>
    </row>
    <row r="112" spans="1:16" s="167" customFormat="1" x14ac:dyDescent="0.15">
      <c r="A112" s="133" t="s">
        <v>443</v>
      </c>
      <c r="B112" s="470" t="s">
        <v>455</v>
      </c>
      <c r="C112" s="470"/>
      <c r="D112" s="470"/>
      <c r="E112" s="183" t="s">
        <v>55</v>
      </c>
      <c r="F112" s="472">
        <v>27102502.850000001</v>
      </c>
      <c r="G112" s="472"/>
      <c r="H112" s="185" t="s">
        <v>56</v>
      </c>
      <c r="I112" s="186">
        <v>40505</v>
      </c>
      <c r="J112" s="187" t="s">
        <v>71</v>
      </c>
      <c r="K112" s="210">
        <v>20043</v>
      </c>
      <c r="L112" s="188"/>
      <c r="M112" s="190"/>
      <c r="N112" s="188"/>
      <c r="O112" s="191"/>
      <c r="P112" s="195"/>
    </row>
    <row r="113" spans="1:16" s="167" customFormat="1" ht="12" thickBot="1" x14ac:dyDescent="0.2">
      <c r="A113" s="193"/>
      <c r="B113" s="470"/>
      <c r="C113" s="470"/>
      <c r="D113" s="470"/>
      <c r="E113" s="183"/>
      <c r="F113" s="472"/>
      <c r="G113" s="472"/>
      <c r="H113" s="185"/>
      <c r="I113" s="186"/>
      <c r="J113" s="187" t="s">
        <v>105</v>
      </c>
      <c r="K113" s="211">
        <f>SUM(K106:K112)</f>
        <v>796313.62</v>
      </c>
      <c r="L113" s="188"/>
      <c r="M113" s="190"/>
      <c r="N113" s="188"/>
      <c r="O113" s="191"/>
      <c r="P113" s="195"/>
    </row>
    <row r="114" spans="1:16" s="167" customFormat="1" ht="12" thickTop="1" x14ac:dyDescent="0.15">
      <c r="A114" s="133" t="s">
        <v>439</v>
      </c>
      <c r="B114" s="470" t="s">
        <v>449</v>
      </c>
      <c r="C114" s="470"/>
      <c r="D114" s="470"/>
      <c r="E114" s="183" t="s">
        <v>55</v>
      </c>
      <c r="F114" s="472">
        <v>113698184.48</v>
      </c>
      <c r="G114" s="472"/>
      <c r="H114" s="185" t="s">
        <v>56</v>
      </c>
      <c r="I114" s="186">
        <v>40500</v>
      </c>
      <c r="J114" s="187" t="s">
        <v>71</v>
      </c>
      <c r="K114" s="132">
        <v>120223</v>
      </c>
      <c r="L114" s="188"/>
      <c r="M114" s="190"/>
      <c r="N114" s="188"/>
      <c r="O114" s="191"/>
      <c r="P114" s="195"/>
    </row>
    <row r="115" spans="1:16" s="167" customFormat="1" ht="11.25" customHeight="1" thickBot="1" x14ac:dyDescent="0.2">
      <c r="A115" s="193"/>
      <c r="B115" s="470"/>
      <c r="C115" s="470"/>
      <c r="D115" s="470"/>
      <c r="E115" s="183"/>
      <c r="F115" s="472"/>
      <c r="G115" s="472"/>
      <c r="H115" s="185"/>
      <c r="I115" s="186"/>
      <c r="J115" s="187" t="s">
        <v>106</v>
      </c>
      <c r="K115" s="211">
        <f>SUM(K114)</f>
        <v>120223</v>
      </c>
      <c r="L115" s="188"/>
      <c r="M115" s="190"/>
      <c r="N115" s="188"/>
      <c r="O115" s="191"/>
      <c r="P115" s="195"/>
    </row>
    <row r="116" spans="1:16" s="167" customFormat="1" ht="12" thickTop="1" x14ac:dyDescent="0.15">
      <c r="A116" s="193"/>
      <c r="B116" s="470"/>
      <c r="C116" s="470"/>
      <c r="D116" s="470"/>
      <c r="E116" s="183"/>
      <c r="F116" s="472"/>
      <c r="G116" s="472"/>
      <c r="H116" s="185"/>
      <c r="I116" s="186"/>
      <c r="J116" s="187"/>
      <c r="K116" s="210"/>
      <c r="L116" s="188"/>
      <c r="M116" s="190"/>
      <c r="N116" s="188"/>
      <c r="O116" s="206" t="s">
        <v>33</v>
      </c>
      <c r="P116" s="207">
        <f>SUM(O105:O115)</f>
        <v>500208.5148620095</v>
      </c>
    </row>
    <row r="117" spans="1:16" s="167" customFormat="1" x14ac:dyDescent="0.15">
      <c r="A117" s="193"/>
      <c r="B117" s="470"/>
      <c r="C117" s="470"/>
      <c r="D117" s="470"/>
      <c r="E117" s="183"/>
      <c r="F117" s="472"/>
      <c r="G117" s="472"/>
      <c r="H117" s="185"/>
      <c r="I117" s="186"/>
      <c r="J117" s="187"/>
      <c r="K117" s="210"/>
      <c r="L117" s="188"/>
      <c r="M117" s="190"/>
      <c r="N117" s="188"/>
      <c r="O117" s="190"/>
      <c r="P117" s="197">
        <f>+P104-P116</f>
        <v>0</v>
      </c>
    </row>
  </sheetData>
  <sortState ref="A120:P149">
    <sortCondition ref="L120:L149"/>
  </sortState>
  <mergeCells count="32">
    <mergeCell ref="B116:D116"/>
    <mergeCell ref="F116:G116"/>
    <mergeCell ref="B117:D117"/>
    <mergeCell ref="F117:G117"/>
    <mergeCell ref="B114:D114"/>
    <mergeCell ref="F114:G114"/>
    <mergeCell ref="B115:D115"/>
    <mergeCell ref="F115:G115"/>
    <mergeCell ref="B111:D111"/>
    <mergeCell ref="F111:G111"/>
    <mergeCell ref="B112:D112"/>
    <mergeCell ref="F112:G112"/>
    <mergeCell ref="B113:D113"/>
    <mergeCell ref="F113:G113"/>
    <mergeCell ref="B108:D108"/>
    <mergeCell ref="F108:G108"/>
    <mergeCell ref="B109:D109"/>
    <mergeCell ref="F109:G109"/>
    <mergeCell ref="B110:D110"/>
    <mergeCell ref="F110:G110"/>
    <mergeCell ref="B105:D105"/>
    <mergeCell ref="F105:G105"/>
    <mergeCell ref="B106:D106"/>
    <mergeCell ref="F106:G106"/>
    <mergeCell ref="B107:D107"/>
    <mergeCell ref="F107:G107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20"/>
  <sheetViews>
    <sheetView zoomScale="115" zoomScaleNormal="115" workbookViewId="0">
      <pane ySplit="6" topLeftCell="A319" activePane="bottomLeft" state="frozen"/>
      <selection pane="bottomLeft" activeCell="A7" sqref="A7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.85546875" style="132" bestFit="1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.5703125" style="132" bestFit="1" customWidth="1"/>
    <col min="16" max="16384" width="18.5703125" style="134"/>
  </cols>
  <sheetData>
    <row r="1" spans="1:15" x14ac:dyDescent="0.15">
      <c r="A1" s="130" t="s">
        <v>3380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3357</v>
      </c>
      <c r="B7" s="146"/>
      <c r="C7" s="152">
        <v>323366.06536201196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323366.06536201196</v>
      </c>
      <c r="O7" s="147">
        <f>+C380</f>
        <v>1642253.4603620118</v>
      </c>
    </row>
    <row r="8" spans="1:15" x14ac:dyDescent="0.15">
      <c r="A8" s="154" t="s">
        <v>3358</v>
      </c>
      <c r="B8" s="151"/>
      <c r="C8" s="152">
        <v>219761.408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323366.06536201196</v>
      </c>
      <c r="O8" s="152">
        <f t="shared" ref="O8:O9" si="0">O7+G8-I8-L8</f>
        <v>1642253.4603620118</v>
      </c>
    </row>
    <row r="9" spans="1:15" x14ac:dyDescent="0.15">
      <c r="A9" s="157" t="s">
        <v>3359</v>
      </c>
      <c r="B9" s="151"/>
      <c r="C9" s="152">
        <v>551345.94199999899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" si="1">+N8-I9-L9</f>
        <v>323366.06536201196</v>
      </c>
      <c r="O9" s="152">
        <f t="shared" si="0"/>
        <v>1642253.4603620118</v>
      </c>
    </row>
    <row r="10" spans="1:15" x14ac:dyDescent="0.15">
      <c r="A10" s="154" t="s">
        <v>3360</v>
      </c>
      <c r="B10" s="151"/>
      <c r="C10" s="152">
        <v>152064.279000001</v>
      </c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227">
        <f t="shared" ref="N10:N17" si="2">+N9-I10-L10</f>
        <v>323366.06536201196</v>
      </c>
      <c r="O10" s="152">
        <f t="shared" ref="O10:O17" si="3">O9+G10-I10-L10</f>
        <v>1642253.4603620118</v>
      </c>
    </row>
    <row r="11" spans="1:15" x14ac:dyDescent="0.15">
      <c r="A11" s="154" t="s">
        <v>3361</v>
      </c>
      <c r="B11" s="151"/>
      <c r="C11" s="152">
        <v>219895.16</v>
      </c>
      <c r="D11" s="323"/>
      <c r="E11" s="154"/>
      <c r="F11" s="157"/>
      <c r="G11" s="152"/>
      <c r="H11" s="323"/>
      <c r="I11" s="152"/>
      <c r="J11" s="154"/>
      <c r="K11" s="157"/>
      <c r="L11" s="227"/>
      <c r="M11" s="154"/>
      <c r="N11" s="227">
        <f t="shared" si="2"/>
        <v>323366.06536201196</v>
      </c>
      <c r="O11" s="152">
        <f t="shared" si="3"/>
        <v>1642253.4603620118</v>
      </c>
    </row>
    <row r="12" spans="1:15" x14ac:dyDescent="0.15">
      <c r="A12" s="154" t="s">
        <v>3362</v>
      </c>
      <c r="B12" s="151"/>
      <c r="C12" s="152">
        <v>175820.606</v>
      </c>
      <c r="D12" s="323"/>
      <c r="E12" s="154"/>
      <c r="F12" s="157"/>
      <c r="G12" s="152"/>
      <c r="H12" s="323"/>
      <c r="I12" s="152"/>
      <c r="J12" s="154"/>
      <c r="K12" s="157"/>
      <c r="L12" s="227"/>
      <c r="M12" s="154"/>
      <c r="N12" s="227">
        <f t="shared" si="2"/>
        <v>323366.06536201196</v>
      </c>
      <c r="O12" s="152">
        <f t="shared" si="3"/>
        <v>1642253.4603620118</v>
      </c>
    </row>
    <row r="13" spans="1:15" x14ac:dyDescent="0.15">
      <c r="A13" s="154"/>
      <c r="B13" s="151"/>
      <c r="C13" s="152"/>
      <c r="D13" s="323"/>
      <c r="E13" s="154"/>
      <c r="F13" s="157"/>
      <c r="G13" s="152"/>
      <c r="H13" s="323"/>
      <c r="I13" s="152"/>
      <c r="J13" s="154"/>
      <c r="K13" s="157"/>
      <c r="L13" s="227"/>
      <c r="M13" s="154"/>
      <c r="N13" s="227">
        <f t="shared" si="2"/>
        <v>323366.06536201196</v>
      </c>
      <c r="O13" s="152">
        <f t="shared" si="3"/>
        <v>1642253.4603620118</v>
      </c>
    </row>
    <row r="14" spans="1:15" x14ac:dyDescent="0.15">
      <c r="A14" s="154"/>
      <c r="B14" s="151"/>
      <c r="C14" s="152"/>
      <c r="D14" s="323" t="s">
        <v>3381</v>
      </c>
      <c r="E14" s="154" t="s">
        <v>72</v>
      </c>
      <c r="F14" s="157" t="s">
        <v>3362</v>
      </c>
      <c r="G14" s="152">
        <v>219742.37100000001</v>
      </c>
      <c r="H14" s="323" t="s">
        <v>3381</v>
      </c>
      <c r="I14" s="152">
        <v>10931.429</v>
      </c>
      <c r="J14" s="157" t="s">
        <v>3357</v>
      </c>
      <c r="K14" s="157">
        <v>5800361788</v>
      </c>
      <c r="L14" s="227">
        <v>13589</v>
      </c>
      <c r="M14" s="157" t="s">
        <v>3357</v>
      </c>
      <c r="N14" s="227">
        <f t="shared" si="2"/>
        <v>298845.63636201195</v>
      </c>
      <c r="O14" s="152">
        <f t="shared" si="3"/>
        <v>1837475.4023620118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3381</v>
      </c>
      <c r="I15" s="152"/>
      <c r="J15" s="157"/>
      <c r="K15" s="157">
        <v>5800361788</v>
      </c>
      <c r="L15" s="227">
        <v>13263</v>
      </c>
      <c r="M15" s="157" t="s">
        <v>3357</v>
      </c>
      <c r="N15" s="227">
        <f t="shared" si="2"/>
        <v>285582.63636201195</v>
      </c>
      <c r="O15" s="152">
        <f t="shared" si="3"/>
        <v>1824212.4023620118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3381</v>
      </c>
      <c r="I16" s="152"/>
      <c r="J16" s="157"/>
      <c r="K16" s="157">
        <v>5800361788</v>
      </c>
      <c r="L16" s="227">
        <v>14073</v>
      </c>
      <c r="M16" s="157" t="s">
        <v>3357</v>
      </c>
      <c r="N16" s="227">
        <f t="shared" si="2"/>
        <v>271509.63636201195</v>
      </c>
      <c r="O16" s="152">
        <f t="shared" si="3"/>
        <v>1810139.4023620118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3381</v>
      </c>
      <c r="I17" s="152"/>
      <c r="J17" s="157"/>
      <c r="K17" s="157">
        <v>5800361788</v>
      </c>
      <c r="L17" s="227">
        <v>13467</v>
      </c>
      <c r="M17" s="157" t="s">
        <v>3357</v>
      </c>
      <c r="N17" s="227">
        <f t="shared" si="2"/>
        <v>258042.63636201195</v>
      </c>
      <c r="O17" s="152">
        <f t="shared" si="3"/>
        <v>1796672.4023620118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3381</v>
      </c>
      <c r="I18" s="152"/>
      <c r="J18" s="157"/>
      <c r="K18" s="157">
        <v>5800361788</v>
      </c>
      <c r="L18" s="227">
        <v>12251</v>
      </c>
      <c r="M18" s="157" t="s">
        <v>3357</v>
      </c>
      <c r="N18" s="227">
        <f t="shared" ref="N18:N83" si="4">+N17-I18-L18</f>
        <v>245791.63636201195</v>
      </c>
      <c r="O18" s="152">
        <f t="shared" ref="O18:O83" si="5">O17+G18-I18-L18</f>
        <v>1784421.4023620118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3381</v>
      </c>
      <c r="I19" s="152"/>
      <c r="J19" s="157"/>
      <c r="K19" s="157">
        <v>5800361788</v>
      </c>
      <c r="L19" s="227">
        <v>14448</v>
      </c>
      <c r="M19" s="157" t="s">
        <v>3357</v>
      </c>
      <c r="N19" s="227">
        <f t="shared" si="4"/>
        <v>231343.63636201195</v>
      </c>
      <c r="O19" s="152">
        <f t="shared" si="5"/>
        <v>1769973.4023620118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3381</v>
      </c>
      <c r="I20" s="152"/>
      <c r="J20" s="157"/>
      <c r="K20" s="157">
        <v>5800361788</v>
      </c>
      <c r="L20" s="227">
        <v>14116</v>
      </c>
      <c r="M20" s="157" t="s">
        <v>3357</v>
      </c>
      <c r="N20" s="227">
        <f t="shared" si="4"/>
        <v>217227.63636201195</v>
      </c>
      <c r="O20" s="152">
        <f t="shared" si="5"/>
        <v>1755857.4023620118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3381</v>
      </c>
      <c r="I21" s="152"/>
      <c r="J21" s="157"/>
      <c r="K21" s="157">
        <v>5800361788</v>
      </c>
      <c r="L21" s="227">
        <v>10646</v>
      </c>
      <c r="M21" s="157" t="s">
        <v>3357</v>
      </c>
      <c r="N21" s="227">
        <f t="shared" si="4"/>
        <v>206581.63636201195</v>
      </c>
      <c r="O21" s="152">
        <f t="shared" si="5"/>
        <v>1745211.4023620118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3381</v>
      </c>
      <c r="I22" s="152"/>
      <c r="J22" s="157"/>
      <c r="K22" s="157">
        <v>5800361788</v>
      </c>
      <c r="L22" s="227">
        <v>15665.466</v>
      </c>
      <c r="M22" s="157" t="s">
        <v>3357</v>
      </c>
      <c r="N22" s="227">
        <f t="shared" si="4"/>
        <v>190916.17036201194</v>
      </c>
      <c r="O22" s="152">
        <f t="shared" si="5"/>
        <v>1729545.9363620118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3381</v>
      </c>
      <c r="I23" s="152"/>
      <c r="J23" s="154"/>
      <c r="K23" s="157">
        <v>5800361788</v>
      </c>
      <c r="L23" s="227">
        <v>15995.266</v>
      </c>
      <c r="M23" s="157" t="s">
        <v>3357</v>
      </c>
      <c r="N23" s="227">
        <f t="shared" si="4"/>
        <v>174920.90436201193</v>
      </c>
      <c r="O23" s="152">
        <f t="shared" si="5"/>
        <v>1713550.6703620118</v>
      </c>
    </row>
    <row r="24" spans="1:15" x14ac:dyDescent="0.15">
      <c r="A24" s="154"/>
      <c r="B24" s="151"/>
      <c r="C24" s="152"/>
      <c r="D24" s="323" t="s">
        <v>3382</v>
      </c>
      <c r="E24" s="154" t="s">
        <v>72</v>
      </c>
      <c r="F24" s="157" t="s">
        <v>3362</v>
      </c>
      <c r="G24" s="152">
        <v>131831.443</v>
      </c>
      <c r="H24" s="323" t="s">
        <v>3382</v>
      </c>
      <c r="I24" s="152">
        <v>13398.273000000001</v>
      </c>
      <c r="J24" s="157" t="s">
        <v>3357</v>
      </c>
      <c r="K24" s="157">
        <v>5800361788</v>
      </c>
      <c r="L24" s="227">
        <v>14440.625</v>
      </c>
      <c r="M24" s="157" t="s">
        <v>3357</v>
      </c>
      <c r="N24" s="227">
        <f t="shared" si="4"/>
        <v>147082.00636201195</v>
      </c>
      <c r="O24" s="152">
        <f t="shared" si="5"/>
        <v>1817543.2153620117</v>
      </c>
    </row>
    <row r="25" spans="1:15" x14ac:dyDescent="0.15">
      <c r="A25" s="154"/>
      <c r="B25" s="151"/>
      <c r="C25" s="152"/>
      <c r="D25" s="323" t="s">
        <v>3382</v>
      </c>
      <c r="E25" s="154" t="s">
        <v>72</v>
      </c>
      <c r="F25" s="157" t="s">
        <v>3415</v>
      </c>
      <c r="G25" s="152">
        <v>131836.20300000001</v>
      </c>
      <c r="H25" s="323" t="s">
        <v>3382</v>
      </c>
      <c r="I25" s="152"/>
      <c r="J25" s="157"/>
      <c r="K25" s="157">
        <v>5800361788</v>
      </c>
      <c r="L25" s="227">
        <v>12899.064</v>
      </c>
      <c r="M25" s="157" t="s">
        <v>3357</v>
      </c>
      <c r="N25" s="227">
        <f t="shared" si="4"/>
        <v>134182.94236201193</v>
      </c>
      <c r="O25" s="152">
        <f t="shared" si="5"/>
        <v>1936480.3543620117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3382</v>
      </c>
      <c r="I26" s="152"/>
      <c r="J26" s="157"/>
      <c r="K26" s="157">
        <v>5800361788</v>
      </c>
      <c r="L26" s="227">
        <v>17646.871999999999</v>
      </c>
      <c r="M26" s="157" t="s">
        <v>3357</v>
      </c>
      <c r="N26" s="227">
        <f t="shared" si="4"/>
        <v>116536.07036201193</v>
      </c>
      <c r="O26" s="152">
        <f t="shared" si="5"/>
        <v>1918833.4823620117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3382</v>
      </c>
      <c r="I27" s="152"/>
      <c r="J27" s="157"/>
      <c r="K27" s="157">
        <v>5800361788</v>
      </c>
      <c r="L27" s="227">
        <v>13891.067999999999</v>
      </c>
      <c r="M27" s="157" t="s">
        <v>3357</v>
      </c>
      <c r="N27" s="227">
        <f t="shared" si="4"/>
        <v>102645.00236201193</v>
      </c>
      <c r="O27" s="152">
        <f t="shared" si="5"/>
        <v>1904942.4143620117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3382</v>
      </c>
      <c r="I28" s="152"/>
      <c r="J28" s="154"/>
      <c r="K28" s="157">
        <v>5800361788</v>
      </c>
      <c r="L28" s="227">
        <v>16529.741000000002</v>
      </c>
      <c r="M28" s="157" t="s">
        <v>3357</v>
      </c>
      <c r="N28" s="227">
        <f t="shared" si="4"/>
        <v>86115.261362011923</v>
      </c>
      <c r="O28" s="152">
        <f t="shared" si="5"/>
        <v>1888412.6733620118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3382</v>
      </c>
      <c r="I29" s="152"/>
      <c r="J29" s="157"/>
      <c r="K29" s="157">
        <v>5800361788</v>
      </c>
      <c r="L29" s="227">
        <v>41754.286999999997</v>
      </c>
      <c r="M29" s="157" t="s">
        <v>3357</v>
      </c>
      <c r="N29" s="227">
        <f t="shared" si="4"/>
        <v>44360.974362011926</v>
      </c>
      <c r="O29" s="152">
        <f t="shared" si="5"/>
        <v>1846658.3863620118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3382</v>
      </c>
      <c r="I30" s="152"/>
      <c r="J30" s="157"/>
      <c r="K30" s="157">
        <v>5800361788</v>
      </c>
      <c r="L30" s="227">
        <v>15528.727000000001</v>
      </c>
      <c r="M30" s="157" t="s">
        <v>3357</v>
      </c>
      <c r="N30" s="227">
        <f t="shared" ref="N30:N47" si="6">+N29-I30-L30</f>
        <v>28832.247362011927</v>
      </c>
      <c r="O30" s="152">
        <f t="shared" ref="O30:O47" si="7">O29+G30-I30-L30</f>
        <v>1831129.6593620118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3382</v>
      </c>
      <c r="I31" s="152"/>
      <c r="J31" s="157"/>
      <c r="K31" s="157">
        <v>5800361788</v>
      </c>
      <c r="L31" s="227">
        <v>9467.5879999999997</v>
      </c>
      <c r="M31" s="157" t="s">
        <v>3357</v>
      </c>
      <c r="N31" s="227">
        <f t="shared" si="6"/>
        <v>19364.659362011927</v>
      </c>
      <c r="O31" s="152">
        <f t="shared" si="7"/>
        <v>1821662.0713620118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3382</v>
      </c>
      <c r="I32" s="152"/>
      <c r="J32" s="157"/>
      <c r="K32" s="157">
        <v>5800361788</v>
      </c>
      <c r="L32" s="227">
        <v>10258.672</v>
      </c>
      <c r="M32" s="157" t="s">
        <v>3357</v>
      </c>
      <c r="N32" s="227">
        <f t="shared" si="6"/>
        <v>9105.987362011927</v>
      </c>
      <c r="O32" s="152">
        <f t="shared" si="7"/>
        <v>1811403.3993620118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3382</v>
      </c>
      <c r="I33" s="152"/>
      <c r="J33" s="154"/>
      <c r="K33" s="157">
        <v>5800361788</v>
      </c>
      <c r="L33" s="227">
        <v>9105.987362011927</v>
      </c>
      <c r="M33" s="157" t="s">
        <v>3357</v>
      </c>
      <c r="N33" s="227">
        <f t="shared" si="6"/>
        <v>0</v>
      </c>
      <c r="O33" s="152">
        <f t="shared" si="7"/>
        <v>1802297.4119999998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3382</v>
      </c>
      <c r="I34" s="152"/>
      <c r="J34" s="154"/>
      <c r="K34" s="157">
        <v>5800361493</v>
      </c>
      <c r="L34" s="227">
        <v>5705.98863798807</v>
      </c>
      <c r="M34" s="157" t="s">
        <v>3358</v>
      </c>
      <c r="N34" s="227">
        <f>C8+N33-I34-L34</f>
        <v>214055.41936201192</v>
      </c>
      <c r="O34" s="152">
        <f t="shared" si="7"/>
        <v>1796591.4233620118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3382</v>
      </c>
      <c r="I35" s="152"/>
      <c r="J35" s="154"/>
      <c r="K35" s="157">
        <v>5800361493</v>
      </c>
      <c r="L35" s="227">
        <v>4150.6310000000003</v>
      </c>
      <c r="M35" s="157" t="s">
        <v>3358</v>
      </c>
      <c r="N35" s="227">
        <f t="shared" si="6"/>
        <v>209904.78836201192</v>
      </c>
      <c r="O35" s="152">
        <f t="shared" si="7"/>
        <v>1792440.7923620117</v>
      </c>
    </row>
    <row r="36" spans="1:15" x14ac:dyDescent="0.15">
      <c r="A36" s="154"/>
      <c r="B36" s="151"/>
      <c r="C36" s="152"/>
      <c r="D36" s="323" t="s">
        <v>3383</v>
      </c>
      <c r="E36" s="154" t="s">
        <v>72</v>
      </c>
      <c r="F36" s="157" t="s">
        <v>3415</v>
      </c>
      <c r="G36" s="152">
        <v>87845.364000000001</v>
      </c>
      <c r="H36" s="323" t="s">
        <v>3383</v>
      </c>
      <c r="I36" s="152">
        <v>11025.718000000001</v>
      </c>
      <c r="J36" s="157" t="s">
        <v>3358</v>
      </c>
      <c r="K36" s="157">
        <v>5800361493</v>
      </c>
      <c r="L36" s="227">
        <v>14495.876</v>
      </c>
      <c r="M36" s="157" t="s">
        <v>3358</v>
      </c>
      <c r="N36" s="227">
        <f t="shared" si="6"/>
        <v>184383.19436201194</v>
      </c>
      <c r="O36" s="152">
        <f t="shared" si="7"/>
        <v>1854764.5623620118</v>
      </c>
    </row>
    <row r="37" spans="1:15" x14ac:dyDescent="0.15">
      <c r="A37" s="154"/>
      <c r="B37" s="151"/>
      <c r="C37" s="152"/>
      <c r="D37" s="323" t="s">
        <v>3383</v>
      </c>
      <c r="E37" s="154" t="s">
        <v>72</v>
      </c>
      <c r="F37" s="157" t="s">
        <v>3416</v>
      </c>
      <c r="G37" s="152">
        <v>175895.30499999999</v>
      </c>
      <c r="H37" s="323" t="s">
        <v>3383</v>
      </c>
      <c r="I37" s="152"/>
      <c r="J37" s="157"/>
      <c r="K37" s="157">
        <v>5800361493</v>
      </c>
      <c r="L37" s="227">
        <v>12263.971</v>
      </c>
      <c r="M37" s="157" t="s">
        <v>3358</v>
      </c>
      <c r="N37" s="227">
        <f t="shared" si="6"/>
        <v>172119.22336201195</v>
      </c>
      <c r="O37" s="152">
        <f t="shared" si="7"/>
        <v>2018395.8963620118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3383</v>
      </c>
      <c r="I38" s="152"/>
      <c r="J38" s="157"/>
      <c r="K38" s="157">
        <v>5800361493</v>
      </c>
      <c r="L38" s="227">
        <v>14275.787</v>
      </c>
      <c r="M38" s="157" t="s">
        <v>3358</v>
      </c>
      <c r="N38" s="227">
        <f t="shared" si="6"/>
        <v>157843.43636201194</v>
      </c>
      <c r="O38" s="152">
        <f t="shared" si="7"/>
        <v>2004120.1093620118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3383</v>
      </c>
      <c r="I39" s="152"/>
      <c r="J39" s="157"/>
      <c r="K39" s="157">
        <v>5800361493</v>
      </c>
      <c r="L39" s="227">
        <v>13901.635</v>
      </c>
      <c r="M39" s="157" t="s">
        <v>3358</v>
      </c>
      <c r="N39" s="227">
        <f t="shared" si="6"/>
        <v>143941.80136201193</v>
      </c>
      <c r="O39" s="152">
        <f t="shared" si="7"/>
        <v>1990218.4743620118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3383</v>
      </c>
      <c r="I40" s="152"/>
      <c r="J40" s="157"/>
      <c r="K40" s="157">
        <v>5800361493</v>
      </c>
      <c r="L40" s="227">
        <v>14641.934999999999</v>
      </c>
      <c r="M40" s="157" t="s">
        <v>3358</v>
      </c>
      <c r="N40" s="227">
        <f t="shared" si="6"/>
        <v>129299.86636201193</v>
      </c>
      <c r="O40" s="152">
        <f t="shared" si="7"/>
        <v>1975576.5393620117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3383</v>
      </c>
      <c r="I41" s="152"/>
      <c r="J41" s="157"/>
      <c r="K41" s="157">
        <v>5800361493</v>
      </c>
      <c r="L41" s="227">
        <v>10801.378000000001</v>
      </c>
      <c r="M41" s="157" t="s">
        <v>3358</v>
      </c>
      <c r="N41" s="227">
        <f t="shared" si="6"/>
        <v>118498.48836201194</v>
      </c>
      <c r="O41" s="152">
        <f t="shared" si="7"/>
        <v>1964775.1613620117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3383</v>
      </c>
      <c r="I42" s="152"/>
      <c r="J42" s="157"/>
      <c r="K42" s="157">
        <v>5800361493</v>
      </c>
      <c r="L42" s="227">
        <v>14935.877</v>
      </c>
      <c r="M42" s="157" t="s">
        <v>3358</v>
      </c>
      <c r="N42" s="227">
        <f t="shared" si="6"/>
        <v>103562.61136201193</v>
      </c>
      <c r="O42" s="152">
        <f t="shared" si="7"/>
        <v>1949839.2843620116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3383</v>
      </c>
      <c r="I43" s="152"/>
      <c r="J43" s="157"/>
      <c r="K43" s="157">
        <v>5800361493</v>
      </c>
      <c r="L43" s="227">
        <v>14842.951999999999</v>
      </c>
      <c r="M43" s="157" t="s">
        <v>3358</v>
      </c>
      <c r="N43" s="227">
        <f t="shared" si="6"/>
        <v>88719.659362011924</v>
      </c>
      <c r="O43" s="152">
        <f t="shared" si="7"/>
        <v>1934996.3323620115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3383</v>
      </c>
      <c r="I44" s="152"/>
      <c r="J44" s="157"/>
      <c r="K44" s="157">
        <v>5800361493</v>
      </c>
      <c r="L44" s="227">
        <v>4032.7269999999999</v>
      </c>
      <c r="M44" s="157" t="s">
        <v>3358</v>
      </c>
      <c r="N44" s="227">
        <f t="shared" si="6"/>
        <v>84686.932362011925</v>
      </c>
      <c r="O44" s="152">
        <f t="shared" si="7"/>
        <v>1930963.6053620116</v>
      </c>
    </row>
    <row r="45" spans="1:15" x14ac:dyDescent="0.15">
      <c r="A45" s="154"/>
      <c r="B45" s="151"/>
      <c r="C45" s="152"/>
      <c r="D45" s="323" t="s">
        <v>3384</v>
      </c>
      <c r="E45" s="154" t="s">
        <v>72</v>
      </c>
      <c r="F45" s="157" t="s">
        <v>3416</v>
      </c>
      <c r="G45" s="152">
        <v>263686.516</v>
      </c>
      <c r="H45" s="323" t="s">
        <v>3384</v>
      </c>
      <c r="I45" s="152">
        <v>12699.941999999999</v>
      </c>
      <c r="J45" s="157" t="s">
        <v>3358</v>
      </c>
      <c r="K45" s="157">
        <v>5800361493</v>
      </c>
      <c r="L45" s="227">
        <v>14270.315000000001</v>
      </c>
      <c r="M45" s="157" t="s">
        <v>3358</v>
      </c>
      <c r="N45" s="227">
        <f t="shared" si="6"/>
        <v>57716.675362011927</v>
      </c>
      <c r="O45" s="152">
        <f t="shared" si="7"/>
        <v>2167679.8643620117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3384</v>
      </c>
      <c r="I46" s="152"/>
      <c r="J46" s="157"/>
      <c r="K46" s="157">
        <v>5800361493</v>
      </c>
      <c r="L46" s="227">
        <v>13971.495999999999</v>
      </c>
      <c r="M46" s="157" t="s">
        <v>3358</v>
      </c>
      <c r="N46" s="227">
        <f t="shared" si="6"/>
        <v>43745.179362011928</v>
      </c>
      <c r="O46" s="152">
        <f t="shared" si="7"/>
        <v>2153708.3683620119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3384</v>
      </c>
      <c r="I47" s="152"/>
      <c r="J47" s="157"/>
      <c r="K47" s="157">
        <v>5800361493</v>
      </c>
      <c r="L47" s="227">
        <v>13187.973</v>
      </c>
      <c r="M47" s="157" t="s">
        <v>3358</v>
      </c>
      <c r="N47" s="227">
        <f t="shared" si="6"/>
        <v>30557.20636201193</v>
      </c>
      <c r="O47" s="152">
        <f t="shared" si="7"/>
        <v>2140520.3953620116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3384</v>
      </c>
      <c r="I48" s="152"/>
      <c r="J48" s="157"/>
      <c r="K48" s="157">
        <v>5800361493</v>
      </c>
      <c r="L48" s="227">
        <v>13525.768</v>
      </c>
      <c r="M48" s="157" t="s">
        <v>3358</v>
      </c>
      <c r="N48" s="227">
        <f t="shared" si="4"/>
        <v>17031.43836201193</v>
      </c>
      <c r="O48" s="152">
        <f t="shared" si="5"/>
        <v>2126994.6273620115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3384</v>
      </c>
      <c r="I49" s="152"/>
      <c r="J49" s="157"/>
      <c r="K49" s="157">
        <v>5800361493</v>
      </c>
      <c r="L49" s="227">
        <v>16795.776999999998</v>
      </c>
      <c r="M49" s="157" t="s">
        <v>3358</v>
      </c>
      <c r="N49" s="227">
        <f t="shared" si="4"/>
        <v>235.66136201193149</v>
      </c>
      <c r="O49" s="152">
        <f t="shared" si="5"/>
        <v>2110198.8503620117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3384</v>
      </c>
      <c r="I50" s="152"/>
      <c r="J50" s="157"/>
      <c r="K50" s="157">
        <v>5800361493</v>
      </c>
      <c r="L50" s="227">
        <v>235.66136201193149</v>
      </c>
      <c r="M50" s="154" t="s">
        <v>3358</v>
      </c>
      <c r="N50" s="227">
        <f t="shared" ref="N50:N54" si="8">+N49-I50-L50</f>
        <v>0</v>
      </c>
      <c r="O50" s="152">
        <f t="shared" ref="O50:O54" si="9">O49+G50-I50-L50</f>
        <v>2109963.1889999998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/>
      <c r="I51" s="152"/>
      <c r="J51" s="157"/>
      <c r="K51" s="157">
        <v>5800361788</v>
      </c>
      <c r="L51" s="227">
        <v>37125.5986379881</v>
      </c>
      <c r="M51" s="157" t="s">
        <v>3359</v>
      </c>
      <c r="N51" s="227">
        <f>C9+N50-I51-L51</f>
        <v>514220.3433620109</v>
      </c>
      <c r="O51" s="152">
        <f t="shared" si="9"/>
        <v>2072837.5903620117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3384</v>
      </c>
      <c r="I52" s="152"/>
      <c r="J52" s="157"/>
      <c r="K52" s="157">
        <v>5800361788</v>
      </c>
      <c r="L52" s="227">
        <v>16016.252</v>
      </c>
      <c r="M52" s="157" t="s">
        <v>3359</v>
      </c>
      <c r="N52" s="227">
        <f t="shared" si="8"/>
        <v>498204.09136201092</v>
      </c>
      <c r="O52" s="152">
        <f t="shared" si="9"/>
        <v>2056821.3383620116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3384</v>
      </c>
      <c r="I53" s="152"/>
      <c r="J53" s="157"/>
      <c r="K53" s="157">
        <v>5800361788</v>
      </c>
      <c r="L53" s="227">
        <v>16416.008999999998</v>
      </c>
      <c r="M53" s="157" t="s">
        <v>3359</v>
      </c>
      <c r="N53" s="227">
        <f t="shared" si="8"/>
        <v>481788.0823620109</v>
      </c>
      <c r="O53" s="152">
        <f t="shared" si="9"/>
        <v>2040405.3293620115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3384</v>
      </c>
      <c r="I54" s="152"/>
      <c r="J54" s="157"/>
      <c r="K54" s="157">
        <v>5800361788</v>
      </c>
      <c r="L54" s="227">
        <v>9800.0349999999999</v>
      </c>
      <c r="M54" s="157" t="s">
        <v>3359</v>
      </c>
      <c r="N54" s="227">
        <f t="shared" si="8"/>
        <v>471988.04736201093</v>
      </c>
      <c r="O54" s="152">
        <f t="shared" si="9"/>
        <v>2030605.2943620116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3384</v>
      </c>
      <c r="I55" s="152"/>
      <c r="J55" s="157"/>
      <c r="K55" s="157">
        <v>5800361788</v>
      </c>
      <c r="L55" s="227">
        <v>13488.16</v>
      </c>
      <c r="M55" s="157" t="s">
        <v>3359</v>
      </c>
      <c r="N55" s="227">
        <f t="shared" si="4"/>
        <v>458499.88736201095</v>
      </c>
      <c r="O55" s="152">
        <f t="shared" si="5"/>
        <v>2017117.1343620117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3384</v>
      </c>
      <c r="I56" s="152"/>
      <c r="J56" s="157"/>
      <c r="K56" s="157">
        <v>5800361788</v>
      </c>
      <c r="L56" s="227">
        <v>15679.048000000001</v>
      </c>
      <c r="M56" s="157" t="s">
        <v>3359</v>
      </c>
      <c r="N56" s="227">
        <f t="shared" si="4"/>
        <v>442820.83936201094</v>
      </c>
      <c r="O56" s="152">
        <f t="shared" si="5"/>
        <v>2001438.0863620117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3384</v>
      </c>
      <c r="I57" s="152"/>
      <c r="J57" s="157"/>
      <c r="K57" s="157">
        <v>5800361788</v>
      </c>
      <c r="L57" s="227">
        <v>4063.9389999999999</v>
      </c>
      <c r="M57" s="157" t="s">
        <v>3359</v>
      </c>
      <c r="N57" s="227">
        <f t="shared" si="4"/>
        <v>438756.90036201093</v>
      </c>
      <c r="O57" s="152">
        <f t="shared" si="5"/>
        <v>1997374.1473620117</v>
      </c>
    </row>
    <row r="58" spans="1:15" x14ac:dyDescent="0.15">
      <c r="A58" s="154"/>
      <c r="B58" s="151"/>
      <c r="C58" s="152"/>
      <c r="D58" s="323" t="s">
        <v>3385</v>
      </c>
      <c r="E58" s="154" t="s">
        <v>72</v>
      </c>
      <c r="F58" s="157" t="s">
        <v>3416</v>
      </c>
      <c r="G58" s="152">
        <v>100386.20399999886</v>
      </c>
      <c r="H58" s="323" t="s">
        <v>3385</v>
      </c>
      <c r="I58" s="152">
        <v>14317.022000000001</v>
      </c>
      <c r="J58" s="157" t="s">
        <v>3359</v>
      </c>
      <c r="K58" s="157">
        <v>5800361788</v>
      </c>
      <c r="L58" s="227">
        <v>13210.387000000001</v>
      </c>
      <c r="M58" s="157" t="s">
        <v>3359</v>
      </c>
      <c r="N58" s="227">
        <f t="shared" si="4"/>
        <v>411229.49136201094</v>
      </c>
      <c r="O58" s="152">
        <f t="shared" si="5"/>
        <v>2070232.9423620102</v>
      </c>
    </row>
    <row r="59" spans="1:15" x14ac:dyDescent="0.15">
      <c r="A59" s="154"/>
      <c r="B59" s="151"/>
      <c r="C59" s="152"/>
      <c r="D59" s="323" t="s">
        <v>3385</v>
      </c>
      <c r="E59" s="154" t="s">
        <v>72</v>
      </c>
      <c r="F59" s="157" t="s">
        <v>3417</v>
      </c>
      <c r="G59" s="152">
        <v>163006.94300000099</v>
      </c>
      <c r="H59" s="323" t="s">
        <v>3385</v>
      </c>
      <c r="I59" s="152"/>
      <c r="J59" s="157"/>
      <c r="K59" s="157">
        <v>5800361788</v>
      </c>
      <c r="L59" s="227">
        <v>12221.084999999999</v>
      </c>
      <c r="M59" s="157" t="s">
        <v>3359</v>
      </c>
      <c r="N59" s="227">
        <f t="shared" si="4"/>
        <v>399008.40636201092</v>
      </c>
      <c r="O59" s="152">
        <f t="shared" si="5"/>
        <v>2221018.8003620114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3385</v>
      </c>
      <c r="I60" s="152"/>
      <c r="J60" s="157"/>
      <c r="K60" s="157">
        <v>5800361788</v>
      </c>
      <c r="L60" s="227">
        <v>14364.906999999999</v>
      </c>
      <c r="M60" s="157" t="s">
        <v>3359</v>
      </c>
      <c r="N60" s="227">
        <f t="shared" si="4"/>
        <v>384643.49936201092</v>
      </c>
      <c r="O60" s="152">
        <f t="shared" si="5"/>
        <v>2206653.8933620113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3385</v>
      </c>
      <c r="I61" s="152"/>
      <c r="J61" s="157"/>
      <c r="K61" s="157">
        <v>5800361788</v>
      </c>
      <c r="L61" s="227">
        <v>13365.592000000001</v>
      </c>
      <c r="M61" s="157" t="s">
        <v>3359</v>
      </c>
      <c r="N61" s="227">
        <f t="shared" si="4"/>
        <v>371277.90736201091</v>
      </c>
      <c r="O61" s="152">
        <f t="shared" si="5"/>
        <v>2193288.3013620111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3385</v>
      </c>
      <c r="I62" s="152"/>
      <c r="J62" s="157"/>
      <c r="K62" s="157">
        <v>5800361788</v>
      </c>
      <c r="L62" s="227">
        <v>19109.151000000002</v>
      </c>
      <c r="M62" s="157" t="s">
        <v>3359</v>
      </c>
      <c r="N62" s="227">
        <f t="shared" si="4"/>
        <v>352168.7563620109</v>
      </c>
      <c r="O62" s="152">
        <f t="shared" si="5"/>
        <v>2174179.150362011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3385</v>
      </c>
      <c r="I63" s="152"/>
      <c r="J63" s="157"/>
      <c r="K63" s="157">
        <v>5800361788</v>
      </c>
      <c r="L63" s="227">
        <v>15006.752</v>
      </c>
      <c r="M63" s="157" t="s">
        <v>3359</v>
      </c>
      <c r="N63" s="227">
        <f t="shared" si="4"/>
        <v>337162.00436201092</v>
      </c>
      <c r="O63" s="152">
        <f t="shared" si="5"/>
        <v>2159172.3983620112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3385</v>
      </c>
      <c r="I64" s="152"/>
      <c r="J64" s="157"/>
      <c r="K64" s="157">
        <v>5800361788</v>
      </c>
      <c r="L64" s="227">
        <v>14399.953</v>
      </c>
      <c r="M64" s="157" t="s">
        <v>3359</v>
      </c>
      <c r="N64" s="227">
        <f t="shared" si="4"/>
        <v>322762.05136201094</v>
      </c>
      <c r="O64" s="152">
        <f t="shared" si="5"/>
        <v>2144772.445362011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3385</v>
      </c>
      <c r="I65" s="152"/>
      <c r="J65" s="157"/>
      <c r="K65" s="157">
        <v>5800361788</v>
      </c>
      <c r="L65" s="227">
        <v>15056.362999999999</v>
      </c>
      <c r="M65" s="157" t="s">
        <v>3359</v>
      </c>
      <c r="N65" s="227">
        <f t="shared" si="4"/>
        <v>307705.68836201093</v>
      </c>
      <c r="O65" s="152">
        <f t="shared" si="5"/>
        <v>2129716.0823620111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3385</v>
      </c>
      <c r="I66" s="152"/>
      <c r="J66" s="157"/>
      <c r="K66" s="157">
        <v>5800361788</v>
      </c>
      <c r="L66" s="227">
        <v>15226.277</v>
      </c>
      <c r="M66" s="157" t="s">
        <v>3359</v>
      </c>
      <c r="N66" s="227">
        <f t="shared" si="4"/>
        <v>292479.41136201093</v>
      </c>
      <c r="O66" s="152">
        <f t="shared" si="5"/>
        <v>2114489.8053620113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3385</v>
      </c>
      <c r="I67" s="152"/>
      <c r="J67" s="157"/>
      <c r="K67" s="157">
        <v>5800361788</v>
      </c>
      <c r="L67" s="227">
        <v>4055.9430000000002</v>
      </c>
      <c r="M67" s="157" t="s">
        <v>3359</v>
      </c>
      <c r="N67" s="227">
        <f t="shared" si="4"/>
        <v>288423.4683620109</v>
      </c>
      <c r="O67" s="152">
        <f t="shared" si="5"/>
        <v>2110433.8623620113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3386</v>
      </c>
      <c r="I68" s="152">
        <v>10664.468000000001</v>
      </c>
      <c r="J68" s="157" t="s">
        <v>3359</v>
      </c>
      <c r="K68" s="157">
        <v>5800361788</v>
      </c>
      <c r="L68" s="227">
        <v>14535.053</v>
      </c>
      <c r="M68" s="157" t="s">
        <v>3359</v>
      </c>
      <c r="N68" s="227">
        <f t="shared" si="4"/>
        <v>263223.94736201089</v>
      </c>
      <c r="O68" s="152">
        <f t="shared" si="5"/>
        <v>2085234.3413620114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3386</v>
      </c>
      <c r="I69" s="152"/>
      <c r="J69" s="157"/>
      <c r="K69" s="157">
        <v>5800361788</v>
      </c>
      <c r="L69" s="227">
        <v>13944.172</v>
      </c>
      <c r="M69" s="157" t="s">
        <v>3359</v>
      </c>
      <c r="N69" s="227">
        <f t="shared" si="4"/>
        <v>249279.7753620109</v>
      </c>
      <c r="O69" s="152">
        <f t="shared" si="5"/>
        <v>2071290.1693620114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3386</v>
      </c>
      <c r="I70" s="152"/>
      <c r="J70" s="157"/>
      <c r="K70" s="157">
        <v>5800361788</v>
      </c>
      <c r="L70" s="227">
        <v>13177.328</v>
      </c>
      <c r="M70" s="157" t="s">
        <v>3359</v>
      </c>
      <c r="N70" s="227">
        <f t="shared" si="4"/>
        <v>236102.44736201089</v>
      </c>
      <c r="O70" s="152">
        <f t="shared" si="5"/>
        <v>2058112.8413620114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3386</v>
      </c>
      <c r="I71" s="152"/>
      <c r="J71" s="157"/>
      <c r="K71" s="157">
        <v>5800361788</v>
      </c>
      <c r="L71" s="227">
        <v>13833.195</v>
      </c>
      <c r="M71" s="157" t="s">
        <v>3359</v>
      </c>
      <c r="N71" s="227">
        <f t="shared" si="4"/>
        <v>222269.25236201088</v>
      </c>
      <c r="O71" s="152">
        <f t="shared" si="5"/>
        <v>2044279.6463620113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3386</v>
      </c>
      <c r="I72" s="152"/>
      <c r="J72" s="157"/>
      <c r="K72" s="157">
        <v>5800361788</v>
      </c>
      <c r="L72" s="227">
        <v>17062.54</v>
      </c>
      <c r="M72" s="157" t="s">
        <v>3359</v>
      </c>
      <c r="N72" s="227">
        <f t="shared" si="4"/>
        <v>205206.71236201088</v>
      </c>
      <c r="O72" s="152">
        <f t="shared" si="5"/>
        <v>2027217.1063620113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3386</v>
      </c>
      <c r="I73" s="152"/>
      <c r="J73" s="157"/>
      <c r="K73" s="157">
        <v>5800361788</v>
      </c>
      <c r="L73" s="227">
        <v>16201.715</v>
      </c>
      <c r="M73" s="157" t="s">
        <v>3359</v>
      </c>
      <c r="N73" s="227">
        <f t="shared" si="4"/>
        <v>189004.99736201088</v>
      </c>
      <c r="O73" s="152">
        <f t="shared" si="5"/>
        <v>2011015.3913620112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3386</v>
      </c>
      <c r="I74" s="152"/>
      <c r="J74" s="157"/>
      <c r="K74" s="157">
        <v>5800361788</v>
      </c>
      <c r="L74" s="227">
        <v>12825.398999999999</v>
      </c>
      <c r="M74" s="157" t="s">
        <v>3359</v>
      </c>
      <c r="N74" s="227">
        <f t="shared" si="4"/>
        <v>176179.59836201087</v>
      </c>
      <c r="O74" s="152">
        <f t="shared" si="5"/>
        <v>1998189.9923620112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3386</v>
      </c>
      <c r="I75" s="152"/>
      <c r="J75" s="157"/>
      <c r="K75" s="157">
        <v>5800361788</v>
      </c>
      <c r="L75" s="227">
        <v>35997.701000000001</v>
      </c>
      <c r="M75" s="157" t="s">
        <v>3359</v>
      </c>
      <c r="N75" s="227">
        <f t="shared" si="4"/>
        <v>140181.89736201087</v>
      </c>
      <c r="O75" s="152">
        <f t="shared" si="5"/>
        <v>1962192.2913620113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3386</v>
      </c>
      <c r="I76" s="152"/>
      <c r="J76" s="157"/>
      <c r="K76" s="157">
        <v>5800361788</v>
      </c>
      <c r="L76" s="227">
        <v>13274.308000000001</v>
      </c>
      <c r="M76" s="157" t="s">
        <v>3359</v>
      </c>
      <c r="N76" s="227">
        <f t="shared" si="4"/>
        <v>126907.58936201087</v>
      </c>
      <c r="O76" s="152">
        <f t="shared" si="5"/>
        <v>1948917.9833620114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3386</v>
      </c>
      <c r="I77" s="152"/>
      <c r="J77" s="157"/>
      <c r="K77" s="157">
        <v>5800361788</v>
      </c>
      <c r="L77" s="227">
        <v>15334.89</v>
      </c>
      <c r="M77" s="157" t="s">
        <v>3359</v>
      </c>
      <c r="N77" s="227">
        <f t="shared" si="4"/>
        <v>111572.69936201087</v>
      </c>
      <c r="O77" s="152">
        <f t="shared" si="5"/>
        <v>1933583.0933620115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3386</v>
      </c>
      <c r="I78" s="152"/>
      <c r="J78" s="157"/>
      <c r="K78" s="157">
        <v>5800361788</v>
      </c>
      <c r="L78" s="227">
        <v>12989.094999999999</v>
      </c>
      <c r="M78" s="157" t="s">
        <v>3359</v>
      </c>
      <c r="N78" s="227">
        <f t="shared" si="4"/>
        <v>98583.604362010868</v>
      </c>
      <c r="O78" s="152">
        <f t="shared" si="5"/>
        <v>1920593.9983620115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3386</v>
      </c>
      <c r="I79" s="152"/>
      <c r="J79" s="157"/>
      <c r="K79" s="157">
        <v>5800361788</v>
      </c>
      <c r="L79" s="227">
        <v>15022.857</v>
      </c>
      <c r="M79" s="157" t="s">
        <v>3359</v>
      </c>
      <c r="N79" s="227">
        <f t="shared" si="4"/>
        <v>83560.747362010865</v>
      </c>
      <c r="O79" s="152">
        <f t="shared" si="5"/>
        <v>1905571.1413620114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3386</v>
      </c>
      <c r="I80" s="152"/>
      <c r="J80" s="157"/>
      <c r="K80" s="157">
        <v>5800361788</v>
      </c>
      <c r="L80" s="227">
        <v>5123.8819999999996</v>
      </c>
      <c r="M80" s="157" t="s">
        <v>3359</v>
      </c>
      <c r="N80" s="227">
        <f t="shared" si="4"/>
        <v>78436.865362010867</v>
      </c>
      <c r="O80" s="152">
        <f t="shared" si="5"/>
        <v>1900447.2593620114</v>
      </c>
    </row>
    <row r="81" spans="1:15" x14ac:dyDescent="0.15">
      <c r="A81" s="154"/>
      <c r="B81" s="151"/>
      <c r="C81" s="152"/>
      <c r="D81" s="323" t="s">
        <v>3387</v>
      </c>
      <c r="E81" s="154" t="s">
        <v>72</v>
      </c>
      <c r="F81" s="157" t="s">
        <v>3417</v>
      </c>
      <c r="G81" s="152">
        <v>131954.166</v>
      </c>
      <c r="H81" s="323" t="s">
        <v>3387</v>
      </c>
      <c r="I81" s="152">
        <v>12061.407999999999</v>
      </c>
      <c r="J81" s="157" t="s">
        <v>3359</v>
      </c>
      <c r="K81" s="157">
        <v>5800361788</v>
      </c>
      <c r="L81" s="227">
        <v>13807.197</v>
      </c>
      <c r="M81" s="157" t="s">
        <v>3359</v>
      </c>
      <c r="N81" s="227">
        <f t="shared" si="4"/>
        <v>52568.260362010871</v>
      </c>
      <c r="O81" s="152">
        <f t="shared" si="5"/>
        <v>2006532.8203620114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3387</v>
      </c>
      <c r="I82" s="152"/>
      <c r="J82" s="157"/>
      <c r="K82" s="157">
        <v>5800361788</v>
      </c>
      <c r="L82" s="227">
        <v>12390.767</v>
      </c>
      <c r="M82" s="157" t="s">
        <v>3359</v>
      </c>
      <c r="N82" s="227">
        <f t="shared" si="4"/>
        <v>40177.493362010871</v>
      </c>
      <c r="O82" s="152">
        <f t="shared" si="5"/>
        <v>1994142.0533620114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3387</v>
      </c>
      <c r="I83" s="152"/>
      <c r="J83" s="157"/>
      <c r="K83" s="157">
        <v>5800361788</v>
      </c>
      <c r="L83" s="227">
        <v>15408.683999999999</v>
      </c>
      <c r="M83" s="157" t="s">
        <v>3359</v>
      </c>
      <c r="N83" s="227">
        <f t="shared" si="4"/>
        <v>24768.80936201087</v>
      </c>
      <c r="O83" s="152">
        <f t="shared" si="5"/>
        <v>1978733.3693620116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3387</v>
      </c>
      <c r="I84" s="152"/>
      <c r="J84" s="157"/>
      <c r="K84" s="157">
        <v>5800361788</v>
      </c>
      <c r="L84" s="227">
        <v>8545.598</v>
      </c>
      <c r="M84" s="157" t="s">
        <v>3359</v>
      </c>
      <c r="N84" s="227">
        <f t="shared" ref="N84:N147" si="10">+N83-I84-L84</f>
        <v>16223.21136201087</v>
      </c>
      <c r="O84" s="152">
        <f t="shared" ref="O84:O147" si="11">O83+G84-I84-L84</f>
        <v>1970187.7713620116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3387</v>
      </c>
      <c r="I85" s="152"/>
      <c r="J85" s="157"/>
      <c r="K85" s="157">
        <v>5800361788</v>
      </c>
      <c r="L85" s="227">
        <v>16055.858</v>
      </c>
      <c r="M85" s="157" t="s">
        <v>3359</v>
      </c>
      <c r="N85" s="227">
        <f t="shared" si="10"/>
        <v>167.35336201087011</v>
      </c>
      <c r="O85" s="152">
        <f t="shared" si="11"/>
        <v>1954131.9133620115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3387</v>
      </c>
      <c r="I86" s="152"/>
      <c r="J86" s="157"/>
      <c r="K86" s="157">
        <v>5800361788</v>
      </c>
      <c r="L86" s="227">
        <v>167.35336201087011</v>
      </c>
      <c r="M86" s="157" t="s">
        <v>3359</v>
      </c>
      <c r="N86" s="227">
        <f t="shared" ref="N86:N92" si="12">+N85-I86-L86</f>
        <v>0</v>
      </c>
      <c r="O86" s="152">
        <f t="shared" ref="O86:O92" si="13">O85+G86-I86-L86</f>
        <v>1953964.5600000008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3387</v>
      </c>
      <c r="I87" s="152"/>
      <c r="J87" s="157"/>
      <c r="K87" s="157">
        <v>5800361493</v>
      </c>
      <c r="L87" s="227">
        <v>3770.64963798913</v>
      </c>
      <c r="M87" s="154" t="s">
        <v>3360</v>
      </c>
      <c r="N87" s="227">
        <f>C10+N86-I87-L87</f>
        <v>148293.62936201188</v>
      </c>
      <c r="O87" s="152">
        <f t="shared" si="13"/>
        <v>1950193.9103620115</v>
      </c>
    </row>
    <row r="88" spans="1:15" x14ac:dyDescent="0.15">
      <c r="A88" s="154"/>
      <c r="B88" s="151"/>
      <c r="C88" s="152"/>
      <c r="D88" s="323" t="s">
        <v>3388</v>
      </c>
      <c r="E88" s="154" t="s">
        <v>72</v>
      </c>
      <c r="F88" s="157" t="s">
        <v>3417</v>
      </c>
      <c r="G88" s="152">
        <v>131594.72</v>
      </c>
      <c r="H88" s="323" t="s">
        <v>3388</v>
      </c>
      <c r="I88" s="152">
        <v>6866.518</v>
      </c>
      <c r="J88" s="154" t="s">
        <v>3360</v>
      </c>
      <c r="K88" s="157">
        <v>5800361493</v>
      </c>
      <c r="L88" s="227">
        <v>12640.589</v>
      </c>
      <c r="M88" s="154" t="s">
        <v>3360</v>
      </c>
      <c r="N88" s="227">
        <f t="shared" si="12"/>
        <v>128786.52236201186</v>
      </c>
      <c r="O88" s="152">
        <f t="shared" si="13"/>
        <v>2062281.5233620116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3388</v>
      </c>
      <c r="I89" s="152"/>
      <c r="J89" s="157"/>
      <c r="K89" s="157">
        <v>5800361493</v>
      </c>
      <c r="L89" s="227">
        <v>14245.775</v>
      </c>
      <c r="M89" s="154" t="s">
        <v>3360</v>
      </c>
      <c r="N89" s="227">
        <f t="shared" si="12"/>
        <v>114540.74736201187</v>
      </c>
      <c r="O89" s="152">
        <f t="shared" si="13"/>
        <v>2048035.7483620117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3388</v>
      </c>
      <c r="I90" s="152"/>
      <c r="J90" s="157"/>
      <c r="K90" s="157">
        <v>5800361493</v>
      </c>
      <c r="L90" s="227">
        <v>13784.009</v>
      </c>
      <c r="M90" s="154" t="s">
        <v>3360</v>
      </c>
      <c r="N90" s="227">
        <f t="shared" si="12"/>
        <v>100756.73836201186</v>
      </c>
      <c r="O90" s="152">
        <f t="shared" si="13"/>
        <v>2034251.7393620117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3388</v>
      </c>
      <c r="I91" s="152"/>
      <c r="J91" s="157"/>
      <c r="K91" s="157">
        <v>5800361493</v>
      </c>
      <c r="L91" s="227">
        <v>13785.009</v>
      </c>
      <c r="M91" s="154" t="s">
        <v>3360</v>
      </c>
      <c r="N91" s="227">
        <f t="shared" si="12"/>
        <v>86971.729362011858</v>
      </c>
      <c r="O91" s="152">
        <f t="shared" si="13"/>
        <v>2020466.7303620116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3388</v>
      </c>
      <c r="I92" s="152"/>
      <c r="J92" s="157"/>
      <c r="K92" s="157">
        <v>5800361493</v>
      </c>
      <c r="L92" s="227">
        <v>14749.52</v>
      </c>
      <c r="M92" s="154" t="s">
        <v>3360</v>
      </c>
      <c r="N92" s="227">
        <f t="shared" si="12"/>
        <v>72222.209362011854</v>
      </c>
      <c r="O92" s="152">
        <f t="shared" si="13"/>
        <v>2005717.2103620116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3388</v>
      </c>
      <c r="I93" s="152"/>
      <c r="J93" s="157"/>
      <c r="K93" s="157">
        <v>5800361493</v>
      </c>
      <c r="L93" s="227">
        <v>16449.657999999999</v>
      </c>
      <c r="M93" s="154" t="s">
        <v>3360</v>
      </c>
      <c r="N93" s="227">
        <f t="shared" si="10"/>
        <v>55772.551362011858</v>
      </c>
      <c r="O93" s="152">
        <f t="shared" si="11"/>
        <v>1989267.5523620115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3388</v>
      </c>
      <c r="I94" s="152"/>
      <c r="J94" s="157"/>
      <c r="K94" s="157">
        <v>5800361493</v>
      </c>
      <c r="L94" s="227">
        <v>12249.788</v>
      </c>
      <c r="M94" s="154" t="s">
        <v>3360</v>
      </c>
      <c r="N94" s="227">
        <f t="shared" si="10"/>
        <v>43522.763362011858</v>
      </c>
      <c r="O94" s="152">
        <f t="shared" si="11"/>
        <v>1977017.7643620116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3388</v>
      </c>
      <c r="I95" s="152"/>
      <c r="J95" s="157"/>
      <c r="K95" s="157">
        <v>5800361493</v>
      </c>
      <c r="L95" s="227">
        <v>14952.416999999999</v>
      </c>
      <c r="M95" s="154" t="s">
        <v>3360</v>
      </c>
      <c r="N95" s="227">
        <f t="shared" si="10"/>
        <v>28570.346362011856</v>
      </c>
      <c r="O95" s="152">
        <f t="shared" si="11"/>
        <v>1962065.3473620117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3388</v>
      </c>
      <c r="I96" s="152"/>
      <c r="J96" s="157"/>
      <c r="K96" s="157">
        <v>5800361493</v>
      </c>
      <c r="L96" s="227">
        <v>16245.761</v>
      </c>
      <c r="M96" s="154" t="s">
        <v>3360</v>
      </c>
      <c r="N96" s="227">
        <f t="shared" si="10"/>
        <v>12324.585362011856</v>
      </c>
      <c r="O96" s="152">
        <f t="shared" si="11"/>
        <v>1945819.5863620117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3388</v>
      </c>
      <c r="I97" s="152"/>
      <c r="J97" s="157"/>
      <c r="K97" s="157">
        <v>5800361493</v>
      </c>
      <c r="L97" s="227">
        <v>4054.944</v>
      </c>
      <c r="M97" s="154" t="s">
        <v>3360</v>
      </c>
      <c r="N97" s="227">
        <f t="shared" si="10"/>
        <v>8269.6413620118565</v>
      </c>
      <c r="O97" s="152">
        <f t="shared" si="11"/>
        <v>1941764.6423620118</v>
      </c>
    </row>
    <row r="98" spans="1:15" x14ac:dyDescent="0.15">
      <c r="A98" s="154"/>
      <c r="B98" s="151"/>
      <c r="C98" s="152"/>
      <c r="D98" s="323" t="s">
        <v>3389</v>
      </c>
      <c r="E98" s="154" t="s">
        <v>72</v>
      </c>
      <c r="F98" s="157" t="s">
        <v>3418</v>
      </c>
      <c r="G98" s="152">
        <v>263611.39799999999</v>
      </c>
      <c r="H98" s="323" t="s">
        <v>3389</v>
      </c>
      <c r="I98" s="152">
        <v>4781.6620000000003</v>
      </c>
      <c r="J98" s="154" t="s">
        <v>3360</v>
      </c>
      <c r="K98" s="157">
        <v>5800361493</v>
      </c>
      <c r="L98" s="227">
        <v>3487.9793620118562</v>
      </c>
      <c r="M98" s="154" t="s">
        <v>3360</v>
      </c>
      <c r="N98" s="227">
        <f t="shared" ref="N98:N102" si="14">+N97-I98-L98</f>
        <v>0</v>
      </c>
      <c r="O98" s="152">
        <f t="shared" ref="O98:O102" si="15">O97+G98-I98-L98</f>
        <v>2197106.3989999997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3389</v>
      </c>
      <c r="I99" s="152"/>
      <c r="J99" s="157"/>
      <c r="K99" s="157">
        <v>5800361788</v>
      </c>
      <c r="L99" s="227">
        <v>9236.1076379881397</v>
      </c>
      <c r="M99" s="154" t="s">
        <v>3361</v>
      </c>
      <c r="N99" s="227">
        <f>C11+N98-I99-L99</f>
        <v>210659.05236201186</v>
      </c>
      <c r="O99" s="152">
        <f t="shared" si="15"/>
        <v>2187870.2913620118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3389</v>
      </c>
      <c r="I100" s="152"/>
      <c r="J100" s="157"/>
      <c r="K100" s="157">
        <v>5800361788</v>
      </c>
      <c r="L100" s="227">
        <v>16983.764999999999</v>
      </c>
      <c r="M100" s="154" t="s">
        <v>3361</v>
      </c>
      <c r="N100" s="227">
        <f t="shared" si="14"/>
        <v>193675.28736201185</v>
      </c>
      <c r="O100" s="152">
        <f t="shared" si="15"/>
        <v>2170886.5263620117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3389</v>
      </c>
      <c r="I101" s="152"/>
      <c r="J101" s="157"/>
      <c r="K101" s="157">
        <v>5800361788</v>
      </c>
      <c r="L101" s="227">
        <v>15357.415000000001</v>
      </c>
      <c r="M101" s="154" t="s">
        <v>3361</v>
      </c>
      <c r="N101" s="227">
        <f t="shared" si="14"/>
        <v>178317.87236201184</v>
      </c>
      <c r="O101" s="152">
        <f t="shared" si="15"/>
        <v>2155529.1113620116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3389</v>
      </c>
      <c r="I102" s="152"/>
      <c r="J102" s="157"/>
      <c r="K102" s="157">
        <v>5800361788</v>
      </c>
      <c r="L102" s="227">
        <v>13908.885</v>
      </c>
      <c r="M102" s="154" t="s">
        <v>3361</v>
      </c>
      <c r="N102" s="227">
        <f t="shared" si="14"/>
        <v>164408.98736201183</v>
      </c>
      <c r="O102" s="152">
        <f t="shared" si="15"/>
        <v>2141620.2263620119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3389</v>
      </c>
      <c r="I103" s="152"/>
      <c r="J103" s="157"/>
      <c r="K103" s="157">
        <v>5800361788</v>
      </c>
      <c r="L103" s="227">
        <v>13053.753000000001</v>
      </c>
      <c r="M103" s="154" t="s">
        <v>3361</v>
      </c>
      <c r="N103" s="227">
        <f t="shared" si="10"/>
        <v>151355.23436201183</v>
      </c>
      <c r="O103" s="152">
        <f t="shared" si="11"/>
        <v>2128566.4733620118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3389</v>
      </c>
      <c r="I104" s="152"/>
      <c r="J104" s="154"/>
      <c r="K104" s="157">
        <v>5800361788</v>
      </c>
      <c r="L104" s="227">
        <v>37180.269</v>
      </c>
      <c r="M104" s="154" t="s">
        <v>3361</v>
      </c>
      <c r="N104" s="227">
        <f t="shared" si="10"/>
        <v>114174.96536201183</v>
      </c>
      <c r="O104" s="152">
        <f t="shared" si="11"/>
        <v>2091386.2043620117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3389</v>
      </c>
      <c r="I105" s="152"/>
      <c r="J105" s="154"/>
      <c r="K105" s="157">
        <v>5800361788</v>
      </c>
      <c r="L105" s="227">
        <v>14621.162</v>
      </c>
      <c r="M105" s="154" t="s">
        <v>3361</v>
      </c>
      <c r="N105" s="227">
        <f t="shared" si="10"/>
        <v>99553.803362011837</v>
      </c>
      <c r="O105" s="152">
        <f t="shared" si="11"/>
        <v>2076765.0423620117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3389</v>
      </c>
      <c r="I106" s="152"/>
      <c r="J106" s="154"/>
      <c r="K106" s="157">
        <v>5800361788</v>
      </c>
      <c r="L106" s="227">
        <v>14925.852999999999</v>
      </c>
      <c r="M106" s="154" t="s">
        <v>3361</v>
      </c>
      <c r="N106" s="227">
        <f t="shared" si="10"/>
        <v>84627.950362011834</v>
      </c>
      <c r="O106" s="152">
        <f t="shared" si="11"/>
        <v>2061839.1893620118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3389</v>
      </c>
      <c r="I107" s="152"/>
      <c r="J107" s="157"/>
      <c r="K107" s="157">
        <v>5800361788</v>
      </c>
      <c r="L107" s="227">
        <v>9558.2999999999993</v>
      </c>
      <c r="M107" s="154" t="s">
        <v>3361</v>
      </c>
      <c r="N107" s="227">
        <f t="shared" si="10"/>
        <v>75069.650362011831</v>
      </c>
      <c r="O107" s="152">
        <f t="shared" si="11"/>
        <v>2052280.8893620118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3389</v>
      </c>
      <c r="I108" s="152"/>
      <c r="J108" s="154"/>
      <c r="K108" s="157">
        <v>5800361788</v>
      </c>
      <c r="L108" s="227">
        <v>13696.709000000001</v>
      </c>
      <c r="M108" s="154" t="s">
        <v>3361</v>
      </c>
      <c r="N108" s="227">
        <f t="shared" si="10"/>
        <v>61372.941362011828</v>
      </c>
      <c r="O108" s="152">
        <f t="shared" si="11"/>
        <v>2038584.1803620118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3389</v>
      </c>
      <c r="I109" s="152"/>
      <c r="J109" s="157"/>
      <c r="K109" s="157">
        <v>5800361788</v>
      </c>
      <c r="L109" s="227">
        <v>11313.37</v>
      </c>
      <c r="M109" s="154" t="s">
        <v>3361</v>
      </c>
      <c r="N109" s="227">
        <f t="shared" si="10"/>
        <v>50059.571362011826</v>
      </c>
      <c r="O109" s="152">
        <f t="shared" si="11"/>
        <v>2027270.8103620117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3389</v>
      </c>
      <c r="I110" s="152"/>
      <c r="J110" s="157"/>
      <c r="K110" s="157">
        <v>5800361788</v>
      </c>
      <c r="L110" s="227">
        <v>3579.0039999999999</v>
      </c>
      <c r="M110" s="154" t="s">
        <v>3361</v>
      </c>
      <c r="N110" s="227">
        <f t="shared" si="10"/>
        <v>46480.567362011825</v>
      </c>
      <c r="O110" s="152">
        <f t="shared" si="11"/>
        <v>2023691.8063620117</v>
      </c>
    </row>
    <row r="111" spans="1:15" x14ac:dyDescent="0.15">
      <c r="A111" s="154"/>
      <c r="B111" s="151"/>
      <c r="C111" s="152"/>
      <c r="D111" s="323" t="s">
        <v>3390</v>
      </c>
      <c r="E111" s="154" t="s">
        <v>72</v>
      </c>
      <c r="F111" s="157" t="s">
        <v>3418</v>
      </c>
      <c r="G111" s="152">
        <v>131692.99200000003</v>
      </c>
      <c r="H111" s="323" t="s">
        <v>3390</v>
      </c>
      <c r="I111" s="152">
        <v>13092.062</v>
      </c>
      <c r="J111" s="154" t="s">
        <v>3361</v>
      </c>
      <c r="K111" s="157">
        <v>5800361788</v>
      </c>
      <c r="L111" s="227">
        <v>12695.984</v>
      </c>
      <c r="M111" s="154" t="s">
        <v>3361</v>
      </c>
      <c r="N111" s="227">
        <f t="shared" si="10"/>
        <v>20692.521362011827</v>
      </c>
      <c r="O111" s="152">
        <f t="shared" si="11"/>
        <v>2129596.7523620115</v>
      </c>
    </row>
    <row r="112" spans="1:15" x14ac:dyDescent="0.15">
      <c r="A112" s="154"/>
      <c r="B112" s="151"/>
      <c r="C112" s="152"/>
      <c r="D112" s="323" t="s">
        <v>3390</v>
      </c>
      <c r="E112" s="154" t="s">
        <v>72</v>
      </c>
      <c r="F112" s="157" t="s">
        <v>3419</v>
      </c>
      <c r="G112" s="152">
        <v>131739.31299999999</v>
      </c>
      <c r="H112" s="323" t="s">
        <v>3390</v>
      </c>
      <c r="I112" s="152"/>
      <c r="J112" s="157"/>
      <c r="K112" s="157">
        <v>5800361788</v>
      </c>
      <c r="L112" s="227">
        <v>13274.573</v>
      </c>
      <c r="M112" s="154" t="s">
        <v>3361</v>
      </c>
      <c r="N112" s="227">
        <f t="shared" ref="N112:N119" si="16">+N111-I112-L112</f>
        <v>7417.9483620118262</v>
      </c>
      <c r="O112" s="152">
        <f t="shared" ref="O112:O119" si="17">O111+G112-I112-L112</f>
        <v>2248061.4923620117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3390</v>
      </c>
      <c r="I113" s="152"/>
      <c r="J113" s="154"/>
      <c r="K113" s="157">
        <v>5800361788</v>
      </c>
      <c r="L113" s="227">
        <v>7417.9483620118262</v>
      </c>
      <c r="M113" s="154" t="s">
        <v>3361</v>
      </c>
      <c r="N113" s="227">
        <f t="shared" si="16"/>
        <v>0</v>
      </c>
      <c r="O113" s="152">
        <f t="shared" si="17"/>
        <v>2240643.5439999998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3390</v>
      </c>
      <c r="I114" s="152"/>
      <c r="J114" s="154"/>
      <c r="K114" s="157">
        <v>5800361493</v>
      </c>
      <c r="L114" s="227">
        <v>7520.4426379881697</v>
      </c>
      <c r="M114" s="154" t="s">
        <v>3362</v>
      </c>
      <c r="N114" s="227">
        <f>C12+G14+G24+N113-I114-L114</f>
        <v>519873.97736201185</v>
      </c>
      <c r="O114" s="152">
        <f t="shared" si="17"/>
        <v>2233123.1013620114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3390</v>
      </c>
      <c r="I115" s="152"/>
      <c r="J115" s="154"/>
      <c r="K115" s="157">
        <v>5800361493</v>
      </c>
      <c r="L115" s="227">
        <v>17228.764999999999</v>
      </c>
      <c r="M115" s="154" t="s">
        <v>3362</v>
      </c>
      <c r="N115" s="227">
        <f t="shared" si="16"/>
        <v>502645.21236201184</v>
      </c>
      <c r="O115" s="152">
        <f t="shared" si="17"/>
        <v>2215894.3363620113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3390</v>
      </c>
      <c r="I116" s="152"/>
      <c r="J116" s="157"/>
      <c r="K116" s="157">
        <v>5800361493</v>
      </c>
      <c r="L116" s="227">
        <v>11408.897999999999</v>
      </c>
      <c r="M116" s="154" t="s">
        <v>3362</v>
      </c>
      <c r="N116" s="227">
        <f t="shared" si="16"/>
        <v>491236.31436201185</v>
      </c>
      <c r="O116" s="152">
        <f t="shared" si="17"/>
        <v>2204485.4383620112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3390</v>
      </c>
      <c r="I117" s="152"/>
      <c r="J117" s="157"/>
      <c r="K117" s="157">
        <v>5800361493</v>
      </c>
      <c r="L117" s="227">
        <v>14405.77</v>
      </c>
      <c r="M117" s="154" t="s">
        <v>3362</v>
      </c>
      <c r="N117" s="227">
        <f t="shared" si="16"/>
        <v>476830.54436201183</v>
      </c>
      <c r="O117" s="152">
        <f t="shared" si="17"/>
        <v>2190079.6683620112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3390</v>
      </c>
      <c r="I118" s="152"/>
      <c r="J118" s="154"/>
      <c r="K118" s="157">
        <v>5800361493</v>
      </c>
      <c r="L118" s="227">
        <v>16608.205999999998</v>
      </c>
      <c r="M118" s="154" t="s">
        <v>3362</v>
      </c>
      <c r="N118" s="227">
        <f t="shared" si="16"/>
        <v>460222.33836201183</v>
      </c>
      <c r="O118" s="152">
        <f t="shared" si="17"/>
        <v>2173471.4623620114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3390</v>
      </c>
      <c r="I119" s="152"/>
      <c r="J119" s="157"/>
      <c r="K119" s="157">
        <v>5800361493</v>
      </c>
      <c r="L119" s="227">
        <v>9680.1260000000002</v>
      </c>
      <c r="M119" s="154" t="s">
        <v>3362</v>
      </c>
      <c r="N119" s="227">
        <f t="shared" si="16"/>
        <v>450542.21236201184</v>
      </c>
      <c r="O119" s="152">
        <f t="shared" si="17"/>
        <v>2163791.3363620113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3390</v>
      </c>
      <c r="I120" s="152"/>
      <c r="J120" s="154"/>
      <c r="K120" s="157">
        <v>5800361493</v>
      </c>
      <c r="L120" s="227">
        <v>15249.621999999999</v>
      </c>
      <c r="M120" s="154" t="s">
        <v>3362</v>
      </c>
      <c r="N120" s="227">
        <f t="shared" si="10"/>
        <v>435292.59036201186</v>
      </c>
      <c r="O120" s="152">
        <f t="shared" si="11"/>
        <v>2148541.7143620113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3390</v>
      </c>
      <c r="I121" s="152"/>
      <c r="J121" s="154"/>
      <c r="K121" s="157">
        <v>5800361493</v>
      </c>
      <c r="L121" s="227">
        <v>14438.281000000001</v>
      </c>
      <c r="M121" s="154" t="s">
        <v>3362</v>
      </c>
      <c r="N121" s="227">
        <f t="shared" si="10"/>
        <v>420854.30936201185</v>
      </c>
      <c r="O121" s="152">
        <f t="shared" si="11"/>
        <v>2134103.4333620113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3390</v>
      </c>
      <c r="I122" s="152"/>
      <c r="J122" s="154"/>
      <c r="K122" s="157">
        <v>5800361493</v>
      </c>
      <c r="L122" s="227">
        <v>3148.444</v>
      </c>
      <c r="M122" s="154" t="s">
        <v>3362</v>
      </c>
      <c r="N122" s="227">
        <f t="shared" si="10"/>
        <v>417705.86536201183</v>
      </c>
      <c r="O122" s="152">
        <f t="shared" si="11"/>
        <v>2130954.9893620112</v>
      </c>
    </row>
    <row r="123" spans="1:15" x14ac:dyDescent="0.15">
      <c r="A123" s="154"/>
      <c r="B123" s="151"/>
      <c r="C123" s="152"/>
      <c r="D123" s="323" t="s">
        <v>3392</v>
      </c>
      <c r="E123" s="154" t="s">
        <v>72</v>
      </c>
      <c r="F123" s="157" t="s">
        <v>3419</v>
      </c>
      <c r="G123" s="152">
        <v>43936.668000000005</v>
      </c>
      <c r="H123" s="323" t="s">
        <v>3392</v>
      </c>
      <c r="I123" s="152">
        <v>7939.5709999999999</v>
      </c>
      <c r="J123" s="154" t="s">
        <v>3362</v>
      </c>
      <c r="K123" s="157">
        <v>5800361493</v>
      </c>
      <c r="L123" s="227">
        <v>15338.555</v>
      </c>
      <c r="M123" s="154" t="s">
        <v>3362</v>
      </c>
      <c r="N123" s="227">
        <f t="shared" si="10"/>
        <v>394427.73936201184</v>
      </c>
      <c r="O123" s="152">
        <f t="shared" si="11"/>
        <v>2151613.5313620111</v>
      </c>
    </row>
    <row r="124" spans="1:15" x14ac:dyDescent="0.15">
      <c r="A124" s="154"/>
      <c r="B124" s="151"/>
      <c r="C124" s="152"/>
      <c r="D124" s="323" t="s">
        <v>3392</v>
      </c>
      <c r="E124" s="154" t="s">
        <v>72</v>
      </c>
      <c r="F124" s="157" t="s">
        <v>3420</v>
      </c>
      <c r="G124" s="152">
        <v>219838.315</v>
      </c>
      <c r="H124" s="323" t="s">
        <v>3392</v>
      </c>
      <c r="I124" s="152"/>
      <c r="J124" s="154"/>
      <c r="K124" s="157">
        <v>5800361493</v>
      </c>
      <c r="L124" s="227">
        <v>14150.433999999999</v>
      </c>
      <c r="M124" s="154" t="s">
        <v>3362</v>
      </c>
      <c r="N124" s="227">
        <f t="shared" si="10"/>
        <v>380277.30536201183</v>
      </c>
      <c r="O124" s="152">
        <f t="shared" si="11"/>
        <v>2357301.4123620111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3392</v>
      </c>
      <c r="I125" s="152"/>
      <c r="J125" s="154"/>
      <c r="K125" s="157">
        <v>5800361493</v>
      </c>
      <c r="L125" s="227">
        <v>17228.745999999999</v>
      </c>
      <c r="M125" s="154" t="s">
        <v>3362</v>
      </c>
      <c r="N125" s="227">
        <f t="shared" si="10"/>
        <v>363048.55936201185</v>
      </c>
      <c r="O125" s="152">
        <f t="shared" si="11"/>
        <v>2340072.6663620113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3392</v>
      </c>
      <c r="I126" s="152"/>
      <c r="J126" s="154"/>
      <c r="K126" s="157">
        <v>5800361493</v>
      </c>
      <c r="L126" s="227">
        <v>14546.474</v>
      </c>
      <c r="M126" s="154" t="s">
        <v>3362</v>
      </c>
      <c r="N126" s="227">
        <f t="shared" si="10"/>
        <v>348502.08536201186</v>
      </c>
      <c r="O126" s="152">
        <f t="shared" si="11"/>
        <v>2325526.1923620114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3392</v>
      </c>
      <c r="I127" s="152"/>
      <c r="J127" s="154"/>
      <c r="K127" s="157">
        <v>5800361493</v>
      </c>
      <c r="L127" s="227">
        <v>12085.225</v>
      </c>
      <c r="M127" s="154" t="s">
        <v>3362</v>
      </c>
      <c r="N127" s="227">
        <f t="shared" si="10"/>
        <v>336416.86036201188</v>
      </c>
      <c r="O127" s="152">
        <f t="shared" si="11"/>
        <v>2313440.9673620113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3392</v>
      </c>
      <c r="I128" s="152"/>
      <c r="J128" s="157"/>
      <c r="K128" s="157">
        <v>5800361493</v>
      </c>
      <c r="L128" s="227">
        <v>36020.650999999998</v>
      </c>
      <c r="M128" s="154" t="s">
        <v>3362</v>
      </c>
      <c r="N128" s="227">
        <f t="shared" si="10"/>
        <v>300396.20936201187</v>
      </c>
      <c r="O128" s="152">
        <f t="shared" si="11"/>
        <v>2277420.3163620112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3392</v>
      </c>
      <c r="I129" s="152"/>
      <c r="J129" s="157"/>
      <c r="K129" s="157">
        <v>5800361493</v>
      </c>
      <c r="L129" s="227">
        <v>15081.529</v>
      </c>
      <c r="M129" s="154" t="s">
        <v>3362</v>
      </c>
      <c r="N129" s="227">
        <f t="shared" si="10"/>
        <v>285314.68036201189</v>
      </c>
      <c r="O129" s="152">
        <f t="shared" si="11"/>
        <v>2262338.7873620111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3392</v>
      </c>
      <c r="I130" s="152"/>
      <c r="J130" s="154"/>
      <c r="K130" s="157">
        <v>5800361493</v>
      </c>
      <c r="L130" s="227">
        <v>15988.62</v>
      </c>
      <c r="M130" s="154" t="s">
        <v>3362</v>
      </c>
      <c r="N130" s="227">
        <f t="shared" si="10"/>
        <v>269326.06036201189</v>
      </c>
      <c r="O130" s="152">
        <f t="shared" si="11"/>
        <v>2246350.167362011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3392</v>
      </c>
      <c r="I131" s="152"/>
      <c r="J131" s="157"/>
      <c r="K131" s="157">
        <v>5800361493</v>
      </c>
      <c r="L131" s="227">
        <v>9715.9850000000006</v>
      </c>
      <c r="M131" s="154" t="s">
        <v>3362</v>
      </c>
      <c r="N131" s="227">
        <f t="shared" si="10"/>
        <v>259610.07536201191</v>
      </c>
      <c r="O131" s="152">
        <f t="shared" si="11"/>
        <v>2236634.1823620112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3392</v>
      </c>
      <c r="I132" s="152"/>
      <c r="J132" s="157"/>
      <c r="K132" s="157">
        <v>5800361493</v>
      </c>
      <c r="L132" s="227">
        <v>13506.891</v>
      </c>
      <c r="M132" s="154" t="s">
        <v>3362</v>
      </c>
      <c r="N132" s="227">
        <f t="shared" si="10"/>
        <v>246103.1843620119</v>
      </c>
      <c r="O132" s="152">
        <f t="shared" si="11"/>
        <v>2223127.2913620113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3392</v>
      </c>
      <c r="I133" s="152"/>
      <c r="J133" s="157"/>
      <c r="K133" s="157">
        <v>5800361493</v>
      </c>
      <c r="L133" s="227">
        <v>15506.282999999999</v>
      </c>
      <c r="M133" s="154" t="s">
        <v>3362</v>
      </c>
      <c r="N133" s="227">
        <f t="shared" si="10"/>
        <v>230596.90136201191</v>
      </c>
      <c r="O133" s="152">
        <f t="shared" si="11"/>
        <v>2207621.0083620115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3392</v>
      </c>
      <c r="I134" s="152"/>
      <c r="J134" s="157"/>
      <c r="K134" s="157">
        <v>5800361493</v>
      </c>
      <c r="L134" s="227">
        <v>5068.4579999999996</v>
      </c>
      <c r="M134" s="154" t="s">
        <v>3362</v>
      </c>
      <c r="N134" s="227">
        <f t="shared" si="10"/>
        <v>225528.44336201189</v>
      </c>
      <c r="O134" s="152">
        <f t="shared" si="11"/>
        <v>2202552.5503620114</v>
      </c>
    </row>
    <row r="135" spans="1:15" x14ac:dyDescent="0.15">
      <c r="A135" s="154"/>
      <c r="B135" s="151"/>
      <c r="C135" s="152"/>
      <c r="D135" s="323" t="s">
        <v>3393</v>
      </c>
      <c r="E135" s="154" t="s">
        <v>72</v>
      </c>
      <c r="F135" s="157" t="s">
        <v>3420</v>
      </c>
      <c r="G135" s="152">
        <v>43969.161999999997</v>
      </c>
      <c r="H135" s="323" t="s">
        <v>3393</v>
      </c>
      <c r="I135" s="152">
        <v>13874.960999999999</v>
      </c>
      <c r="J135" s="154" t="s">
        <v>3362</v>
      </c>
      <c r="K135" s="157">
        <v>5800361493</v>
      </c>
      <c r="L135" s="227">
        <v>14474.99</v>
      </c>
      <c r="M135" s="154" t="s">
        <v>3362</v>
      </c>
      <c r="N135" s="227">
        <f t="shared" si="10"/>
        <v>197178.49236201189</v>
      </c>
      <c r="O135" s="152">
        <f t="shared" si="11"/>
        <v>2218171.7613620111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3393</v>
      </c>
      <c r="I136" s="152"/>
      <c r="J136" s="157"/>
      <c r="K136" s="157">
        <v>5800361493</v>
      </c>
      <c r="L136" s="227">
        <v>14734.036</v>
      </c>
      <c r="M136" s="154" t="s">
        <v>3362</v>
      </c>
      <c r="N136" s="227">
        <f t="shared" si="10"/>
        <v>182444.4563620119</v>
      </c>
      <c r="O136" s="152">
        <f t="shared" si="11"/>
        <v>2203437.7253620112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3393</v>
      </c>
      <c r="I137" s="152"/>
      <c r="J137" s="157"/>
      <c r="K137" s="157">
        <v>5800361493</v>
      </c>
      <c r="L137" s="227">
        <v>14264.897000000001</v>
      </c>
      <c r="M137" s="154" t="s">
        <v>3362</v>
      </c>
      <c r="N137" s="227">
        <f t="shared" si="10"/>
        <v>168179.5593620119</v>
      </c>
      <c r="O137" s="152">
        <f t="shared" si="11"/>
        <v>2189172.8283620114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3393</v>
      </c>
      <c r="I138" s="152"/>
      <c r="J138" s="157"/>
      <c r="K138" s="157">
        <v>5800361493</v>
      </c>
      <c r="L138" s="227">
        <v>11784.576999999999</v>
      </c>
      <c r="M138" s="154" t="s">
        <v>3362</v>
      </c>
      <c r="N138" s="227">
        <f t="shared" si="10"/>
        <v>156394.98236201191</v>
      </c>
      <c r="O138" s="152">
        <f t="shared" si="11"/>
        <v>2177388.2513620113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3393</v>
      </c>
      <c r="I139" s="152"/>
      <c r="J139" s="154"/>
      <c r="K139" s="157">
        <v>5800361493</v>
      </c>
      <c r="L139" s="227">
        <v>15388.197</v>
      </c>
      <c r="M139" s="154" t="s">
        <v>3362</v>
      </c>
      <c r="N139" s="227">
        <f t="shared" si="10"/>
        <v>141006.78536201193</v>
      </c>
      <c r="O139" s="152">
        <f t="shared" si="11"/>
        <v>2162000.0543620111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3393</v>
      </c>
      <c r="I140" s="152"/>
      <c r="J140" s="157"/>
      <c r="K140" s="157">
        <v>5800361493</v>
      </c>
      <c r="L140" s="227">
        <v>12798.51</v>
      </c>
      <c r="M140" s="154" t="s">
        <v>3362</v>
      </c>
      <c r="N140" s="227">
        <f t="shared" si="10"/>
        <v>128208.27536201193</v>
      </c>
      <c r="O140" s="152">
        <f t="shared" si="11"/>
        <v>2149201.5443620114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3393</v>
      </c>
      <c r="I141" s="152"/>
      <c r="J141" s="157"/>
      <c r="K141" s="157">
        <v>5800361493</v>
      </c>
      <c r="L141" s="227">
        <v>3696.1260000000002</v>
      </c>
      <c r="M141" s="154" t="s">
        <v>3362</v>
      </c>
      <c r="N141" s="227">
        <f t="shared" si="10"/>
        <v>124512.14936201193</v>
      </c>
      <c r="O141" s="152">
        <f t="shared" si="11"/>
        <v>2145505.4183620112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3394</v>
      </c>
      <c r="I142" s="152">
        <v>11155.944</v>
      </c>
      <c r="J142" s="154" t="s">
        <v>3362</v>
      </c>
      <c r="K142" s="157">
        <v>5800361493</v>
      </c>
      <c r="L142" s="227">
        <v>14349.352999999999</v>
      </c>
      <c r="M142" s="154" t="s">
        <v>3362</v>
      </c>
      <c r="N142" s="227">
        <f t="shared" si="10"/>
        <v>99006.852362011923</v>
      </c>
      <c r="O142" s="152">
        <f t="shared" si="11"/>
        <v>2120000.1213620109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3394</v>
      </c>
      <c r="I143" s="152"/>
      <c r="J143" s="157"/>
      <c r="K143" s="157">
        <v>5800361493</v>
      </c>
      <c r="L143" s="227">
        <v>13839.766</v>
      </c>
      <c r="M143" s="154" t="s">
        <v>3362</v>
      </c>
      <c r="N143" s="227">
        <f t="shared" si="10"/>
        <v>85167.08636201192</v>
      </c>
      <c r="O143" s="152">
        <f t="shared" si="11"/>
        <v>2106160.3553620111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3394</v>
      </c>
      <c r="I144" s="152"/>
      <c r="J144" s="154"/>
      <c r="K144" s="157">
        <v>5800361493</v>
      </c>
      <c r="L144" s="227">
        <v>17186.05</v>
      </c>
      <c r="M144" s="154" t="s">
        <v>3362</v>
      </c>
      <c r="N144" s="227">
        <f t="shared" si="10"/>
        <v>67981.036362011917</v>
      </c>
      <c r="O144" s="152">
        <f t="shared" si="11"/>
        <v>2088974.3053620111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3394</v>
      </c>
      <c r="I145" s="152"/>
      <c r="J145" s="157"/>
      <c r="K145" s="157">
        <v>5800361493</v>
      </c>
      <c r="L145" s="227">
        <v>12808.602999999999</v>
      </c>
      <c r="M145" s="154" t="s">
        <v>3362</v>
      </c>
      <c r="N145" s="227">
        <f t="shared" si="10"/>
        <v>55172.433362011914</v>
      </c>
      <c r="O145" s="152">
        <f t="shared" si="11"/>
        <v>2076165.7023620112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3394</v>
      </c>
      <c r="I146" s="152"/>
      <c r="J146" s="157"/>
      <c r="K146" s="157">
        <v>5800361493</v>
      </c>
      <c r="L146" s="227">
        <v>11234.880999999999</v>
      </c>
      <c r="M146" s="154" t="s">
        <v>3362</v>
      </c>
      <c r="N146" s="227">
        <f t="shared" si="10"/>
        <v>43937.552362011913</v>
      </c>
      <c r="O146" s="152">
        <f t="shared" si="11"/>
        <v>2064930.8213620111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3394</v>
      </c>
      <c r="I147" s="152"/>
      <c r="J147" s="157"/>
      <c r="K147" s="157">
        <v>5800361493</v>
      </c>
      <c r="L147" s="227">
        <v>16132.905000000001</v>
      </c>
      <c r="M147" s="154" t="s">
        <v>3362</v>
      </c>
      <c r="N147" s="227">
        <f t="shared" si="10"/>
        <v>27804.647362011914</v>
      </c>
      <c r="O147" s="152">
        <f t="shared" si="11"/>
        <v>2048797.9163620111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3394</v>
      </c>
      <c r="I148" s="152"/>
      <c r="J148" s="157"/>
      <c r="K148" s="157">
        <v>5800361493</v>
      </c>
      <c r="L148" s="227">
        <v>27804.647362011914</v>
      </c>
      <c r="M148" s="154" t="s">
        <v>3362</v>
      </c>
      <c r="N148" s="227">
        <f t="shared" ref="N148:N154" si="18">+N147-I148-L148</f>
        <v>0</v>
      </c>
      <c r="O148" s="152">
        <f t="shared" ref="O148:O154" si="19">O147+G148-I148-L148</f>
        <v>2020993.2689999992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3394</v>
      </c>
      <c r="I149" s="152"/>
      <c r="J149" s="157"/>
      <c r="K149" s="157">
        <v>5800361788</v>
      </c>
      <c r="L149" s="227">
        <v>8485.8956379880801</v>
      </c>
      <c r="M149" s="157" t="s">
        <v>3415</v>
      </c>
      <c r="N149" s="227">
        <f>G25+G36+N148-I149-L149</f>
        <v>211195.67136201193</v>
      </c>
      <c r="O149" s="152">
        <f t="shared" si="19"/>
        <v>2012507.373362011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3394</v>
      </c>
      <c r="I150" s="152"/>
      <c r="J150" s="157"/>
      <c r="K150" s="157">
        <v>5800361788</v>
      </c>
      <c r="L150" s="227">
        <v>13382.138000000001</v>
      </c>
      <c r="M150" s="157" t="s">
        <v>3415</v>
      </c>
      <c r="N150" s="227">
        <f t="shared" si="18"/>
        <v>197813.53336201192</v>
      </c>
      <c r="O150" s="152">
        <f t="shared" si="19"/>
        <v>1999125.235362011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3394</v>
      </c>
      <c r="I151" s="152"/>
      <c r="J151" s="157"/>
      <c r="K151" s="157">
        <v>5800361788</v>
      </c>
      <c r="L151" s="227">
        <v>15260.612999999999</v>
      </c>
      <c r="M151" s="157" t="s">
        <v>3415</v>
      </c>
      <c r="N151" s="227">
        <f t="shared" si="18"/>
        <v>182552.92036201191</v>
      </c>
      <c r="O151" s="152">
        <f t="shared" si="19"/>
        <v>1983864.6223620111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3394</v>
      </c>
      <c r="I152" s="152"/>
      <c r="J152" s="157"/>
      <c r="K152" s="157">
        <v>5800361788</v>
      </c>
      <c r="L152" s="227">
        <v>14097.557000000001</v>
      </c>
      <c r="M152" s="157" t="s">
        <v>3415</v>
      </c>
      <c r="N152" s="227">
        <f t="shared" si="18"/>
        <v>168455.36336201191</v>
      </c>
      <c r="O152" s="152">
        <f t="shared" si="19"/>
        <v>1969767.0653620111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3394</v>
      </c>
      <c r="I153" s="152"/>
      <c r="J153" s="157"/>
      <c r="K153" s="157">
        <v>5800361788</v>
      </c>
      <c r="L153" s="227">
        <v>5298.6989999999996</v>
      </c>
      <c r="M153" s="157" t="s">
        <v>3415</v>
      </c>
      <c r="N153" s="227">
        <f t="shared" si="18"/>
        <v>163156.66436201191</v>
      </c>
      <c r="O153" s="152">
        <f t="shared" si="19"/>
        <v>1964468.3663620111</v>
      </c>
    </row>
    <row r="154" spans="1:15" x14ac:dyDescent="0.15">
      <c r="A154" s="154"/>
      <c r="B154" s="151"/>
      <c r="C154" s="152"/>
      <c r="D154" s="323" t="s">
        <v>3395</v>
      </c>
      <c r="E154" s="154" t="s">
        <v>72</v>
      </c>
      <c r="F154" s="157" t="s">
        <v>3421</v>
      </c>
      <c r="G154" s="152">
        <v>131902.84599999999</v>
      </c>
      <c r="H154" s="323" t="s">
        <v>3395</v>
      </c>
      <c r="I154" s="152">
        <v>15767.640000000001</v>
      </c>
      <c r="J154" s="157" t="s">
        <v>3415</v>
      </c>
      <c r="K154" s="157">
        <v>5800361788</v>
      </c>
      <c r="L154" s="227">
        <v>12352.004999999999</v>
      </c>
      <c r="M154" s="157" t="s">
        <v>3415</v>
      </c>
      <c r="N154" s="227">
        <f t="shared" si="18"/>
        <v>135037.0193620119</v>
      </c>
      <c r="O154" s="152">
        <f t="shared" si="19"/>
        <v>2068251.5673620112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3395</v>
      </c>
      <c r="I155" s="152"/>
      <c r="J155" s="157"/>
      <c r="K155" s="157">
        <v>5800361788</v>
      </c>
      <c r="L155" s="227">
        <v>12927.938</v>
      </c>
      <c r="M155" s="157" t="s">
        <v>3415</v>
      </c>
      <c r="N155" s="227">
        <f t="shared" ref="N155:N217" si="20">+N154-I155-L155</f>
        <v>122109.0813620119</v>
      </c>
      <c r="O155" s="152">
        <f t="shared" ref="O155:O217" si="21">O154+G155-I155-L155</f>
        <v>2055323.6293620111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3395</v>
      </c>
      <c r="I156" s="152"/>
      <c r="J156" s="157"/>
      <c r="K156" s="157">
        <v>5800361788</v>
      </c>
      <c r="L156" s="227">
        <v>15671.380999999999</v>
      </c>
      <c r="M156" s="157" t="s">
        <v>3415</v>
      </c>
      <c r="N156" s="227">
        <f t="shared" si="20"/>
        <v>106437.70036201191</v>
      </c>
      <c r="O156" s="152">
        <f t="shared" si="21"/>
        <v>2039652.248362011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3395</v>
      </c>
      <c r="I157" s="152"/>
      <c r="J157" s="157"/>
      <c r="K157" s="157">
        <v>5800361788</v>
      </c>
      <c r="L157" s="227">
        <v>9140.8040000000001</v>
      </c>
      <c r="M157" s="157" t="s">
        <v>3415</v>
      </c>
      <c r="N157" s="227">
        <f t="shared" si="20"/>
        <v>97296.896362011903</v>
      </c>
      <c r="O157" s="152">
        <f t="shared" si="21"/>
        <v>2030511.444362011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3395</v>
      </c>
      <c r="I158" s="152"/>
      <c r="J158" s="157"/>
      <c r="K158" s="157">
        <v>5800361788</v>
      </c>
      <c r="L158" s="227">
        <v>15933.918</v>
      </c>
      <c r="M158" s="157" t="s">
        <v>3415</v>
      </c>
      <c r="N158" s="227">
        <f t="shared" si="20"/>
        <v>81362.978362011898</v>
      </c>
      <c r="O158" s="152">
        <f t="shared" si="21"/>
        <v>2014577.526362011</v>
      </c>
    </row>
    <row r="159" spans="1:15" x14ac:dyDescent="0.15">
      <c r="A159" s="154"/>
      <c r="B159" s="151"/>
      <c r="C159" s="152"/>
      <c r="D159" s="323" t="s">
        <v>3396</v>
      </c>
      <c r="E159" s="154" t="s">
        <v>72</v>
      </c>
      <c r="F159" s="157" t="s">
        <v>3421</v>
      </c>
      <c r="G159" s="152">
        <v>175790.81099999999</v>
      </c>
      <c r="H159" s="323" t="s">
        <v>3396</v>
      </c>
      <c r="I159" s="152">
        <v>8690.5889999999999</v>
      </c>
      <c r="J159" s="157" t="s">
        <v>3415</v>
      </c>
      <c r="K159" s="157">
        <v>5800361788</v>
      </c>
      <c r="L159" s="227">
        <v>13058.647000000001</v>
      </c>
      <c r="M159" s="157" t="s">
        <v>3415</v>
      </c>
      <c r="N159" s="227">
        <f t="shared" si="20"/>
        <v>59613.742362011893</v>
      </c>
      <c r="O159" s="152">
        <f t="shared" si="21"/>
        <v>2168619.1013620109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3396</v>
      </c>
      <c r="I160" s="152"/>
      <c r="J160" s="157"/>
      <c r="K160" s="157">
        <v>5800361788</v>
      </c>
      <c r="L160" s="227">
        <v>13135.662</v>
      </c>
      <c r="M160" s="157" t="s">
        <v>3415</v>
      </c>
      <c r="N160" s="227">
        <f t="shared" si="20"/>
        <v>46478.080362011897</v>
      </c>
      <c r="O160" s="152">
        <f t="shared" si="21"/>
        <v>2155483.4393620109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3396</v>
      </c>
      <c r="I161" s="152"/>
      <c r="J161" s="157"/>
      <c r="K161" s="157">
        <v>5800361788</v>
      </c>
      <c r="L161" s="227">
        <v>13458.727999999999</v>
      </c>
      <c r="M161" s="157" t="s">
        <v>3415</v>
      </c>
      <c r="N161" s="227">
        <f t="shared" si="20"/>
        <v>33019.352362011894</v>
      </c>
      <c r="O161" s="152">
        <f t="shared" si="21"/>
        <v>2142024.7113620108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3396</v>
      </c>
      <c r="I162" s="152"/>
      <c r="J162" s="157"/>
      <c r="K162" s="157">
        <v>5800361788</v>
      </c>
      <c r="L162" s="227">
        <v>17490.544999999998</v>
      </c>
      <c r="M162" s="157" t="s">
        <v>3415</v>
      </c>
      <c r="N162" s="227">
        <f t="shared" si="20"/>
        <v>15528.807362011896</v>
      </c>
      <c r="O162" s="152">
        <f t="shared" si="21"/>
        <v>2124534.1663620109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3396</v>
      </c>
      <c r="I163" s="152"/>
      <c r="J163" s="157"/>
      <c r="K163" s="157">
        <v>5800361788</v>
      </c>
      <c r="L163" s="227">
        <v>11891.41</v>
      </c>
      <c r="M163" s="157" t="s">
        <v>3415</v>
      </c>
      <c r="N163" s="227">
        <f t="shared" si="20"/>
        <v>3637.3973620118959</v>
      </c>
      <c r="O163" s="152">
        <f t="shared" si="21"/>
        <v>2112642.7563620107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3396</v>
      </c>
      <c r="I164" s="152"/>
      <c r="J164" s="157"/>
      <c r="K164" s="157">
        <v>5800361788</v>
      </c>
      <c r="L164" s="227">
        <v>3637.3973620118959</v>
      </c>
      <c r="M164" s="157" t="s">
        <v>3415</v>
      </c>
      <c r="N164" s="227">
        <f t="shared" si="20"/>
        <v>0</v>
      </c>
      <c r="O164" s="152">
        <f t="shared" si="21"/>
        <v>2109005.3589999988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3396</v>
      </c>
      <c r="I165" s="152"/>
      <c r="J165" s="157"/>
      <c r="K165" s="157">
        <v>5800361788</v>
      </c>
      <c r="L165" s="227">
        <v>10509.469637988101</v>
      </c>
      <c r="M165" s="157" t="s">
        <v>3416</v>
      </c>
      <c r="N165" s="227">
        <f>G37+G45+G58+N164-I165-L165</f>
        <v>529458.55536201072</v>
      </c>
      <c r="O165" s="152">
        <f t="shared" ref="O165:O171" si="22">O164+G165-I165-L165</f>
        <v>2098495.8893620106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3396</v>
      </c>
      <c r="I166" s="152"/>
      <c r="J166" s="157"/>
      <c r="K166" s="157">
        <v>5800361788</v>
      </c>
      <c r="L166" s="227">
        <v>14408.92</v>
      </c>
      <c r="M166" s="157" t="s">
        <v>3416</v>
      </c>
      <c r="N166" s="227">
        <f t="shared" ref="N166:N171" si="23">+N165-I166-L166</f>
        <v>515049.63536201074</v>
      </c>
      <c r="O166" s="152">
        <f t="shared" si="22"/>
        <v>2084086.9693620107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3396</v>
      </c>
      <c r="I167" s="152"/>
      <c r="J167" s="157"/>
      <c r="K167" s="157">
        <v>5800361788</v>
      </c>
      <c r="L167" s="227">
        <v>13488.734</v>
      </c>
      <c r="M167" s="157" t="s">
        <v>3416</v>
      </c>
      <c r="N167" s="227">
        <f t="shared" si="23"/>
        <v>501560.90136201074</v>
      </c>
      <c r="O167" s="152">
        <f t="shared" si="22"/>
        <v>2070598.2353620108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3396</v>
      </c>
      <c r="I168" s="152"/>
      <c r="J168" s="157"/>
      <c r="K168" s="157">
        <v>5800361788</v>
      </c>
      <c r="L168" s="227">
        <v>11889.41</v>
      </c>
      <c r="M168" s="157" t="s">
        <v>3416</v>
      </c>
      <c r="N168" s="227">
        <f t="shared" si="23"/>
        <v>489671.49136201077</v>
      </c>
      <c r="O168" s="152">
        <f t="shared" si="22"/>
        <v>2058708.8253620109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3396</v>
      </c>
      <c r="I169" s="152"/>
      <c r="J169" s="157"/>
      <c r="K169" s="157">
        <v>5800361788</v>
      </c>
      <c r="L169" s="227">
        <v>13318.948</v>
      </c>
      <c r="M169" s="157" t="s">
        <v>3416</v>
      </c>
      <c r="N169" s="227">
        <f t="shared" si="23"/>
        <v>476352.54336201079</v>
      </c>
      <c r="O169" s="152">
        <f t="shared" si="22"/>
        <v>2045389.8773620108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3396</v>
      </c>
      <c r="I170" s="152"/>
      <c r="J170" s="157"/>
      <c r="K170" s="157">
        <v>5800361788</v>
      </c>
      <c r="L170" s="227">
        <v>14877.474</v>
      </c>
      <c r="M170" s="157" t="s">
        <v>3416</v>
      </c>
      <c r="N170" s="227">
        <f t="shared" si="23"/>
        <v>461475.06936201081</v>
      </c>
      <c r="O170" s="152">
        <f t="shared" si="22"/>
        <v>2030512.4033620108</v>
      </c>
    </row>
    <row r="171" spans="1:15" x14ac:dyDescent="0.15">
      <c r="A171" s="154"/>
      <c r="B171" s="151"/>
      <c r="C171" s="152"/>
      <c r="D171" s="323" t="s">
        <v>3397</v>
      </c>
      <c r="E171" s="154" t="s">
        <v>72</v>
      </c>
      <c r="F171" s="157" t="s">
        <v>3422</v>
      </c>
      <c r="G171" s="152">
        <v>131867.29699999999</v>
      </c>
      <c r="H171" s="323" t="s">
        <v>3397</v>
      </c>
      <c r="I171" s="152">
        <v>9099.9639999999999</v>
      </c>
      <c r="J171" s="157" t="s">
        <v>3416</v>
      </c>
      <c r="K171" s="157">
        <v>5800361788</v>
      </c>
      <c r="L171" s="227">
        <v>13652.69</v>
      </c>
      <c r="M171" s="157" t="s">
        <v>3416</v>
      </c>
      <c r="N171" s="227">
        <f t="shared" si="23"/>
        <v>438722.41536201083</v>
      </c>
      <c r="O171" s="152">
        <f t="shared" si="22"/>
        <v>2139627.0463620108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3397</v>
      </c>
      <c r="I172" s="152"/>
      <c r="J172" s="157"/>
      <c r="K172" s="157">
        <v>5800361788</v>
      </c>
      <c r="L172" s="227">
        <v>17536.327000000001</v>
      </c>
      <c r="M172" s="157" t="s">
        <v>3416</v>
      </c>
      <c r="N172" s="227">
        <f t="shared" si="20"/>
        <v>421186.08836201084</v>
      </c>
      <c r="O172" s="152">
        <f t="shared" si="21"/>
        <v>2122090.7193620107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3397</v>
      </c>
      <c r="I173" s="152"/>
      <c r="J173" s="157"/>
      <c r="K173" s="157">
        <v>5800361788</v>
      </c>
      <c r="L173" s="227">
        <v>15012.862999999999</v>
      </c>
      <c r="M173" s="157" t="s">
        <v>3416</v>
      </c>
      <c r="N173" s="227">
        <f t="shared" si="20"/>
        <v>406173.22536201082</v>
      </c>
      <c r="O173" s="152">
        <f t="shared" si="21"/>
        <v>2107077.8563620108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3397</v>
      </c>
      <c r="I174" s="152"/>
      <c r="J174" s="157"/>
      <c r="K174" s="157">
        <v>5800361788</v>
      </c>
      <c r="L174" s="227">
        <v>15470.584000000001</v>
      </c>
      <c r="M174" s="157" t="s">
        <v>3416</v>
      </c>
      <c r="N174" s="227">
        <f t="shared" si="20"/>
        <v>390702.64136201085</v>
      </c>
      <c r="O174" s="152">
        <f t="shared" si="21"/>
        <v>2091607.2723620108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3397</v>
      </c>
      <c r="I175" s="152"/>
      <c r="J175" s="157"/>
      <c r="K175" s="157">
        <v>5800361788</v>
      </c>
      <c r="L175" s="227">
        <v>12677.284</v>
      </c>
      <c r="M175" s="157" t="s">
        <v>3416</v>
      </c>
      <c r="N175" s="227">
        <f t="shared" si="20"/>
        <v>378025.35736201087</v>
      </c>
      <c r="O175" s="152">
        <f t="shared" si="21"/>
        <v>2078929.9883620108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3397</v>
      </c>
      <c r="I176" s="152"/>
      <c r="J176" s="157"/>
      <c r="K176" s="157">
        <v>5800361788</v>
      </c>
      <c r="L176" s="227">
        <v>31009.127</v>
      </c>
      <c r="M176" s="157" t="s">
        <v>3416</v>
      </c>
      <c r="N176" s="227">
        <f t="shared" si="20"/>
        <v>347016.23036201089</v>
      </c>
      <c r="O176" s="152">
        <f t="shared" si="21"/>
        <v>2047920.8613620107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3397</v>
      </c>
      <c r="I177" s="152"/>
      <c r="J177" s="157"/>
      <c r="K177" s="157">
        <v>5800361788</v>
      </c>
      <c r="L177" s="227">
        <v>15116.799000000001</v>
      </c>
      <c r="M177" s="157" t="s">
        <v>3416</v>
      </c>
      <c r="N177" s="227">
        <f t="shared" si="20"/>
        <v>331899.43136201089</v>
      </c>
      <c r="O177" s="152">
        <f t="shared" si="21"/>
        <v>2032804.0623620106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3397</v>
      </c>
      <c r="I178" s="152"/>
      <c r="J178" s="157"/>
      <c r="K178" s="157">
        <v>5800361788</v>
      </c>
      <c r="L178" s="227">
        <v>15593.509</v>
      </c>
      <c r="M178" s="157" t="s">
        <v>3416</v>
      </c>
      <c r="N178" s="227">
        <f t="shared" si="20"/>
        <v>316305.92236201087</v>
      </c>
      <c r="O178" s="152">
        <f t="shared" si="21"/>
        <v>2017210.5533620105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3397</v>
      </c>
      <c r="I179" s="152"/>
      <c r="J179" s="157"/>
      <c r="K179" s="157">
        <v>5800361788</v>
      </c>
      <c r="L179" s="227">
        <v>8861.6059999999998</v>
      </c>
      <c r="M179" s="157" t="s">
        <v>3416</v>
      </c>
      <c r="N179" s="227">
        <f t="shared" si="20"/>
        <v>307444.3163620109</v>
      </c>
      <c r="O179" s="152">
        <f t="shared" si="21"/>
        <v>2008348.9473620106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3397</v>
      </c>
      <c r="I180" s="152"/>
      <c r="J180" s="157"/>
      <c r="K180" s="157">
        <v>5800361788</v>
      </c>
      <c r="L180" s="227">
        <v>12038.450999999999</v>
      </c>
      <c r="M180" s="157" t="s">
        <v>3416</v>
      </c>
      <c r="N180" s="227">
        <f t="shared" si="20"/>
        <v>295405.8653620109</v>
      </c>
      <c r="O180" s="152">
        <f t="shared" si="21"/>
        <v>1996310.4963620107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3397</v>
      </c>
      <c r="I181" s="152"/>
      <c r="J181" s="157"/>
      <c r="K181" s="157">
        <v>5800361788</v>
      </c>
      <c r="L181" s="227">
        <v>14183.927</v>
      </c>
      <c r="M181" s="157" t="s">
        <v>3416</v>
      </c>
      <c r="N181" s="227">
        <f t="shared" si="20"/>
        <v>281221.93836201087</v>
      </c>
      <c r="O181" s="152">
        <f t="shared" si="21"/>
        <v>1982126.5693620108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3397</v>
      </c>
      <c r="I182" s="152"/>
      <c r="J182" s="157"/>
      <c r="K182" s="157">
        <v>5800361788</v>
      </c>
      <c r="L182" s="227">
        <v>17760.386999999999</v>
      </c>
      <c r="M182" s="157" t="s">
        <v>3416</v>
      </c>
      <c r="N182" s="227">
        <f t="shared" si="20"/>
        <v>263461.55136201088</v>
      </c>
      <c r="O182" s="152">
        <f t="shared" si="21"/>
        <v>1964366.1823620107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3397</v>
      </c>
      <c r="I183" s="152"/>
      <c r="J183" s="157"/>
      <c r="K183" s="157">
        <v>5800361788</v>
      </c>
      <c r="L183" s="227">
        <v>2221.422</v>
      </c>
      <c r="M183" s="157" t="s">
        <v>3416</v>
      </c>
      <c r="N183" s="227">
        <f t="shared" si="20"/>
        <v>261240.12936201089</v>
      </c>
      <c r="O183" s="152">
        <f t="shared" si="21"/>
        <v>1962144.7603620107</v>
      </c>
    </row>
    <row r="184" spans="1:15" x14ac:dyDescent="0.15">
      <c r="A184" s="154"/>
      <c r="B184" s="151"/>
      <c r="C184" s="152"/>
      <c r="D184" s="323" t="s">
        <v>3398</v>
      </c>
      <c r="E184" s="154" t="s">
        <v>72</v>
      </c>
      <c r="F184" s="157" t="s">
        <v>3422</v>
      </c>
      <c r="G184" s="152">
        <v>176029.421</v>
      </c>
      <c r="H184" s="323" t="s">
        <v>3398</v>
      </c>
      <c r="I184" s="152">
        <v>12501.428</v>
      </c>
      <c r="J184" s="157" t="s">
        <v>3416</v>
      </c>
      <c r="K184" s="157">
        <v>5800361788</v>
      </c>
      <c r="L184" s="227">
        <v>13448.272999999999</v>
      </c>
      <c r="M184" s="157" t="s">
        <v>3416</v>
      </c>
      <c r="N184" s="227">
        <f t="shared" si="20"/>
        <v>235290.42836201092</v>
      </c>
      <c r="O184" s="152">
        <f t="shared" si="21"/>
        <v>2112224.4803620107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3398</v>
      </c>
      <c r="I185" s="152"/>
      <c r="J185" s="157"/>
      <c r="K185" s="157">
        <v>5800361788</v>
      </c>
      <c r="L185" s="227">
        <v>14088.144</v>
      </c>
      <c r="M185" s="157" t="s">
        <v>3416</v>
      </c>
      <c r="N185" s="227">
        <f t="shared" si="20"/>
        <v>221202.28436201092</v>
      </c>
      <c r="O185" s="152">
        <f t="shared" si="21"/>
        <v>2098136.3363620108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3398</v>
      </c>
      <c r="I186" s="152"/>
      <c r="J186" s="157"/>
      <c r="K186" s="157">
        <v>5800361788</v>
      </c>
      <c r="L186" s="227">
        <v>13073.349</v>
      </c>
      <c r="M186" s="157" t="s">
        <v>3416</v>
      </c>
      <c r="N186" s="227">
        <f t="shared" si="20"/>
        <v>208128.93536201093</v>
      </c>
      <c r="O186" s="152">
        <f t="shared" si="21"/>
        <v>2085062.9873620109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3398</v>
      </c>
      <c r="I187" s="152"/>
      <c r="J187" s="157"/>
      <c r="K187" s="157">
        <v>5800361788</v>
      </c>
      <c r="L187" s="227">
        <v>8751.2260000000006</v>
      </c>
      <c r="M187" s="157" t="s">
        <v>3416</v>
      </c>
      <c r="N187" s="227">
        <f t="shared" si="20"/>
        <v>199377.70936201094</v>
      </c>
      <c r="O187" s="152">
        <f t="shared" si="21"/>
        <v>2076311.7613620108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3398</v>
      </c>
      <c r="I188" s="152"/>
      <c r="J188" s="157"/>
      <c r="K188" s="157">
        <v>5800361788</v>
      </c>
      <c r="L188" s="227">
        <v>2315.5309999999999</v>
      </c>
      <c r="M188" s="157" t="s">
        <v>3416</v>
      </c>
      <c r="N188" s="227">
        <f t="shared" si="20"/>
        <v>197062.17836201095</v>
      </c>
      <c r="O188" s="152">
        <f t="shared" si="21"/>
        <v>2073996.2303620109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3398</v>
      </c>
      <c r="I189" s="152"/>
      <c r="J189" s="157"/>
      <c r="K189" s="157">
        <v>5800361788</v>
      </c>
      <c r="L189" s="227">
        <v>12876.777</v>
      </c>
      <c r="M189" s="157" t="s">
        <v>3416</v>
      </c>
      <c r="N189" s="227">
        <f t="shared" si="20"/>
        <v>184185.40136201095</v>
      </c>
      <c r="O189" s="152">
        <f t="shared" si="21"/>
        <v>2061119.4533620109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3398</v>
      </c>
      <c r="I190" s="152"/>
      <c r="J190" s="157"/>
      <c r="K190" s="157">
        <v>5800361788</v>
      </c>
      <c r="L190" s="227">
        <v>15252.813</v>
      </c>
      <c r="M190" s="157" t="s">
        <v>3416</v>
      </c>
      <c r="N190" s="227">
        <f t="shared" si="20"/>
        <v>168932.58836201095</v>
      </c>
      <c r="O190" s="152">
        <f t="shared" si="21"/>
        <v>2045866.6403620108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3398</v>
      </c>
      <c r="I191" s="152"/>
      <c r="J191" s="157"/>
      <c r="K191" s="157">
        <v>5800361788</v>
      </c>
      <c r="L191" s="227">
        <v>3455.598</v>
      </c>
      <c r="M191" s="157" t="s">
        <v>3416</v>
      </c>
      <c r="N191" s="227">
        <f t="shared" si="20"/>
        <v>165476.99036201095</v>
      </c>
      <c r="O191" s="152">
        <f t="shared" si="21"/>
        <v>2042411.0423620108</v>
      </c>
    </row>
    <row r="192" spans="1:15" x14ac:dyDescent="0.15">
      <c r="A192" s="154"/>
      <c r="B192" s="151"/>
      <c r="C192" s="152"/>
      <c r="D192" s="323" t="s">
        <v>3399</v>
      </c>
      <c r="E192" s="154" t="s">
        <v>72</v>
      </c>
      <c r="F192" s="157" t="s">
        <v>3423</v>
      </c>
      <c r="G192" s="152">
        <v>176047.14499999999</v>
      </c>
      <c r="H192" s="323" t="s">
        <v>3399</v>
      </c>
      <c r="I192" s="152">
        <v>12334.248</v>
      </c>
      <c r="J192" s="157" t="s">
        <v>3416</v>
      </c>
      <c r="K192" s="157">
        <v>5800361788</v>
      </c>
      <c r="L192" s="227">
        <v>12692.138999999999</v>
      </c>
      <c r="M192" s="157" t="s">
        <v>3416</v>
      </c>
      <c r="N192" s="227">
        <f t="shared" si="20"/>
        <v>140450.60336201097</v>
      </c>
      <c r="O192" s="152">
        <f t="shared" si="21"/>
        <v>2193431.8003620105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3399</v>
      </c>
      <c r="I193" s="152"/>
      <c r="J193" s="157"/>
      <c r="K193" s="157">
        <v>5800361788</v>
      </c>
      <c r="L193" s="227">
        <v>18503.370999999999</v>
      </c>
      <c r="M193" s="157" t="s">
        <v>3416</v>
      </c>
      <c r="N193" s="227">
        <f t="shared" si="20"/>
        <v>121947.23236201097</v>
      </c>
      <c r="O193" s="152">
        <f t="shared" si="21"/>
        <v>2174928.4293620107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3399</v>
      </c>
      <c r="I194" s="152"/>
      <c r="J194" s="157"/>
      <c r="K194" s="157">
        <v>5800361788</v>
      </c>
      <c r="L194" s="227">
        <v>11586.475</v>
      </c>
      <c r="M194" s="157" t="s">
        <v>3416</v>
      </c>
      <c r="N194" s="227">
        <f t="shared" si="20"/>
        <v>110360.75736201096</v>
      </c>
      <c r="O194" s="152">
        <f t="shared" si="21"/>
        <v>2163341.9543620106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3399</v>
      </c>
      <c r="I195" s="152"/>
      <c r="J195" s="157"/>
      <c r="K195" s="157">
        <v>5800361788</v>
      </c>
      <c r="L195" s="227">
        <v>4586.6049999999996</v>
      </c>
      <c r="M195" s="157" t="s">
        <v>3416</v>
      </c>
      <c r="N195" s="227">
        <f t="shared" si="20"/>
        <v>105774.15236201097</v>
      </c>
      <c r="O195" s="152">
        <f t="shared" si="21"/>
        <v>2158755.3493620106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3399</v>
      </c>
      <c r="I196" s="152"/>
      <c r="J196" s="157"/>
      <c r="K196" s="157">
        <v>5800361788</v>
      </c>
      <c r="L196" s="227">
        <v>35970.057000000001</v>
      </c>
      <c r="M196" s="157" t="s">
        <v>3416</v>
      </c>
      <c r="N196" s="227">
        <f t="shared" si="20"/>
        <v>69804.095362010965</v>
      </c>
      <c r="O196" s="152">
        <f t="shared" si="21"/>
        <v>2122785.2923620106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3399</v>
      </c>
      <c r="I197" s="152"/>
      <c r="J197" s="157"/>
      <c r="K197" s="157">
        <v>5800361788</v>
      </c>
      <c r="L197" s="227">
        <v>13617.857</v>
      </c>
      <c r="M197" s="157" t="s">
        <v>3416</v>
      </c>
      <c r="N197" s="227">
        <f t="shared" si="20"/>
        <v>56186.238362010961</v>
      </c>
      <c r="O197" s="152">
        <f t="shared" si="21"/>
        <v>2109167.4353620107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3399</v>
      </c>
      <c r="I198" s="152"/>
      <c r="J198" s="157"/>
      <c r="K198" s="157">
        <v>5800361788</v>
      </c>
      <c r="L198" s="227">
        <v>15060.418</v>
      </c>
      <c r="M198" s="157" t="s">
        <v>3416</v>
      </c>
      <c r="N198" s="227">
        <f t="shared" si="20"/>
        <v>41125.820362010963</v>
      </c>
      <c r="O198" s="152">
        <f t="shared" si="21"/>
        <v>2094107.0173620107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3399</v>
      </c>
      <c r="I199" s="152"/>
      <c r="J199" s="157"/>
      <c r="K199" s="157">
        <v>5800361788</v>
      </c>
      <c r="L199" s="227">
        <v>12737.125</v>
      </c>
      <c r="M199" s="157" t="s">
        <v>3416</v>
      </c>
      <c r="N199" s="227">
        <f t="shared" si="20"/>
        <v>28388.695362010963</v>
      </c>
      <c r="O199" s="152">
        <f t="shared" si="21"/>
        <v>2081369.8923620107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3399</v>
      </c>
      <c r="I200" s="152"/>
      <c r="J200" s="157"/>
      <c r="K200" s="157">
        <v>5800361788</v>
      </c>
      <c r="L200" s="227">
        <v>8343.4619999999995</v>
      </c>
      <c r="M200" s="157" t="s">
        <v>3416</v>
      </c>
      <c r="N200" s="227">
        <f t="shared" si="20"/>
        <v>20045.233362010964</v>
      </c>
      <c r="O200" s="152">
        <f t="shared" si="21"/>
        <v>2073026.4303620106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3399</v>
      </c>
      <c r="I201" s="152"/>
      <c r="J201" s="157"/>
      <c r="K201" s="157">
        <v>5800361788</v>
      </c>
      <c r="L201" s="227">
        <v>10758.727000000001</v>
      </c>
      <c r="M201" s="157" t="s">
        <v>3416</v>
      </c>
      <c r="N201" s="227">
        <f t="shared" si="20"/>
        <v>9286.5063620109631</v>
      </c>
      <c r="O201" s="152">
        <f t="shared" si="21"/>
        <v>2062267.7033620107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3399</v>
      </c>
      <c r="I202" s="152"/>
      <c r="J202" s="157"/>
      <c r="K202" s="157">
        <v>5800361788</v>
      </c>
      <c r="L202" s="227">
        <v>9286.5063620109631</v>
      </c>
      <c r="M202" s="157" t="s">
        <v>3416</v>
      </c>
      <c r="N202" s="227">
        <f t="shared" ref="N202:N207" si="24">+N201-I202-L202</f>
        <v>0</v>
      </c>
      <c r="O202" s="152">
        <f t="shared" ref="O202:O207" si="25">O201+G202-I202-L202</f>
        <v>2052981.1969999997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3399</v>
      </c>
      <c r="I203" s="152"/>
      <c r="J203" s="157"/>
      <c r="K203" s="157">
        <v>5800361788</v>
      </c>
      <c r="L203" s="227">
        <v>5861.8846379890401</v>
      </c>
      <c r="M203" s="157" t="s">
        <v>3417</v>
      </c>
      <c r="N203" s="227">
        <f>G59+G81+G88+N202-I203-L203</f>
        <v>420693.94436201191</v>
      </c>
      <c r="O203" s="152">
        <f t="shared" si="25"/>
        <v>2047119.3123620106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3399</v>
      </c>
      <c r="I204" s="152"/>
      <c r="J204" s="157"/>
      <c r="K204" s="157">
        <v>5800361788</v>
      </c>
      <c r="L204" s="227">
        <v>4124.7449999999999</v>
      </c>
      <c r="M204" s="157" t="s">
        <v>3417</v>
      </c>
      <c r="N204" s="227">
        <f t="shared" si="24"/>
        <v>416569.19936201192</v>
      </c>
      <c r="O204" s="152">
        <f t="shared" si="25"/>
        <v>2042994.5673620105</v>
      </c>
    </row>
    <row r="205" spans="1:15" x14ac:dyDescent="0.15">
      <c r="A205" s="154"/>
      <c r="B205" s="151"/>
      <c r="C205" s="152"/>
      <c r="D205" s="323" t="s">
        <v>3401</v>
      </c>
      <c r="E205" s="154" t="s">
        <v>72</v>
      </c>
      <c r="F205" s="157" t="s">
        <v>3424</v>
      </c>
      <c r="G205" s="152">
        <v>132122.21299999999</v>
      </c>
      <c r="H205" s="323" t="s">
        <v>3401</v>
      </c>
      <c r="I205" s="152">
        <v>6911.4659999999994</v>
      </c>
      <c r="J205" s="157" t="s">
        <v>3417</v>
      </c>
      <c r="K205" s="157">
        <v>5800361788</v>
      </c>
      <c r="L205" s="227">
        <v>11451.599</v>
      </c>
      <c r="M205" s="157" t="s">
        <v>3417</v>
      </c>
      <c r="N205" s="227">
        <f t="shared" si="24"/>
        <v>398206.13436201192</v>
      </c>
      <c r="O205" s="152">
        <f t="shared" si="25"/>
        <v>2156753.7153620105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3401</v>
      </c>
      <c r="I206" s="152"/>
      <c r="J206" s="157"/>
      <c r="K206" s="157">
        <v>5800361788</v>
      </c>
      <c r="L206" s="227">
        <v>12388.548000000001</v>
      </c>
      <c r="M206" s="157" t="s">
        <v>3417</v>
      </c>
      <c r="N206" s="227">
        <f t="shared" si="24"/>
        <v>385817.58636201191</v>
      </c>
      <c r="O206" s="152">
        <f t="shared" si="25"/>
        <v>2144365.1673620106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3401</v>
      </c>
      <c r="I207" s="152"/>
      <c r="J207" s="157"/>
      <c r="K207" s="157">
        <v>5800361788</v>
      </c>
      <c r="L207" s="227">
        <v>15052.245999999999</v>
      </c>
      <c r="M207" s="157" t="s">
        <v>3417</v>
      </c>
      <c r="N207" s="227">
        <f t="shared" si="24"/>
        <v>370765.34036201192</v>
      </c>
      <c r="O207" s="152">
        <f t="shared" si="25"/>
        <v>2129312.9213620108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3401</v>
      </c>
      <c r="I208" s="152"/>
      <c r="J208" s="157"/>
      <c r="K208" s="157">
        <v>5800361788</v>
      </c>
      <c r="L208" s="227">
        <v>11768.92</v>
      </c>
      <c r="M208" s="157" t="s">
        <v>3417</v>
      </c>
      <c r="N208" s="227">
        <f t="shared" si="20"/>
        <v>358996.42036201194</v>
      </c>
      <c r="O208" s="152">
        <f t="shared" si="21"/>
        <v>2117544.0013620108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3401</v>
      </c>
      <c r="I209" s="152"/>
      <c r="J209" s="157"/>
      <c r="K209" s="157">
        <v>5800361788</v>
      </c>
      <c r="L209" s="227">
        <v>14770.960999999999</v>
      </c>
      <c r="M209" s="157" t="s">
        <v>3417</v>
      </c>
      <c r="N209" s="227">
        <f t="shared" si="20"/>
        <v>344225.45936201193</v>
      </c>
      <c r="O209" s="152">
        <f t="shared" si="21"/>
        <v>2102773.0403620107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3401</v>
      </c>
      <c r="I210" s="152"/>
      <c r="J210" s="157"/>
      <c r="K210" s="157">
        <v>5800361788</v>
      </c>
      <c r="L210" s="227">
        <v>14275.459000000001</v>
      </c>
      <c r="M210" s="157" t="s">
        <v>3417</v>
      </c>
      <c r="N210" s="227">
        <f t="shared" si="20"/>
        <v>329950.00036201195</v>
      </c>
      <c r="O210" s="152">
        <f t="shared" si="21"/>
        <v>2088497.5813620107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3401</v>
      </c>
      <c r="I211" s="152"/>
      <c r="J211" s="157"/>
      <c r="K211" s="157">
        <v>5800361788</v>
      </c>
      <c r="L211" s="227">
        <v>10197.329</v>
      </c>
      <c r="M211" s="157" t="s">
        <v>3417</v>
      </c>
      <c r="N211" s="227">
        <f t="shared" si="20"/>
        <v>319752.67136201193</v>
      </c>
      <c r="O211" s="152">
        <f t="shared" si="21"/>
        <v>2078300.2523620108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3401</v>
      </c>
      <c r="I212" s="152"/>
      <c r="J212" s="157"/>
      <c r="K212" s="157">
        <v>5800361788</v>
      </c>
      <c r="L212" s="227">
        <v>13178.348</v>
      </c>
      <c r="M212" s="157" t="s">
        <v>3417</v>
      </c>
      <c r="N212" s="227">
        <f t="shared" si="20"/>
        <v>306574.32336201193</v>
      </c>
      <c r="O212" s="152">
        <f t="shared" si="21"/>
        <v>2065121.9043620108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3401</v>
      </c>
      <c r="I213" s="152"/>
      <c r="J213" s="157"/>
      <c r="K213" s="157">
        <v>5800361788</v>
      </c>
      <c r="L213" s="227">
        <v>2472.5039999999999</v>
      </c>
      <c r="M213" s="157" t="s">
        <v>3417</v>
      </c>
      <c r="N213" s="227">
        <f t="shared" si="20"/>
        <v>304101.81936201191</v>
      </c>
      <c r="O213" s="152">
        <f t="shared" si="21"/>
        <v>2062649.4003620108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3401</v>
      </c>
      <c r="I214" s="152"/>
      <c r="J214" s="157"/>
      <c r="K214" s="157">
        <v>5800361788</v>
      </c>
      <c r="L214" s="227">
        <v>13691.665999999999</v>
      </c>
      <c r="M214" s="157" t="s">
        <v>3417</v>
      </c>
      <c r="N214" s="227">
        <f t="shared" si="20"/>
        <v>290410.15336201189</v>
      </c>
      <c r="O214" s="152">
        <f t="shared" si="21"/>
        <v>2048957.7343620108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3401</v>
      </c>
      <c r="I215" s="152"/>
      <c r="J215" s="157"/>
      <c r="K215" s="157">
        <v>5800361788</v>
      </c>
      <c r="L215" s="227">
        <v>13116.016</v>
      </c>
      <c r="M215" s="157" t="s">
        <v>3417</v>
      </c>
      <c r="N215" s="227">
        <f t="shared" si="20"/>
        <v>277294.13736201188</v>
      </c>
      <c r="O215" s="152">
        <f t="shared" si="21"/>
        <v>2035841.7183620108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3401</v>
      </c>
      <c r="I216" s="152"/>
      <c r="J216" s="157"/>
      <c r="K216" s="157">
        <v>5800361788</v>
      </c>
      <c r="L216" s="227">
        <v>14648.084000000001</v>
      </c>
      <c r="M216" s="157" t="s">
        <v>3417</v>
      </c>
      <c r="N216" s="227">
        <f t="shared" si="20"/>
        <v>262646.05336201191</v>
      </c>
      <c r="O216" s="152">
        <f t="shared" si="21"/>
        <v>2021193.6343620108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3401</v>
      </c>
      <c r="I217" s="152"/>
      <c r="J217" s="157"/>
      <c r="K217" s="157">
        <v>5800361788</v>
      </c>
      <c r="L217" s="227">
        <v>4824.0640000000003</v>
      </c>
      <c r="M217" s="157" t="s">
        <v>3417</v>
      </c>
      <c r="N217" s="227">
        <f t="shared" si="20"/>
        <v>257821.9893620119</v>
      </c>
      <c r="O217" s="152">
        <f t="shared" si="21"/>
        <v>2016369.5703620107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3402</v>
      </c>
      <c r="I218" s="152">
        <v>9193.0229999999992</v>
      </c>
      <c r="J218" s="157" t="s">
        <v>3417</v>
      </c>
      <c r="K218" s="157">
        <v>5800361788</v>
      </c>
      <c r="L218" s="227">
        <v>13180.007</v>
      </c>
      <c r="M218" s="157" t="s">
        <v>3417</v>
      </c>
      <c r="N218" s="227">
        <f t="shared" ref="N218:N284" si="26">+N217-I218-L218</f>
        <v>235448.9593620119</v>
      </c>
      <c r="O218" s="152">
        <f t="shared" ref="O218:O284" si="27">O217+G218-I218-L218</f>
        <v>1993996.5403620107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3402</v>
      </c>
      <c r="I219" s="152"/>
      <c r="J219" s="157"/>
      <c r="K219" s="157">
        <v>5800361788</v>
      </c>
      <c r="L219" s="227">
        <v>17817.417000000001</v>
      </c>
      <c r="M219" s="157" t="s">
        <v>3417</v>
      </c>
      <c r="N219" s="227">
        <f t="shared" si="26"/>
        <v>217631.54236201191</v>
      </c>
      <c r="O219" s="152">
        <f t="shared" si="27"/>
        <v>1976179.1233620108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3402</v>
      </c>
      <c r="I220" s="152"/>
      <c r="J220" s="157"/>
      <c r="K220" s="157">
        <v>5800361788</v>
      </c>
      <c r="L220" s="227">
        <v>13285.039000000001</v>
      </c>
      <c r="M220" s="157" t="s">
        <v>3417</v>
      </c>
      <c r="N220" s="227">
        <f t="shared" si="26"/>
        <v>204346.50336201192</v>
      </c>
      <c r="O220" s="152">
        <f t="shared" si="27"/>
        <v>1962894.0843620107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3402</v>
      </c>
      <c r="I221" s="152"/>
      <c r="J221" s="157"/>
      <c r="K221" s="157">
        <v>5800361788</v>
      </c>
      <c r="L221" s="227">
        <v>13135.994000000001</v>
      </c>
      <c r="M221" s="157" t="s">
        <v>3417</v>
      </c>
      <c r="N221" s="227">
        <f t="shared" si="26"/>
        <v>191210.50936201192</v>
      </c>
      <c r="O221" s="152">
        <f t="shared" si="27"/>
        <v>1949758.0903620108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3402</v>
      </c>
      <c r="I222" s="152"/>
      <c r="J222" s="157"/>
      <c r="K222" s="157">
        <v>5800361788</v>
      </c>
      <c r="L222" s="227">
        <v>35570.813999999998</v>
      </c>
      <c r="M222" s="157" t="s">
        <v>3417</v>
      </c>
      <c r="N222" s="227">
        <f t="shared" si="26"/>
        <v>155639.6953620119</v>
      </c>
      <c r="O222" s="152">
        <f t="shared" si="27"/>
        <v>1914187.2763620107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3402</v>
      </c>
      <c r="I223" s="152"/>
      <c r="J223" s="157"/>
      <c r="K223" s="157">
        <v>5800361788</v>
      </c>
      <c r="L223" s="227">
        <v>13421.08</v>
      </c>
      <c r="M223" s="157" t="s">
        <v>3417</v>
      </c>
      <c r="N223" s="227">
        <f t="shared" si="26"/>
        <v>142218.61536201191</v>
      </c>
      <c r="O223" s="152">
        <f t="shared" si="27"/>
        <v>1900766.1963620107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3402</v>
      </c>
      <c r="I224" s="152"/>
      <c r="J224" s="157"/>
      <c r="K224" s="157">
        <v>5800361788</v>
      </c>
      <c r="L224" s="227">
        <v>10242.114</v>
      </c>
      <c r="M224" s="157" t="s">
        <v>3417</v>
      </c>
      <c r="N224" s="227">
        <f t="shared" si="26"/>
        <v>131976.50136201191</v>
      </c>
      <c r="O224" s="152">
        <f t="shared" si="27"/>
        <v>1890524.0823620106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3402</v>
      </c>
      <c r="I225" s="152"/>
      <c r="J225" s="157"/>
      <c r="K225" s="157">
        <v>5800361788</v>
      </c>
      <c r="L225" s="227">
        <v>1804.549</v>
      </c>
      <c r="M225" s="157" t="s">
        <v>3417</v>
      </c>
      <c r="N225" s="227">
        <f t="shared" si="26"/>
        <v>130171.95236201191</v>
      </c>
      <c r="O225" s="152">
        <f t="shared" si="27"/>
        <v>1888719.5333620105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3402</v>
      </c>
      <c r="I226" s="152"/>
      <c r="J226" s="157"/>
      <c r="K226" s="157">
        <v>5800361788</v>
      </c>
      <c r="L226" s="227">
        <v>13675.065000000001</v>
      </c>
      <c r="M226" s="157" t="s">
        <v>3417</v>
      </c>
      <c r="N226" s="227">
        <f t="shared" si="26"/>
        <v>116496.88736201191</v>
      </c>
      <c r="O226" s="152">
        <f t="shared" si="27"/>
        <v>1875044.4683620105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3402</v>
      </c>
      <c r="I227" s="152"/>
      <c r="J227" s="157"/>
      <c r="K227" s="157">
        <v>5800361788</v>
      </c>
      <c r="L227" s="227">
        <v>15012.387000000001</v>
      </c>
      <c r="M227" s="157" t="s">
        <v>3417</v>
      </c>
      <c r="N227" s="227">
        <f t="shared" si="26"/>
        <v>101484.50036201191</v>
      </c>
      <c r="O227" s="152">
        <f t="shared" si="27"/>
        <v>1860032.0813620104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3402</v>
      </c>
      <c r="I228" s="152"/>
      <c r="J228" s="157"/>
      <c r="K228" s="157">
        <v>5800361788</v>
      </c>
      <c r="L228" s="227">
        <v>5930.9920000000002</v>
      </c>
      <c r="M228" s="157" t="s">
        <v>3417</v>
      </c>
      <c r="N228" s="227">
        <f t="shared" si="26"/>
        <v>95553.508362011911</v>
      </c>
      <c r="O228" s="152">
        <f t="shared" si="27"/>
        <v>1854101.0893620104</v>
      </c>
    </row>
    <row r="229" spans="1:15" x14ac:dyDescent="0.15">
      <c r="A229" s="154"/>
      <c r="B229" s="151"/>
      <c r="C229" s="152"/>
      <c r="D229" s="323" t="s">
        <v>3404</v>
      </c>
      <c r="E229" s="154" t="s">
        <v>72</v>
      </c>
      <c r="F229" s="157" t="s">
        <v>3425</v>
      </c>
      <c r="G229" s="152">
        <v>176000.18700000001</v>
      </c>
      <c r="H229" s="323" t="s">
        <v>3404</v>
      </c>
      <c r="I229" s="152">
        <v>13304.253000000001</v>
      </c>
      <c r="J229" s="157" t="s">
        <v>3417</v>
      </c>
      <c r="K229" s="157">
        <v>5800361788</v>
      </c>
      <c r="L229" s="227">
        <v>12367.727999999999</v>
      </c>
      <c r="M229" s="157" t="s">
        <v>3417</v>
      </c>
      <c r="N229" s="227">
        <f t="shared" si="26"/>
        <v>69881.527362011911</v>
      </c>
      <c r="O229" s="152">
        <f t="shared" si="27"/>
        <v>2004429.2953620104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3404</v>
      </c>
      <c r="I230" s="152"/>
      <c r="J230" s="157"/>
      <c r="K230" s="157">
        <v>5800361788</v>
      </c>
      <c r="L230" s="227">
        <v>14811.487999999999</v>
      </c>
      <c r="M230" s="157" t="s">
        <v>3417</v>
      </c>
      <c r="N230" s="227">
        <f t="shared" si="26"/>
        <v>55070.039362011914</v>
      </c>
      <c r="O230" s="152">
        <f t="shared" si="27"/>
        <v>1989617.8073620105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3404</v>
      </c>
      <c r="I231" s="152"/>
      <c r="J231" s="157"/>
      <c r="K231" s="157">
        <v>5800361788</v>
      </c>
      <c r="L231" s="227">
        <v>9605.1290000000008</v>
      </c>
      <c r="M231" s="157" t="s">
        <v>3417</v>
      </c>
      <c r="N231" s="227">
        <f t="shared" si="26"/>
        <v>45464.910362011913</v>
      </c>
      <c r="O231" s="152">
        <f t="shared" si="27"/>
        <v>1980012.6783620105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3404</v>
      </c>
      <c r="I232" s="152"/>
      <c r="J232" s="154"/>
      <c r="K232" s="157">
        <v>5800361788</v>
      </c>
      <c r="L232" s="227">
        <v>897.54499999999996</v>
      </c>
      <c r="M232" s="157" t="s">
        <v>3417</v>
      </c>
      <c r="N232" s="227">
        <f t="shared" si="26"/>
        <v>44567.365362011915</v>
      </c>
      <c r="O232" s="152">
        <f t="shared" si="27"/>
        <v>1979115.1333620106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3404</v>
      </c>
      <c r="I233" s="152"/>
      <c r="J233" s="157"/>
      <c r="K233" s="157">
        <v>5800361788</v>
      </c>
      <c r="L233" s="227">
        <v>12998.407999999999</v>
      </c>
      <c r="M233" s="157" t="s">
        <v>3417</v>
      </c>
      <c r="N233" s="227">
        <f t="shared" si="26"/>
        <v>31568.957362011915</v>
      </c>
      <c r="O233" s="152">
        <f t="shared" si="27"/>
        <v>1966116.7253620105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3404</v>
      </c>
      <c r="I234" s="152"/>
      <c r="J234" s="157"/>
      <c r="K234" s="157">
        <v>5800361788</v>
      </c>
      <c r="L234" s="227">
        <v>15870.950999999999</v>
      </c>
      <c r="M234" s="157" t="s">
        <v>3417</v>
      </c>
      <c r="N234" s="227">
        <f t="shared" ref="N234:N239" si="28">+N233-I234-L234</f>
        <v>15698.006362011916</v>
      </c>
      <c r="O234" s="152">
        <f t="shared" ref="O234:O239" si="29">O233+G234-I234-L234</f>
        <v>1950245.7743620106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3404</v>
      </c>
      <c r="I235" s="152"/>
      <c r="J235" s="157"/>
      <c r="K235" s="157">
        <v>5800361788</v>
      </c>
      <c r="L235" s="227">
        <v>8890.491</v>
      </c>
      <c r="M235" s="157" t="s">
        <v>3417</v>
      </c>
      <c r="N235" s="227">
        <f t="shared" si="28"/>
        <v>6807.5153620119163</v>
      </c>
      <c r="O235" s="152">
        <f t="shared" si="29"/>
        <v>1941355.2833620107</v>
      </c>
    </row>
    <row r="236" spans="1:15" x14ac:dyDescent="0.15">
      <c r="A236" s="154"/>
      <c r="B236" s="151"/>
      <c r="C236" s="152"/>
      <c r="D236" s="323" t="s">
        <v>3405</v>
      </c>
      <c r="E236" s="154" t="s">
        <v>72</v>
      </c>
      <c r="F236" s="157" t="s">
        <v>3425</v>
      </c>
      <c r="G236" s="152">
        <v>175900.87599999999</v>
      </c>
      <c r="H236" s="323" t="s">
        <v>3405</v>
      </c>
      <c r="I236" s="152">
        <v>6807.5153620119163</v>
      </c>
      <c r="J236" s="157" t="s">
        <v>3417</v>
      </c>
      <c r="K236" s="157"/>
      <c r="L236" s="227"/>
      <c r="M236" s="157"/>
      <c r="N236" s="227">
        <f t="shared" si="28"/>
        <v>0</v>
      </c>
      <c r="O236" s="152">
        <f t="shared" si="29"/>
        <v>2110448.6439999989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3405</v>
      </c>
      <c r="I237" s="152">
        <v>2758.6326379880802</v>
      </c>
      <c r="J237" s="157" t="s">
        <v>3418</v>
      </c>
      <c r="K237" s="157">
        <v>5800361788</v>
      </c>
      <c r="L237" s="227">
        <v>13414.197</v>
      </c>
      <c r="M237" s="157" t="s">
        <v>3418</v>
      </c>
      <c r="N237" s="227">
        <f>G98+G111+N236-I237-L237</f>
        <v>379131.56036201195</v>
      </c>
      <c r="O237" s="152">
        <f t="shared" si="29"/>
        <v>2094275.8143620107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3405</v>
      </c>
      <c r="I238" s="152"/>
      <c r="J238" s="157"/>
      <c r="K238" s="157">
        <v>5800361788</v>
      </c>
      <c r="L238" s="227">
        <v>16878.439999999999</v>
      </c>
      <c r="M238" s="157" t="s">
        <v>3418</v>
      </c>
      <c r="N238" s="227">
        <f t="shared" si="28"/>
        <v>362253.12036201195</v>
      </c>
      <c r="O238" s="152">
        <f t="shared" si="29"/>
        <v>2077397.3743620107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3405</v>
      </c>
      <c r="I239" s="152"/>
      <c r="J239" s="157"/>
      <c r="K239" s="157">
        <v>5800361788</v>
      </c>
      <c r="L239" s="227">
        <v>15206.288</v>
      </c>
      <c r="M239" s="157" t="s">
        <v>3418</v>
      </c>
      <c r="N239" s="227">
        <f t="shared" si="28"/>
        <v>347046.83236201195</v>
      </c>
      <c r="O239" s="152">
        <f t="shared" si="29"/>
        <v>2062191.0863620108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3405</v>
      </c>
      <c r="I240" s="152"/>
      <c r="J240" s="157"/>
      <c r="K240" s="157">
        <v>5800361788</v>
      </c>
      <c r="L240" s="227">
        <v>12815.501</v>
      </c>
      <c r="M240" s="157" t="s">
        <v>3418</v>
      </c>
      <c r="N240" s="227">
        <f t="shared" si="26"/>
        <v>334231.33136201196</v>
      </c>
      <c r="O240" s="152">
        <f t="shared" si="27"/>
        <v>2049375.5853620109</v>
      </c>
    </row>
    <row r="241" spans="1:15" x14ac:dyDescent="0.15">
      <c r="A241" s="154"/>
      <c r="B241" s="151"/>
      <c r="C241" s="152"/>
      <c r="D241" s="323"/>
      <c r="E241" s="154"/>
      <c r="F241" s="157"/>
      <c r="G241" s="152"/>
      <c r="H241" s="323" t="s">
        <v>3405</v>
      </c>
      <c r="I241" s="152"/>
      <c r="J241" s="157"/>
      <c r="K241" s="157">
        <v>5800361788</v>
      </c>
      <c r="L241" s="227">
        <v>11865.982</v>
      </c>
      <c r="M241" s="157" t="s">
        <v>3418</v>
      </c>
      <c r="N241" s="227">
        <f t="shared" si="26"/>
        <v>322365.34936201194</v>
      </c>
      <c r="O241" s="152">
        <f t="shared" si="27"/>
        <v>2037509.6033620108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3405</v>
      </c>
      <c r="I242" s="152"/>
      <c r="J242" s="157"/>
      <c r="K242" s="157">
        <v>5800361788</v>
      </c>
      <c r="L242" s="227">
        <v>14449.672</v>
      </c>
      <c r="M242" s="157" t="s">
        <v>3418</v>
      </c>
      <c r="N242" s="227">
        <f t="shared" si="26"/>
        <v>307915.67736201192</v>
      </c>
      <c r="O242" s="152">
        <f t="shared" si="27"/>
        <v>2023059.9313620108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3405</v>
      </c>
      <c r="I243" s="152"/>
      <c r="J243" s="157"/>
      <c r="K243" s="157">
        <v>5800361788</v>
      </c>
      <c r="L243" s="227">
        <v>15499.14</v>
      </c>
      <c r="M243" s="157" t="s">
        <v>3418</v>
      </c>
      <c r="N243" s="227">
        <f t="shared" si="26"/>
        <v>292416.53736201191</v>
      </c>
      <c r="O243" s="152">
        <f t="shared" si="27"/>
        <v>2007560.7913620109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3405</v>
      </c>
      <c r="I244" s="152"/>
      <c r="J244" s="157"/>
      <c r="K244" s="157">
        <v>5800361788</v>
      </c>
      <c r="L244" s="227">
        <v>14663.563</v>
      </c>
      <c r="M244" s="157" t="s">
        <v>3418</v>
      </c>
      <c r="N244" s="227">
        <f t="shared" si="26"/>
        <v>277752.97436201188</v>
      </c>
      <c r="O244" s="152">
        <f t="shared" si="27"/>
        <v>1992897.2283620108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3405</v>
      </c>
      <c r="I245" s="152"/>
      <c r="J245" s="157"/>
      <c r="K245" s="157">
        <v>5800361788</v>
      </c>
      <c r="L245" s="227">
        <v>5733.0929999999998</v>
      </c>
      <c r="M245" s="157" t="s">
        <v>3418</v>
      </c>
      <c r="N245" s="227">
        <f t="shared" si="26"/>
        <v>272019.88136201189</v>
      </c>
      <c r="O245" s="152">
        <f t="shared" si="27"/>
        <v>1987164.1353620107</v>
      </c>
    </row>
    <row r="246" spans="1:15" x14ac:dyDescent="0.15">
      <c r="A246" s="154"/>
      <c r="B246" s="151"/>
      <c r="C246" s="152"/>
      <c r="D246" s="323" t="s">
        <v>3406</v>
      </c>
      <c r="E246" s="154" t="s">
        <v>72</v>
      </c>
      <c r="F246" s="157" t="s">
        <v>3425</v>
      </c>
      <c r="G246" s="152">
        <v>131819.01799999998</v>
      </c>
      <c r="H246" s="323" t="s">
        <v>3406</v>
      </c>
      <c r="I246" s="152">
        <v>7253.8250000000007</v>
      </c>
      <c r="J246" s="157" t="s">
        <v>3418</v>
      </c>
      <c r="K246" s="157">
        <v>5800361788</v>
      </c>
      <c r="L246" s="227">
        <v>13476.648999999999</v>
      </c>
      <c r="M246" s="157" t="s">
        <v>3418</v>
      </c>
      <c r="N246" s="227">
        <f t="shared" si="26"/>
        <v>251289.40736201187</v>
      </c>
      <c r="O246" s="152">
        <f t="shared" si="27"/>
        <v>2098252.6793620102</v>
      </c>
    </row>
    <row r="247" spans="1:15" x14ac:dyDescent="0.15">
      <c r="A247" s="154"/>
      <c r="B247" s="151"/>
      <c r="C247" s="152"/>
      <c r="D247" s="323" t="s">
        <v>3406</v>
      </c>
      <c r="E247" s="154" t="s">
        <v>72</v>
      </c>
      <c r="F247" s="157" t="s">
        <v>3426</v>
      </c>
      <c r="G247" s="152">
        <v>43986.614999999998</v>
      </c>
      <c r="H247" s="323" t="s">
        <v>3406</v>
      </c>
      <c r="I247" s="152"/>
      <c r="J247" s="157"/>
      <c r="K247" s="157">
        <v>5800361788</v>
      </c>
      <c r="L247" s="227">
        <v>13448.62</v>
      </c>
      <c r="M247" s="157" t="s">
        <v>3418</v>
      </c>
      <c r="N247" s="227">
        <f t="shared" si="26"/>
        <v>237840.78736201188</v>
      </c>
      <c r="O247" s="152">
        <f t="shared" si="27"/>
        <v>2128790.6743620103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3406</v>
      </c>
      <c r="I248" s="152"/>
      <c r="J248" s="157"/>
      <c r="K248" s="157">
        <v>5800361788</v>
      </c>
      <c r="L248" s="227">
        <v>17077.294999999998</v>
      </c>
      <c r="M248" s="157" t="s">
        <v>3418</v>
      </c>
      <c r="N248" s="227">
        <f t="shared" si="26"/>
        <v>220763.49236201186</v>
      </c>
      <c r="O248" s="152">
        <f t="shared" si="27"/>
        <v>2111713.3793620104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3406</v>
      </c>
      <c r="I249" s="152"/>
      <c r="J249" s="157"/>
      <c r="K249" s="157">
        <v>5800361788</v>
      </c>
      <c r="L249" s="227">
        <v>13544.718000000001</v>
      </c>
      <c r="M249" s="157" t="s">
        <v>3418</v>
      </c>
      <c r="N249" s="227">
        <f t="shared" si="26"/>
        <v>207218.77436201187</v>
      </c>
      <c r="O249" s="152">
        <f t="shared" si="27"/>
        <v>2098168.6613620105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3406</v>
      </c>
      <c r="I250" s="152"/>
      <c r="J250" s="157"/>
      <c r="K250" s="157">
        <v>5800361788</v>
      </c>
      <c r="L250" s="227">
        <v>15297.493</v>
      </c>
      <c r="M250" s="157" t="s">
        <v>3418</v>
      </c>
      <c r="N250" s="227">
        <f t="shared" si="26"/>
        <v>191921.28136201188</v>
      </c>
      <c r="O250" s="152">
        <f t="shared" si="27"/>
        <v>2082871.1683620105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3406</v>
      </c>
      <c r="I251" s="152"/>
      <c r="J251" s="157"/>
      <c r="K251" s="157">
        <v>5800361788</v>
      </c>
      <c r="L251" s="227">
        <v>13637.812</v>
      </c>
      <c r="M251" s="157" t="s">
        <v>3418</v>
      </c>
      <c r="N251" s="227">
        <f t="shared" si="26"/>
        <v>178283.46936201188</v>
      </c>
      <c r="O251" s="152">
        <f t="shared" si="27"/>
        <v>2069233.3563620106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3406</v>
      </c>
      <c r="I252" s="152"/>
      <c r="J252" s="157"/>
      <c r="K252" s="157">
        <v>5800361788</v>
      </c>
      <c r="L252" s="227">
        <v>33652.082000000002</v>
      </c>
      <c r="M252" s="157" t="s">
        <v>3418</v>
      </c>
      <c r="N252" s="227">
        <f t="shared" si="26"/>
        <v>144631.38736201188</v>
      </c>
      <c r="O252" s="152">
        <f t="shared" si="27"/>
        <v>2035581.2743620106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3406</v>
      </c>
      <c r="I253" s="152"/>
      <c r="J253" s="157"/>
      <c r="K253" s="157">
        <v>5800361788</v>
      </c>
      <c r="L253" s="227">
        <v>9159.2759999999998</v>
      </c>
      <c r="M253" s="157" t="s">
        <v>3418</v>
      </c>
      <c r="N253" s="227">
        <f t="shared" si="26"/>
        <v>135472.11136201187</v>
      </c>
      <c r="O253" s="152">
        <f t="shared" si="27"/>
        <v>2026421.9983620106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3406</v>
      </c>
      <c r="I254" s="152"/>
      <c r="J254" s="157"/>
      <c r="K254" s="157">
        <v>5800361788</v>
      </c>
      <c r="L254" s="227">
        <v>12756.53</v>
      </c>
      <c r="M254" s="157" t="s">
        <v>3418</v>
      </c>
      <c r="N254" s="227">
        <f t="shared" si="26"/>
        <v>122715.58136201187</v>
      </c>
      <c r="O254" s="152">
        <f t="shared" si="27"/>
        <v>2013665.4683620105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3406</v>
      </c>
      <c r="I255" s="152"/>
      <c r="J255" s="157"/>
      <c r="K255" s="157">
        <v>5800361788</v>
      </c>
      <c r="L255" s="227">
        <v>10664.591</v>
      </c>
      <c r="M255" s="157" t="s">
        <v>3418</v>
      </c>
      <c r="N255" s="227">
        <f t="shared" si="26"/>
        <v>112050.99036201187</v>
      </c>
      <c r="O255" s="152">
        <f t="shared" si="27"/>
        <v>2003000.8773620105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3406</v>
      </c>
      <c r="I256" s="152"/>
      <c r="J256" s="157"/>
      <c r="K256" s="157">
        <v>5800361788</v>
      </c>
      <c r="L256" s="227">
        <v>4861.5339999999997</v>
      </c>
      <c r="M256" s="157" t="s">
        <v>3418</v>
      </c>
      <c r="N256" s="227">
        <f t="shared" si="26"/>
        <v>107189.45636201187</v>
      </c>
      <c r="O256" s="152">
        <f t="shared" si="27"/>
        <v>1998139.3433620105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3406</v>
      </c>
      <c r="I257" s="152"/>
      <c r="J257" s="157"/>
      <c r="K257" s="157">
        <v>5800361788</v>
      </c>
      <c r="L257" s="227">
        <v>15567.103999999999</v>
      </c>
      <c r="M257" s="157" t="s">
        <v>3418</v>
      </c>
      <c r="N257" s="227">
        <f t="shared" si="26"/>
        <v>91622.352362011879</v>
      </c>
      <c r="O257" s="152">
        <f t="shared" si="27"/>
        <v>1982572.2393620105</v>
      </c>
    </row>
    <row r="258" spans="1:15" x14ac:dyDescent="0.15">
      <c r="A258" s="154"/>
      <c r="B258" s="151"/>
      <c r="C258" s="152"/>
      <c r="D258" s="323" t="s">
        <v>3407</v>
      </c>
      <c r="E258" s="154" t="s">
        <v>72</v>
      </c>
      <c r="F258" s="157" t="s">
        <v>3426</v>
      </c>
      <c r="G258" s="152">
        <v>175903.576</v>
      </c>
      <c r="H258" s="323" t="s">
        <v>3407</v>
      </c>
      <c r="I258" s="152">
        <v>8652.1839999999993</v>
      </c>
      <c r="J258" s="157" t="s">
        <v>3418</v>
      </c>
      <c r="K258" s="157">
        <v>5800361788</v>
      </c>
      <c r="L258" s="227">
        <v>14631.609</v>
      </c>
      <c r="M258" s="157" t="s">
        <v>3418</v>
      </c>
      <c r="N258" s="227">
        <f t="shared" si="26"/>
        <v>68338.559362011889</v>
      </c>
      <c r="O258" s="152">
        <f t="shared" si="27"/>
        <v>2135192.0223620106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3407</v>
      </c>
      <c r="I259" s="152"/>
      <c r="J259" s="157"/>
      <c r="K259" s="157">
        <v>5800361788</v>
      </c>
      <c r="L259" s="227">
        <v>13397.486000000001</v>
      </c>
      <c r="M259" s="157" t="s">
        <v>3418</v>
      </c>
      <c r="N259" s="227">
        <f t="shared" si="26"/>
        <v>54941.073362011884</v>
      </c>
      <c r="O259" s="152">
        <f t="shared" si="27"/>
        <v>2121794.5363620105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3407</v>
      </c>
      <c r="I260" s="152"/>
      <c r="J260" s="157"/>
      <c r="K260" s="157">
        <v>5800361788</v>
      </c>
      <c r="L260" s="227">
        <v>12660.009</v>
      </c>
      <c r="M260" s="157" t="s">
        <v>3418</v>
      </c>
      <c r="N260" s="227">
        <f t="shared" si="26"/>
        <v>42281.064362011886</v>
      </c>
      <c r="O260" s="152">
        <f t="shared" si="27"/>
        <v>2109134.5273620104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3407</v>
      </c>
      <c r="I261" s="152"/>
      <c r="J261" s="157"/>
      <c r="K261" s="157">
        <v>5800361788</v>
      </c>
      <c r="L261" s="227">
        <v>14689.567999999999</v>
      </c>
      <c r="M261" s="157" t="s">
        <v>3418</v>
      </c>
      <c r="N261" s="227">
        <f t="shared" si="26"/>
        <v>27591.496362011887</v>
      </c>
      <c r="O261" s="152">
        <f t="shared" si="27"/>
        <v>2094444.9593620105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3407</v>
      </c>
      <c r="I262" s="152"/>
      <c r="J262" s="157"/>
      <c r="K262" s="157">
        <v>5800361788</v>
      </c>
      <c r="L262" s="227">
        <v>14281.858</v>
      </c>
      <c r="M262" s="157" t="s">
        <v>3418</v>
      </c>
      <c r="N262" s="227">
        <f t="shared" si="26"/>
        <v>13309.638362011887</v>
      </c>
      <c r="O262" s="152">
        <f t="shared" si="27"/>
        <v>2080163.1013620105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3407</v>
      </c>
      <c r="I263" s="152"/>
      <c r="J263" s="157"/>
      <c r="K263" s="157">
        <v>5800361788</v>
      </c>
      <c r="L263" s="227">
        <v>12997.77</v>
      </c>
      <c r="M263" s="157" t="s">
        <v>3418</v>
      </c>
      <c r="N263" s="227">
        <f t="shared" si="26"/>
        <v>311.86836201188635</v>
      </c>
      <c r="O263" s="152">
        <f t="shared" si="27"/>
        <v>2067165.3313620104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3407</v>
      </c>
      <c r="I264" s="152"/>
      <c r="J264" s="157"/>
      <c r="K264" s="157">
        <v>5800361788</v>
      </c>
      <c r="L264" s="227">
        <v>311.86836201188635</v>
      </c>
      <c r="M264" s="157" t="s">
        <v>3418</v>
      </c>
      <c r="N264" s="227">
        <f t="shared" ref="N264:N270" si="30">+N263-I264-L264</f>
        <v>0</v>
      </c>
      <c r="O264" s="152">
        <f t="shared" ref="O264:O270" si="31">O263+G264-I264-L264</f>
        <v>2066853.4629999986</v>
      </c>
    </row>
    <row r="265" spans="1:15" x14ac:dyDescent="0.15">
      <c r="A265" s="154"/>
      <c r="B265" s="151"/>
      <c r="C265" s="152"/>
      <c r="D265" s="323"/>
      <c r="E265" s="154"/>
      <c r="F265" s="157"/>
      <c r="G265" s="152"/>
      <c r="H265" s="323" t="s">
        <v>3407</v>
      </c>
      <c r="I265" s="152"/>
      <c r="J265" s="157"/>
      <c r="K265" s="157">
        <v>5800361788</v>
      </c>
      <c r="L265" s="227">
        <v>11006.094637988101</v>
      </c>
      <c r="M265" s="157" t="s">
        <v>3419</v>
      </c>
      <c r="N265" s="227">
        <f>G112+G123+N264-I265-L265</f>
        <v>164669.88636201189</v>
      </c>
      <c r="O265" s="152">
        <f t="shared" si="31"/>
        <v>2055847.3683620105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3407</v>
      </c>
      <c r="I266" s="152"/>
      <c r="J266" s="157"/>
      <c r="K266" s="157">
        <v>5800361788</v>
      </c>
      <c r="L266" s="227">
        <v>33196.425000000003</v>
      </c>
      <c r="M266" s="157" t="s">
        <v>3419</v>
      </c>
      <c r="N266" s="227">
        <f t="shared" si="30"/>
        <v>131473.46136201191</v>
      </c>
      <c r="O266" s="152">
        <f t="shared" si="31"/>
        <v>2022650.9433620104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3407</v>
      </c>
      <c r="I267" s="152"/>
      <c r="J267" s="157"/>
      <c r="K267" s="157">
        <v>5800361788</v>
      </c>
      <c r="L267" s="227">
        <v>2644.1219999999998</v>
      </c>
      <c r="M267" s="157" t="s">
        <v>3419</v>
      </c>
      <c r="N267" s="227">
        <f t="shared" si="30"/>
        <v>128829.3393620119</v>
      </c>
      <c r="O267" s="152">
        <f t="shared" si="31"/>
        <v>2020006.8213620104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3407</v>
      </c>
      <c r="I268" s="152"/>
      <c r="J268" s="157"/>
      <c r="K268" s="157">
        <v>5800361788</v>
      </c>
      <c r="L268" s="227">
        <v>14364.341</v>
      </c>
      <c r="M268" s="157" t="s">
        <v>3419</v>
      </c>
      <c r="N268" s="227">
        <f t="shared" si="30"/>
        <v>114464.9983620119</v>
      </c>
      <c r="O268" s="152">
        <f t="shared" si="31"/>
        <v>2005642.4803620104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3407</v>
      </c>
      <c r="I269" s="152"/>
      <c r="J269" s="157"/>
      <c r="K269" s="157">
        <v>5800361788</v>
      </c>
      <c r="L269" s="227">
        <v>14316.38</v>
      </c>
      <c r="M269" s="157" t="s">
        <v>3419</v>
      </c>
      <c r="N269" s="227">
        <f t="shared" si="30"/>
        <v>100148.6183620119</v>
      </c>
      <c r="O269" s="152">
        <f t="shared" si="31"/>
        <v>1991326.1003620105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3407</v>
      </c>
      <c r="I270" s="152"/>
      <c r="J270" s="157"/>
      <c r="K270" s="157">
        <v>5800361788</v>
      </c>
      <c r="L270" s="227">
        <v>8474.1219999999994</v>
      </c>
      <c r="M270" s="157" t="s">
        <v>3419</v>
      </c>
      <c r="N270" s="227">
        <f t="shared" si="30"/>
        <v>91674.496362011894</v>
      </c>
      <c r="O270" s="152">
        <f t="shared" si="31"/>
        <v>1982851.9783620106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3407</v>
      </c>
      <c r="I271" s="152"/>
      <c r="J271" s="157"/>
      <c r="K271" s="157">
        <v>5800361788</v>
      </c>
      <c r="L271" s="227">
        <v>5892.2169999999996</v>
      </c>
      <c r="M271" s="157" t="s">
        <v>3419</v>
      </c>
      <c r="N271" s="227">
        <f t="shared" si="26"/>
        <v>85782.27936201189</v>
      </c>
      <c r="O271" s="152">
        <f t="shared" si="27"/>
        <v>1976959.7613620106</v>
      </c>
    </row>
    <row r="272" spans="1:15" x14ac:dyDescent="0.15">
      <c r="A272" s="154"/>
      <c r="B272" s="151"/>
      <c r="C272" s="152"/>
      <c r="D272" s="323" t="s">
        <v>3408</v>
      </c>
      <c r="E272" s="154" t="s">
        <v>72</v>
      </c>
      <c r="F272" s="157" t="s">
        <v>3426</v>
      </c>
      <c r="G272" s="152">
        <v>175739.984</v>
      </c>
      <c r="H272" s="323" t="s">
        <v>3408</v>
      </c>
      <c r="I272" s="152">
        <v>11993.13</v>
      </c>
      <c r="J272" s="157" t="s">
        <v>3419</v>
      </c>
      <c r="K272" s="157">
        <v>5800361788</v>
      </c>
      <c r="L272" s="227">
        <v>13792.338</v>
      </c>
      <c r="M272" s="157" t="s">
        <v>3419</v>
      </c>
      <c r="N272" s="227">
        <f t="shared" si="26"/>
        <v>59996.811362011882</v>
      </c>
      <c r="O272" s="152">
        <f t="shared" si="27"/>
        <v>2126914.2773620109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3408</v>
      </c>
      <c r="I273" s="152"/>
      <c r="J273" s="157"/>
      <c r="K273" s="157">
        <v>5800361788</v>
      </c>
      <c r="L273" s="227">
        <v>12893.883</v>
      </c>
      <c r="M273" s="157" t="s">
        <v>3419</v>
      </c>
      <c r="N273" s="227">
        <f t="shared" si="26"/>
        <v>47102.92836201188</v>
      </c>
      <c r="O273" s="152">
        <f t="shared" si="27"/>
        <v>2114020.394362011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3408</v>
      </c>
      <c r="I274" s="152"/>
      <c r="J274" s="157"/>
      <c r="K274" s="157">
        <v>5800361788</v>
      </c>
      <c r="L274" s="227">
        <v>16840.275000000001</v>
      </c>
      <c r="M274" s="157" t="s">
        <v>3419</v>
      </c>
      <c r="N274" s="227">
        <f t="shared" si="26"/>
        <v>30262.653362011879</v>
      </c>
      <c r="O274" s="152">
        <f t="shared" si="27"/>
        <v>2097180.1193620111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3408</v>
      </c>
      <c r="I275" s="152"/>
      <c r="J275" s="157"/>
      <c r="K275" s="157">
        <v>5800361788</v>
      </c>
      <c r="L275" s="227">
        <v>14670.761</v>
      </c>
      <c r="M275" s="157" t="s">
        <v>3419</v>
      </c>
      <c r="N275" s="227">
        <f t="shared" si="26"/>
        <v>15591.892362011879</v>
      </c>
      <c r="O275" s="152">
        <f t="shared" si="27"/>
        <v>2082509.3583620111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3408</v>
      </c>
      <c r="I276" s="152"/>
      <c r="J276" s="157"/>
      <c r="K276" s="157">
        <v>5800361788</v>
      </c>
      <c r="L276" s="227">
        <v>15591.892362011879</v>
      </c>
      <c r="M276" s="157" t="s">
        <v>3419</v>
      </c>
      <c r="N276" s="227">
        <f t="shared" ref="N276:N283" si="32">+N275-I276-L276</f>
        <v>0</v>
      </c>
      <c r="O276" s="152">
        <f t="shared" ref="O276:O283" si="33">O275+G276-I276-L276</f>
        <v>2066917.4659999993</v>
      </c>
    </row>
    <row r="277" spans="1:15" x14ac:dyDescent="0.15">
      <c r="A277" s="154"/>
      <c r="B277" s="151"/>
      <c r="C277" s="152"/>
      <c r="D277" s="323"/>
      <c r="E277" s="154"/>
      <c r="F277" s="157"/>
      <c r="G277" s="152"/>
      <c r="H277" s="323" t="s">
        <v>3408</v>
      </c>
      <c r="I277" s="152"/>
      <c r="J277" s="157"/>
      <c r="K277" s="157">
        <v>5800361788</v>
      </c>
      <c r="L277" s="227">
        <v>67.469637988120695</v>
      </c>
      <c r="M277" s="157" t="s">
        <v>3420</v>
      </c>
      <c r="N277" s="227">
        <f>G124+G135+N276-I277-L277</f>
        <v>263740.00736201188</v>
      </c>
      <c r="O277" s="152">
        <f t="shared" si="33"/>
        <v>2066849.9963620112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3408</v>
      </c>
      <c r="I278" s="152"/>
      <c r="J278" s="157"/>
      <c r="K278" s="157">
        <v>5800361788</v>
      </c>
      <c r="L278" s="227">
        <v>28672.437999999998</v>
      </c>
      <c r="M278" s="157" t="s">
        <v>3420</v>
      </c>
      <c r="N278" s="227">
        <f t="shared" si="32"/>
        <v>235067.56936201188</v>
      </c>
      <c r="O278" s="152">
        <f t="shared" si="33"/>
        <v>2038177.5583620111</v>
      </c>
    </row>
    <row r="279" spans="1:15" x14ac:dyDescent="0.15">
      <c r="A279" s="154"/>
      <c r="B279" s="151"/>
      <c r="C279" s="152"/>
      <c r="D279" s="323"/>
      <c r="E279" s="154"/>
      <c r="F279" s="157"/>
      <c r="G279" s="152"/>
      <c r="H279" s="323" t="s">
        <v>3408</v>
      </c>
      <c r="I279" s="152"/>
      <c r="J279" s="157"/>
      <c r="K279" s="157">
        <v>5800361788</v>
      </c>
      <c r="L279" s="227">
        <v>3750.0740000000001</v>
      </c>
      <c r="M279" s="157" t="s">
        <v>3420</v>
      </c>
      <c r="N279" s="227">
        <f t="shared" si="32"/>
        <v>231317.49536201189</v>
      </c>
      <c r="O279" s="152">
        <f t="shared" si="33"/>
        <v>2034427.4843620111</v>
      </c>
    </row>
    <row r="280" spans="1:15" x14ac:dyDescent="0.15">
      <c r="A280" s="154"/>
      <c r="B280" s="151"/>
      <c r="C280" s="152"/>
      <c r="D280" s="323"/>
      <c r="E280" s="154"/>
      <c r="F280" s="157"/>
      <c r="G280" s="152"/>
      <c r="H280" s="323" t="s">
        <v>3408</v>
      </c>
      <c r="I280" s="152"/>
      <c r="J280" s="157"/>
      <c r="K280" s="157">
        <v>5800361788</v>
      </c>
      <c r="L280" s="227">
        <v>9133.7929999999997</v>
      </c>
      <c r="M280" s="157" t="s">
        <v>3420</v>
      </c>
      <c r="N280" s="227">
        <f t="shared" si="32"/>
        <v>222183.70236201189</v>
      </c>
      <c r="O280" s="152">
        <f t="shared" si="33"/>
        <v>2025293.691362011</v>
      </c>
    </row>
    <row r="281" spans="1:15" x14ac:dyDescent="0.15">
      <c r="A281" s="154"/>
      <c r="B281" s="151"/>
      <c r="C281" s="152"/>
      <c r="D281" s="323"/>
      <c r="E281" s="154"/>
      <c r="F281" s="157"/>
      <c r="G281" s="152"/>
      <c r="H281" s="323" t="s">
        <v>3408</v>
      </c>
      <c r="I281" s="152"/>
      <c r="J281" s="157"/>
      <c r="K281" s="157">
        <v>5800361788</v>
      </c>
      <c r="L281" s="227">
        <v>2137.462</v>
      </c>
      <c r="M281" s="157" t="s">
        <v>3420</v>
      </c>
      <c r="N281" s="227">
        <f t="shared" si="32"/>
        <v>220046.24036201189</v>
      </c>
      <c r="O281" s="152">
        <f t="shared" si="33"/>
        <v>2023156.229362011</v>
      </c>
    </row>
    <row r="282" spans="1:15" x14ac:dyDescent="0.15">
      <c r="A282" s="154"/>
      <c r="B282" s="151"/>
      <c r="C282" s="152"/>
      <c r="D282" s="323"/>
      <c r="E282" s="154"/>
      <c r="F282" s="157"/>
      <c r="G282" s="152"/>
      <c r="H282" s="323" t="s">
        <v>3408</v>
      </c>
      <c r="I282" s="152"/>
      <c r="J282" s="157"/>
      <c r="K282" s="157">
        <v>5800361788</v>
      </c>
      <c r="L282" s="227">
        <v>12395.228999999999</v>
      </c>
      <c r="M282" s="157" t="s">
        <v>3420</v>
      </c>
      <c r="N282" s="227">
        <f t="shared" si="32"/>
        <v>207651.01136201189</v>
      </c>
      <c r="O282" s="152">
        <f t="shared" si="33"/>
        <v>2010761.0003620109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3408</v>
      </c>
      <c r="I283" s="152"/>
      <c r="J283" s="157"/>
      <c r="K283" s="157">
        <v>5800361788</v>
      </c>
      <c r="L283" s="227">
        <v>12498.197</v>
      </c>
      <c r="M283" s="157" t="s">
        <v>3420</v>
      </c>
      <c r="N283" s="227">
        <f t="shared" si="32"/>
        <v>195152.81436201191</v>
      </c>
      <c r="O283" s="152">
        <f t="shared" si="33"/>
        <v>1998262.803362011</v>
      </c>
    </row>
    <row r="284" spans="1:15" x14ac:dyDescent="0.15">
      <c r="A284" s="154"/>
      <c r="B284" s="151"/>
      <c r="C284" s="152"/>
      <c r="D284" s="323"/>
      <c r="E284" s="154"/>
      <c r="F284" s="157"/>
      <c r="G284" s="152"/>
      <c r="H284" s="323" t="s">
        <v>3408</v>
      </c>
      <c r="I284" s="152"/>
      <c r="J284" s="157"/>
      <c r="K284" s="157">
        <v>5800361788</v>
      </c>
      <c r="L284" s="227">
        <v>3122.05</v>
      </c>
      <c r="M284" s="157" t="s">
        <v>3420</v>
      </c>
      <c r="N284" s="227">
        <f t="shared" si="26"/>
        <v>192030.76436201192</v>
      </c>
      <c r="O284" s="152">
        <f t="shared" si="27"/>
        <v>1995140.7533620109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3408</v>
      </c>
      <c r="I285" s="152"/>
      <c r="J285" s="157"/>
      <c r="K285" s="157">
        <v>5800361788</v>
      </c>
      <c r="L285" s="227">
        <v>9432.1299999999992</v>
      </c>
      <c r="M285" s="157" t="s">
        <v>3420</v>
      </c>
      <c r="N285" s="227">
        <f t="shared" ref="N285:N349" si="34">+N284-I285-L285</f>
        <v>182598.63436201192</v>
      </c>
      <c r="O285" s="152">
        <f t="shared" ref="O285:O349" si="35">O284+G285-I285-L285</f>
        <v>1985708.623362011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3409</v>
      </c>
      <c r="I286" s="152">
        <v>12104.337</v>
      </c>
      <c r="J286" s="157" t="s">
        <v>3420</v>
      </c>
      <c r="K286" s="157">
        <v>5800361788</v>
      </c>
      <c r="L286" s="227">
        <v>12470.415000000001</v>
      </c>
      <c r="M286" s="157" t="s">
        <v>3420</v>
      </c>
      <c r="N286" s="227">
        <f t="shared" si="34"/>
        <v>158023.88236201191</v>
      </c>
      <c r="O286" s="152">
        <f t="shared" si="35"/>
        <v>1961133.8713620109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3409</v>
      </c>
      <c r="I287" s="152"/>
      <c r="J287" s="157"/>
      <c r="K287" s="157">
        <v>5800361788</v>
      </c>
      <c r="L287" s="227">
        <v>14527.121999999999</v>
      </c>
      <c r="M287" s="157" t="s">
        <v>3420</v>
      </c>
      <c r="N287" s="227">
        <f t="shared" si="34"/>
        <v>143496.7603620119</v>
      </c>
      <c r="O287" s="152">
        <f t="shared" si="35"/>
        <v>1946606.749362011</v>
      </c>
    </row>
    <row r="288" spans="1:15" ht="12" customHeight="1" x14ac:dyDescent="0.15">
      <c r="A288" s="154"/>
      <c r="B288" s="151"/>
      <c r="C288" s="152"/>
      <c r="D288" s="323"/>
      <c r="E288" s="154"/>
      <c r="F288" s="157"/>
      <c r="G288" s="152"/>
      <c r="H288" s="323" t="s">
        <v>3409</v>
      </c>
      <c r="I288" s="152"/>
      <c r="J288" s="157"/>
      <c r="K288" s="157">
        <v>5800361788</v>
      </c>
      <c r="L288" s="227">
        <v>15843.856</v>
      </c>
      <c r="M288" s="157" t="s">
        <v>3420</v>
      </c>
      <c r="N288" s="227">
        <f t="shared" si="34"/>
        <v>127652.9043620119</v>
      </c>
      <c r="O288" s="152">
        <f t="shared" si="35"/>
        <v>1930762.8933620111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3409</v>
      </c>
      <c r="I289" s="152"/>
      <c r="J289" s="157"/>
      <c r="K289" s="157">
        <v>5800361788</v>
      </c>
      <c r="L289" s="227">
        <v>15426.306</v>
      </c>
      <c r="M289" s="157" t="s">
        <v>3420</v>
      </c>
      <c r="N289" s="227">
        <f t="shared" si="34"/>
        <v>112226.59836201191</v>
      </c>
      <c r="O289" s="152">
        <f t="shared" si="35"/>
        <v>1915336.587362011</v>
      </c>
    </row>
    <row r="290" spans="1:15" x14ac:dyDescent="0.15">
      <c r="A290" s="154"/>
      <c r="B290" s="151"/>
      <c r="C290" s="152"/>
      <c r="D290" s="323"/>
      <c r="E290" s="154"/>
      <c r="F290" s="157"/>
      <c r="G290" s="152"/>
      <c r="H290" s="323" t="s">
        <v>3409</v>
      </c>
      <c r="I290" s="152"/>
      <c r="J290" s="157"/>
      <c r="K290" s="157">
        <v>5800361788</v>
      </c>
      <c r="L290" s="227">
        <v>12915</v>
      </c>
      <c r="M290" s="157" t="s">
        <v>3420</v>
      </c>
      <c r="N290" s="227">
        <f t="shared" si="34"/>
        <v>99311.598362011908</v>
      </c>
      <c r="O290" s="152">
        <f t="shared" si="35"/>
        <v>1902421.587362011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3409</v>
      </c>
      <c r="I291" s="152"/>
      <c r="J291" s="157"/>
      <c r="K291" s="157">
        <v>5800361788</v>
      </c>
      <c r="L291" s="227">
        <v>10901.35</v>
      </c>
      <c r="M291" s="157" t="s">
        <v>3420</v>
      </c>
      <c r="N291" s="227">
        <f t="shared" si="34"/>
        <v>88410.248362011902</v>
      </c>
      <c r="O291" s="152">
        <f t="shared" si="35"/>
        <v>1891520.2373620109</v>
      </c>
    </row>
    <row r="292" spans="1:15" x14ac:dyDescent="0.15">
      <c r="A292" s="154"/>
      <c r="B292" s="151"/>
      <c r="C292" s="152"/>
      <c r="D292" s="323"/>
      <c r="E292" s="154"/>
      <c r="F292" s="157"/>
      <c r="G292" s="152"/>
      <c r="H292" s="323" t="s">
        <v>3409</v>
      </c>
      <c r="I292" s="152"/>
      <c r="J292" s="157"/>
      <c r="K292" s="157">
        <v>5800361788</v>
      </c>
      <c r="L292" s="227">
        <v>14988.44</v>
      </c>
      <c r="M292" s="157" t="s">
        <v>3420</v>
      </c>
      <c r="N292" s="227">
        <f t="shared" si="34"/>
        <v>73421.8083620119</v>
      </c>
      <c r="O292" s="152">
        <f t="shared" si="35"/>
        <v>1876531.7973620109</v>
      </c>
    </row>
    <row r="293" spans="1:15" x14ac:dyDescent="0.15">
      <c r="A293" s="154"/>
      <c r="B293" s="151"/>
      <c r="C293" s="152"/>
      <c r="D293" s="323"/>
      <c r="E293" s="154"/>
      <c r="F293" s="157"/>
      <c r="G293" s="152"/>
      <c r="H293" s="323" t="s">
        <v>3409</v>
      </c>
      <c r="I293" s="152"/>
      <c r="J293" s="157"/>
      <c r="K293" s="157">
        <v>5800361788</v>
      </c>
      <c r="L293" s="227">
        <v>13691.834000000001</v>
      </c>
      <c r="M293" s="157" t="s">
        <v>3420</v>
      </c>
      <c r="N293" s="227">
        <f t="shared" si="34"/>
        <v>59729.974362011897</v>
      </c>
      <c r="O293" s="152">
        <f t="shared" si="35"/>
        <v>1862839.9633620109</v>
      </c>
    </row>
    <row r="294" spans="1:15" x14ac:dyDescent="0.15">
      <c r="A294" s="154"/>
      <c r="B294" s="151"/>
      <c r="C294" s="152"/>
      <c r="D294" s="323"/>
      <c r="E294" s="154"/>
      <c r="F294" s="157"/>
      <c r="G294" s="152"/>
      <c r="H294" s="323" t="s">
        <v>3409</v>
      </c>
      <c r="I294" s="152"/>
      <c r="J294" s="157"/>
      <c r="K294" s="157">
        <v>5800361788</v>
      </c>
      <c r="L294" s="227">
        <v>4498.6310000000003</v>
      </c>
      <c r="M294" s="157" t="s">
        <v>3420</v>
      </c>
      <c r="N294" s="227">
        <f t="shared" si="34"/>
        <v>55231.343362011896</v>
      </c>
      <c r="O294" s="152">
        <f t="shared" si="35"/>
        <v>1858341.3323620108</v>
      </c>
    </row>
    <row r="295" spans="1:15" x14ac:dyDescent="0.15">
      <c r="A295" s="154"/>
      <c r="B295" s="151"/>
      <c r="C295" s="152"/>
      <c r="D295" s="323"/>
      <c r="E295" s="154"/>
      <c r="F295" s="157"/>
      <c r="G295" s="152"/>
      <c r="H295" s="323" t="s">
        <v>3409</v>
      </c>
      <c r="I295" s="152"/>
      <c r="J295" s="157"/>
      <c r="K295" s="157">
        <v>5800361788</v>
      </c>
      <c r="L295" s="227">
        <v>14342.636</v>
      </c>
      <c r="M295" s="157" t="s">
        <v>3420</v>
      </c>
      <c r="N295" s="227">
        <f t="shared" si="34"/>
        <v>40888.707362011897</v>
      </c>
      <c r="O295" s="152">
        <f t="shared" si="35"/>
        <v>1843998.6963620109</v>
      </c>
    </row>
    <row r="296" spans="1:15" x14ac:dyDescent="0.15">
      <c r="A296" s="154"/>
      <c r="B296" s="151"/>
      <c r="C296" s="152"/>
      <c r="D296" s="323"/>
      <c r="E296" s="154"/>
      <c r="F296" s="157"/>
      <c r="G296" s="152"/>
      <c r="H296" s="323" t="s">
        <v>3410</v>
      </c>
      <c r="I296" s="152">
        <v>26641.195000000003</v>
      </c>
      <c r="J296" s="157" t="s">
        <v>3420</v>
      </c>
      <c r="K296" s="157">
        <v>5800361788</v>
      </c>
      <c r="L296" s="227">
        <v>11877.016</v>
      </c>
      <c r="M296" s="157" t="s">
        <v>3420</v>
      </c>
      <c r="N296" s="227">
        <f t="shared" si="34"/>
        <v>2370.4963620118942</v>
      </c>
      <c r="O296" s="152">
        <f t="shared" si="35"/>
        <v>1805480.4853620108</v>
      </c>
    </row>
    <row r="297" spans="1:15" x14ac:dyDescent="0.15">
      <c r="A297" s="154"/>
      <c r="B297" s="151"/>
      <c r="C297" s="152"/>
      <c r="D297" s="323"/>
      <c r="E297" s="154"/>
      <c r="F297" s="157"/>
      <c r="G297" s="152"/>
      <c r="H297" s="323" t="s">
        <v>3410</v>
      </c>
      <c r="I297" s="152"/>
      <c r="J297" s="157"/>
      <c r="K297" s="157">
        <v>5800361788</v>
      </c>
      <c r="L297" s="227">
        <v>2370.4963620118942</v>
      </c>
      <c r="M297" s="157" t="s">
        <v>3420</v>
      </c>
      <c r="N297" s="227">
        <f t="shared" ref="N297:N302" si="36">+N296-I297-L297</f>
        <v>0</v>
      </c>
      <c r="O297" s="152">
        <f t="shared" ref="O297:O302" si="37">O296+G297-I297-L297</f>
        <v>1803109.9889999989</v>
      </c>
    </row>
    <row r="298" spans="1:15" x14ac:dyDescent="0.15">
      <c r="A298" s="154"/>
      <c r="B298" s="151"/>
      <c r="C298" s="152"/>
      <c r="D298" s="323"/>
      <c r="E298" s="154"/>
      <c r="F298" s="157"/>
      <c r="G298" s="152"/>
      <c r="H298" s="323" t="s">
        <v>3410</v>
      </c>
      <c r="I298" s="152"/>
      <c r="J298" s="157"/>
      <c r="K298" s="157">
        <v>5800361788</v>
      </c>
      <c r="L298" s="227">
        <v>14583.0906379881</v>
      </c>
      <c r="M298" s="157" t="s">
        <v>3421</v>
      </c>
      <c r="N298" s="227">
        <f>G154+G159+N297-I298-L298</f>
        <v>293110.56636201189</v>
      </c>
      <c r="O298" s="152">
        <f t="shared" si="37"/>
        <v>1788526.8983620107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3410</v>
      </c>
      <c r="I299" s="152"/>
      <c r="J299" s="157"/>
      <c r="K299" s="157">
        <v>5800361788</v>
      </c>
      <c r="L299" s="227">
        <v>12908.538</v>
      </c>
      <c r="M299" s="157" t="s">
        <v>3421</v>
      </c>
      <c r="N299" s="227">
        <f t="shared" si="36"/>
        <v>280202.02836201189</v>
      </c>
      <c r="O299" s="152">
        <f t="shared" si="37"/>
        <v>1775618.3603620108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3410</v>
      </c>
      <c r="I300" s="152"/>
      <c r="J300" s="157"/>
      <c r="K300" s="157">
        <v>5800361788</v>
      </c>
      <c r="L300" s="227">
        <v>13321.746999999999</v>
      </c>
      <c r="M300" s="157" t="s">
        <v>3421</v>
      </c>
      <c r="N300" s="227">
        <f t="shared" si="36"/>
        <v>266880.28136201191</v>
      </c>
      <c r="O300" s="152">
        <f t="shared" si="37"/>
        <v>1762296.6133620108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3410</v>
      </c>
      <c r="I301" s="152"/>
      <c r="J301" s="157"/>
      <c r="K301" s="157">
        <v>5800361788</v>
      </c>
      <c r="L301" s="227">
        <v>10898.52</v>
      </c>
      <c r="M301" s="157" t="s">
        <v>3421</v>
      </c>
      <c r="N301" s="227">
        <f t="shared" si="36"/>
        <v>255981.76136201192</v>
      </c>
      <c r="O301" s="152">
        <f t="shared" si="37"/>
        <v>1751398.0933620108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3410</v>
      </c>
      <c r="I302" s="152"/>
      <c r="J302" s="157"/>
      <c r="K302" s="157">
        <v>5800361788</v>
      </c>
      <c r="L302" s="227">
        <v>33395.915000000001</v>
      </c>
      <c r="M302" s="157" t="s">
        <v>3421</v>
      </c>
      <c r="N302" s="227">
        <f t="shared" si="36"/>
        <v>222585.84636201191</v>
      </c>
      <c r="O302" s="152">
        <f t="shared" si="37"/>
        <v>1718002.1783620107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3410</v>
      </c>
      <c r="I303" s="152"/>
      <c r="J303" s="157"/>
      <c r="K303" s="157">
        <v>5800361788</v>
      </c>
      <c r="L303" s="227">
        <v>13728.954</v>
      </c>
      <c r="M303" s="157" t="s">
        <v>3421</v>
      </c>
      <c r="N303" s="227">
        <f t="shared" si="34"/>
        <v>208856.89236201192</v>
      </c>
      <c r="O303" s="152">
        <f t="shared" si="35"/>
        <v>1704273.2243620108</v>
      </c>
    </row>
    <row r="304" spans="1:15" x14ac:dyDescent="0.15">
      <c r="A304" s="154"/>
      <c r="B304" s="151"/>
      <c r="C304" s="152"/>
      <c r="D304" s="323"/>
      <c r="E304" s="154"/>
      <c r="F304" s="157"/>
      <c r="G304" s="152"/>
      <c r="H304" s="323" t="s">
        <v>3410</v>
      </c>
      <c r="I304" s="152"/>
      <c r="J304" s="157"/>
      <c r="K304" s="157">
        <v>5800361788</v>
      </c>
      <c r="L304" s="227">
        <v>13303.737999999999</v>
      </c>
      <c r="M304" s="157" t="s">
        <v>3421</v>
      </c>
      <c r="N304" s="227">
        <f t="shared" si="34"/>
        <v>195553.1543620119</v>
      </c>
      <c r="O304" s="152">
        <f t="shared" si="35"/>
        <v>1690969.4863620109</v>
      </c>
    </row>
    <row r="305" spans="1:15" x14ac:dyDescent="0.15">
      <c r="A305" s="154"/>
      <c r="B305" s="151"/>
      <c r="C305" s="152"/>
      <c r="D305" s="323"/>
      <c r="E305" s="154"/>
      <c r="F305" s="157"/>
      <c r="G305" s="152"/>
      <c r="H305" s="323" t="s">
        <v>3410</v>
      </c>
      <c r="I305" s="152"/>
      <c r="J305" s="157"/>
      <c r="K305" s="157">
        <v>5800361788</v>
      </c>
      <c r="L305" s="227">
        <v>1098.556</v>
      </c>
      <c r="M305" s="157" t="s">
        <v>3421</v>
      </c>
      <c r="N305" s="227">
        <f t="shared" si="34"/>
        <v>194454.59836201189</v>
      </c>
      <c r="O305" s="152">
        <f t="shared" si="35"/>
        <v>1689870.9303620108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3410</v>
      </c>
      <c r="I306" s="152"/>
      <c r="J306" s="157"/>
      <c r="K306" s="157">
        <v>5800361788</v>
      </c>
      <c r="L306" s="227">
        <v>32126.486000000001</v>
      </c>
      <c r="M306" s="157" t="s">
        <v>3421</v>
      </c>
      <c r="N306" s="227">
        <f t="shared" si="34"/>
        <v>162328.11236201189</v>
      </c>
      <c r="O306" s="152">
        <f t="shared" si="35"/>
        <v>1657744.4443620108</v>
      </c>
    </row>
    <row r="307" spans="1:15" x14ac:dyDescent="0.15">
      <c r="A307" s="154"/>
      <c r="B307" s="151"/>
      <c r="C307" s="152"/>
      <c r="D307" s="323"/>
      <c r="E307" s="154"/>
      <c r="F307" s="157"/>
      <c r="G307" s="152"/>
      <c r="H307" s="323" t="s">
        <v>3410</v>
      </c>
      <c r="I307" s="152"/>
      <c r="J307" s="157"/>
      <c r="K307" s="157">
        <v>5800361788</v>
      </c>
      <c r="L307" s="227">
        <v>12188.528</v>
      </c>
      <c r="M307" s="157" t="s">
        <v>3421</v>
      </c>
      <c r="N307" s="227">
        <f t="shared" si="34"/>
        <v>150139.5843620119</v>
      </c>
      <c r="O307" s="152">
        <f t="shared" si="35"/>
        <v>1645555.9163620109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3410</v>
      </c>
      <c r="I308" s="152"/>
      <c r="J308" s="157"/>
      <c r="K308" s="157">
        <v>5800361788</v>
      </c>
      <c r="L308" s="227">
        <v>12733.418</v>
      </c>
      <c r="M308" s="157" t="s">
        <v>3421</v>
      </c>
      <c r="N308" s="227">
        <f t="shared" si="34"/>
        <v>137406.16636201189</v>
      </c>
      <c r="O308" s="152">
        <f t="shared" si="35"/>
        <v>1632822.4983620108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3410</v>
      </c>
      <c r="I309" s="152"/>
      <c r="J309" s="157"/>
      <c r="K309" s="157">
        <v>5800361788</v>
      </c>
      <c r="L309" s="227">
        <v>1131.771</v>
      </c>
      <c r="M309" s="157" t="s">
        <v>3421</v>
      </c>
      <c r="N309" s="227">
        <f t="shared" si="34"/>
        <v>136274.39536201188</v>
      </c>
      <c r="O309" s="152">
        <f t="shared" si="35"/>
        <v>1631690.7273620109</v>
      </c>
    </row>
    <row r="310" spans="1:15" x14ac:dyDescent="0.15">
      <c r="A310" s="154"/>
      <c r="B310" s="151"/>
      <c r="C310" s="152"/>
      <c r="D310" s="323"/>
      <c r="E310" s="154"/>
      <c r="F310" s="157"/>
      <c r="G310" s="152"/>
      <c r="H310" s="323" t="s">
        <v>3410</v>
      </c>
      <c r="I310" s="152"/>
      <c r="J310" s="157"/>
      <c r="K310" s="157">
        <v>5800361788</v>
      </c>
      <c r="L310" s="227">
        <v>14233.114</v>
      </c>
      <c r="M310" s="157" t="s">
        <v>3421</v>
      </c>
      <c r="N310" s="227">
        <f t="shared" si="34"/>
        <v>122041.28136201188</v>
      </c>
      <c r="O310" s="152">
        <f t="shared" si="35"/>
        <v>1617457.6133620108</v>
      </c>
    </row>
    <row r="311" spans="1:15" x14ac:dyDescent="0.15">
      <c r="A311" s="154"/>
      <c r="B311" s="151"/>
      <c r="C311" s="152"/>
      <c r="D311" s="323" t="s">
        <v>3411</v>
      </c>
      <c r="E311" s="154" t="s">
        <v>72</v>
      </c>
      <c r="F311" s="157" t="s">
        <v>3427</v>
      </c>
      <c r="G311" s="152">
        <v>176117.734</v>
      </c>
      <c r="H311" s="323" t="s">
        <v>3411</v>
      </c>
      <c r="I311" s="152">
        <v>10145.312</v>
      </c>
      <c r="J311" s="157" t="s">
        <v>3421</v>
      </c>
      <c r="K311" s="157">
        <v>5800361788</v>
      </c>
      <c r="L311" s="227">
        <v>13642.911</v>
      </c>
      <c r="M311" s="157" t="s">
        <v>3421</v>
      </c>
      <c r="N311" s="227">
        <f t="shared" si="34"/>
        <v>98253.058362011885</v>
      </c>
      <c r="O311" s="152">
        <f t="shared" si="35"/>
        <v>1769787.1243620107</v>
      </c>
    </row>
    <row r="312" spans="1:15" x14ac:dyDescent="0.15">
      <c r="A312" s="154"/>
      <c r="B312" s="151"/>
      <c r="C312" s="152"/>
      <c r="D312" s="323"/>
      <c r="E312" s="154"/>
      <c r="F312" s="157"/>
      <c r="G312" s="152"/>
      <c r="H312" s="323" t="s">
        <v>3411</v>
      </c>
      <c r="I312" s="152"/>
      <c r="J312" s="157"/>
      <c r="K312" s="157">
        <v>5800361788</v>
      </c>
      <c r="L312" s="227">
        <v>12848.508</v>
      </c>
      <c r="M312" s="157" t="s">
        <v>3421</v>
      </c>
      <c r="N312" s="227">
        <f t="shared" si="34"/>
        <v>85404.550362011883</v>
      </c>
      <c r="O312" s="152">
        <f t="shared" si="35"/>
        <v>1756938.6163620108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3411</v>
      </c>
      <c r="I313" s="152"/>
      <c r="J313" s="157"/>
      <c r="K313" s="157">
        <v>5800361788</v>
      </c>
      <c r="L313" s="227">
        <v>9547.8359999999993</v>
      </c>
      <c r="M313" s="157" t="s">
        <v>3421</v>
      </c>
      <c r="N313" s="227">
        <f t="shared" si="34"/>
        <v>75856.714362011888</v>
      </c>
      <c r="O313" s="152">
        <f t="shared" si="35"/>
        <v>1747390.7803620109</v>
      </c>
    </row>
    <row r="314" spans="1:15" x14ac:dyDescent="0.15">
      <c r="A314" s="154"/>
      <c r="B314" s="151"/>
      <c r="C314" s="152"/>
      <c r="D314" s="323"/>
      <c r="E314" s="154"/>
      <c r="F314" s="157"/>
      <c r="G314" s="152"/>
      <c r="H314" s="323" t="s">
        <v>3411</v>
      </c>
      <c r="I314" s="152"/>
      <c r="J314" s="157"/>
      <c r="K314" s="157">
        <v>5800361788</v>
      </c>
      <c r="L314" s="227">
        <v>12605.165999999999</v>
      </c>
      <c r="M314" s="157" t="s">
        <v>3421</v>
      </c>
      <c r="N314" s="227">
        <f t="shared" si="34"/>
        <v>63251.54836201189</v>
      </c>
      <c r="O314" s="152">
        <f t="shared" si="35"/>
        <v>1734785.614362011</v>
      </c>
    </row>
    <row r="315" spans="1:15" x14ac:dyDescent="0.15">
      <c r="A315" s="154"/>
      <c r="B315" s="151"/>
      <c r="C315" s="152"/>
      <c r="D315" s="323"/>
      <c r="E315" s="154"/>
      <c r="F315" s="157"/>
      <c r="G315" s="152"/>
      <c r="H315" s="323" t="s">
        <v>3411</v>
      </c>
      <c r="I315" s="152"/>
      <c r="J315" s="157"/>
      <c r="K315" s="157">
        <v>5800361788</v>
      </c>
      <c r="L315" s="227">
        <v>3957.7959999999998</v>
      </c>
      <c r="M315" s="157" t="s">
        <v>3421</v>
      </c>
      <c r="N315" s="227">
        <f t="shared" si="34"/>
        <v>59293.752362011888</v>
      </c>
      <c r="O315" s="152">
        <f t="shared" si="35"/>
        <v>1730827.8183620109</v>
      </c>
    </row>
    <row r="316" spans="1:15" x14ac:dyDescent="0.15">
      <c r="A316" s="154"/>
      <c r="B316" s="151"/>
      <c r="C316" s="152"/>
      <c r="D316" s="323"/>
      <c r="E316" s="154"/>
      <c r="F316" s="157"/>
      <c r="G316" s="152"/>
      <c r="H316" s="323" t="s">
        <v>3411</v>
      </c>
      <c r="I316" s="152"/>
      <c r="J316" s="157"/>
      <c r="K316" s="157">
        <v>5800361788</v>
      </c>
      <c r="L316" s="227">
        <v>16517.974999999999</v>
      </c>
      <c r="M316" s="157" t="s">
        <v>3421</v>
      </c>
      <c r="N316" s="227">
        <f t="shared" si="34"/>
        <v>42775.77736201189</v>
      </c>
      <c r="O316" s="152">
        <f t="shared" si="35"/>
        <v>1714309.8433620108</v>
      </c>
    </row>
    <row r="317" spans="1:15" x14ac:dyDescent="0.15">
      <c r="A317" s="154"/>
      <c r="B317" s="151"/>
      <c r="C317" s="152"/>
      <c r="D317" s="323" t="s">
        <v>3412</v>
      </c>
      <c r="E317" s="154" t="s">
        <v>72</v>
      </c>
      <c r="F317" s="157" t="s">
        <v>3427</v>
      </c>
      <c r="G317" s="152">
        <v>131917.114</v>
      </c>
      <c r="H317" s="323" t="s">
        <v>3412</v>
      </c>
      <c r="I317" s="152">
        <v>13045.024000000001</v>
      </c>
      <c r="J317" s="157" t="s">
        <v>3421</v>
      </c>
      <c r="K317" s="157">
        <v>5800361788</v>
      </c>
      <c r="L317" s="227">
        <v>13388.624</v>
      </c>
      <c r="M317" s="157" t="s">
        <v>3421</v>
      </c>
      <c r="N317" s="227">
        <f t="shared" si="34"/>
        <v>16342.129362011889</v>
      </c>
      <c r="O317" s="152">
        <f t="shared" si="35"/>
        <v>1819793.3093620108</v>
      </c>
    </row>
    <row r="318" spans="1:15" x14ac:dyDescent="0.15">
      <c r="A318" s="154"/>
      <c r="B318" s="151"/>
      <c r="C318" s="152"/>
      <c r="D318" s="323" t="s">
        <v>3412</v>
      </c>
      <c r="E318" s="154" t="s">
        <v>72</v>
      </c>
      <c r="F318" s="157" t="s">
        <v>3428</v>
      </c>
      <c r="G318" s="152">
        <v>43999.783000000003</v>
      </c>
      <c r="H318" s="323" t="s">
        <v>3412</v>
      </c>
      <c r="I318" s="152"/>
      <c r="J318" s="157"/>
      <c r="K318" s="157">
        <v>5800361788</v>
      </c>
      <c r="L318" s="227">
        <v>12790.837</v>
      </c>
      <c r="M318" s="157" t="s">
        <v>3421</v>
      </c>
      <c r="N318" s="227">
        <f t="shared" si="34"/>
        <v>3551.2923620118891</v>
      </c>
      <c r="O318" s="152">
        <f t="shared" si="35"/>
        <v>1851002.2553620108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3412</v>
      </c>
      <c r="I319" s="152"/>
      <c r="J319" s="157"/>
      <c r="K319" s="157">
        <v>5800361788</v>
      </c>
      <c r="L319" s="227">
        <v>3551.2923620118891</v>
      </c>
      <c r="M319" s="157" t="s">
        <v>3421</v>
      </c>
      <c r="N319" s="227">
        <f t="shared" si="34"/>
        <v>0</v>
      </c>
      <c r="O319" s="152">
        <f t="shared" si="35"/>
        <v>1847450.9629999988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3412</v>
      </c>
      <c r="I320" s="152"/>
      <c r="J320" s="157"/>
      <c r="K320" s="157">
        <v>5800361493</v>
      </c>
      <c r="L320" s="227">
        <v>10470.1646379881</v>
      </c>
      <c r="M320" s="157" t="s">
        <v>3422</v>
      </c>
      <c r="N320" s="227">
        <f>G171+G184+N319-I320-L320</f>
        <v>297426.55336201191</v>
      </c>
      <c r="O320" s="152">
        <f t="shared" si="35"/>
        <v>1836980.7983620106</v>
      </c>
    </row>
    <row r="321" spans="1:15" x14ac:dyDescent="0.15">
      <c r="A321" s="154"/>
      <c r="B321" s="151"/>
      <c r="C321" s="152"/>
      <c r="D321" s="323"/>
      <c r="E321" s="154"/>
      <c r="F321" s="157"/>
      <c r="G321" s="152"/>
      <c r="H321" s="323" t="s">
        <v>3412</v>
      </c>
      <c r="I321" s="152"/>
      <c r="J321" s="157"/>
      <c r="K321" s="157">
        <v>5800361493</v>
      </c>
      <c r="L321" s="227">
        <v>14228.73</v>
      </c>
      <c r="M321" s="157" t="s">
        <v>3422</v>
      </c>
      <c r="N321" s="227">
        <f t="shared" si="34"/>
        <v>283197.82336201193</v>
      </c>
      <c r="O321" s="152">
        <f t="shared" si="35"/>
        <v>1822752.0683620106</v>
      </c>
    </row>
    <row r="322" spans="1:15" x14ac:dyDescent="0.15">
      <c r="A322" s="154"/>
      <c r="B322" s="151"/>
      <c r="C322" s="152"/>
      <c r="D322" s="323"/>
      <c r="E322" s="154"/>
      <c r="F322" s="157"/>
      <c r="G322" s="152"/>
      <c r="H322" s="323" t="s">
        <v>3412</v>
      </c>
      <c r="I322" s="152"/>
      <c r="J322" s="157"/>
      <c r="K322" s="157">
        <v>5800361493</v>
      </c>
      <c r="L322" s="227">
        <v>14676.319</v>
      </c>
      <c r="M322" s="157" t="s">
        <v>3422</v>
      </c>
      <c r="N322" s="227">
        <f t="shared" si="34"/>
        <v>268521.50436201191</v>
      </c>
      <c r="O322" s="152">
        <f t="shared" si="35"/>
        <v>1808075.7493620107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3412</v>
      </c>
      <c r="I323" s="152"/>
      <c r="J323" s="157"/>
      <c r="K323" s="157">
        <v>5800361493</v>
      </c>
      <c r="L323" s="227">
        <v>14610.232</v>
      </c>
      <c r="M323" s="157" t="s">
        <v>3422</v>
      </c>
      <c r="N323" s="227">
        <f t="shared" si="34"/>
        <v>253911.27236201192</v>
      </c>
      <c r="O323" s="152">
        <f t="shared" si="35"/>
        <v>1793465.5173620107</v>
      </c>
    </row>
    <row r="324" spans="1:15" x14ac:dyDescent="0.15">
      <c r="A324" s="154"/>
      <c r="B324" s="151"/>
      <c r="C324" s="152"/>
      <c r="D324" s="323"/>
      <c r="E324" s="154"/>
      <c r="F324" s="157"/>
      <c r="G324" s="152"/>
      <c r="H324" s="323" t="s">
        <v>3412</v>
      </c>
      <c r="I324" s="152"/>
      <c r="J324" s="157"/>
      <c r="K324" s="157">
        <v>5800361493</v>
      </c>
      <c r="L324" s="227">
        <v>14746.411</v>
      </c>
      <c r="M324" s="157" t="s">
        <v>3422</v>
      </c>
      <c r="N324" s="227">
        <f t="shared" si="34"/>
        <v>239164.86136201193</v>
      </c>
      <c r="O324" s="152">
        <f t="shared" si="35"/>
        <v>1778719.1063620106</v>
      </c>
    </row>
    <row r="325" spans="1:15" x14ac:dyDescent="0.15">
      <c r="A325" s="154"/>
      <c r="B325" s="151"/>
      <c r="C325" s="152"/>
      <c r="D325" s="323"/>
      <c r="E325" s="154"/>
      <c r="F325" s="157"/>
      <c r="G325" s="152"/>
      <c r="H325" s="323" t="s">
        <v>3412</v>
      </c>
      <c r="I325" s="152"/>
      <c r="J325" s="157"/>
      <c r="K325" s="157">
        <v>5800361493</v>
      </c>
      <c r="L325" s="227">
        <v>10922.377</v>
      </c>
      <c r="M325" s="157" t="s">
        <v>3422</v>
      </c>
      <c r="N325" s="227">
        <f t="shared" si="34"/>
        <v>228242.48436201192</v>
      </c>
      <c r="O325" s="152">
        <f t="shared" si="35"/>
        <v>1767796.7293620105</v>
      </c>
    </row>
    <row r="326" spans="1:15" x14ac:dyDescent="0.15">
      <c r="A326" s="154"/>
      <c r="B326" s="151"/>
      <c r="C326" s="152"/>
      <c r="D326" s="323"/>
      <c r="E326" s="154"/>
      <c r="F326" s="157"/>
      <c r="G326" s="152"/>
      <c r="H326" s="323" t="s">
        <v>3412</v>
      </c>
      <c r="I326" s="152"/>
      <c r="J326" s="157"/>
      <c r="K326" s="157">
        <v>5800361493</v>
      </c>
      <c r="L326" s="227">
        <v>14510.168</v>
      </c>
      <c r="M326" s="157" t="s">
        <v>3422</v>
      </c>
      <c r="N326" s="227">
        <f t="shared" si="34"/>
        <v>213732.31636201192</v>
      </c>
      <c r="O326" s="152">
        <f t="shared" si="35"/>
        <v>1753286.5613620104</v>
      </c>
    </row>
    <row r="327" spans="1:15" x14ac:dyDescent="0.15">
      <c r="A327" s="154"/>
      <c r="B327" s="151"/>
      <c r="C327" s="152"/>
      <c r="D327" s="323"/>
      <c r="E327" s="154"/>
      <c r="F327" s="157"/>
      <c r="G327" s="152"/>
      <c r="H327" s="323" t="s">
        <v>3412</v>
      </c>
      <c r="I327" s="152"/>
      <c r="J327" s="157"/>
      <c r="K327" s="157">
        <v>5800361493</v>
      </c>
      <c r="L327" s="227">
        <v>14879.942999999999</v>
      </c>
      <c r="M327" s="157" t="s">
        <v>3422</v>
      </c>
      <c r="N327" s="227">
        <f t="shared" si="34"/>
        <v>198852.37336201192</v>
      </c>
      <c r="O327" s="152">
        <f t="shared" si="35"/>
        <v>1738406.6183620105</v>
      </c>
    </row>
    <row r="328" spans="1:15" x14ac:dyDescent="0.15">
      <c r="A328" s="154"/>
      <c r="B328" s="151"/>
      <c r="C328" s="152"/>
      <c r="D328" s="323"/>
      <c r="E328" s="154"/>
      <c r="F328" s="157"/>
      <c r="G328" s="152"/>
      <c r="H328" s="323" t="s">
        <v>3412</v>
      </c>
      <c r="I328" s="152"/>
      <c r="J328" s="157"/>
      <c r="K328" s="157">
        <v>5800361493</v>
      </c>
      <c r="L328" s="227">
        <v>13939.514999999999</v>
      </c>
      <c r="M328" s="157" t="s">
        <v>3422</v>
      </c>
      <c r="N328" s="227">
        <f t="shared" si="34"/>
        <v>184912.8583620119</v>
      </c>
      <c r="O328" s="152">
        <f t="shared" si="35"/>
        <v>1724467.1033620106</v>
      </c>
    </row>
    <row r="329" spans="1:15" x14ac:dyDescent="0.15">
      <c r="A329" s="154"/>
      <c r="B329" s="151"/>
      <c r="C329" s="152"/>
      <c r="D329" s="323"/>
      <c r="E329" s="154"/>
      <c r="F329" s="157"/>
      <c r="G329" s="152"/>
      <c r="H329" s="323" t="s">
        <v>3412</v>
      </c>
      <c r="I329" s="152"/>
      <c r="J329" s="157"/>
      <c r="K329" s="157">
        <v>5800361493</v>
      </c>
      <c r="L329" s="227">
        <v>2390.5450000000001</v>
      </c>
      <c r="M329" s="157" t="s">
        <v>3422</v>
      </c>
      <c r="N329" s="227">
        <f t="shared" si="34"/>
        <v>182522.31336201189</v>
      </c>
      <c r="O329" s="152">
        <f t="shared" si="35"/>
        <v>1722076.5583620106</v>
      </c>
    </row>
    <row r="330" spans="1:15" x14ac:dyDescent="0.15">
      <c r="A330" s="154"/>
      <c r="B330" s="151"/>
      <c r="C330" s="152"/>
      <c r="D330" s="323" t="s">
        <v>3413</v>
      </c>
      <c r="E330" s="154" t="s">
        <v>72</v>
      </c>
      <c r="F330" s="157" t="s">
        <v>3428</v>
      </c>
      <c r="G330" s="152">
        <v>175690.07800000001</v>
      </c>
      <c r="H330" s="323" t="s">
        <v>3413</v>
      </c>
      <c r="I330" s="152">
        <v>11501.347</v>
      </c>
      <c r="J330" s="157" t="s">
        <v>3422</v>
      </c>
      <c r="K330" s="157">
        <v>5800361493</v>
      </c>
      <c r="L330" s="227">
        <v>13574.749</v>
      </c>
      <c r="M330" s="157" t="s">
        <v>3422</v>
      </c>
      <c r="N330" s="227">
        <f t="shared" si="34"/>
        <v>157446.21736201187</v>
      </c>
      <c r="O330" s="152">
        <f t="shared" si="35"/>
        <v>1872690.5403620105</v>
      </c>
    </row>
    <row r="331" spans="1:15" x14ac:dyDescent="0.15">
      <c r="A331" s="154"/>
      <c r="B331" s="151"/>
      <c r="C331" s="152"/>
      <c r="D331" s="323"/>
      <c r="E331" s="154"/>
      <c r="F331" s="157"/>
      <c r="G331" s="152"/>
      <c r="H331" s="323" t="s">
        <v>3413</v>
      </c>
      <c r="I331" s="152"/>
      <c r="J331" s="157"/>
      <c r="K331" s="157">
        <v>5800361493</v>
      </c>
      <c r="L331" s="227">
        <v>18885.128000000001</v>
      </c>
      <c r="M331" s="157" t="s">
        <v>3422</v>
      </c>
      <c r="N331" s="227">
        <f t="shared" si="34"/>
        <v>138561.08936201187</v>
      </c>
      <c r="O331" s="152">
        <f t="shared" si="35"/>
        <v>1853805.4123620105</v>
      </c>
    </row>
    <row r="332" spans="1:15" x14ac:dyDescent="0.15">
      <c r="A332" s="154"/>
      <c r="B332" s="151"/>
      <c r="C332" s="152"/>
      <c r="D332" s="323"/>
      <c r="E332" s="154"/>
      <c r="F332" s="157"/>
      <c r="G332" s="152"/>
      <c r="H332" s="323" t="s">
        <v>3413</v>
      </c>
      <c r="I332" s="152"/>
      <c r="J332" s="157"/>
      <c r="K332" s="157">
        <v>5800361493</v>
      </c>
      <c r="L332" s="227">
        <v>12782.947</v>
      </c>
      <c r="M332" s="157" t="s">
        <v>3422</v>
      </c>
      <c r="N332" s="227">
        <f t="shared" si="34"/>
        <v>125778.14236201187</v>
      </c>
      <c r="O332" s="152">
        <f t="shared" si="35"/>
        <v>1841022.4653620105</v>
      </c>
    </row>
    <row r="333" spans="1:15" x14ac:dyDescent="0.15">
      <c r="A333" s="154"/>
      <c r="B333" s="151"/>
      <c r="C333" s="152"/>
      <c r="D333" s="323"/>
      <c r="E333" s="154"/>
      <c r="F333" s="157"/>
      <c r="G333" s="152"/>
      <c r="H333" s="323" t="s">
        <v>3413</v>
      </c>
      <c r="I333" s="152"/>
      <c r="J333" s="157"/>
      <c r="K333" s="157">
        <v>5800361493</v>
      </c>
      <c r="L333" s="227">
        <v>37034.510999999999</v>
      </c>
      <c r="M333" s="157" t="s">
        <v>3422</v>
      </c>
      <c r="N333" s="227">
        <f t="shared" si="34"/>
        <v>88743.631362011874</v>
      </c>
      <c r="O333" s="152">
        <f t="shared" si="35"/>
        <v>1803987.9543620106</v>
      </c>
    </row>
    <row r="334" spans="1:15" x14ac:dyDescent="0.15">
      <c r="A334" s="154"/>
      <c r="B334" s="151"/>
      <c r="C334" s="152"/>
      <c r="D334" s="323"/>
      <c r="E334" s="154"/>
      <c r="F334" s="157"/>
      <c r="G334" s="152"/>
      <c r="H334" s="323" t="s">
        <v>3413</v>
      </c>
      <c r="I334" s="152"/>
      <c r="J334" s="157"/>
      <c r="K334" s="157">
        <v>5800361493</v>
      </c>
      <c r="L334" s="227">
        <v>15774.977999999999</v>
      </c>
      <c r="M334" s="157" t="s">
        <v>3422</v>
      </c>
      <c r="N334" s="227">
        <f t="shared" si="34"/>
        <v>72968.653362011872</v>
      </c>
      <c r="O334" s="152">
        <f t="shared" si="35"/>
        <v>1788212.9763620107</v>
      </c>
    </row>
    <row r="335" spans="1:15" x14ac:dyDescent="0.15">
      <c r="A335" s="154"/>
      <c r="B335" s="151"/>
      <c r="C335" s="152"/>
      <c r="D335" s="323"/>
      <c r="E335" s="154"/>
      <c r="F335" s="157"/>
      <c r="G335" s="152"/>
      <c r="H335" s="323" t="s">
        <v>3413</v>
      </c>
      <c r="I335" s="152"/>
      <c r="J335" s="157"/>
      <c r="K335" s="157">
        <v>5800361493</v>
      </c>
      <c r="L335" s="227">
        <v>13654.831</v>
      </c>
      <c r="M335" s="157" t="s">
        <v>3422</v>
      </c>
      <c r="N335" s="227">
        <f t="shared" si="34"/>
        <v>59313.822362011873</v>
      </c>
      <c r="O335" s="152">
        <f t="shared" si="35"/>
        <v>1774558.1453620107</v>
      </c>
    </row>
    <row r="336" spans="1:15" x14ac:dyDescent="0.15">
      <c r="A336" s="154"/>
      <c r="B336" s="151"/>
      <c r="C336" s="152"/>
      <c r="D336" s="323"/>
      <c r="E336" s="154"/>
      <c r="F336" s="157"/>
      <c r="G336" s="152"/>
      <c r="H336" s="323" t="s">
        <v>3413</v>
      </c>
      <c r="I336" s="152"/>
      <c r="J336" s="157"/>
      <c r="K336" s="157">
        <v>5800361493</v>
      </c>
      <c r="L336" s="227">
        <v>9736.8619999999992</v>
      </c>
      <c r="M336" s="157" t="s">
        <v>3422</v>
      </c>
      <c r="N336" s="227">
        <f t="shared" si="34"/>
        <v>49576.960362011872</v>
      </c>
      <c r="O336" s="152">
        <f t="shared" si="35"/>
        <v>1764821.2833620107</v>
      </c>
    </row>
    <row r="337" spans="1:15" x14ac:dyDescent="0.15">
      <c r="A337" s="154"/>
      <c r="B337" s="151"/>
      <c r="C337" s="152"/>
      <c r="D337" s="323"/>
      <c r="E337" s="154"/>
      <c r="F337" s="157"/>
      <c r="G337" s="152"/>
      <c r="H337" s="323" t="s">
        <v>3413</v>
      </c>
      <c r="I337" s="152"/>
      <c r="J337" s="157"/>
      <c r="K337" s="157">
        <v>5800361493</v>
      </c>
      <c r="L337" s="227">
        <v>12611.323</v>
      </c>
      <c r="M337" s="157" t="s">
        <v>3422</v>
      </c>
      <c r="N337" s="227">
        <f t="shared" si="34"/>
        <v>36965.637362011868</v>
      </c>
      <c r="O337" s="152">
        <f t="shared" si="35"/>
        <v>1752209.9603620106</v>
      </c>
    </row>
    <row r="338" spans="1:15" x14ac:dyDescent="0.15">
      <c r="A338" s="154"/>
      <c r="B338" s="151"/>
      <c r="C338" s="152"/>
      <c r="D338" s="323"/>
      <c r="E338" s="154"/>
      <c r="F338" s="157"/>
      <c r="G338" s="152"/>
      <c r="H338" s="323" t="s">
        <v>3413</v>
      </c>
      <c r="I338" s="152"/>
      <c r="J338" s="157"/>
      <c r="K338" s="157">
        <v>5800361493</v>
      </c>
      <c r="L338" s="227">
        <v>12232.554</v>
      </c>
      <c r="M338" s="157" t="s">
        <v>3422</v>
      </c>
      <c r="N338" s="227">
        <f t="shared" si="34"/>
        <v>24733.083362011868</v>
      </c>
      <c r="O338" s="152">
        <f t="shared" si="35"/>
        <v>1739977.4063620106</v>
      </c>
    </row>
    <row r="339" spans="1:15" x14ac:dyDescent="0.15">
      <c r="A339" s="154"/>
      <c r="B339" s="151"/>
      <c r="C339" s="152"/>
      <c r="D339" s="323"/>
      <c r="E339" s="154"/>
      <c r="F339" s="157"/>
      <c r="G339" s="152"/>
      <c r="H339" s="323" t="s">
        <v>3413</v>
      </c>
      <c r="I339" s="152"/>
      <c r="J339" s="157"/>
      <c r="K339" s="157">
        <v>5800361493</v>
      </c>
      <c r="L339" s="227">
        <v>13955.504999999999</v>
      </c>
      <c r="M339" s="157" t="s">
        <v>3422</v>
      </c>
      <c r="N339" s="227">
        <f t="shared" si="34"/>
        <v>10777.578362011869</v>
      </c>
      <c r="O339" s="152">
        <f t="shared" si="35"/>
        <v>1726021.9013620107</v>
      </c>
    </row>
    <row r="340" spans="1:15" hidden="1" x14ac:dyDescent="0.15">
      <c r="A340" s="154"/>
      <c r="B340" s="151"/>
      <c r="C340" s="152"/>
      <c r="D340" s="323"/>
      <c r="E340" s="154"/>
      <c r="F340" s="157"/>
      <c r="G340" s="152"/>
      <c r="H340" s="323"/>
      <c r="I340" s="152"/>
      <c r="J340" s="157"/>
      <c r="K340" s="157"/>
      <c r="L340" s="227"/>
      <c r="M340" s="157"/>
      <c r="N340" s="227">
        <f t="shared" si="34"/>
        <v>10777.578362011869</v>
      </c>
      <c r="O340" s="152">
        <f t="shared" si="35"/>
        <v>1726021.9013620107</v>
      </c>
    </row>
    <row r="341" spans="1:15" hidden="1" x14ac:dyDescent="0.15">
      <c r="A341" s="154"/>
      <c r="B341" s="151"/>
      <c r="C341" s="152"/>
      <c r="D341" s="323"/>
      <c r="E341" s="154"/>
      <c r="F341" s="157"/>
      <c r="G341" s="152"/>
      <c r="H341" s="323"/>
      <c r="I341" s="152"/>
      <c r="J341" s="157"/>
      <c r="K341" s="157"/>
      <c r="L341" s="227"/>
      <c r="M341" s="157"/>
      <c r="N341" s="227">
        <f t="shared" si="34"/>
        <v>10777.578362011869</v>
      </c>
      <c r="O341" s="152">
        <f t="shared" si="35"/>
        <v>1726021.9013620107</v>
      </c>
    </row>
    <row r="342" spans="1:15" hidden="1" x14ac:dyDescent="0.15">
      <c r="A342" s="154"/>
      <c r="B342" s="151"/>
      <c r="C342" s="152"/>
      <c r="D342" s="323"/>
      <c r="E342" s="154"/>
      <c r="F342" s="157"/>
      <c r="G342" s="152"/>
      <c r="H342" s="323"/>
      <c r="I342" s="152"/>
      <c r="J342" s="157"/>
      <c r="K342" s="157"/>
      <c r="L342" s="227"/>
      <c r="M342" s="157"/>
      <c r="N342" s="227">
        <f t="shared" si="34"/>
        <v>10777.578362011869</v>
      </c>
      <c r="O342" s="152">
        <f t="shared" si="35"/>
        <v>1726021.9013620107</v>
      </c>
    </row>
    <row r="343" spans="1:15" hidden="1" x14ac:dyDescent="0.15">
      <c r="A343" s="154"/>
      <c r="B343" s="151"/>
      <c r="C343" s="152"/>
      <c r="D343" s="323"/>
      <c r="E343" s="154"/>
      <c r="F343" s="157"/>
      <c r="G343" s="152"/>
      <c r="H343" s="323"/>
      <c r="I343" s="152"/>
      <c r="J343" s="157"/>
      <c r="K343" s="157"/>
      <c r="L343" s="227"/>
      <c r="M343" s="157"/>
      <c r="N343" s="227">
        <f t="shared" si="34"/>
        <v>10777.578362011869</v>
      </c>
      <c r="O343" s="152">
        <f t="shared" si="35"/>
        <v>1726021.9013620107</v>
      </c>
    </row>
    <row r="344" spans="1:15" hidden="1" x14ac:dyDescent="0.15">
      <c r="A344" s="154"/>
      <c r="B344" s="151"/>
      <c r="C344" s="152"/>
      <c r="D344" s="323"/>
      <c r="E344" s="154"/>
      <c r="F344" s="157"/>
      <c r="G344" s="152"/>
      <c r="H344" s="323"/>
      <c r="I344" s="152"/>
      <c r="J344" s="157"/>
      <c r="K344" s="157"/>
      <c r="L344" s="227"/>
      <c r="M344" s="157"/>
      <c r="N344" s="227">
        <f t="shared" si="34"/>
        <v>10777.578362011869</v>
      </c>
      <c r="O344" s="152">
        <f t="shared" si="35"/>
        <v>1726021.9013620107</v>
      </c>
    </row>
    <row r="345" spans="1:15" hidden="1" x14ac:dyDescent="0.15">
      <c r="A345" s="154"/>
      <c r="B345" s="151"/>
      <c r="C345" s="152"/>
      <c r="D345" s="323"/>
      <c r="E345" s="154"/>
      <c r="F345" s="157"/>
      <c r="G345" s="152"/>
      <c r="H345" s="323"/>
      <c r="I345" s="152"/>
      <c r="J345" s="157"/>
      <c r="K345" s="157"/>
      <c r="L345" s="227"/>
      <c r="M345" s="157"/>
      <c r="N345" s="227">
        <f t="shared" si="34"/>
        <v>10777.578362011869</v>
      </c>
      <c r="O345" s="152">
        <f t="shared" si="35"/>
        <v>1726021.9013620107</v>
      </c>
    </row>
    <row r="346" spans="1:15" hidden="1" x14ac:dyDescent="0.15">
      <c r="A346" s="154"/>
      <c r="B346" s="151"/>
      <c r="C346" s="152"/>
      <c r="D346" s="323"/>
      <c r="E346" s="154"/>
      <c r="F346" s="157"/>
      <c r="G346" s="152"/>
      <c r="H346" s="323"/>
      <c r="I346" s="152"/>
      <c r="J346" s="157"/>
      <c r="K346" s="157"/>
      <c r="L346" s="227"/>
      <c r="M346" s="157"/>
      <c r="N346" s="227">
        <f t="shared" si="34"/>
        <v>10777.578362011869</v>
      </c>
      <c r="O346" s="152">
        <f t="shared" si="35"/>
        <v>1726021.9013620107</v>
      </c>
    </row>
    <row r="347" spans="1:15" hidden="1" x14ac:dyDescent="0.15">
      <c r="A347" s="154"/>
      <c r="B347" s="151"/>
      <c r="C347" s="152"/>
      <c r="D347" s="323"/>
      <c r="E347" s="154"/>
      <c r="F347" s="157"/>
      <c r="G347" s="152"/>
      <c r="H347" s="323"/>
      <c r="I347" s="152"/>
      <c r="J347" s="157"/>
      <c r="K347" s="157"/>
      <c r="L347" s="227"/>
      <c r="M347" s="157"/>
      <c r="N347" s="227">
        <f t="shared" si="34"/>
        <v>10777.578362011869</v>
      </c>
      <c r="O347" s="152">
        <f t="shared" si="35"/>
        <v>1726021.9013620107</v>
      </c>
    </row>
    <row r="348" spans="1:15" hidden="1" x14ac:dyDescent="0.15">
      <c r="A348" s="154"/>
      <c r="B348" s="151"/>
      <c r="C348" s="152"/>
      <c r="D348" s="323"/>
      <c r="E348" s="154"/>
      <c r="F348" s="157"/>
      <c r="G348" s="152"/>
      <c r="H348" s="323"/>
      <c r="I348" s="152"/>
      <c r="J348" s="157"/>
      <c r="K348" s="157"/>
      <c r="L348" s="227"/>
      <c r="M348" s="157"/>
      <c r="N348" s="227">
        <f t="shared" si="34"/>
        <v>10777.578362011869</v>
      </c>
      <c r="O348" s="152">
        <f t="shared" si="35"/>
        <v>1726021.9013620107</v>
      </c>
    </row>
    <row r="349" spans="1:15" hidden="1" x14ac:dyDescent="0.15">
      <c r="A349" s="154"/>
      <c r="B349" s="151"/>
      <c r="C349" s="152"/>
      <c r="D349" s="323"/>
      <c r="E349" s="154"/>
      <c r="F349" s="157"/>
      <c r="G349" s="152"/>
      <c r="H349" s="323"/>
      <c r="I349" s="152"/>
      <c r="J349" s="157"/>
      <c r="K349" s="157"/>
      <c r="L349" s="227"/>
      <c r="M349" s="157"/>
      <c r="N349" s="227">
        <f t="shared" si="34"/>
        <v>10777.578362011869</v>
      </c>
      <c r="O349" s="152">
        <f t="shared" si="35"/>
        <v>1726021.9013620107</v>
      </c>
    </row>
    <row r="350" spans="1:15" hidden="1" x14ac:dyDescent="0.15">
      <c r="A350" s="154"/>
      <c r="B350" s="151"/>
      <c r="C350" s="152"/>
      <c r="D350" s="323"/>
      <c r="E350" s="154"/>
      <c r="F350" s="157"/>
      <c r="G350" s="152"/>
      <c r="H350" s="323"/>
      <c r="I350" s="152"/>
      <c r="J350" s="157"/>
      <c r="K350" s="157"/>
      <c r="L350" s="227"/>
      <c r="M350" s="157"/>
      <c r="N350" s="227">
        <f t="shared" ref="N350:N379" si="38">+N349-I350-L350</f>
        <v>10777.578362011869</v>
      </c>
      <c r="O350" s="152">
        <f t="shared" ref="O350:O379" si="39">O349+G350-I350-L350</f>
        <v>1726021.9013620107</v>
      </c>
    </row>
    <row r="351" spans="1:15" hidden="1" x14ac:dyDescent="0.15">
      <c r="A351" s="154"/>
      <c r="B351" s="151"/>
      <c r="C351" s="152"/>
      <c r="D351" s="323"/>
      <c r="E351" s="154"/>
      <c r="F351" s="157"/>
      <c r="G351" s="152"/>
      <c r="H351" s="323"/>
      <c r="I351" s="152"/>
      <c r="J351" s="157"/>
      <c r="K351" s="157"/>
      <c r="L351" s="227"/>
      <c r="M351" s="157"/>
      <c r="N351" s="227">
        <f t="shared" si="38"/>
        <v>10777.578362011869</v>
      </c>
      <c r="O351" s="152">
        <f t="shared" si="39"/>
        <v>1726021.9013620107</v>
      </c>
    </row>
    <row r="352" spans="1:15" hidden="1" x14ac:dyDescent="0.15">
      <c r="A352" s="154"/>
      <c r="B352" s="151"/>
      <c r="C352" s="152"/>
      <c r="D352" s="323"/>
      <c r="E352" s="154"/>
      <c r="F352" s="157"/>
      <c r="G352" s="152"/>
      <c r="H352" s="323"/>
      <c r="I352" s="152"/>
      <c r="J352" s="157"/>
      <c r="K352" s="157"/>
      <c r="L352" s="227"/>
      <c r="M352" s="157"/>
      <c r="N352" s="227">
        <f t="shared" si="38"/>
        <v>10777.578362011869</v>
      </c>
      <c r="O352" s="152">
        <f t="shared" si="39"/>
        <v>1726021.9013620107</v>
      </c>
    </row>
    <row r="353" spans="1:15" hidden="1" x14ac:dyDescent="0.15">
      <c r="A353" s="154"/>
      <c r="B353" s="151"/>
      <c r="C353" s="152"/>
      <c r="D353" s="323"/>
      <c r="E353" s="154"/>
      <c r="F353" s="157"/>
      <c r="G353" s="152"/>
      <c r="H353" s="323"/>
      <c r="I353" s="152"/>
      <c r="J353" s="157"/>
      <c r="K353" s="157"/>
      <c r="L353" s="227"/>
      <c r="M353" s="157"/>
      <c r="N353" s="227">
        <f t="shared" si="38"/>
        <v>10777.578362011869</v>
      </c>
      <c r="O353" s="152">
        <f t="shared" si="39"/>
        <v>1726021.9013620107</v>
      </c>
    </row>
    <row r="354" spans="1:15" hidden="1" x14ac:dyDescent="0.15">
      <c r="A354" s="154"/>
      <c r="B354" s="151"/>
      <c r="C354" s="152"/>
      <c r="D354" s="323"/>
      <c r="E354" s="154"/>
      <c r="F354" s="157"/>
      <c r="G354" s="152"/>
      <c r="H354" s="323"/>
      <c r="I354" s="152"/>
      <c r="J354" s="157"/>
      <c r="K354" s="157"/>
      <c r="L354" s="227"/>
      <c r="M354" s="157"/>
      <c r="N354" s="227">
        <f t="shared" si="38"/>
        <v>10777.578362011869</v>
      </c>
      <c r="O354" s="152">
        <f t="shared" si="39"/>
        <v>1726021.9013620107</v>
      </c>
    </row>
    <row r="355" spans="1:15" hidden="1" x14ac:dyDescent="0.15">
      <c r="A355" s="154"/>
      <c r="B355" s="151"/>
      <c r="C355" s="152"/>
      <c r="D355" s="323"/>
      <c r="E355" s="154"/>
      <c r="F355" s="157"/>
      <c r="G355" s="152"/>
      <c r="H355" s="323"/>
      <c r="I355" s="152"/>
      <c r="J355" s="157"/>
      <c r="K355" s="157"/>
      <c r="L355" s="227"/>
      <c r="M355" s="157"/>
      <c r="N355" s="227">
        <f t="shared" si="38"/>
        <v>10777.578362011869</v>
      </c>
      <c r="O355" s="152">
        <f t="shared" si="39"/>
        <v>1726021.9013620107</v>
      </c>
    </row>
    <row r="356" spans="1:15" hidden="1" x14ac:dyDescent="0.15">
      <c r="A356" s="154"/>
      <c r="B356" s="151"/>
      <c r="C356" s="152"/>
      <c r="D356" s="323"/>
      <c r="E356" s="154"/>
      <c r="F356" s="157"/>
      <c r="G356" s="152"/>
      <c r="H356" s="323"/>
      <c r="I356" s="152"/>
      <c r="J356" s="157"/>
      <c r="K356" s="157"/>
      <c r="L356" s="227"/>
      <c r="M356" s="157"/>
      <c r="N356" s="227">
        <f t="shared" si="38"/>
        <v>10777.578362011869</v>
      </c>
      <c r="O356" s="152">
        <f t="shared" si="39"/>
        <v>1726021.9013620107</v>
      </c>
    </row>
    <row r="357" spans="1:15" hidden="1" x14ac:dyDescent="0.15">
      <c r="A357" s="154"/>
      <c r="B357" s="151"/>
      <c r="C357" s="152"/>
      <c r="D357" s="323"/>
      <c r="E357" s="154"/>
      <c r="F357" s="157"/>
      <c r="G357" s="152"/>
      <c r="H357" s="323"/>
      <c r="I357" s="152"/>
      <c r="J357" s="157"/>
      <c r="K357" s="157"/>
      <c r="L357" s="227"/>
      <c r="M357" s="157"/>
      <c r="N357" s="227">
        <f t="shared" si="38"/>
        <v>10777.578362011869</v>
      </c>
      <c r="O357" s="152">
        <f t="shared" si="39"/>
        <v>1726021.9013620107</v>
      </c>
    </row>
    <row r="358" spans="1:15" hidden="1" x14ac:dyDescent="0.15">
      <c r="A358" s="154"/>
      <c r="B358" s="151"/>
      <c r="C358" s="152"/>
      <c r="D358" s="323"/>
      <c r="E358" s="154"/>
      <c r="F358" s="157"/>
      <c r="G358" s="152"/>
      <c r="H358" s="323"/>
      <c r="I358" s="152"/>
      <c r="J358" s="157"/>
      <c r="K358" s="157"/>
      <c r="L358" s="227"/>
      <c r="M358" s="157"/>
      <c r="N358" s="227">
        <f t="shared" si="38"/>
        <v>10777.578362011869</v>
      </c>
      <c r="O358" s="152">
        <f t="shared" si="39"/>
        <v>1726021.9013620107</v>
      </c>
    </row>
    <row r="359" spans="1:15" hidden="1" x14ac:dyDescent="0.15">
      <c r="A359" s="154"/>
      <c r="B359" s="151"/>
      <c r="C359" s="152"/>
      <c r="D359" s="323"/>
      <c r="E359" s="154"/>
      <c r="F359" s="157"/>
      <c r="G359" s="152"/>
      <c r="H359" s="323"/>
      <c r="I359" s="152"/>
      <c r="J359" s="157"/>
      <c r="K359" s="157"/>
      <c r="L359" s="227"/>
      <c r="M359" s="157"/>
      <c r="N359" s="227">
        <f t="shared" si="38"/>
        <v>10777.578362011869</v>
      </c>
      <c r="O359" s="152">
        <f t="shared" si="39"/>
        <v>1726021.9013620107</v>
      </c>
    </row>
    <row r="360" spans="1:15" hidden="1" x14ac:dyDescent="0.15">
      <c r="A360" s="154"/>
      <c r="B360" s="151"/>
      <c r="C360" s="152"/>
      <c r="D360" s="323"/>
      <c r="E360" s="154"/>
      <c r="F360" s="157"/>
      <c r="G360" s="152"/>
      <c r="H360" s="323"/>
      <c r="I360" s="152"/>
      <c r="J360" s="157"/>
      <c r="K360" s="157"/>
      <c r="L360" s="227"/>
      <c r="M360" s="157"/>
      <c r="N360" s="227">
        <f t="shared" si="38"/>
        <v>10777.578362011869</v>
      </c>
      <c r="O360" s="152">
        <f t="shared" si="39"/>
        <v>1726021.9013620107</v>
      </c>
    </row>
    <row r="361" spans="1:15" hidden="1" x14ac:dyDescent="0.15">
      <c r="A361" s="154"/>
      <c r="B361" s="151"/>
      <c r="C361" s="152"/>
      <c r="D361" s="323"/>
      <c r="E361" s="154"/>
      <c r="F361" s="157"/>
      <c r="G361" s="152"/>
      <c r="H361" s="323"/>
      <c r="I361" s="152"/>
      <c r="J361" s="157"/>
      <c r="K361" s="157"/>
      <c r="L361" s="227"/>
      <c r="M361" s="157"/>
      <c r="N361" s="227">
        <f t="shared" si="38"/>
        <v>10777.578362011869</v>
      </c>
      <c r="O361" s="152">
        <f t="shared" si="39"/>
        <v>1726021.9013620107</v>
      </c>
    </row>
    <row r="362" spans="1:15" hidden="1" x14ac:dyDescent="0.15">
      <c r="A362" s="154"/>
      <c r="B362" s="151"/>
      <c r="C362" s="152"/>
      <c r="D362" s="323"/>
      <c r="E362" s="154"/>
      <c r="F362" s="157"/>
      <c r="G362" s="152"/>
      <c r="H362" s="323"/>
      <c r="I362" s="152"/>
      <c r="J362" s="157"/>
      <c r="K362" s="157"/>
      <c r="L362" s="227"/>
      <c r="M362" s="157"/>
      <c r="N362" s="227">
        <f t="shared" si="38"/>
        <v>10777.578362011869</v>
      </c>
      <c r="O362" s="152">
        <f t="shared" si="39"/>
        <v>1726021.9013620107</v>
      </c>
    </row>
    <row r="363" spans="1:15" hidden="1" x14ac:dyDescent="0.15">
      <c r="A363" s="154"/>
      <c r="B363" s="151"/>
      <c r="C363" s="152"/>
      <c r="D363" s="323"/>
      <c r="E363" s="154"/>
      <c r="F363" s="157"/>
      <c r="G363" s="152"/>
      <c r="H363" s="323"/>
      <c r="I363" s="152"/>
      <c r="J363" s="157"/>
      <c r="K363" s="157"/>
      <c r="L363" s="227"/>
      <c r="M363" s="157"/>
      <c r="N363" s="227">
        <f t="shared" si="38"/>
        <v>10777.578362011869</v>
      </c>
      <c r="O363" s="152">
        <f t="shared" si="39"/>
        <v>1726021.9013620107</v>
      </c>
    </row>
    <row r="364" spans="1:15" hidden="1" x14ac:dyDescent="0.15">
      <c r="A364" s="154"/>
      <c r="B364" s="151"/>
      <c r="C364" s="152"/>
      <c r="D364" s="323"/>
      <c r="E364" s="154"/>
      <c r="F364" s="157"/>
      <c r="G364" s="152"/>
      <c r="H364" s="323"/>
      <c r="I364" s="152"/>
      <c r="J364" s="157"/>
      <c r="K364" s="157"/>
      <c r="L364" s="227"/>
      <c r="M364" s="157"/>
      <c r="N364" s="227">
        <f t="shared" si="38"/>
        <v>10777.578362011869</v>
      </c>
      <c r="O364" s="152">
        <f t="shared" si="39"/>
        <v>1726021.9013620107</v>
      </c>
    </row>
    <row r="365" spans="1:15" hidden="1" x14ac:dyDescent="0.15">
      <c r="A365" s="154"/>
      <c r="B365" s="151"/>
      <c r="C365" s="152"/>
      <c r="D365" s="323"/>
      <c r="E365" s="154"/>
      <c r="F365" s="157"/>
      <c r="G365" s="152"/>
      <c r="H365" s="323"/>
      <c r="I365" s="152"/>
      <c r="J365" s="157"/>
      <c r="K365" s="157"/>
      <c r="L365" s="227"/>
      <c r="M365" s="157"/>
      <c r="N365" s="227">
        <f t="shared" si="38"/>
        <v>10777.578362011869</v>
      </c>
      <c r="O365" s="152">
        <f t="shared" si="39"/>
        <v>1726021.9013620107</v>
      </c>
    </row>
    <row r="366" spans="1:15" hidden="1" x14ac:dyDescent="0.15">
      <c r="A366" s="154"/>
      <c r="B366" s="151"/>
      <c r="C366" s="152"/>
      <c r="D366" s="323"/>
      <c r="E366" s="154"/>
      <c r="F366" s="157"/>
      <c r="G366" s="152"/>
      <c r="H366" s="323"/>
      <c r="I366" s="152"/>
      <c r="J366" s="157"/>
      <c r="K366" s="157"/>
      <c r="L366" s="227"/>
      <c r="M366" s="157"/>
      <c r="N366" s="227">
        <f t="shared" si="38"/>
        <v>10777.578362011869</v>
      </c>
      <c r="O366" s="152">
        <f t="shared" si="39"/>
        <v>1726021.9013620107</v>
      </c>
    </row>
    <row r="367" spans="1:15" hidden="1" x14ac:dyDescent="0.15">
      <c r="A367" s="154"/>
      <c r="B367" s="151"/>
      <c r="C367" s="152"/>
      <c r="D367" s="323"/>
      <c r="E367" s="154"/>
      <c r="F367" s="157"/>
      <c r="G367" s="152"/>
      <c r="H367" s="323"/>
      <c r="I367" s="152"/>
      <c r="J367" s="157"/>
      <c r="K367" s="157"/>
      <c r="L367" s="227"/>
      <c r="M367" s="157"/>
      <c r="N367" s="227">
        <f t="shared" si="38"/>
        <v>10777.578362011869</v>
      </c>
      <c r="O367" s="152">
        <f t="shared" si="39"/>
        <v>1726021.9013620107</v>
      </c>
    </row>
    <row r="368" spans="1:15" hidden="1" x14ac:dyDescent="0.15">
      <c r="A368" s="154"/>
      <c r="B368" s="151"/>
      <c r="C368" s="152"/>
      <c r="D368" s="323"/>
      <c r="E368" s="154"/>
      <c r="F368" s="157"/>
      <c r="G368" s="152"/>
      <c r="H368" s="323"/>
      <c r="I368" s="152"/>
      <c r="J368" s="157"/>
      <c r="K368" s="157"/>
      <c r="L368" s="227"/>
      <c r="M368" s="157"/>
      <c r="N368" s="227">
        <f t="shared" si="38"/>
        <v>10777.578362011869</v>
      </c>
      <c r="O368" s="152">
        <f t="shared" si="39"/>
        <v>1726021.9013620107</v>
      </c>
    </row>
    <row r="369" spans="1:15" hidden="1" x14ac:dyDescent="0.15">
      <c r="A369" s="154"/>
      <c r="B369" s="151"/>
      <c r="C369" s="152"/>
      <c r="D369" s="323"/>
      <c r="E369" s="154"/>
      <c r="F369" s="157"/>
      <c r="G369" s="152"/>
      <c r="H369" s="323"/>
      <c r="I369" s="152"/>
      <c r="J369" s="157"/>
      <c r="K369" s="157"/>
      <c r="L369" s="227"/>
      <c r="M369" s="157"/>
      <c r="N369" s="227">
        <f t="shared" si="38"/>
        <v>10777.578362011869</v>
      </c>
      <c r="O369" s="152">
        <f t="shared" si="39"/>
        <v>1726021.9013620107</v>
      </c>
    </row>
    <row r="370" spans="1:15" hidden="1" x14ac:dyDescent="0.15">
      <c r="A370" s="154"/>
      <c r="B370" s="151"/>
      <c r="C370" s="152"/>
      <c r="D370" s="323"/>
      <c r="E370" s="154"/>
      <c r="F370" s="157"/>
      <c r="G370" s="152"/>
      <c r="H370" s="323"/>
      <c r="I370" s="152"/>
      <c r="J370" s="157"/>
      <c r="K370" s="157"/>
      <c r="L370" s="227"/>
      <c r="M370" s="157"/>
      <c r="N370" s="227">
        <f t="shared" si="38"/>
        <v>10777.578362011869</v>
      </c>
      <c r="O370" s="152">
        <f t="shared" si="39"/>
        <v>1726021.9013620107</v>
      </c>
    </row>
    <row r="371" spans="1:15" hidden="1" x14ac:dyDescent="0.15">
      <c r="A371" s="154"/>
      <c r="B371" s="151"/>
      <c r="C371" s="152"/>
      <c r="D371" s="323"/>
      <c r="E371" s="154"/>
      <c r="F371" s="157"/>
      <c r="G371" s="152"/>
      <c r="H371" s="323"/>
      <c r="I371" s="152"/>
      <c r="J371" s="157"/>
      <c r="K371" s="157"/>
      <c r="L371" s="227"/>
      <c r="M371" s="157"/>
      <c r="N371" s="227">
        <f t="shared" si="38"/>
        <v>10777.578362011869</v>
      </c>
      <c r="O371" s="152">
        <f t="shared" si="39"/>
        <v>1726021.9013620107</v>
      </c>
    </row>
    <row r="372" spans="1:15" hidden="1" x14ac:dyDescent="0.15">
      <c r="A372" s="154"/>
      <c r="B372" s="151"/>
      <c r="C372" s="152"/>
      <c r="D372" s="323"/>
      <c r="E372" s="154"/>
      <c r="F372" s="157"/>
      <c r="G372" s="152"/>
      <c r="H372" s="323"/>
      <c r="I372" s="152"/>
      <c r="J372" s="157"/>
      <c r="K372" s="157"/>
      <c r="L372" s="227"/>
      <c r="M372" s="157"/>
      <c r="N372" s="227">
        <f t="shared" si="38"/>
        <v>10777.578362011869</v>
      </c>
      <c r="O372" s="152">
        <f t="shared" si="39"/>
        <v>1726021.9013620107</v>
      </c>
    </row>
    <row r="373" spans="1:15" hidden="1" x14ac:dyDescent="0.15">
      <c r="A373" s="154"/>
      <c r="B373" s="151"/>
      <c r="C373" s="152"/>
      <c r="D373" s="323"/>
      <c r="E373" s="154"/>
      <c r="F373" s="157"/>
      <c r="G373" s="152"/>
      <c r="H373" s="323"/>
      <c r="I373" s="152"/>
      <c r="J373" s="157"/>
      <c r="K373" s="154"/>
      <c r="L373" s="227"/>
      <c r="M373" s="157"/>
      <c r="N373" s="227">
        <f t="shared" si="38"/>
        <v>10777.578362011869</v>
      </c>
      <c r="O373" s="152">
        <f t="shared" si="39"/>
        <v>1726021.9013620107</v>
      </c>
    </row>
    <row r="374" spans="1:15" hidden="1" x14ac:dyDescent="0.15">
      <c r="A374" s="154"/>
      <c r="B374" s="151"/>
      <c r="C374" s="152"/>
      <c r="D374" s="323"/>
      <c r="E374" s="154"/>
      <c r="F374" s="157"/>
      <c r="G374" s="152"/>
      <c r="H374" s="323"/>
      <c r="I374" s="152"/>
      <c r="J374" s="154"/>
      <c r="K374" s="154"/>
      <c r="L374" s="227"/>
      <c r="M374" s="157"/>
      <c r="N374" s="227">
        <f t="shared" si="38"/>
        <v>10777.578362011869</v>
      </c>
      <c r="O374" s="152">
        <f t="shared" si="39"/>
        <v>1726021.9013620107</v>
      </c>
    </row>
    <row r="375" spans="1:15" hidden="1" x14ac:dyDescent="0.15">
      <c r="A375" s="154"/>
      <c r="B375" s="151"/>
      <c r="C375" s="151"/>
      <c r="D375" s="323"/>
      <c r="E375" s="154"/>
      <c r="F375" s="157"/>
      <c r="G375" s="152"/>
      <c r="H375" s="323"/>
      <c r="I375" s="152"/>
      <c r="J375" s="154"/>
      <c r="K375" s="154"/>
      <c r="L375" s="227"/>
      <c r="M375" s="157"/>
      <c r="N375" s="227">
        <f t="shared" si="38"/>
        <v>10777.578362011869</v>
      </c>
      <c r="O375" s="152">
        <f t="shared" si="39"/>
        <v>1726021.9013620107</v>
      </c>
    </row>
    <row r="376" spans="1:15" hidden="1" x14ac:dyDescent="0.15">
      <c r="A376" s="154"/>
      <c r="B376" s="151"/>
      <c r="C376" s="151"/>
      <c r="D376" s="323"/>
      <c r="E376" s="155"/>
      <c r="F376" s="157"/>
      <c r="G376" s="152"/>
      <c r="H376" s="323"/>
      <c r="I376" s="152"/>
      <c r="J376" s="154"/>
      <c r="K376" s="154"/>
      <c r="L376" s="227"/>
      <c r="M376" s="157"/>
      <c r="N376" s="227">
        <f t="shared" si="38"/>
        <v>10777.578362011869</v>
      </c>
      <c r="O376" s="152">
        <f t="shared" si="39"/>
        <v>1726021.9013620107</v>
      </c>
    </row>
    <row r="377" spans="1:15" hidden="1" x14ac:dyDescent="0.15">
      <c r="A377" s="154"/>
      <c r="B377" s="151"/>
      <c r="C377" s="151"/>
      <c r="D377" s="323"/>
      <c r="E377" s="154"/>
      <c r="F377" s="160"/>
      <c r="G377" s="152"/>
      <c r="H377" s="323"/>
      <c r="I377" s="152"/>
      <c r="J377" s="157"/>
      <c r="K377" s="154"/>
      <c r="L377" s="227"/>
      <c r="M377" s="157"/>
      <c r="N377" s="227">
        <f t="shared" si="38"/>
        <v>10777.578362011869</v>
      </c>
      <c r="O377" s="152">
        <f t="shared" si="39"/>
        <v>1726021.9013620107</v>
      </c>
    </row>
    <row r="378" spans="1:15" hidden="1" x14ac:dyDescent="0.15">
      <c r="A378" s="154"/>
      <c r="B378" s="151"/>
      <c r="C378" s="151"/>
      <c r="D378" s="323"/>
      <c r="E378" s="154"/>
      <c r="F378" s="160"/>
      <c r="G378" s="152"/>
      <c r="H378" s="323"/>
      <c r="I378" s="152"/>
      <c r="J378" s="150"/>
      <c r="K378" s="154"/>
      <c r="L378" s="227"/>
      <c r="M378" s="157"/>
      <c r="N378" s="227">
        <f t="shared" si="38"/>
        <v>10777.578362011869</v>
      </c>
      <c r="O378" s="152">
        <f t="shared" si="39"/>
        <v>1726021.9013620107</v>
      </c>
    </row>
    <row r="379" spans="1:15" x14ac:dyDescent="0.15">
      <c r="A379" s="173"/>
      <c r="B379" s="173"/>
      <c r="C379" s="174"/>
      <c r="D379" s="323"/>
      <c r="E379" s="173"/>
      <c r="F379" s="173"/>
      <c r="G379" s="174"/>
      <c r="H379" s="323"/>
      <c r="I379" s="174"/>
      <c r="J379" s="173"/>
      <c r="K379" s="154"/>
      <c r="L379" s="228"/>
      <c r="M379" s="173"/>
      <c r="N379" s="227">
        <f t="shared" si="38"/>
        <v>10777.578362011869</v>
      </c>
      <c r="O379" s="152">
        <f t="shared" si="39"/>
        <v>1726021.9013620107</v>
      </c>
    </row>
    <row r="380" spans="1:15" x14ac:dyDescent="0.15">
      <c r="A380" s="177"/>
      <c r="B380" s="177"/>
      <c r="C380" s="178">
        <f>SUM(C7:C378)</f>
        <v>1642253.4603620118</v>
      </c>
      <c r="D380" s="177"/>
      <c r="E380" s="177"/>
      <c r="F380" s="177"/>
      <c r="G380" s="178">
        <f>SUM(G7:G379)</f>
        <v>4703401.7810000004</v>
      </c>
      <c r="H380" s="179"/>
      <c r="I380" s="178">
        <f>SUM(I7:I379)</f>
        <v>341514.0909999999</v>
      </c>
      <c r="J380" s="177"/>
      <c r="K380" s="177"/>
      <c r="L380" s="178">
        <f>SUM(L7:L379)</f>
        <v>4278119.248999997</v>
      </c>
      <c r="M380" s="177"/>
      <c r="N380" s="180"/>
      <c r="O380" s="181">
        <f>C380+G380-I380-L380</f>
        <v>1726021.9013620149</v>
      </c>
    </row>
    <row r="381" spans="1:15" x14ac:dyDescent="0.15">
      <c r="A381" s="182"/>
      <c r="B381" s="465"/>
      <c r="C381" s="465"/>
      <c r="D381" s="465"/>
      <c r="E381" s="183"/>
      <c r="F381" s="284"/>
      <c r="G381" s="185">
        <f>+G380-'[1]รับ 0915'!$D$167</f>
        <v>0</v>
      </c>
      <c r="H381" s="186"/>
      <c r="I381" s="187"/>
      <c r="J381" s="188"/>
      <c r="K381" s="189" t="s">
        <v>139</v>
      </c>
      <c r="L381" s="190">
        <f>+L380+I380</f>
        <v>4619633.3399999971</v>
      </c>
      <c r="M381" s="197"/>
      <c r="N381" s="230">
        <f>+N379</f>
        <v>10777.578362011869</v>
      </c>
      <c r="O381" s="195" t="s">
        <v>3422</v>
      </c>
    </row>
    <row r="382" spans="1:15" x14ac:dyDescent="0.15">
      <c r="A382" s="188" t="s">
        <v>3358</v>
      </c>
      <c r="B382" s="131" t="s">
        <v>3441</v>
      </c>
      <c r="E382" s="183" t="s">
        <v>55</v>
      </c>
      <c r="F382" s="442">
        <v>90898373.390000001</v>
      </c>
      <c r="G382" s="219" t="s">
        <v>56</v>
      </c>
      <c r="H382" s="186">
        <v>42248</v>
      </c>
      <c r="I382" s="187" t="s">
        <v>71</v>
      </c>
      <c r="J382" s="210">
        <v>196035.74800000002</v>
      </c>
      <c r="N382" s="230">
        <v>176047.14499999999</v>
      </c>
      <c r="O382" s="334" t="s">
        <v>3423</v>
      </c>
    </row>
    <row r="383" spans="1:15" x14ac:dyDescent="0.15">
      <c r="A383" s="188" t="s">
        <v>3360</v>
      </c>
      <c r="B383" s="131" t="s">
        <v>3429</v>
      </c>
      <c r="E383" s="183" t="s">
        <v>55</v>
      </c>
      <c r="F383" s="442">
        <v>65462412.18</v>
      </c>
      <c r="G383" s="219" t="s">
        <v>56</v>
      </c>
      <c r="H383" s="186">
        <v>42249</v>
      </c>
      <c r="I383" s="187" t="s">
        <v>71</v>
      </c>
      <c r="J383" s="210">
        <v>140416.09900000098</v>
      </c>
      <c r="N383" s="230">
        <v>132122.21299999999</v>
      </c>
      <c r="O383" s="334" t="s">
        <v>3424</v>
      </c>
    </row>
    <row r="384" spans="1:15" x14ac:dyDescent="0.15">
      <c r="A384" s="188" t="s">
        <v>3362</v>
      </c>
      <c r="B384" s="131" t="s">
        <v>3430</v>
      </c>
      <c r="E384" s="183" t="s">
        <v>55</v>
      </c>
      <c r="F384" s="442">
        <v>81087368.239999995</v>
      </c>
      <c r="G384" s="219" t="s">
        <v>56</v>
      </c>
      <c r="H384" s="186">
        <v>42255</v>
      </c>
      <c r="I384" s="187" t="s">
        <v>71</v>
      </c>
      <c r="J384" s="210">
        <v>494423.94400000008</v>
      </c>
      <c r="N384" s="230">
        <v>483720.08100000001</v>
      </c>
      <c r="O384" s="334" t="s">
        <v>3425</v>
      </c>
    </row>
    <row r="385" spans="1:15" x14ac:dyDescent="0.15">
      <c r="A385" s="188" t="s">
        <v>3422</v>
      </c>
      <c r="B385" s="131" t="s">
        <v>3431</v>
      </c>
      <c r="E385" s="183" t="s">
        <v>55</v>
      </c>
      <c r="F385" s="442">
        <v>33019052.219999999</v>
      </c>
      <c r="G385" s="219" t="s">
        <v>56</v>
      </c>
      <c r="H385" s="186">
        <v>42269</v>
      </c>
      <c r="I385" s="187" t="s">
        <v>71</v>
      </c>
      <c r="J385" s="210">
        <v>285617.79263798811</v>
      </c>
      <c r="N385" s="230">
        <v>395630.17499999999</v>
      </c>
      <c r="O385" s="334" t="s">
        <v>3426</v>
      </c>
    </row>
    <row r="386" spans="1:15" ht="12" thickBot="1" x14ac:dyDescent="0.2">
      <c r="A386" s="133"/>
      <c r="B386" s="440"/>
      <c r="C386" s="440"/>
      <c r="D386" s="440"/>
      <c r="E386" s="183"/>
      <c r="F386" s="441"/>
      <c r="G386" s="219"/>
      <c r="H386" s="186"/>
      <c r="I386" s="217" t="s">
        <v>856</v>
      </c>
      <c r="J386" s="211">
        <f>SUM(J382:J385)</f>
        <v>1116493.5836379891</v>
      </c>
      <c r="N386" s="230">
        <v>308034.848</v>
      </c>
      <c r="O386" s="334" t="s">
        <v>3427</v>
      </c>
    </row>
    <row r="387" spans="1:15" ht="12" thickTop="1" x14ac:dyDescent="0.15">
      <c r="A387" s="193" t="s">
        <v>3357</v>
      </c>
      <c r="B387" s="131" t="s">
        <v>3379</v>
      </c>
      <c r="E387" s="183" t="s">
        <v>55</v>
      </c>
      <c r="F387" s="442">
        <v>110490571.79000001</v>
      </c>
      <c r="G387" s="219" t="s">
        <v>56</v>
      </c>
      <c r="H387" s="186">
        <v>42243</v>
      </c>
      <c r="I387" s="187" t="s">
        <v>71</v>
      </c>
      <c r="J387" s="210">
        <v>299036.36336201197</v>
      </c>
      <c r="K387" s="297"/>
      <c r="N387" s="230">
        <v>219689.861</v>
      </c>
      <c r="O387" s="195" t="s">
        <v>3428</v>
      </c>
    </row>
    <row r="388" spans="1:15" x14ac:dyDescent="0.15">
      <c r="A388" s="193" t="s">
        <v>3359</v>
      </c>
      <c r="B388" s="131" t="s">
        <v>3432</v>
      </c>
      <c r="E388" s="183" t="s">
        <v>55</v>
      </c>
      <c r="F388" s="442">
        <v>73751445.209999993</v>
      </c>
      <c r="G388" s="219" t="s">
        <v>56</v>
      </c>
      <c r="H388" s="186">
        <v>42247</v>
      </c>
      <c r="I388" s="187" t="s">
        <v>71</v>
      </c>
      <c r="J388" s="210">
        <v>514303.043999999</v>
      </c>
      <c r="K388" s="333"/>
      <c r="N388" s="230"/>
      <c r="O388" s="195"/>
    </row>
    <row r="389" spans="1:15" x14ac:dyDescent="0.15">
      <c r="A389" s="193" t="s">
        <v>3361</v>
      </c>
      <c r="B389" s="131" t="s">
        <v>3433</v>
      </c>
      <c r="E389" s="183" t="s">
        <v>55</v>
      </c>
      <c r="F389" s="442">
        <v>77384405.849999994</v>
      </c>
      <c r="G389" s="219" t="s">
        <v>56</v>
      </c>
      <c r="H389" s="186">
        <v>42251</v>
      </c>
      <c r="I389" s="187" t="s">
        <v>71</v>
      </c>
      <c r="J389" s="210">
        <v>206803.09799999994</v>
      </c>
      <c r="N389" s="230"/>
      <c r="O389" s="195"/>
    </row>
    <row r="390" spans="1:15" x14ac:dyDescent="0.15">
      <c r="A390" s="193" t="s">
        <v>3415</v>
      </c>
      <c r="B390" s="131" t="s">
        <v>3434</v>
      </c>
      <c r="E390" s="183" t="s">
        <v>55</v>
      </c>
      <c r="F390" s="442">
        <v>54844156.810000002</v>
      </c>
      <c r="G390" s="219" t="s">
        <v>56</v>
      </c>
      <c r="H390" s="186">
        <v>42254</v>
      </c>
      <c r="I390" s="187" t="s">
        <v>71</v>
      </c>
      <c r="J390" s="210">
        <v>195223.33800000002</v>
      </c>
      <c r="N390" s="230"/>
      <c r="O390" s="195"/>
    </row>
    <row r="391" spans="1:15" x14ac:dyDescent="0.15">
      <c r="A391" s="193" t="s">
        <v>3416</v>
      </c>
      <c r="B391" s="131" t="s">
        <v>3435</v>
      </c>
      <c r="E391" s="183" t="s">
        <v>55</v>
      </c>
      <c r="F391" s="442">
        <v>60694167.799999997</v>
      </c>
      <c r="G391" s="219" t="s">
        <v>56</v>
      </c>
      <c r="H391" s="186">
        <v>42255</v>
      </c>
      <c r="I391" s="187" t="s">
        <v>71</v>
      </c>
      <c r="J391" s="210">
        <v>506032.38499999908</v>
      </c>
      <c r="K391" s="333"/>
      <c r="N391" s="206" t="s">
        <v>33</v>
      </c>
      <c r="O391" s="207">
        <f>SUM(N381:N390)</f>
        <v>1726021.9013620119</v>
      </c>
    </row>
    <row r="392" spans="1:15" x14ac:dyDescent="0.15">
      <c r="A392" s="193" t="s">
        <v>3417</v>
      </c>
      <c r="B392" s="131" t="s">
        <v>3436</v>
      </c>
      <c r="E392" s="183" t="s">
        <v>55</v>
      </c>
      <c r="F392" s="442">
        <v>140643029.38</v>
      </c>
      <c r="G392" s="219" t="s">
        <v>56</v>
      </c>
      <c r="H392" s="186">
        <v>42257</v>
      </c>
      <c r="I392" s="187" t="s">
        <v>71</v>
      </c>
      <c r="J392" s="210">
        <v>390339.57163798908</v>
      </c>
      <c r="O392" s="190">
        <f>+O380-O391</f>
        <v>3.0267983675003052E-9</v>
      </c>
    </row>
    <row r="393" spans="1:15" s="132" customFormat="1" x14ac:dyDescent="0.15">
      <c r="A393" s="193" t="s">
        <v>3418</v>
      </c>
      <c r="B393" s="131" t="s">
        <v>3437</v>
      </c>
      <c r="D393" s="133"/>
      <c r="E393" s="183" t="s">
        <v>55</v>
      </c>
      <c r="F393" s="442">
        <v>90771866.790000007</v>
      </c>
      <c r="G393" s="219" t="s">
        <v>56</v>
      </c>
      <c r="H393" s="186">
        <v>42258</v>
      </c>
      <c r="I393" s="187" t="s">
        <v>71</v>
      </c>
      <c r="J393" s="210">
        <v>376639.74836201192</v>
      </c>
      <c r="K393" s="193"/>
      <c r="M393" s="134"/>
    </row>
    <row r="394" spans="1:15" s="132" customFormat="1" x14ac:dyDescent="0.15">
      <c r="A394" s="193" t="s">
        <v>3419</v>
      </c>
      <c r="B394" s="131" t="s">
        <v>3438</v>
      </c>
      <c r="D394" s="133"/>
      <c r="E394" s="183" t="s">
        <v>55</v>
      </c>
      <c r="F394" s="442">
        <v>61526570.969999999</v>
      </c>
      <c r="G394" s="219" t="s">
        <v>56</v>
      </c>
      <c r="H394" s="186">
        <v>42262</v>
      </c>
      <c r="I394" s="187" t="s">
        <v>71</v>
      </c>
      <c r="J394" s="210">
        <v>163682.851</v>
      </c>
      <c r="K394" s="193"/>
      <c r="M394" s="134"/>
    </row>
    <row r="395" spans="1:15" s="132" customFormat="1" x14ac:dyDescent="0.15">
      <c r="A395" s="193" t="s">
        <v>3420</v>
      </c>
      <c r="B395" s="131" t="s">
        <v>3439</v>
      </c>
      <c r="D395" s="133"/>
      <c r="E395" s="183" t="s">
        <v>55</v>
      </c>
      <c r="F395" s="442">
        <v>125978008.11</v>
      </c>
      <c r="G395" s="219" t="s">
        <v>56</v>
      </c>
      <c r="H395" s="186">
        <v>42264</v>
      </c>
      <c r="I395" s="187" t="s">
        <v>71</v>
      </c>
      <c r="J395" s="210">
        <v>225061.94500000007</v>
      </c>
      <c r="K395" s="133"/>
      <c r="M395" s="134"/>
    </row>
    <row r="396" spans="1:15" s="132" customFormat="1" x14ac:dyDescent="0.15">
      <c r="A396" s="193" t="s">
        <v>3421</v>
      </c>
      <c r="B396" s="131" t="s">
        <v>3440</v>
      </c>
      <c r="D396" s="133"/>
      <c r="E396" s="183" t="s">
        <v>55</v>
      </c>
      <c r="F396" s="442">
        <v>127173940.55</v>
      </c>
      <c r="G396" s="219" t="s">
        <v>56</v>
      </c>
      <c r="H396" s="186">
        <v>42265</v>
      </c>
      <c r="I396" s="187" t="s">
        <v>71</v>
      </c>
      <c r="J396" s="210">
        <v>284503.321</v>
      </c>
      <c r="K396" s="193"/>
      <c r="M396" s="134"/>
    </row>
    <row r="397" spans="1:15" s="132" customFormat="1" ht="12" thickBot="1" x14ac:dyDescent="0.2">
      <c r="A397" s="133"/>
      <c r="B397" s="440"/>
      <c r="C397" s="440"/>
      <c r="D397" s="440"/>
      <c r="E397" s="183"/>
      <c r="F397" s="441"/>
      <c r="G397" s="219"/>
      <c r="H397" s="186"/>
      <c r="I397" s="217" t="s">
        <v>106</v>
      </c>
      <c r="J397" s="211">
        <f>SUM(J387:J396)</f>
        <v>3161625.6653620112</v>
      </c>
      <c r="K397" s="193"/>
      <c r="M397" s="134"/>
    </row>
    <row r="398" spans="1:15" s="132" customFormat="1" ht="12" thickTop="1" x14ac:dyDescent="0.15">
      <c r="A398" s="133"/>
      <c r="B398" s="440"/>
      <c r="C398" s="440"/>
      <c r="D398" s="440"/>
      <c r="E398" s="183"/>
      <c r="F398" s="441"/>
      <c r="G398" s="219"/>
      <c r="H398" s="186"/>
      <c r="I398" s="187"/>
      <c r="J398" s="210"/>
      <c r="K398" s="193"/>
      <c r="M398" s="134"/>
    </row>
    <row r="399" spans="1:15" s="132" customFormat="1" x14ac:dyDescent="0.15">
      <c r="A399" s="133"/>
      <c r="B399" s="133" t="s">
        <v>9</v>
      </c>
      <c r="C399" s="220" t="s">
        <v>2311</v>
      </c>
      <c r="D399" s="133" t="s">
        <v>570</v>
      </c>
      <c r="E399" s="133" t="s">
        <v>571</v>
      </c>
      <c r="F399" s="133" t="s">
        <v>16</v>
      </c>
      <c r="G399" s="219"/>
      <c r="H399" s="186"/>
      <c r="I399" s="187"/>
      <c r="J399" s="210"/>
      <c r="K399" s="193"/>
      <c r="M399" s="134"/>
    </row>
    <row r="400" spans="1:15" s="132" customFormat="1" x14ac:dyDescent="0.15">
      <c r="A400" s="188" t="s">
        <v>3358</v>
      </c>
      <c r="B400" s="210">
        <v>196036</v>
      </c>
      <c r="C400" s="221">
        <v>0.2</v>
      </c>
      <c r="D400" s="235">
        <f>+B400*C400</f>
        <v>39207.200000000004</v>
      </c>
      <c r="E400" s="235">
        <f t="shared" ref="E400" si="40">+D400*0.1</f>
        <v>3920.7200000000007</v>
      </c>
      <c r="F400" s="236">
        <f t="shared" ref="F400" si="41">SUM(D400:E400)</f>
        <v>43127.920000000006</v>
      </c>
      <c r="G400" s="134"/>
      <c r="H400" s="134"/>
      <c r="I400" s="187"/>
      <c r="J400" s="210"/>
      <c r="K400" s="193"/>
      <c r="M400" s="134"/>
    </row>
    <row r="401" spans="1:15" s="132" customFormat="1" x14ac:dyDescent="0.15">
      <c r="A401" s="188" t="s">
        <v>3360</v>
      </c>
      <c r="B401" s="210">
        <v>140416</v>
      </c>
      <c r="C401" s="221">
        <v>0.2</v>
      </c>
      <c r="D401" s="235">
        <f>+B401*C401</f>
        <v>28083.200000000001</v>
      </c>
      <c r="E401" s="235">
        <f t="shared" ref="E401:E403" si="42">+D401*0.1</f>
        <v>2808.32</v>
      </c>
      <c r="F401" s="236">
        <f t="shared" ref="F401:F403" si="43">SUM(D401:E401)</f>
        <v>30891.52</v>
      </c>
      <c r="G401" s="134"/>
      <c r="H401" s="134"/>
      <c r="J401" s="205"/>
      <c r="K401" s="193"/>
      <c r="M401" s="134"/>
    </row>
    <row r="402" spans="1:15" s="132" customFormat="1" x14ac:dyDescent="0.15">
      <c r="A402" s="188" t="s">
        <v>3362</v>
      </c>
      <c r="B402" s="210">
        <v>494424</v>
      </c>
      <c r="C402" s="221">
        <v>0.2</v>
      </c>
      <c r="D402" s="235">
        <f t="shared" ref="D402:D403" si="44">+B402*C402</f>
        <v>98884.800000000003</v>
      </c>
      <c r="E402" s="235">
        <f t="shared" si="42"/>
        <v>9888.4800000000014</v>
      </c>
      <c r="F402" s="236">
        <f t="shared" si="43"/>
        <v>108773.28</v>
      </c>
      <c r="G402" s="186"/>
      <c r="H402" s="133"/>
      <c r="J402" s="205"/>
      <c r="K402" s="193"/>
      <c r="M402" s="134"/>
    </row>
    <row r="403" spans="1:15" s="132" customFormat="1" x14ac:dyDescent="0.15">
      <c r="A403" s="188" t="s">
        <v>3422</v>
      </c>
      <c r="B403" s="210">
        <v>285618</v>
      </c>
      <c r="C403" s="221">
        <v>0.2</v>
      </c>
      <c r="D403" s="235">
        <f t="shared" si="44"/>
        <v>57123.600000000006</v>
      </c>
      <c r="E403" s="235">
        <f t="shared" si="42"/>
        <v>5712.3600000000006</v>
      </c>
      <c r="F403" s="236">
        <f t="shared" si="43"/>
        <v>62835.960000000006</v>
      </c>
      <c r="G403" s="133"/>
      <c r="H403" s="133"/>
      <c r="J403" s="205"/>
      <c r="K403" s="193"/>
      <c r="M403" s="134"/>
    </row>
    <row r="404" spans="1:15" s="133" customFormat="1" ht="12" thickBot="1" x14ac:dyDescent="0.2">
      <c r="B404" s="211">
        <f>SUM(B400:B403)</f>
        <v>1116494</v>
      </c>
      <c r="C404" s="221"/>
      <c r="D404" s="242">
        <f>SUM(D400:D403)</f>
        <v>223298.80000000002</v>
      </c>
      <c r="E404" s="242">
        <f t="shared" ref="E404:F404" si="45">SUM(E400:E403)</f>
        <v>22329.880000000005</v>
      </c>
      <c r="F404" s="242">
        <f t="shared" si="45"/>
        <v>245628.68</v>
      </c>
      <c r="G404" s="134"/>
      <c r="H404" s="134"/>
      <c r="I404" s="132"/>
      <c r="J404" s="205"/>
      <c r="K404" s="193"/>
      <c r="L404" s="132"/>
      <c r="M404" s="134"/>
      <c r="N404" s="132"/>
      <c r="O404" s="132"/>
    </row>
    <row r="405" spans="1:15" s="132" customFormat="1" ht="12" thickTop="1" x14ac:dyDescent="0.15">
      <c r="A405" s="193" t="s">
        <v>3357</v>
      </c>
      <c r="B405" s="210">
        <v>299036</v>
      </c>
      <c r="C405" s="221">
        <v>0.2</v>
      </c>
      <c r="D405" s="235">
        <f t="shared" ref="D405:D414" si="46">+B405*C405</f>
        <v>59807.200000000004</v>
      </c>
      <c r="E405" s="235">
        <f t="shared" ref="E405:E414" si="47">+D405*0.1</f>
        <v>5980.7200000000012</v>
      </c>
      <c r="F405" s="236">
        <f t="shared" ref="F405:F414" si="48">SUM(D405:E405)</f>
        <v>65787.920000000013</v>
      </c>
      <c r="G405" s="186"/>
      <c r="H405" s="186"/>
      <c r="J405" s="205"/>
      <c r="K405" s="133"/>
      <c r="M405" s="134"/>
    </row>
    <row r="406" spans="1:15" s="132" customFormat="1" x14ac:dyDescent="0.15">
      <c r="A406" s="193" t="s">
        <v>3359</v>
      </c>
      <c r="B406" s="210">
        <v>514303</v>
      </c>
      <c r="C406" s="221">
        <v>0.2</v>
      </c>
      <c r="D406" s="235">
        <f t="shared" si="46"/>
        <v>102860.6</v>
      </c>
      <c r="E406" s="235">
        <f t="shared" si="47"/>
        <v>10286.060000000001</v>
      </c>
      <c r="F406" s="236">
        <f t="shared" si="48"/>
        <v>113146.66</v>
      </c>
      <c r="G406" s="186"/>
      <c r="H406" s="186"/>
      <c r="J406" s="205"/>
      <c r="K406" s="133"/>
      <c r="M406" s="134"/>
    </row>
    <row r="407" spans="1:15" s="132" customFormat="1" x14ac:dyDescent="0.15">
      <c r="A407" s="193" t="s">
        <v>3361</v>
      </c>
      <c r="B407" s="210">
        <v>206803</v>
      </c>
      <c r="C407" s="221">
        <v>0.2</v>
      </c>
      <c r="D407" s="235">
        <f t="shared" si="46"/>
        <v>41360.600000000006</v>
      </c>
      <c r="E407" s="235">
        <f t="shared" si="47"/>
        <v>4136.0600000000004</v>
      </c>
      <c r="F407" s="236">
        <f t="shared" si="48"/>
        <v>45496.66</v>
      </c>
      <c r="G407" s="186"/>
      <c r="H407" s="186"/>
      <c r="J407" s="134"/>
      <c r="K407" s="133"/>
      <c r="M407" s="134"/>
    </row>
    <row r="408" spans="1:15" s="132" customFormat="1" x14ac:dyDescent="0.15">
      <c r="A408" s="193" t="s">
        <v>3415</v>
      </c>
      <c r="B408" s="210">
        <v>195223</v>
      </c>
      <c r="C408" s="221">
        <v>0.2</v>
      </c>
      <c r="D408" s="235">
        <f t="shared" si="46"/>
        <v>39044.6</v>
      </c>
      <c r="E408" s="235">
        <f t="shared" si="47"/>
        <v>3904.46</v>
      </c>
      <c r="F408" s="236">
        <f t="shared" si="48"/>
        <v>42949.06</v>
      </c>
      <c r="G408" s="186"/>
      <c r="H408" s="186"/>
      <c r="J408" s="134"/>
      <c r="K408" s="133"/>
      <c r="M408" s="134"/>
    </row>
    <row r="409" spans="1:15" s="132" customFormat="1" x14ac:dyDescent="0.15">
      <c r="A409" s="193" t="s">
        <v>3416</v>
      </c>
      <c r="B409" s="210">
        <v>506032</v>
      </c>
      <c r="C409" s="221">
        <v>0.2</v>
      </c>
      <c r="D409" s="235">
        <f t="shared" si="46"/>
        <v>101206.40000000001</v>
      </c>
      <c r="E409" s="235">
        <f t="shared" si="47"/>
        <v>10120.640000000001</v>
      </c>
      <c r="F409" s="236">
        <f t="shared" si="48"/>
        <v>111327.04000000001</v>
      </c>
      <c r="G409" s="186"/>
      <c r="H409" s="186"/>
      <c r="J409" s="134"/>
      <c r="K409" s="133"/>
      <c r="M409" s="134"/>
    </row>
    <row r="410" spans="1:15" s="132" customFormat="1" x14ac:dyDescent="0.15">
      <c r="A410" s="193" t="s">
        <v>3417</v>
      </c>
      <c r="B410" s="210">
        <v>390340</v>
      </c>
      <c r="C410" s="221">
        <v>0.2</v>
      </c>
      <c r="D410" s="235">
        <f t="shared" si="46"/>
        <v>78068</v>
      </c>
      <c r="E410" s="235">
        <f t="shared" si="47"/>
        <v>7806.8</v>
      </c>
      <c r="F410" s="236">
        <f t="shared" si="48"/>
        <v>85874.8</v>
      </c>
      <c r="G410" s="186"/>
      <c r="H410" s="186"/>
      <c r="J410" s="134"/>
      <c r="K410" s="133"/>
      <c r="M410" s="134"/>
    </row>
    <row r="411" spans="1:15" s="132" customFormat="1" x14ac:dyDescent="0.15">
      <c r="A411" s="193" t="s">
        <v>3418</v>
      </c>
      <c r="B411" s="210">
        <v>376640</v>
      </c>
      <c r="C411" s="221">
        <v>0.2</v>
      </c>
      <c r="D411" s="235">
        <f t="shared" si="46"/>
        <v>75328</v>
      </c>
      <c r="E411" s="235">
        <f t="shared" si="47"/>
        <v>7532.8</v>
      </c>
      <c r="F411" s="236">
        <f t="shared" si="48"/>
        <v>82860.800000000003</v>
      </c>
      <c r="G411" s="186"/>
      <c r="H411" s="186"/>
      <c r="J411" s="210"/>
      <c r="K411" s="133"/>
      <c r="M411" s="134"/>
    </row>
    <row r="412" spans="1:15" s="132" customFormat="1" x14ac:dyDescent="0.15">
      <c r="A412" s="193" t="s">
        <v>3419</v>
      </c>
      <c r="B412" s="210">
        <v>163683</v>
      </c>
      <c r="C412" s="221">
        <v>0.2</v>
      </c>
      <c r="D412" s="235">
        <f t="shared" si="46"/>
        <v>32736.600000000002</v>
      </c>
      <c r="E412" s="235">
        <f t="shared" si="47"/>
        <v>3273.6600000000003</v>
      </c>
      <c r="F412" s="236">
        <f t="shared" si="48"/>
        <v>36010.26</v>
      </c>
      <c r="G412" s="186"/>
      <c r="H412" s="186"/>
      <c r="J412" s="134"/>
      <c r="K412" s="133"/>
      <c r="M412" s="134"/>
    </row>
    <row r="413" spans="1:15" s="132" customFormat="1" x14ac:dyDescent="0.15">
      <c r="A413" s="193" t="s">
        <v>3420</v>
      </c>
      <c r="B413" s="210">
        <v>225062</v>
      </c>
      <c r="C413" s="221">
        <v>0.2</v>
      </c>
      <c r="D413" s="235">
        <f t="shared" si="46"/>
        <v>45012.4</v>
      </c>
      <c r="E413" s="235">
        <f t="shared" si="47"/>
        <v>4501.2400000000007</v>
      </c>
      <c r="F413" s="236">
        <f t="shared" si="48"/>
        <v>49513.64</v>
      </c>
      <c r="G413" s="186"/>
      <c r="H413" s="186"/>
      <c r="J413" s="134"/>
      <c r="K413" s="133"/>
      <c r="M413" s="134"/>
    </row>
    <row r="414" spans="1:15" s="132" customFormat="1" x14ac:dyDescent="0.15">
      <c r="A414" s="193" t="s">
        <v>3421</v>
      </c>
      <c r="B414" s="210">
        <v>284503</v>
      </c>
      <c r="C414" s="221">
        <v>0.2</v>
      </c>
      <c r="D414" s="235">
        <f t="shared" si="46"/>
        <v>56900.600000000006</v>
      </c>
      <c r="E414" s="235">
        <f t="shared" si="47"/>
        <v>5690.0600000000013</v>
      </c>
      <c r="F414" s="236">
        <f t="shared" si="48"/>
        <v>62590.66</v>
      </c>
      <c r="G414" s="186"/>
      <c r="H414" s="186"/>
      <c r="J414" s="134"/>
      <c r="K414" s="133"/>
      <c r="M414" s="134"/>
    </row>
    <row r="415" spans="1:15" s="132" customFormat="1" ht="12" thickBot="1" x14ac:dyDescent="0.2">
      <c r="A415" s="133"/>
      <c r="B415" s="211">
        <f>SUM(B405:B414)</f>
        <v>3161625</v>
      </c>
      <c r="C415" s="221"/>
      <c r="D415" s="242">
        <f>SUM(D405:D414)</f>
        <v>632325</v>
      </c>
      <c r="E415" s="242">
        <f t="shared" ref="E415:F415" si="49">SUM(E405:E414)</f>
        <v>63232.500000000015</v>
      </c>
      <c r="F415" s="242">
        <f t="shared" si="49"/>
        <v>695557.50000000012</v>
      </c>
      <c r="G415" s="219"/>
      <c r="H415" s="133"/>
      <c r="J415" s="134"/>
      <c r="K415" s="133"/>
      <c r="M415" s="134"/>
    </row>
    <row r="416" spans="1:15" s="132" customFormat="1" ht="12" thickTop="1" x14ac:dyDescent="0.15">
      <c r="A416" s="134"/>
      <c r="B416" s="131"/>
      <c r="D416" s="133"/>
      <c r="E416" s="133"/>
      <c r="F416" s="134"/>
      <c r="H416" s="133"/>
      <c r="J416" s="134"/>
      <c r="K416" s="133"/>
      <c r="M416" s="134"/>
    </row>
    <row r="417" spans="1:15" s="132" customFormat="1" x14ac:dyDescent="0.15">
      <c r="A417" s="134"/>
      <c r="B417" s="131"/>
      <c r="D417" s="133"/>
      <c r="E417" s="133"/>
      <c r="F417" s="134"/>
      <c r="H417" s="133"/>
      <c r="J417" s="134"/>
      <c r="K417" s="133"/>
      <c r="M417" s="134"/>
    </row>
    <row r="418" spans="1:15" s="132" customFormat="1" x14ac:dyDescent="0.15">
      <c r="A418" s="134"/>
      <c r="B418" s="131"/>
      <c r="D418" s="133"/>
      <c r="E418" s="133"/>
      <c r="F418" s="134"/>
      <c r="H418" s="133"/>
      <c r="J418" s="134"/>
      <c r="K418" s="133"/>
      <c r="M418" s="134"/>
    </row>
    <row r="419" spans="1:15" s="133" customFormat="1" x14ac:dyDescent="0.15">
      <c r="A419" s="134"/>
      <c r="B419" s="131"/>
      <c r="C419" s="132"/>
      <c r="F419" s="134"/>
      <c r="G419" s="132"/>
      <c r="I419" s="132"/>
      <c r="J419" s="134"/>
      <c r="L419" s="132"/>
      <c r="M419" s="134"/>
      <c r="N419" s="132"/>
      <c r="O419" s="132"/>
    </row>
    <row r="420" spans="1:15" s="133" customFormat="1" x14ac:dyDescent="0.15">
      <c r="A420" s="134"/>
      <c r="B420" s="131"/>
      <c r="C420" s="132"/>
      <c r="F420" s="134"/>
      <c r="G420" s="132"/>
      <c r="I420" s="132"/>
      <c r="J420" s="134"/>
      <c r="L420" s="132"/>
      <c r="M420" s="134"/>
      <c r="N420" s="132"/>
      <c r="O420" s="132"/>
    </row>
  </sheetData>
  <mergeCells count="7">
    <mergeCell ref="B381:D38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zoomScale="115" zoomScaleNormal="115" workbookViewId="0">
      <pane ySplit="6" topLeftCell="A7" activePane="bottomLeft" state="frozen"/>
      <selection pane="bottomLeft" activeCell="C115" sqref="C115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11.140625" style="132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4.14062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410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341</v>
      </c>
      <c r="B7" s="146"/>
      <c r="C7" s="147">
        <v>64402.245862009477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64402.245862009477</v>
      </c>
      <c r="P7" s="147">
        <f>+C93</f>
        <v>122278.53086200947</v>
      </c>
    </row>
    <row r="8" spans="1:16" x14ac:dyDescent="0.15">
      <c r="A8" s="154" t="s">
        <v>360</v>
      </c>
      <c r="B8" s="151"/>
      <c r="C8" s="152">
        <v>19929.012999999999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64402.245862009477</v>
      </c>
      <c r="P8" s="152">
        <f t="shared" ref="P8:P71" si="0">P7+H8-J8-M8</f>
        <v>122278.53086200947</v>
      </c>
    </row>
    <row r="9" spans="1:16" x14ac:dyDescent="0.15">
      <c r="A9" s="154" t="s">
        <v>392</v>
      </c>
      <c r="B9" s="151"/>
      <c r="C9" s="152">
        <v>37947.271999999997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72" si="1">+O8-J9-M9</f>
        <v>64402.245862009477</v>
      </c>
      <c r="P9" s="152">
        <f t="shared" si="0"/>
        <v>122278.53086200947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/>
      <c r="J10" s="152"/>
      <c r="K10" s="150"/>
      <c r="L10" s="154"/>
      <c r="M10" s="152"/>
      <c r="N10" s="150"/>
      <c r="O10" s="152">
        <f t="shared" si="1"/>
        <v>64402.245862009477</v>
      </c>
      <c r="P10" s="152">
        <f t="shared" si="0"/>
        <v>122278.53086200947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404</v>
      </c>
      <c r="J11" s="152">
        <v>1317.33</v>
      </c>
      <c r="K11" s="150" t="s">
        <v>341</v>
      </c>
      <c r="L11" s="154"/>
      <c r="M11" s="152"/>
      <c r="N11" s="150"/>
      <c r="O11" s="152">
        <f t="shared" si="1"/>
        <v>63084.915862009475</v>
      </c>
      <c r="P11" s="152">
        <f t="shared" si="0"/>
        <v>120961.20086200947</v>
      </c>
    </row>
    <row r="12" spans="1:16" x14ac:dyDescent="0.15">
      <c r="A12" s="154"/>
      <c r="B12" s="151"/>
      <c r="C12" s="152"/>
      <c r="D12" s="153" t="s">
        <v>405</v>
      </c>
      <c r="E12" s="154" t="s">
        <v>72</v>
      </c>
      <c r="F12" s="157" t="s">
        <v>415</v>
      </c>
      <c r="G12" s="154"/>
      <c r="H12" s="152">
        <v>116158.16499999999</v>
      </c>
      <c r="I12" s="153" t="s">
        <v>405</v>
      </c>
      <c r="J12" s="152">
        <v>706.43</v>
      </c>
      <c r="K12" s="150" t="s">
        <v>341</v>
      </c>
      <c r="L12" s="154"/>
      <c r="M12" s="152"/>
      <c r="N12" s="150"/>
      <c r="O12" s="152">
        <f t="shared" si="1"/>
        <v>62378.485862009475</v>
      </c>
      <c r="P12" s="152">
        <f t="shared" si="0"/>
        <v>236412.93586200947</v>
      </c>
    </row>
    <row r="13" spans="1:16" x14ac:dyDescent="0.15">
      <c r="A13" s="154"/>
      <c r="B13" s="151"/>
      <c r="C13" s="152"/>
      <c r="D13" s="153" t="s">
        <v>411</v>
      </c>
      <c r="E13" s="154" t="s">
        <v>72</v>
      </c>
      <c r="F13" s="157" t="s">
        <v>414</v>
      </c>
      <c r="G13" s="154"/>
      <c r="H13" s="152">
        <v>116112.545</v>
      </c>
      <c r="I13" s="153" t="s">
        <v>411</v>
      </c>
      <c r="J13" s="152"/>
      <c r="K13" s="150"/>
      <c r="L13" s="154"/>
      <c r="M13" s="152"/>
      <c r="N13" s="154"/>
      <c r="O13" s="152">
        <f t="shared" si="1"/>
        <v>62378.485862009475</v>
      </c>
      <c r="P13" s="152">
        <f t="shared" si="0"/>
        <v>352525.48086200946</v>
      </c>
    </row>
    <row r="14" spans="1:16" x14ac:dyDescent="0.15">
      <c r="A14" s="154"/>
      <c r="B14" s="151"/>
      <c r="C14" s="152"/>
      <c r="D14" s="153" t="s">
        <v>406</v>
      </c>
      <c r="E14" s="154" t="s">
        <v>72</v>
      </c>
      <c r="F14" s="157" t="s">
        <v>414</v>
      </c>
      <c r="G14" s="154"/>
      <c r="H14" s="152">
        <v>116028.795</v>
      </c>
      <c r="I14" s="153" t="s">
        <v>406</v>
      </c>
      <c r="J14" s="152">
        <v>842.04</v>
      </c>
      <c r="K14" s="150" t="s">
        <v>341</v>
      </c>
      <c r="L14" s="154"/>
      <c r="M14" s="152"/>
      <c r="N14" s="154"/>
      <c r="O14" s="152">
        <f t="shared" si="1"/>
        <v>61536.445862009474</v>
      </c>
      <c r="P14" s="152">
        <f t="shared" si="0"/>
        <v>467712.23586200946</v>
      </c>
    </row>
    <row r="15" spans="1:16" x14ac:dyDescent="0.15">
      <c r="A15" s="154"/>
      <c r="B15" s="151"/>
      <c r="C15" s="152"/>
      <c r="D15" s="153" t="s">
        <v>413</v>
      </c>
      <c r="E15" s="154" t="s">
        <v>72</v>
      </c>
      <c r="F15" s="157" t="s">
        <v>414</v>
      </c>
      <c r="G15" s="154"/>
      <c r="H15" s="152">
        <v>40040.557000000001</v>
      </c>
      <c r="I15" s="153" t="s">
        <v>413</v>
      </c>
      <c r="J15" s="152"/>
      <c r="K15" s="150"/>
      <c r="L15" s="154"/>
      <c r="M15" s="152"/>
      <c r="N15" s="154"/>
      <c r="O15" s="152">
        <f t="shared" si="1"/>
        <v>61536.445862009474</v>
      </c>
      <c r="P15" s="152">
        <f t="shared" si="0"/>
        <v>507752.79286200949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407</v>
      </c>
      <c r="J16" s="152">
        <v>347.56</v>
      </c>
      <c r="K16" s="150" t="s">
        <v>341</v>
      </c>
      <c r="L16" s="154"/>
      <c r="M16" s="152"/>
      <c r="N16" s="154"/>
      <c r="O16" s="152">
        <f t="shared" si="1"/>
        <v>61188.885862009476</v>
      </c>
      <c r="P16" s="152">
        <f t="shared" si="0"/>
        <v>507405.23286200949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408</v>
      </c>
      <c r="J17" s="152">
        <v>632</v>
      </c>
      <c r="K17" s="150" t="s">
        <v>341</v>
      </c>
      <c r="L17" s="154"/>
      <c r="M17" s="152"/>
      <c r="N17" s="154"/>
      <c r="O17" s="152">
        <f t="shared" si="1"/>
        <v>60556.885862009476</v>
      </c>
      <c r="P17" s="152">
        <f t="shared" si="0"/>
        <v>506773.23286200949</v>
      </c>
    </row>
    <row r="18" spans="1:16" x14ac:dyDescent="0.15">
      <c r="A18" s="154"/>
      <c r="B18" s="151"/>
      <c r="C18" s="152"/>
      <c r="D18" s="153" t="s">
        <v>412</v>
      </c>
      <c r="E18" s="154" t="s">
        <v>72</v>
      </c>
      <c r="F18" s="157" t="s">
        <v>416</v>
      </c>
      <c r="G18" s="154"/>
      <c r="H18" s="152">
        <v>115928.213</v>
      </c>
      <c r="I18" s="153" t="s">
        <v>412</v>
      </c>
      <c r="J18" s="152"/>
      <c r="K18" s="150"/>
      <c r="L18" s="154"/>
      <c r="M18" s="152"/>
      <c r="N18" s="154"/>
      <c r="O18" s="152">
        <f t="shared" si="1"/>
        <v>60556.885862009476</v>
      </c>
      <c r="P18" s="152">
        <f t="shared" si="0"/>
        <v>622701.44586200954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3" t="s">
        <v>409</v>
      </c>
      <c r="J19" s="152"/>
      <c r="K19" s="150"/>
      <c r="L19" s="154" t="s">
        <v>418</v>
      </c>
      <c r="M19" s="152">
        <v>60557</v>
      </c>
      <c r="N19" s="154" t="s">
        <v>341</v>
      </c>
      <c r="O19" s="152">
        <f t="shared" si="1"/>
        <v>-0.1141379905238864</v>
      </c>
      <c r="P19" s="152">
        <f t="shared" si="0"/>
        <v>562144.44586200954</v>
      </c>
    </row>
    <row r="20" spans="1:16" x14ac:dyDescent="0.15">
      <c r="A20" s="154"/>
      <c r="B20" s="151"/>
      <c r="C20" s="152"/>
      <c r="D20" s="153"/>
      <c r="E20" s="154"/>
      <c r="F20" s="157"/>
      <c r="G20" s="154"/>
      <c r="H20" s="152"/>
      <c r="I20" s="153" t="s">
        <v>409</v>
      </c>
      <c r="J20" s="152"/>
      <c r="K20" s="154"/>
      <c r="L20" s="154" t="s">
        <v>418</v>
      </c>
      <c r="M20" s="152">
        <v>4536</v>
      </c>
      <c r="N20" s="154" t="s">
        <v>360</v>
      </c>
      <c r="O20" s="152">
        <f>C8+O19-J20-M20</f>
        <v>15392.898862009475</v>
      </c>
      <c r="P20" s="152">
        <f t="shared" si="0"/>
        <v>557608.44586200954</v>
      </c>
    </row>
    <row r="21" spans="1:16" hidden="1" x14ac:dyDescent="0.15">
      <c r="A21" s="154"/>
      <c r="B21" s="151"/>
      <c r="C21" s="152"/>
      <c r="D21" s="153"/>
      <c r="E21" s="154"/>
      <c r="F21" s="157"/>
      <c r="G21" s="154"/>
      <c r="H21" s="152"/>
      <c r="I21" s="153"/>
      <c r="J21" s="152"/>
      <c r="K21" s="154"/>
      <c r="L21" s="154"/>
      <c r="M21" s="152"/>
      <c r="N21" s="154"/>
      <c r="O21" s="152">
        <f t="shared" si="1"/>
        <v>15392.898862009475</v>
      </c>
      <c r="P21" s="152">
        <f t="shared" si="0"/>
        <v>557608.44586200954</v>
      </c>
    </row>
    <row r="22" spans="1:16" hidden="1" x14ac:dyDescent="0.15">
      <c r="A22" s="154"/>
      <c r="B22" s="151"/>
      <c r="C22" s="152"/>
      <c r="D22" s="153"/>
      <c r="E22" s="154"/>
      <c r="F22" s="157"/>
      <c r="G22" s="154"/>
      <c r="H22" s="152"/>
      <c r="I22" s="153"/>
      <c r="J22" s="152"/>
      <c r="K22" s="154"/>
      <c r="L22" s="154"/>
      <c r="M22" s="152"/>
      <c r="N22" s="154"/>
      <c r="O22" s="152">
        <f t="shared" si="1"/>
        <v>15392.898862009475</v>
      </c>
      <c r="P22" s="152">
        <f t="shared" si="0"/>
        <v>557608.44586200954</v>
      </c>
    </row>
    <row r="23" spans="1:16" hidden="1" x14ac:dyDescent="0.15">
      <c r="A23" s="154"/>
      <c r="B23" s="151"/>
      <c r="C23" s="152"/>
      <c r="D23" s="153"/>
      <c r="E23" s="154"/>
      <c r="F23" s="157"/>
      <c r="G23" s="154"/>
      <c r="H23" s="152"/>
      <c r="I23" s="153"/>
      <c r="J23" s="152"/>
      <c r="K23" s="157"/>
      <c r="L23" s="154"/>
      <c r="M23" s="152"/>
      <c r="N23" s="154"/>
      <c r="O23" s="152">
        <f t="shared" si="1"/>
        <v>15392.898862009475</v>
      </c>
      <c r="P23" s="152">
        <f t="shared" si="0"/>
        <v>557608.44586200954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7"/>
      <c r="L24" s="154"/>
      <c r="M24" s="152"/>
      <c r="N24" s="157"/>
      <c r="O24" s="152">
        <f t="shared" si="1"/>
        <v>15392.898862009475</v>
      </c>
      <c r="P24" s="152">
        <f t="shared" si="0"/>
        <v>557608.44586200954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152"/>
      <c r="N25" s="154"/>
      <c r="O25" s="152">
        <f t="shared" si="1"/>
        <v>15392.898862009475</v>
      </c>
      <c r="P25" s="152">
        <f t="shared" si="0"/>
        <v>557608.44586200954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7"/>
      <c r="L26" s="154"/>
      <c r="M26" s="152"/>
      <c r="N26" s="154"/>
      <c r="O26" s="152">
        <f t="shared" si="1"/>
        <v>15392.898862009475</v>
      </c>
      <c r="P26" s="152">
        <f t="shared" si="0"/>
        <v>557608.44586200954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152"/>
      <c r="N27" s="154"/>
      <c r="O27" s="152">
        <f t="shared" si="1"/>
        <v>15392.898862009475</v>
      </c>
      <c r="P27" s="152">
        <f t="shared" si="0"/>
        <v>557608.44586200954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7"/>
      <c r="L28" s="154"/>
      <c r="M28" s="152"/>
      <c r="N28" s="154"/>
      <c r="O28" s="152">
        <f t="shared" si="1"/>
        <v>15392.898862009475</v>
      </c>
      <c r="P28" s="152">
        <f t="shared" si="0"/>
        <v>557608.44586200954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7"/>
      <c r="L29" s="154"/>
      <c r="M29" s="152"/>
      <c r="N29" s="157"/>
      <c r="O29" s="152">
        <f t="shared" si="1"/>
        <v>15392.898862009475</v>
      </c>
      <c r="P29" s="152">
        <f t="shared" si="0"/>
        <v>557608.44586200954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7"/>
      <c r="L30" s="154"/>
      <c r="M30" s="152"/>
      <c r="N30" s="157"/>
      <c r="O30" s="152">
        <f t="shared" si="1"/>
        <v>15392.898862009475</v>
      </c>
      <c r="P30" s="152">
        <f t="shared" si="0"/>
        <v>557608.44586200954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0"/>
      <c r="L31" s="154"/>
      <c r="M31" s="152"/>
      <c r="N31" s="157"/>
      <c r="O31" s="152">
        <f t="shared" si="1"/>
        <v>15392.898862009475</v>
      </c>
      <c r="P31" s="152">
        <f t="shared" si="0"/>
        <v>557608.44586200954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152"/>
      <c r="N32" s="157"/>
      <c r="O32" s="152">
        <f t="shared" si="1"/>
        <v>15392.898862009475</v>
      </c>
      <c r="P32" s="152">
        <f t="shared" si="0"/>
        <v>557608.44586200954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152"/>
      <c r="N33" s="157"/>
      <c r="O33" s="152">
        <f t="shared" si="1"/>
        <v>15392.898862009475</v>
      </c>
      <c r="P33" s="152">
        <f t="shared" si="0"/>
        <v>557608.44586200954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0"/>
      <c r="L34" s="154"/>
      <c r="M34" s="152"/>
      <c r="N34" s="157"/>
      <c r="O34" s="152">
        <f t="shared" si="1"/>
        <v>15392.898862009475</v>
      </c>
      <c r="P34" s="152">
        <f t="shared" si="0"/>
        <v>557608.44586200954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0"/>
      <c r="L35" s="154"/>
      <c r="M35" s="152"/>
      <c r="N35" s="157"/>
      <c r="O35" s="152">
        <f t="shared" si="1"/>
        <v>15392.898862009475</v>
      </c>
      <c r="P35" s="152">
        <f t="shared" si="0"/>
        <v>557608.44586200954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152"/>
      <c r="N36" s="157"/>
      <c r="O36" s="152">
        <f t="shared" si="1"/>
        <v>15392.898862009475</v>
      </c>
      <c r="P36" s="152">
        <f t="shared" si="0"/>
        <v>557608.44586200954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0"/>
      <c r="L37" s="154"/>
      <c r="M37" s="152"/>
      <c r="N37" s="157"/>
      <c r="O37" s="152">
        <f t="shared" si="1"/>
        <v>15392.898862009475</v>
      </c>
      <c r="P37" s="152">
        <f t="shared" si="0"/>
        <v>557608.44586200954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0"/>
      <c r="L38" s="154"/>
      <c r="M38" s="152"/>
      <c r="N38" s="157"/>
      <c r="O38" s="152">
        <f t="shared" si="1"/>
        <v>15392.898862009475</v>
      </c>
      <c r="P38" s="152">
        <f t="shared" si="0"/>
        <v>557608.44586200954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152"/>
      <c r="N39" s="157"/>
      <c r="O39" s="152">
        <f t="shared" si="1"/>
        <v>15392.898862009475</v>
      </c>
      <c r="P39" s="152">
        <f t="shared" si="0"/>
        <v>557608.44586200954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152"/>
      <c r="N40" s="157"/>
      <c r="O40" s="152">
        <f t="shared" si="1"/>
        <v>15392.898862009475</v>
      </c>
      <c r="P40" s="152">
        <f t="shared" si="0"/>
        <v>557608.44586200954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152"/>
      <c r="N41" s="157"/>
      <c r="O41" s="152">
        <f t="shared" si="1"/>
        <v>15392.898862009475</v>
      </c>
      <c r="P41" s="152">
        <f t="shared" si="0"/>
        <v>557608.44586200954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152"/>
      <c r="N42" s="157"/>
      <c r="O42" s="152">
        <f t="shared" si="1"/>
        <v>15392.898862009475</v>
      </c>
      <c r="P42" s="152">
        <f t="shared" si="0"/>
        <v>557608.44586200954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7"/>
      <c r="L43" s="154"/>
      <c r="M43" s="152"/>
      <c r="N43" s="157"/>
      <c r="O43" s="152">
        <f t="shared" si="1"/>
        <v>15392.898862009475</v>
      </c>
      <c r="P43" s="152">
        <f t="shared" si="0"/>
        <v>557608.44586200954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1"/>
        <v>15392.898862009475</v>
      </c>
      <c r="P44" s="152">
        <f t="shared" si="0"/>
        <v>557608.44586200954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1"/>
        <v>15392.898862009475</v>
      </c>
      <c r="P45" s="152">
        <f t="shared" si="0"/>
        <v>557608.44586200954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1"/>
        <v>15392.898862009475</v>
      </c>
      <c r="P46" s="152">
        <f t="shared" si="0"/>
        <v>557608.44586200954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1"/>
        <v>15392.898862009475</v>
      </c>
      <c r="P47" s="152">
        <f t="shared" si="0"/>
        <v>557608.44586200954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1"/>
        <v>15392.898862009475</v>
      </c>
      <c r="P48" s="152">
        <f t="shared" si="0"/>
        <v>557608.44586200954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1"/>
        <v>15392.898862009475</v>
      </c>
      <c r="P49" s="152">
        <f t="shared" si="0"/>
        <v>557608.44586200954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1"/>
        <v>15392.898862009475</v>
      </c>
      <c r="P50" s="152">
        <f t="shared" si="0"/>
        <v>557608.44586200954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1"/>
        <v>15392.898862009475</v>
      </c>
      <c r="P51" s="152">
        <f t="shared" si="0"/>
        <v>557608.44586200954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0"/>
      <c r="L52" s="154"/>
      <c r="M52" s="152"/>
      <c r="N52" s="157"/>
      <c r="O52" s="152">
        <f t="shared" si="1"/>
        <v>15392.898862009475</v>
      </c>
      <c r="P52" s="152">
        <f t="shared" si="0"/>
        <v>557608.44586200954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0"/>
      <c r="L53" s="154"/>
      <c r="M53" s="152"/>
      <c r="N53" s="157"/>
      <c r="O53" s="152">
        <f t="shared" si="1"/>
        <v>15392.898862009475</v>
      </c>
      <c r="P53" s="152">
        <f t="shared" si="0"/>
        <v>557608.44586200954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1"/>
        <v>15392.898862009475</v>
      </c>
      <c r="P54" s="152">
        <f t="shared" si="0"/>
        <v>557608.44586200954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0"/>
      <c r="L55" s="154"/>
      <c r="M55" s="152"/>
      <c r="N55" s="157"/>
      <c r="O55" s="152">
        <f t="shared" si="1"/>
        <v>15392.898862009475</v>
      </c>
      <c r="P55" s="152">
        <f t="shared" si="0"/>
        <v>557608.44586200954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152"/>
      <c r="N56" s="157"/>
      <c r="O56" s="152">
        <f t="shared" si="1"/>
        <v>15392.898862009475</v>
      </c>
      <c r="P56" s="152">
        <f t="shared" si="0"/>
        <v>557608.44586200954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152"/>
      <c r="N57" s="157"/>
      <c r="O57" s="152">
        <f t="shared" si="1"/>
        <v>15392.898862009475</v>
      </c>
      <c r="P57" s="152">
        <f t="shared" si="0"/>
        <v>557608.44586200954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152"/>
      <c r="N58" s="157"/>
      <c r="O58" s="152">
        <f t="shared" si="1"/>
        <v>15392.898862009475</v>
      </c>
      <c r="P58" s="152">
        <f t="shared" si="0"/>
        <v>557608.44586200954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4"/>
      <c r="L59" s="154"/>
      <c r="M59" s="152"/>
      <c r="N59" s="157"/>
      <c r="O59" s="152">
        <f t="shared" si="1"/>
        <v>15392.898862009475</v>
      </c>
      <c r="P59" s="152">
        <f t="shared" si="0"/>
        <v>557608.44586200954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4"/>
      <c r="L60" s="154"/>
      <c r="M60" s="152"/>
      <c r="N60" s="157"/>
      <c r="O60" s="152">
        <f t="shared" si="1"/>
        <v>15392.898862009475</v>
      </c>
      <c r="P60" s="152">
        <f t="shared" si="0"/>
        <v>557608.44586200954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4"/>
      <c r="L61" s="154"/>
      <c r="M61" s="152"/>
      <c r="N61" s="157"/>
      <c r="O61" s="152">
        <f t="shared" si="1"/>
        <v>15392.898862009475</v>
      </c>
      <c r="P61" s="152">
        <f t="shared" si="0"/>
        <v>557608.44586200954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1"/>
        <v>15392.898862009475</v>
      </c>
      <c r="P62" s="152">
        <f t="shared" si="0"/>
        <v>557608.44586200954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7"/>
      <c r="O63" s="152">
        <f t="shared" si="1"/>
        <v>15392.898862009475</v>
      </c>
      <c r="P63" s="152">
        <f t="shared" si="0"/>
        <v>557608.44586200954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0"/>
      <c r="L64" s="154"/>
      <c r="M64" s="152"/>
      <c r="N64" s="157"/>
      <c r="O64" s="152">
        <f t="shared" si="1"/>
        <v>15392.898862009475</v>
      </c>
      <c r="P64" s="152">
        <f t="shared" si="0"/>
        <v>557608.44586200954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0"/>
      <c r="L65" s="154"/>
      <c r="M65" s="152"/>
      <c r="N65" s="157"/>
      <c r="O65" s="152">
        <f t="shared" si="1"/>
        <v>15392.898862009475</v>
      </c>
      <c r="P65" s="152">
        <f t="shared" si="0"/>
        <v>557608.44586200954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1"/>
        <v>15392.898862009475</v>
      </c>
      <c r="P66" s="152">
        <f t="shared" si="0"/>
        <v>557608.44586200954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1"/>
        <v>15392.898862009475</v>
      </c>
      <c r="P67" s="152">
        <f t="shared" si="0"/>
        <v>557608.44586200954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1"/>
        <v>15392.898862009475</v>
      </c>
      <c r="P68" s="152">
        <f t="shared" si="0"/>
        <v>557608.44586200954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1"/>
        <v>15392.898862009475</v>
      </c>
      <c r="P69" s="152">
        <f t="shared" si="0"/>
        <v>557608.44586200954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1"/>
        <v>15392.898862009475</v>
      </c>
      <c r="P70" s="152">
        <f t="shared" si="0"/>
        <v>557608.44586200954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9"/>
      <c r="L71" s="154"/>
      <c r="M71" s="152"/>
      <c r="N71" s="157"/>
      <c r="O71" s="152">
        <f t="shared" si="1"/>
        <v>15392.898862009475</v>
      </c>
      <c r="P71" s="152">
        <f t="shared" si="0"/>
        <v>557608.44586200954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9"/>
      <c r="L72" s="154"/>
      <c r="M72" s="152"/>
      <c r="N72" s="157"/>
      <c r="O72" s="152">
        <f t="shared" si="1"/>
        <v>15392.898862009475</v>
      </c>
      <c r="P72" s="152">
        <f t="shared" ref="P72:P92" si="2">P71+H72-J72-M72</f>
        <v>557608.44586200954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9"/>
      <c r="L73" s="154"/>
      <c r="M73" s="152"/>
      <c r="N73" s="157"/>
      <c r="O73" s="152">
        <f t="shared" ref="O73:O92" si="3">+O72-J73-M73</f>
        <v>15392.898862009475</v>
      </c>
      <c r="P73" s="152">
        <f t="shared" si="2"/>
        <v>557608.44586200954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3"/>
        <v>15392.898862009475</v>
      </c>
      <c r="P74" s="152">
        <f t="shared" si="2"/>
        <v>557608.44586200954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3"/>
        <v>15392.898862009475</v>
      </c>
      <c r="P75" s="152">
        <f t="shared" si="2"/>
        <v>557608.44586200954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7"/>
      <c r="O76" s="152">
        <f t="shared" si="3"/>
        <v>15392.898862009475</v>
      </c>
      <c r="P76" s="152">
        <f t="shared" si="2"/>
        <v>557608.44586200954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7"/>
      <c r="L77" s="154"/>
      <c r="M77" s="152"/>
      <c r="N77" s="157"/>
      <c r="O77" s="152">
        <f t="shared" si="3"/>
        <v>15392.898862009475</v>
      </c>
      <c r="P77" s="152">
        <f t="shared" si="2"/>
        <v>557608.44586200954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7"/>
      <c r="L78" s="154"/>
      <c r="M78" s="152"/>
      <c r="N78" s="150"/>
      <c r="O78" s="152">
        <f t="shared" si="3"/>
        <v>15392.898862009475</v>
      </c>
      <c r="P78" s="152">
        <f t="shared" si="2"/>
        <v>557608.44586200954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9"/>
      <c r="L79" s="154"/>
      <c r="M79" s="152"/>
      <c r="N79" s="157"/>
      <c r="O79" s="152">
        <f t="shared" si="3"/>
        <v>15392.898862009475</v>
      </c>
      <c r="P79" s="152">
        <f t="shared" si="2"/>
        <v>557608.44586200954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9"/>
      <c r="L80" s="154"/>
      <c r="M80" s="152"/>
      <c r="N80" s="157"/>
      <c r="O80" s="152">
        <f t="shared" si="3"/>
        <v>15392.898862009475</v>
      </c>
      <c r="P80" s="152">
        <f t="shared" si="2"/>
        <v>557608.44586200954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9"/>
      <c r="L81" s="154"/>
      <c r="M81" s="152"/>
      <c r="N81" s="157"/>
      <c r="O81" s="152">
        <f t="shared" si="3"/>
        <v>15392.898862009475</v>
      </c>
      <c r="P81" s="152">
        <f t="shared" si="2"/>
        <v>557608.44586200954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3"/>
        <v>15392.898862009475</v>
      </c>
      <c r="P82" s="152">
        <f t="shared" si="2"/>
        <v>557608.44586200954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7"/>
      <c r="L83" s="154"/>
      <c r="M83" s="152"/>
      <c r="N83" s="157"/>
      <c r="O83" s="152">
        <f t="shared" si="3"/>
        <v>15392.898862009475</v>
      </c>
      <c r="P83" s="152">
        <f t="shared" si="2"/>
        <v>557608.44586200954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7"/>
      <c r="L84" s="154"/>
      <c r="M84" s="152"/>
      <c r="N84" s="157"/>
      <c r="O84" s="152">
        <f t="shared" si="3"/>
        <v>15392.898862009475</v>
      </c>
      <c r="P84" s="152">
        <f t="shared" si="2"/>
        <v>557608.44586200954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9"/>
      <c r="L85" s="154"/>
      <c r="M85" s="152"/>
      <c r="N85" s="157"/>
      <c r="O85" s="152">
        <f t="shared" si="3"/>
        <v>15392.898862009475</v>
      </c>
      <c r="P85" s="152">
        <f t="shared" si="2"/>
        <v>557608.44586200954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9"/>
      <c r="L86" s="154"/>
      <c r="M86" s="152"/>
      <c r="N86" s="157"/>
      <c r="O86" s="152">
        <f t="shared" si="3"/>
        <v>15392.898862009475</v>
      </c>
      <c r="P86" s="152">
        <f t="shared" si="2"/>
        <v>557608.44586200954</v>
      </c>
    </row>
    <row r="87" spans="1:16" hidden="1" x14ac:dyDescent="0.15">
      <c r="A87" s="154"/>
      <c r="B87" s="151"/>
      <c r="C87" s="152"/>
      <c r="D87" s="153"/>
      <c r="E87" s="154"/>
      <c r="F87" s="160"/>
      <c r="G87" s="151"/>
      <c r="H87" s="152"/>
      <c r="I87" s="153"/>
      <c r="J87" s="152"/>
      <c r="K87" s="159"/>
      <c r="L87" s="154"/>
      <c r="M87" s="152"/>
      <c r="N87" s="157"/>
      <c r="O87" s="152">
        <f t="shared" si="3"/>
        <v>15392.898862009475</v>
      </c>
      <c r="P87" s="152">
        <f t="shared" si="2"/>
        <v>557608.44586200954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9"/>
      <c r="L88" s="154"/>
      <c r="M88" s="152"/>
      <c r="N88" s="157"/>
      <c r="O88" s="152">
        <f t="shared" si="3"/>
        <v>15392.898862009475</v>
      </c>
      <c r="P88" s="152">
        <f t="shared" si="2"/>
        <v>557608.44586200954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0"/>
      <c r="L89" s="154"/>
      <c r="M89" s="152"/>
      <c r="N89" s="157"/>
      <c r="O89" s="152">
        <f t="shared" si="3"/>
        <v>15392.898862009475</v>
      </c>
      <c r="P89" s="152">
        <f t="shared" si="2"/>
        <v>557608.44586200954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7"/>
      <c r="L90" s="154"/>
      <c r="M90" s="152"/>
      <c r="N90" s="150"/>
      <c r="O90" s="152">
        <f t="shared" si="3"/>
        <v>15392.898862009475</v>
      </c>
      <c r="P90" s="152">
        <f t="shared" si="2"/>
        <v>557608.44586200954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3"/>
        <v>15392.898862009475</v>
      </c>
      <c r="P91" s="152">
        <f t="shared" si="2"/>
        <v>557608.44586200954</v>
      </c>
    </row>
    <row r="92" spans="1:16" x14ac:dyDescent="0.15">
      <c r="A92" s="173"/>
      <c r="B92" s="173"/>
      <c r="C92" s="174"/>
      <c r="D92" s="175"/>
      <c r="E92" s="173"/>
      <c r="F92" s="173"/>
      <c r="G92" s="176"/>
      <c r="H92" s="174"/>
      <c r="I92" s="175"/>
      <c r="J92" s="174"/>
      <c r="K92" s="173"/>
      <c r="L92" s="173"/>
      <c r="M92" s="174"/>
      <c r="N92" s="173"/>
      <c r="O92" s="152">
        <f t="shared" si="3"/>
        <v>15392.898862009475</v>
      </c>
      <c r="P92" s="152">
        <f t="shared" si="2"/>
        <v>557608.44586200954</v>
      </c>
    </row>
    <row r="93" spans="1:16" x14ac:dyDescent="0.15">
      <c r="A93" s="177"/>
      <c r="B93" s="177"/>
      <c r="C93" s="178">
        <f>SUM(C7:C91)</f>
        <v>122278.53086200947</v>
      </c>
      <c r="D93" s="177"/>
      <c r="E93" s="177"/>
      <c r="F93" s="177"/>
      <c r="G93" s="177"/>
      <c r="H93" s="178">
        <f>SUM(H7:H91)</f>
        <v>504268.27500000002</v>
      </c>
      <c r="I93" s="179"/>
      <c r="J93" s="178">
        <f>SUM(J7:J91)</f>
        <v>3845.3599999999997</v>
      </c>
      <c r="K93" s="177"/>
      <c r="L93" s="177"/>
      <c r="M93" s="178">
        <f>SUM(M9:M91)</f>
        <v>65093</v>
      </c>
      <c r="N93" s="177"/>
      <c r="O93" s="180"/>
      <c r="P93" s="181">
        <f>C93+H93-J93-M93</f>
        <v>557608.44586200954</v>
      </c>
    </row>
    <row r="94" spans="1:16" x14ac:dyDescent="0.15">
      <c r="A94" s="182"/>
      <c r="B94" s="465"/>
      <c r="C94" s="465"/>
      <c r="D94" s="465"/>
      <c r="E94" s="183"/>
      <c r="F94" s="472"/>
      <c r="G94" s="472"/>
      <c r="H94" s="185"/>
      <c r="I94" s="186"/>
      <c r="J94" s="187"/>
      <c r="K94" s="188"/>
      <c r="L94" s="189" t="s">
        <v>139</v>
      </c>
      <c r="M94" s="190">
        <f>+M93+J93</f>
        <v>68938.36</v>
      </c>
      <c r="N94" s="188"/>
      <c r="O94" s="191">
        <f>+O92</f>
        <v>15392.898862009475</v>
      </c>
      <c r="P94" s="195" t="s">
        <v>360</v>
      </c>
    </row>
    <row r="95" spans="1:16" s="167" customFormat="1" x14ac:dyDescent="0.15">
      <c r="A95" s="193" t="s">
        <v>341</v>
      </c>
      <c r="B95" s="470" t="s">
        <v>348</v>
      </c>
      <c r="C95" s="470"/>
      <c r="D95" s="470"/>
      <c r="E95" s="183" t="s">
        <v>55</v>
      </c>
      <c r="F95" s="472">
        <v>36372345.119999997</v>
      </c>
      <c r="G95" s="472"/>
      <c r="H95" s="185" t="s">
        <v>56</v>
      </c>
      <c r="I95" s="186">
        <v>40280</v>
      </c>
      <c r="J95" s="187" t="s">
        <v>71</v>
      </c>
      <c r="K95" s="210">
        <v>60557</v>
      </c>
      <c r="L95" s="188"/>
      <c r="M95" s="190"/>
      <c r="N95" s="188"/>
      <c r="O95" s="191">
        <v>37947.271999999997</v>
      </c>
      <c r="P95" s="192" t="s">
        <v>392</v>
      </c>
    </row>
    <row r="96" spans="1:16" s="167" customFormat="1" x14ac:dyDescent="0.15">
      <c r="A96" s="193" t="s">
        <v>360</v>
      </c>
      <c r="B96" s="470" t="s">
        <v>417</v>
      </c>
      <c r="C96" s="470"/>
      <c r="D96" s="470"/>
      <c r="E96" s="183" t="s">
        <v>55</v>
      </c>
      <c r="F96" s="472">
        <v>70172287.049999997</v>
      </c>
      <c r="G96" s="472"/>
      <c r="H96" s="185" t="s">
        <v>56</v>
      </c>
      <c r="I96" s="186">
        <v>40308</v>
      </c>
      <c r="J96" s="187" t="s">
        <v>71</v>
      </c>
      <c r="K96" s="210">
        <v>4536</v>
      </c>
      <c r="L96" s="188"/>
      <c r="M96" s="190"/>
      <c r="N96" s="188"/>
      <c r="O96" s="191">
        <f>+H12</f>
        <v>116158.16499999999</v>
      </c>
      <c r="P96" s="192" t="s">
        <v>415</v>
      </c>
    </row>
    <row r="97" spans="1:16" s="167" customFormat="1" ht="12" thickBot="1" x14ac:dyDescent="0.2">
      <c r="A97" s="193"/>
      <c r="B97" s="470"/>
      <c r="C97" s="470"/>
      <c r="D97" s="470"/>
      <c r="E97" s="183"/>
      <c r="F97" s="472"/>
      <c r="G97" s="472"/>
      <c r="H97" s="185"/>
      <c r="I97" s="186"/>
      <c r="J97" s="187" t="s">
        <v>105</v>
      </c>
      <c r="K97" s="211">
        <f>SUM(K95:K96)</f>
        <v>65093</v>
      </c>
      <c r="L97" s="188"/>
      <c r="M97" s="190"/>
      <c r="N97" s="188"/>
      <c r="O97" s="191">
        <f>+H13+H14+H15</f>
        <v>272181.897</v>
      </c>
      <c r="P97" s="195" t="s">
        <v>414</v>
      </c>
    </row>
    <row r="98" spans="1:16" s="167" customFormat="1" ht="11.25" customHeight="1" thickTop="1" x14ac:dyDescent="0.15">
      <c r="A98" s="193"/>
      <c r="B98" s="470"/>
      <c r="C98" s="470"/>
      <c r="D98" s="470"/>
      <c r="E98" s="183"/>
      <c r="F98" s="472"/>
      <c r="G98" s="472"/>
      <c r="H98" s="185"/>
      <c r="I98" s="186"/>
      <c r="J98" s="187"/>
      <c r="K98" s="210"/>
      <c r="L98" s="188"/>
      <c r="M98" s="190"/>
      <c r="N98" s="188"/>
      <c r="O98" s="191">
        <f>+H18</f>
        <v>115928.213</v>
      </c>
      <c r="P98" s="195" t="s">
        <v>416</v>
      </c>
    </row>
    <row r="99" spans="1:16" s="167" customFormat="1" ht="11.25" hidden="1" customHeight="1" x14ac:dyDescent="0.15">
      <c r="A99" s="193"/>
      <c r="B99" s="470"/>
      <c r="C99" s="470"/>
      <c r="D99" s="470"/>
      <c r="E99" s="183"/>
      <c r="F99" s="472"/>
      <c r="G99" s="472"/>
      <c r="H99" s="185"/>
      <c r="I99" s="186"/>
      <c r="J99" s="187"/>
      <c r="K99" s="210"/>
      <c r="L99" s="188"/>
      <c r="M99" s="190"/>
      <c r="N99" s="188"/>
      <c r="O99" s="191"/>
      <c r="P99" s="195"/>
    </row>
    <row r="100" spans="1:16" s="167" customFormat="1" ht="11.25" hidden="1" customHeight="1" x14ac:dyDescent="0.15">
      <c r="A100" s="193"/>
      <c r="B100" s="470"/>
      <c r="C100" s="470"/>
      <c r="D100" s="470"/>
      <c r="E100" s="183"/>
      <c r="F100" s="472"/>
      <c r="G100" s="472"/>
      <c r="H100" s="185"/>
      <c r="I100" s="186"/>
      <c r="J100" s="187"/>
      <c r="K100" s="210"/>
      <c r="L100" s="188"/>
      <c r="M100" s="190"/>
      <c r="N100" s="188"/>
      <c r="O100" s="191"/>
      <c r="P100" s="195"/>
    </row>
    <row r="101" spans="1:16" s="167" customFormat="1" ht="11.25" hidden="1" customHeight="1" x14ac:dyDescent="0.15">
      <c r="A101" s="193"/>
      <c r="B101" s="470"/>
      <c r="C101" s="470"/>
      <c r="D101" s="470"/>
      <c r="E101" s="183"/>
      <c r="F101" s="472"/>
      <c r="G101" s="472"/>
      <c r="H101" s="185"/>
      <c r="I101" s="186"/>
      <c r="J101" s="187"/>
      <c r="K101" s="210"/>
      <c r="L101" s="188"/>
      <c r="M101" s="190"/>
      <c r="N101" s="188"/>
      <c r="O101" s="191"/>
      <c r="P101" s="195"/>
    </row>
    <row r="102" spans="1:16" s="167" customFormat="1" ht="11.25" hidden="1" customHeight="1" x14ac:dyDescent="0.15">
      <c r="A102" s="193"/>
      <c r="B102" s="470"/>
      <c r="C102" s="470"/>
      <c r="D102" s="470"/>
      <c r="E102" s="183"/>
      <c r="F102" s="472"/>
      <c r="G102" s="472"/>
      <c r="H102" s="185"/>
      <c r="I102" s="186"/>
      <c r="J102" s="187"/>
      <c r="K102" s="210"/>
      <c r="L102" s="188"/>
      <c r="M102" s="190"/>
      <c r="N102" s="188"/>
      <c r="O102" s="191"/>
      <c r="P102" s="195"/>
    </row>
    <row r="103" spans="1:16" s="167" customFormat="1" ht="11.25" hidden="1" customHeight="1" x14ac:dyDescent="0.15">
      <c r="A103" s="193"/>
      <c r="B103" s="470"/>
      <c r="C103" s="470"/>
      <c r="D103" s="470"/>
      <c r="E103" s="183"/>
      <c r="F103" s="472"/>
      <c r="G103" s="472"/>
      <c r="H103" s="185"/>
      <c r="I103" s="186"/>
      <c r="J103" s="187"/>
      <c r="K103" s="210"/>
      <c r="L103" s="188"/>
      <c r="M103" s="190"/>
      <c r="N103" s="188"/>
      <c r="O103" s="191"/>
      <c r="P103" s="195"/>
    </row>
    <row r="104" spans="1:16" s="167" customFormat="1" ht="11.25" hidden="1" customHeight="1" x14ac:dyDescent="0.15">
      <c r="A104" s="193"/>
      <c r="B104" s="470"/>
      <c r="C104" s="470"/>
      <c r="D104" s="470"/>
      <c r="E104" s="183"/>
      <c r="F104" s="472"/>
      <c r="G104" s="472"/>
      <c r="H104" s="185"/>
      <c r="I104" s="186"/>
      <c r="J104" s="187"/>
      <c r="K104" s="210"/>
      <c r="L104" s="188"/>
      <c r="M104" s="190"/>
      <c r="N104" s="188"/>
      <c r="O104" s="191"/>
      <c r="P104" s="195"/>
    </row>
    <row r="105" spans="1:16" s="167" customFormat="1" ht="11.25" hidden="1" customHeight="1" x14ac:dyDescent="0.15">
      <c r="A105" s="193"/>
      <c r="B105" s="470"/>
      <c r="C105" s="470"/>
      <c r="D105" s="470"/>
      <c r="E105" s="183"/>
      <c r="F105" s="472"/>
      <c r="G105" s="472"/>
      <c r="H105" s="185"/>
      <c r="I105" s="186"/>
      <c r="J105" s="187"/>
      <c r="K105" s="210"/>
      <c r="L105" s="188"/>
      <c r="M105" s="190"/>
      <c r="N105" s="188"/>
      <c r="O105" s="191"/>
      <c r="P105" s="195"/>
    </row>
    <row r="106" spans="1:16" s="167" customFormat="1" x14ac:dyDescent="0.15">
      <c r="A106" s="193"/>
      <c r="B106" s="470"/>
      <c r="C106" s="470"/>
      <c r="D106" s="470"/>
      <c r="E106" s="183"/>
      <c r="F106" s="472"/>
      <c r="G106" s="472"/>
      <c r="H106" s="185"/>
      <c r="I106" s="186"/>
      <c r="J106" s="187"/>
      <c r="K106" s="210"/>
      <c r="L106" s="188"/>
      <c r="M106" s="190"/>
      <c r="N106" s="188"/>
      <c r="O106" s="206" t="s">
        <v>33</v>
      </c>
      <c r="P106" s="207">
        <f>SUM(O94:O104)</f>
        <v>557608.44586200942</v>
      </c>
    </row>
    <row r="107" spans="1:16" s="167" customFormat="1" x14ac:dyDescent="0.15">
      <c r="A107" s="193"/>
      <c r="B107" s="470"/>
      <c r="C107" s="470"/>
      <c r="D107" s="470"/>
      <c r="E107" s="183"/>
      <c r="F107" s="472"/>
      <c r="G107" s="472"/>
      <c r="H107" s="185"/>
      <c r="I107" s="186"/>
      <c r="J107" s="187"/>
      <c r="K107" s="210"/>
      <c r="L107" s="188"/>
      <c r="M107" s="190"/>
      <c r="N107" s="188"/>
      <c r="O107" s="190"/>
      <c r="P107" s="197">
        <f>+P93-P106</f>
        <v>0</v>
      </c>
    </row>
    <row r="108" spans="1:16" s="167" customFormat="1" x14ac:dyDescent="0.15">
      <c r="A108" s="193"/>
      <c r="B108" s="470"/>
      <c r="C108" s="470"/>
      <c r="D108" s="470"/>
      <c r="E108" s="183"/>
      <c r="F108" s="472"/>
      <c r="G108" s="472"/>
      <c r="H108" s="185"/>
      <c r="I108" s="186"/>
      <c r="J108" s="187"/>
      <c r="K108" s="210"/>
      <c r="L108" s="188"/>
      <c r="M108" s="190"/>
      <c r="N108" s="188"/>
      <c r="O108" s="188"/>
      <c r="P108" s="198"/>
    </row>
    <row r="109" spans="1:16" x14ac:dyDescent="0.15">
      <c r="A109" s="135"/>
      <c r="B109" s="214"/>
      <c r="C109" s="138"/>
      <c r="D109" s="215"/>
      <c r="E109" s="215"/>
      <c r="F109" s="135"/>
      <c r="G109" s="215"/>
      <c r="H109" s="138"/>
      <c r="I109" s="215"/>
      <c r="J109" s="138"/>
      <c r="K109" s="216"/>
      <c r="L109" s="215"/>
    </row>
    <row r="110" spans="1:16" x14ac:dyDescent="0.15">
      <c r="A110" s="135"/>
      <c r="B110" s="214"/>
      <c r="C110" s="138"/>
      <c r="D110" s="215"/>
      <c r="E110" s="215"/>
      <c r="F110" s="135"/>
      <c r="G110" s="215"/>
      <c r="H110" s="138"/>
      <c r="I110" s="215"/>
      <c r="J110" s="138"/>
      <c r="K110" s="216"/>
      <c r="L110" s="215"/>
    </row>
    <row r="111" spans="1:16" x14ac:dyDescent="0.15">
      <c r="A111" s="135"/>
      <c r="B111" s="214"/>
      <c r="C111" s="138"/>
      <c r="D111" s="215"/>
      <c r="E111" s="215"/>
      <c r="F111" s="135"/>
      <c r="G111" s="215"/>
      <c r="H111" s="138"/>
      <c r="I111" s="215"/>
      <c r="J111" s="138"/>
      <c r="K111" s="216"/>
      <c r="L111" s="215"/>
    </row>
    <row r="112" spans="1:16" x14ac:dyDescent="0.15">
      <c r="A112" s="135"/>
      <c r="B112" s="214"/>
      <c r="C112" s="138"/>
      <c r="D112" s="215"/>
      <c r="E112" s="215"/>
      <c r="F112" s="135"/>
      <c r="G112" s="215"/>
      <c r="H112" s="138"/>
      <c r="I112" s="215"/>
      <c r="J112" s="138"/>
      <c r="K112" s="216"/>
      <c r="L112" s="215"/>
    </row>
    <row r="113" spans="1:16" s="133" customFormat="1" x14ac:dyDescent="0.15">
      <c r="A113" s="135"/>
      <c r="B113" s="214"/>
      <c r="C113" s="138"/>
      <c r="D113" s="215"/>
      <c r="E113" s="215"/>
      <c r="F113" s="135"/>
      <c r="G113" s="215"/>
      <c r="H113" s="138"/>
      <c r="I113" s="215"/>
      <c r="J113" s="138"/>
      <c r="K113" s="216"/>
      <c r="L113" s="215"/>
      <c r="M113" s="132"/>
      <c r="N113" s="134"/>
      <c r="O113" s="132"/>
      <c r="P113" s="132"/>
    </row>
    <row r="114" spans="1:16" x14ac:dyDescent="0.15">
      <c r="A114" s="135"/>
      <c r="B114" s="214"/>
      <c r="C114" s="138"/>
      <c r="D114" s="215"/>
      <c r="E114" s="215"/>
      <c r="F114" s="135"/>
      <c r="G114" s="215"/>
      <c r="H114" s="138"/>
      <c r="I114" s="215"/>
      <c r="J114" s="138"/>
      <c r="K114" s="135"/>
      <c r="L114" s="215"/>
    </row>
    <row r="115" spans="1:16" x14ac:dyDescent="0.15">
      <c r="A115" s="135"/>
      <c r="B115" s="214"/>
      <c r="C115" s="138"/>
      <c r="D115" s="215"/>
      <c r="E115" s="215"/>
      <c r="F115" s="135"/>
      <c r="G115" s="215"/>
      <c r="H115" s="138"/>
      <c r="I115" s="215"/>
      <c r="J115" s="138"/>
      <c r="K115" s="135"/>
      <c r="L115" s="215"/>
    </row>
  </sheetData>
  <mergeCells count="36">
    <mergeCell ref="J3:L3"/>
    <mergeCell ref="A4:C4"/>
    <mergeCell ref="D4:H4"/>
    <mergeCell ref="I4:N4"/>
    <mergeCell ref="J5:K5"/>
    <mergeCell ref="L5:N5"/>
    <mergeCell ref="B94:D94"/>
    <mergeCell ref="F94:G94"/>
    <mergeCell ref="B95:D95"/>
    <mergeCell ref="F95:G95"/>
    <mergeCell ref="B96:D96"/>
    <mergeCell ref="F96:G96"/>
    <mergeCell ref="B97:D97"/>
    <mergeCell ref="F97:G97"/>
    <mergeCell ref="B98:D98"/>
    <mergeCell ref="F98:G98"/>
    <mergeCell ref="B99:D99"/>
    <mergeCell ref="F99:G99"/>
    <mergeCell ref="B100:D100"/>
    <mergeCell ref="F100:G100"/>
    <mergeCell ref="B101:D101"/>
    <mergeCell ref="F101:G101"/>
    <mergeCell ref="B102:D102"/>
    <mergeCell ref="F102:G102"/>
    <mergeCell ref="B103:D103"/>
    <mergeCell ref="F103:G103"/>
    <mergeCell ref="B104:D104"/>
    <mergeCell ref="F104:G104"/>
    <mergeCell ref="B105:D105"/>
    <mergeCell ref="F105:G105"/>
    <mergeCell ref="B106:D106"/>
    <mergeCell ref="F106:G106"/>
    <mergeCell ref="B107:D107"/>
    <mergeCell ref="F107:G107"/>
    <mergeCell ref="B108:D108"/>
    <mergeCell ref="F108:G108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zoomScale="115" zoomScaleNormal="115" workbookViewId="0">
      <pane ySplit="6" topLeftCell="A7" activePane="bottomLeft" state="frozen"/>
      <selection pane="bottomLeft" activeCell="C7" sqref="C7:C9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403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341</v>
      </c>
      <c r="B7" s="146"/>
      <c r="C7" s="147">
        <v>75125.256862009468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75125.256862009468</v>
      </c>
      <c r="P7" s="147">
        <f>+C93</f>
        <v>133001.54186200947</v>
      </c>
    </row>
    <row r="8" spans="1:16" x14ac:dyDescent="0.15">
      <c r="A8" s="154" t="s">
        <v>360</v>
      </c>
      <c r="B8" s="151"/>
      <c r="C8" s="152">
        <v>19929.012999999999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75125.256862009468</v>
      </c>
      <c r="P8" s="152">
        <f t="shared" ref="P8:P71" si="0">P7+H8-J8-M8</f>
        <v>133001.54186200947</v>
      </c>
    </row>
    <row r="9" spans="1:16" x14ac:dyDescent="0.15">
      <c r="A9" s="154" t="s">
        <v>392</v>
      </c>
      <c r="B9" s="151"/>
      <c r="C9" s="152">
        <v>37947.271999999997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72" si="1">+O8-J9-M9</f>
        <v>75125.256862009468</v>
      </c>
      <c r="P9" s="152">
        <f t="shared" si="0"/>
        <v>133001.54186200947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/>
      <c r="J10" s="152"/>
      <c r="K10" s="150"/>
      <c r="L10" s="154"/>
      <c r="M10" s="152"/>
      <c r="N10" s="150"/>
      <c r="O10" s="152">
        <f t="shared" si="1"/>
        <v>75125.256862009468</v>
      </c>
      <c r="P10" s="152">
        <f t="shared" si="0"/>
        <v>133001.54186200947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393</v>
      </c>
      <c r="J11" s="152">
        <v>526</v>
      </c>
      <c r="K11" s="150" t="s">
        <v>341</v>
      </c>
      <c r="L11" s="154"/>
      <c r="M11" s="152"/>
      <c r="N11" s="150"/>
      <c r="O11" s="152">
        <f t="shared" si="1"/>
        <v>74599.256862009468</v>
      </c>
      <c r="P11" s="152">
        <f t="shared" si="0"/>
        <v>132475.54186200947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394</v>
      </c>
      <c r="J12" s="152">
        <v>1769</v>
      </c>
      <c r="K12" s="150" t="s">
        <v>341</v>
      </c>
      <c r="L12" s="154"/>
      <c r="M12" s="152"/>
      <c r="N12" s="150"/>
      <c r="O12" s="152">
        <f t="shared" si="1"/>
        <v>72830.256862009468</v>
      </c>
      <c r="P12" s="152">
        <f t="shared" si="0"/>
        <v>130706.54186200947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395</v>
      </c>
      <c r="J13" s="152">
        <v>300</v>
      </c>
      <c r="K13" s="150" t="s">
        <v>341</v>
      </c>
      <c r="L13" s="154"/>
      <c r="M13" s="152"/>
      <c r="N13" s="154"/>
      <c r="O13" s="152">
        <f t="shared" si="1"/>
        <v>72530.256862009468</v>
      </c>
      <c r="P13" s="152">
        <f t="shared" si="0"/>
        <v>130406.54186200947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395</v>
      </c>
      <c r="J14" s="152">
        <v>253</v>
      </c>
      <c r="K14" s="150" t="s">
        <v>341</v>
      </c>
      <c r="L14" s="154"/>
      <c r="M14" s="152"/>
      <c r="N14" s="154"/>
      <c r="O14" s="152">
        <f t="shared" si="1"/>
        <v>72277.256862009468</v>
      </c>
      <c r="P14" s="152">
        <f t="shared" si="0"/>
        <v>130153.54186200947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396</v>
      </c>
      <c r="J15" s="152">
        <v>230</v>
      </c>
      <c r="K15" s="150" t="s">
        <v>341</v>
      </c>
      <c r="L15" s="154"/>
      <c r="M15" s="152"/>
      <c r="N15" s="154"/>
      <c r="O15" s="152">
        <f t="shared" si="1"/>
        <v>72047.256862009468</v>
      </c>
      <c r="P15" s="152">
        <f t="shared" si="0"/>
        <v>129923.54186200947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397</v>
      </c>
      <c r="J16" s="152">
        <v>372</v>
      </c>
      <c r="K16" s="150" t="s">
        <v>341</v>
      </c>
      <c r="L16" s="154"/>
      <c r="M16" s="152"/>
      <c r="N16" s="154"/>
      <c r="O16" s="152">
        <f t="shared" si="1"/>
        <v>71675.256862009468</v>
      </c>
      <c r="P16" s="152">
        <f t="shared" si="0"/>
        <v>129551.54186200947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398</v>
      </c>
      <c r="J17" s="152">
        <v>304.00599999999997</v>
      </c>
      <c r="K17" s="150" t="s">
        <v>341</v>
      </c>
      <c r="L17" s="154"/>
      <c r="M17" s="152"/>
      <c r="N17" s="154"/>
      <c r="O17" s="152">
        <f t="shared" si="1"/>
        <v>71371.250862009474</v>
      </c>
      <c r="P17" s="152">
        <f t="shared" si="0"/>
        <v>129247.53586200948</v>
      </c>
    </row>
    <row r="18" spans="1:16" x14ac:dyDescent="0.15">
      <c r="A18" s="154"/>
      <c r="B18" s="151"/>
      <c r="C18" s="152"/>
      <c r="D18" s="153"/>
      <c r="E18" s="154"/>
      <c r="F18" s="157"/>
      <c r="G18" s="154"/>
      <c r="H18" s="152"/>
      <c r="I18" s="153" t="s">
        <v>399</v>
      </c>
      <c r="J18" s="152">
        <v>3444</v>
      </c>
      <c r="K18" s="154" t="s">
        <v>341</v>
      </c>
      <c r="L18" s="154"/>
      <c r="M18" s="152"/>
      <c r="N18" s="154"/>
      <c r="O18" s="152">
        <f t="shared" si="1"/>
        <v>67927.250862009474</v>
      </c>
      <c r="P18" s="152">
        <f t="shared" si="0"/>
        <v>125803.53586200948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3" t="s">
        <v>400</v>
      </c>
      <c r="J19" s="152">
        <v>2207</v>
      </c>
      <c r="K19" s="154" t="s">
        <v>341</v>
      </c>
      <c r="L19" s="154"/>
      <c r="M19" s="152"/>
      <c r="N19" s="154"/>
      <c r="O19" s="152">
        <f t="shared" si="1"/>
        <v>65720.250862009474</v>
      </c>
      <c r="P19" s="152">
        <f t="shared" si="0"/>
        <v>123596.53586200948</v>
      </c>
    </row>
    <row r="20" spans="1:16" x14ac:dyDescent="0.15">
      <c r="A20" s="154"/>
      <c r="B20" s="151"/>
      <c r="C20" s="152"/>
      <c r="D20" s="153"/>
      <c r="E20" s="154"/>
      <c r="F20" s="157"/>
      <c r="G20" s="154"/>
      <c r="H20" s="152"/>
      <c r="I20" s="153" t="s">
        <v>401</v>
      </c>
      <c r="J20" s="152">
        <v>652</v>
      </c>
      <c r="K20" s="154" t="s">
        <v>341</v>
      </c>
      <c r="L20" s="154"/>
      <c r="M20" s="152"/>
      <c r="N20" s="154"/>
      <c r="O20" s="152">
        <f t="shared" si="1"/>
        <v>65068.250862009474</v>
      </c>
      <c r="P20" s="152">
        <f t="shared" si="0"/>
        <v>122944.53586200948</v>
      </c>
    </row>
    <row r="21" spans="1:16" x14ac:dyDescent="0.15">
      <c r="A21" s="154"/>
      <c r="B21" s="151"/>
      <c r="C21" s="152"/>
      <c r="D21" s="153"/>
      <c r="E21" s="154"/>
      <c r="F21" s="157"/>
      <c r="G21" s="154"/>
      <c r="H21" s="152"/>
      <c r="I21" s="153" t="s">
        <v>402</v>
      </c>
      <c r="J21" s="152">
        <v>666.005</v>
      </c>
      <c r="K21" s="154" t="s">
        <v>341</v>
      </c>
      <c r="L21" s="154"/>
      <c r="M21" s="152"/>
      <c r="N21" s="154"/>
      <c r="O21" s="152">
        <f t="shared" si="1"/>
        <v>64402.245862009477</v>
      </c>
      <c r="P21" s="152">
        <f t="shared" si="0"/>
        <v>122278.53086200947</v>
      </c>
    </row>
    <row r="22" spans="1:16" hidden="1" x14ac:dyDescent="0.15">
      <c r="A22" s="154"/>
      <c r="B22" s="151"/>
      <c r="C22" s="152"/>
      <c r="D22" s="153"/>
      <c r="E22" s="154"/>
      <c r="F22" s="157"/>
      <c r="G22" s="154"/>
      <c r="H22" s="152"/>
      <c r="I22" s="153"/>
      <c r="J22" s="152"/>
      <c r="K22" s="154"/>
      <c r="L22" s="154"/>
      <c r="M22" s="152"/>
      <c r="N22" s="154"/>
      <c r="O22" s="152">
        <f t="shared" si="1"/>
        <v>64402.245862009477</v>
      </c>
      <c r="P22" s="152">
        <f t="shared" si="0"/>
        <v>122278.53086200947</v>
      </c>
    </row>
    <row r="23" spans="1:16" hidden="1" x14ac:dyDescent="0.15">
      <c r="A23" s="154"/>
      <c r="B23" s="151"/>
      <c r="C23" s="152"/>
      <c r="D23" s="153"/>
      <c r="E23" s="154"/>
      <c r="F23" s="157"/>
      <c r="G23" s="154"/>
      <c r="H23" s="152"/>
      <c r="I23" s="153"/>
      <c r="J23" s="152"/>
      <c r="K23" s="157"/>
      <c r="L23" s="154"/>
      <c r="M23" s="152"/>
      <c r="N23" s="154"/>
      <c r="O23" s="152">
        <f t="shared" si="1"/>
        <v>64402.245862009477</v>
      </c>
      <c r="P23" s="152">
        <f t="shared" si="0"/>
        <v>122278.53086200947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7"/>
      <c r="L24" s="154"/>
      <c r="M24" s="152"/>
      <c r="N24" s="157"/>
      <c r="O24" s="152">
        <f t="shared" si="1"/>
        <v>64402.245862009477</v>
      </c>
      <c r="P24" s="152">
        <f t="shared" si="0"/>
        <v>122278.53086200947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152"/>
      <c r="N25" s="154"/>
      <c r="O25" s="152">
        <f t="shared" si="1"/>
        <v>64402.245862009477</v>
      </c>
      <c r="P25" s="152">
        <f t="shared" si="0"/>
        <v>122278.53086200947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7"/>
      <c r="L26" s="154"/>
      <c r="M26" s="152"/>
      <c r="N26" s="154"/>
      <c r="O26" s="152">
        <f t="shared" si="1"/>
        <v>64402.245862009477</v>
      </c>
      <c r="P26" s="152">
        <f t="shared" si="0"/>
        <v>122278.53086200947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152"/>
      <c r="N27" s="154"/>
      <c r="O27" s="152">
        <f t="shared" si="1"/>
        <v>64402.245862009477</v>
      </c>
      <c r="P27" s="152">
        <f t="shared" si="0"/>
        <v>122278.53086200947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7"/>
      <c r="L28" s="154"/>
      <c r="M28" s="152"/>
      <c r="N28" s="154"/>
      <c r="O28" s="152">
        <f t="shared" si="1"/>
        <v>64402.245862009477</v>
      </c>
      <c r="P28" s="152">
        <f t="shared" si="0"/>
        <v>122278.53086200947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7"/>
      <c r="L29" s="154"/>
      <c r="M29" s="152"/>
      <c r="N29" s="157"/>
      <c r="O29" s="152">
        <f t="shared" si="1"/>
        <v>64402.245862009477</v>
      </c>
      <c r="P29" s="152">
        <f t="shared" si="0"/>
        <v>122278.53086200947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7"/>
      <c r="L30" s="154"/>
      <c r="M30" s="152"/>
      <c r="N30" s="157"/>
      <c r="O30" s="152">
        <f t="shared" si="1"/>
        <v>64402.245862009477</v>
      </c>
      <c r="P30" s="152">
        <f t="shared" si="0"/>
        <v>122278.53086200947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0"/>
      <c r="L31" s="154"/>
      <c r="M31" s="152"/>
      <c r="N31" s="157"/>
      <c r="O31" s="152">
        <f t="shared" si="1"/>
        <v>64402.245862009477</v>
      </c>
      <c r="P31" s="152">
        <f t="shared" si="0"/>
        <v>122278.53086200947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152"/>
      <c r="N32" s="157"/>
      <c r="O32" s="152">
        <f t="shared" si="1"/>
        <v>64402.245862009477</v>
      </c>
      <c r="P32" s="152">
        <f t="shared" si="0"/>
        <v>122278.53086200947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152"/>
      <c r="N33" s="157"/>
      <c r="O33" s="152">
        <f t="shared" si="1"/>
        <v>64402.245862009477</v>
      </c>
      <c r="P33" s="152">
        <f t="shared" si="0"/>
        <v>122278.53086200947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0"/>
      <c r="L34" s="154"/>
      <c r="M34" s="152"/>
      <c r="N34" s="157"/>
      <c r="O34" s="152">
        <f t="shared" si="1"/>
        <v>64402.245862009477</v>
      </c>
      <c r="P34" s="152">
        <f t="shared" si="0"/>
        <v>122278.53086200947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0"/>
      <c r="L35" s="154"/>
      <c r="M35" s="152"/>
      <c r="N35" s="157"/>
      <c r="O35" s="152">
        <f t="shared" si="1"/>
        <v>64402.245862009477</v>
      </c>
      <c r="P35" s="152">
        <f t="shared" si="0"/>
        <v>122278.53086200947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152"/>
      <c r="N36" s="157"/>
      <c r="O36" s="152">
        <f t="shared" si="1"/>
        <v>64402.245862009477</v>
      </c>
      <c r="P36" s="152">
        <f t="shared" si="0"/>
        <v>122278.53086200947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0"/>
      <c r="L37" s="154"/>
      <c r="M37" s="152"/>
      <c r="N37" s="157"/>
      <c r="O37" s="152">
        <f t="shared" si="1"/>
        <v>64402.245862009477</v>
      </c>
      <c r="P37" s="152">
        <f t="shared" si="0"/>
        <v>122278.53086200947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0"/>
      <c r="L38" s="154"/>
      <c r="M38" s="152"/>
      <c r="N38" s="157"/>
      <c r="O38" s="152">
        <f t="shared" si="1"/>
        <v>64402.245862009477</v>
      </c>
      <c r="P38" s="152">
        <f t="shared" si="0"/>
        <v>122278.53086200947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152"/>
      <c r="N39" s="157"/>
      <c r="O39" s="152">
        <f t="shared" si="1"/>
        <v>64402.245862009477</v>
      </c>
      <c r="P39" s="152">
        <f t="shared" si="0"/>
        <v>122278.53086200947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152"/>
      <c r="N40" s="157"/>
      <c r="O40" s="152">
        <f t="shared" si="1"/>
        <v>64402.245862009477</v>
      </c>
      <c r="P40" s="152">
        <f t="shared" si="0"/>
        <v>122278.53086200947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152"/>
      <c r="N41" s="157"/>
      <c r="O41" s="152">
        <f t="shared" si="1"/>
        <v>64402.245862009477</v>
      </c>
      <c r="P41" s="152">
        <f t="shared" si="0"/>
        <v>122278.53086200947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152"/>
      <c r="N42" s="157"/>
      <c r="O42" s="152">
        <f t="shared" si="1"/>
        <v>64402.245862009477</v>
      </c>
      <c r="P42" s="152">
        <f t="shared" si="0"/>
        <v>122278.53086200947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7"/>
      <c r="L43" s="154"/>
      <c r="M43" s="152"/>
      <c r="N43" s="157"/>
      <c r="O43" s="152">
        <f t="shared" si="1"/>
        <v>64402.245862009477</v>
      </c>
      <c r="P43" s="152">
        <f t="shared" si="0"/>
        <v>122278.53086200947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1"/>
        <v>64402.245862009477</v>
      </c>
      <c r="P44" s="152">
        <f t="shared" si="0"/>
        <v>122278.53086200947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1"/>
        <v>64402.245862009477</v>
      </c>
      <c r="P45" s="152">
        <f t="shared" si="0"/>
        <v>122278.53086200947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1"/>
        <v>64402.245862009477</v>
      </c>
      <c r="P46" s="152">
        <f t="shared" si="0"/>
        <v>122278.53086200947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1"/>
        <v>64402.245862009477</v>
      </c>
      <c r="P47" s="152">
        <f t="shared" si="0"/>
        <v>122278.53086200947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1"/>
        <v>64402.245862009477</v>
      </c>
      <c r="P48" s="152">
        <f t="shared" si="0"/>
        <v>122278.53086200947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1"/>
        <v>64402.245862009477</v>
      </c>
      <c r="P49" s="152">
        <f t="shared" si="0"/>
        <v>122278.53086200947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1"/>
        <v>64402.245862009477</v>
      </c>
      <c r="P50" s="152">
        <f t="shared" si="0"/>
        <v>122278.53086200947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1"/>
        <v>64402.245862009477</v>
      </c>
      <c r="P51" s="152">
        <f t="shared" si="0"/>
        <v>122278.53086200947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0"/>
      <c r="L52" s="154"/>
      <c r="M52" s="152"/>
      <c r="N52" s="157"/>
      <c r="O52" s="152">
        <f t="shared" si="1"/>
        <v>64402.245862009477</v>
      </c>
      <c r="P52" s="152">
        <f t="shared" si="0"/>
        <v>122278.53086200947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0"/>
      <c r="L53" s="154"/>
      <c r="M53" s="152"/>
      <c r="N53" s="157"/>
      <c r="O53" s="152">
        <f t="shared" si="1"/>
        <v>64402.245862009477</v>
      </c>
      <c r="P53" s="152">
        <f t="shared" si="0"/>
        <v>122278.53086200947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1"/>
        <v>64402.245862009477</v>
      </c>
      <c r="P54" s="152">
        <f t="shared" si="0"/>
        <v>122278.53086200947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0"/>
      <c r="L55" s="154"/>
      <c r="M55" s="152"/>
      <c r="N55" s="157"/>
      <c r="O55" s="152">
        <f t="shared" si="1"/>
        <v>64402.245862009477</v>
      </c>
      <c r="P55" s="152">
        <f t="shared" si="0"/>
        <v>122278.53086200947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152"/>
      <c r="N56" s="157"/>
      <c r="O56" s="152">
        <f t="shared" si="1"/>
        <v>64402.245862009477</v>
      </c>
      <c r="P56" s="152">
        <f t="shared" si="0"/>
        <v>122278.53086200947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152"/>
      <c r="N57" s="157"/>
      <c r="O57" s="152">
        <f t="shared" si="1"/>
        <v>64402.245862009477</v>
      </c>
      <c r="P57" s="152">
        <f t="shared" si="0"/>
        <v>122278.53086200947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152"/>
      <c r="N58" s="157"/>
      <c r="O58" s="152">
        <f t="shared" si="1"/>
        <v>64402.245862009477</v>
      </c>
      <c r="P58" s="152">
        <f t="shared" si="0"/>
        <v>122278.53086200947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4"/>
      <c r="L59" s="154"/>
      <c r="M59" s="152"/>
      <c r="N59" s="157"/>
      <c r="O59" s="152">
        <f t="shared" si="1"/>
        <v>64402.245862009477</v>
      </c>
      <c r="P59" s="152">
        <f t="shared" si="0"/>
        <v>122278.53086200947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4"/>
      <c r="L60" s="154"/>
      <c r="M60" s="152"/>
      <c r="N60" s="157"/>
      <c r="O60" s="152">
        <f t="shared" si="1"/>
        <v>64402.245862009477</v>
      </c>
      <c r="P60" s="152">
        <f t="shared" si="0"/>
        <v>122278.53086200947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4"/>
      <c r="L61" s="154"/>
      <c r="M61" s="152"/>
      <c r="N61" s="157"/>
      <c r="O61" s="152">
        <f t="shared" si="1"/>
        <v>64402.245862009477</v>
      </c>
      <c r="P61" s="152">
        <f t="shared" si="0"/>
        <v>122278.53086200947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1"/>
        <v>64402.245862009477</v>
      </c>
      <c r="P62" s="152">
        <f t="shared" si="0"/>
        <v>122278.53086200947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7"/>
      <c r="O63" s="152">
        <f t="shared" si="1"/>
        <v>64402.245862009477</v>
      </c>
      <c r="P63" s="152">
        <f t="shared" si="0"/>
        <v>122278.53086200947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0"/>
      <c r="L64" s="154"/>
      <c r="M64" s="152"/>
      <c r="N64" s="157"/>
      <c r="O64" s="152">
        <f t="shared" si="1"/>
        <v>64402.245862009477</v>
      </c>
      <c r="P64" s="152">
        <f t="shared" si="0"/>
        <v>122278.53086200947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0"/>
      <c r="L65" s="154"/>
      <c r="M65" s="152"/>
      <c r="N65" s="157"/>
      <c r="O65" s="152">
        <f t="shared" si="1"/>
        <v>64402.245862009477</v>
      </c>
      <c r="P65" s="152">
        <f t="shared" si="0"/>
        <v>122278.53086200947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1"/>
        <v>64402.245862009477</v>
      </c>
      <c r="P66" s="152">
        <f t="shared" si="0"/>
        <v>122278.53086200947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1"/>
        <v>64402.245862009477</v>
      </c>
      <c r="P67" s="152">
        <f t="shared" si="0"/>
        <v>122278.53086200947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1"/>
        <v>64402.245862009477</v>
      </c>
      <c r="P68" s="152">
        <f t="shared" si="0"/>
        <v>122278.53086200947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1"/>
        <v>64402.245862009477</v>
      </c>
      <c r="P69" s="152">
        <f t="shared" si="0"/>
        <v>122278.53086200947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1"/>
        <v>64402.245862009477</v>
      </c>
      <c r="P70" s="152">
        <f t="shared" si="0"/>
        <v>122278.53086200947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9"/>
      <c r="L71" s="154"/>
      <c r="M71" s="152"/>
      <c r="N71" s="157"/>
      <c r="O71" s="152">
        <f t="shared" si="1"/>
        <v>64402.245862009477</v>
      </c>
      <c r="P71" s="152">
        <f t="shared" si="0"/>
        <v>122278.53086200947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9"/>
      <c r="L72" s="154"/>
      <c r="M72" s="152"/>
      <c r="N72" s="157"/>
      <c r="O72" s="152">
        <f t="shared" si="1"/>
        <v>64402.245862009477</v>
      </c>
      <c r="P72" s="152">
        <f t="shared" ref="P72:P92" si="2">P71+H72-J72-M72</f>
        <v>122278.53086200947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9"/>
      <c r="L73" s="154"/>
      <c r="M73" s="152"/>
      <c r="N73" s="157"/>
      <c r="O73" s="152">
        <f t="shared" ref="O73:O92" si="3">+O72-J73-M73</f>
        <v>64402.245862009477</v>
      </c>
      <c r="P73" s="152">
        <f t="shared" si="2"/>
        <v>122278.53086200947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3"/>
        <v>64402.245862009477</v>
      </c>
      <c r="P74" s="152">
        <f t="shared" si="2"/>
        <v>122278.53086200947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3"/>
        <v>64402.245862009477</v>
      </c>
      <c r="P75" s="152">
        <f t="shared" si="2"/>
        <v>122278.53086200947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7"/>
      <c r="O76" s="152">
        <f t="shared" si="3"/>
        <v>64402.245862009477</v>
      </c>
      <c r="P76" s="152">
        <f t="shared" si="2"/>
        <v>122278.53086200947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7"/>
      <c r="L77" s="154"/>
      <c r="M77" s="152"/>
      <c r="N77" s="157"/>
      <c r="O77" s="152">
        <f t="shared" si="3"/>
        <v>64402.245862009477</v>
      </c>
      <c r="P77" s="152">
        <f t="shared" si="2"/>
        <v>122278.53086200947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7"/>
      <c r="L78" s="154"/>
      <c r="M78" s="152"/>
      <c r="N78" s="150"/>
      <c r="O78" s="152">
        <f t="shared" si="3"/>
        <v>64402.245862009477</v>
      </c>
      <c r="P78" s="152">
        <f t="shared" si="2"/>
        <v>122278.53086200947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9"/>
      <c r="L79" s="154"/>
      <c r="M79" s="152"/>
      <c r="N79" s="157"/>
      <c r="O79" s="152">
        <f t="shared" si="3"/>
        <v>64402.245862009477</v>
      </c>
      <c r="P79" s="152">
        <f t="shared" si="2"/>
        <v>122278.53086200947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9"/>
      <c r="L80" s="154"/>
      <c r="M80" s="152"/>
      <c r="N80" s="157"/>
      <c r="O80" s="152">
        <f t="shared" si="3"/>
        <v>64402.245862009477</v>
      </c>
      <c r="P80" s="152">
        <f t="shared" si="2"/>
        <v>122278.53086200947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9"/>
      <c r="L81" s="154"/>
      <c r="M81" s="152"/>
      <c r="N81" s="157"/>
      <c r="O81" s="152">
        <f t="shared" si="3"/>
        <v>64402.245862009477</v>
      </c>
      <c r="P81" s="152">
        <f t="shared" si="2"/>
        <v>122278.53086200947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3"/>
        <v>64402.245862009477</v>
      </c>
      <c r="P82" s="152">
        <f t="shared" si="2"/>
        <v>122278.53086200947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7"/>
      <c r="L83" s="154"/>
      <c r="M83" s="152"/>
      <c r="N83" s="157"/>
      <c r="O83" s="152">
        <f t="shared" si="3"/>
        <v>64402.245862009477</v>
      </c>
      <c r="P83" s="152">
        <f t="shared" si="2"/>
        <v>122278.53086200947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7"/>
      <c r="L84" s="154"/>
      <c r="M84" s="152"/>
      <c r="N84" s="157"/>
      <c r="O84" s="152">
        <f t="shared" si="3"/>
        <v>64402.245862009477</v>
      </c>
      <c r="P84" s="152">
        <f t="shared" si="2"/>
        <v>122278.53086200947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9"/>
      <c r="L85" s="154"/>
      <c r="M85" s="152"/>
      <c r="N85" s="157"/>
      <c r="O85" s="152">
        <f t="shared" si="3"/>
        <v>64402.245862009477</v>
      </c>
      <c r="P85" s="152">
        <f t="shared" si="2"/>
        <v>122278.53086200947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9"/>
      <c r="L86" s="154"/>
      <c r="M86" s="152"/>
      <c r="N86" s="157"/>
      <c r="O86" s="152">
        <f t="shared" si="3"/>
        <v>64402.245862009477</v>
      </c>
      <c r="P86" s="152">
        <f t="shared" si="2"/>
        <v>122278.53086200947</v>
      </c>
    </row>
    <row r="87" spans="1:16" hidden="1" x14ac:dyDescent="0.15">
      <c r="A87" s="154"/>
      <c r="B87" s="151"/>
      <c r="C87" s="152"/>
      <c r="D87" s="153"/>
      <c r="E87" s="154"/>
      <c r="F87" s="160"/>
      <c r="G87" s="151"/>
      <c r="H87" s="152"/>
      <c r="I87" s="153"/>
      <c r="J87" s="152"/>
      <c r="K87" s="159"/>
      <c r="L87" s="154"/>
      <c r="M87" s="152"/>
      <c r="N87" s="157"/>
      <c r="O87" s="152">
        <f t="shared" si="3"/>
        <v>64402.245862009477</v>
      </c>
      <c r="P87" s="152">
        <f t="shared" si="2"/>
        <v>122278.53086200947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9"/>
      <c r="L88" s="154"/>
      <c r="M88" s="152"/>
      <c r="N88" s="157"/>
      <c r="O88" s="152">
        <f t="shared" si="3"/>
        <v>64402.245862009477</v>
      </c>
      <c r="P88" s="152">
        <f t="shared" si="2"/>
        <v>122278.53086200947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0"/>
      <c r="L89" s="154"/>
      <c r="M89" s="152"/>
      <c r="N89" s="157"/>
      <c r="O89" s="152">
        <f t="shared" si="3"/>
        <v>64402.245862009477</v>
      </c>
      <c r="P89" s="152">
        <f t="shared" si="2"/>
        <v>122278.53086200947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7"/>
      <c r="L90" s="154"/>
      <c r="M90" s="152"/>
      <c r="N90" s="150"/>
      <c r="O90" s="152">
        <f t="shared" si="3"/>
        <v>64402.245862009477</v>
      </c>
      <c r="P90" s="152">
        <f t="shared" si="2"/>
        <v>122278.53086200947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3"/>
        <v>64402.245862009477</v>
      </c>
      <c r="P91" s="152">
        <f t="shared" si="2"/>
        <v>122278.53086200947</v>
      </c>
    </row>
    <row r="92" spans="1:16" x14ac:dyDescent="0.15">
      <c r="A92" s="173"/>
      <c r="B92" s="173"/>
      <c r="C92" s="174"/>
      <c r="D92" s="175"/>
      <c r="E92" s="173"/>
      <c r="F92" s="173"/>
      <c r="G92" s="176"/>
      <c r="H92" s="174"/>
      <c r="I92" s="175"/>
      <c r="J92" s="174"/>
      <c r="K92" s="173"/>
      <c r="L92" s="173"/>
      <c r="M92" s="174"/>
      <c r="N92" s="173"/>
      <c r="O92" s="152">
        <f t="shared" si="3"/>
        <v>64402.245862009477</v>
      </c>
      <c r="P92" s="152">
        <f t="shared" si="2"/>
        <v>122278.53086200947</v>
      </c>
    </row>
    <row r="93" spans="1:16" x14ac:dyDescent="0.15">
      <c r="A93" s="177"/>
      <c r="B93" s="177"/>
      <c r="C93" s="178">
        <f>SUM(C7:C91)</f>
        <v>133001.54186200947</v>
      </c>
      <c r="D93" s="177"/>
      <c r="E93" s="177"/>
      <c r="F93" s="177"/>
      <c r="G93" s="177"/>
      <c r="H93" s="178">
        <f>SUM(H7:H91)</f>
        <v>0</v>
      </c>
      <c r="I93" s="179"/>
      <c r="J93" s="178">
        <f>SUM(J7:J91)</f>
        <v>10723.010999999999</v>
      </c>
      <c r="K93" s="177"/>
      <c r="L93" s="177"/>
      <c r="M93" s="178">
        <f>SUM(M9:M91)</f>
        <v>0</v>
      </c>
      <c r="N93" s="177"/>
      <c r="O93" s="180"/>
      <c r="P93" s="181">
        <f>C93+H93-J93-M93</f>
        <v>122278.53086200947</v>
      </c>
    </row>
    <row r="94" spans="1:16" x14ac:dyDescent="0.15">
      <c r="A94" s="182"/>
      <c r="B94" s="465"/>
      <c r="C94" s="465"/>
      <c r="D94" s="465"/>
      <c r="E94" s="183"/>
      <c r="F94" s="472"/>
      <c r="G94" s="472"/>
      <c r="H94" s="185"/>
      <c r="I94" s="186"/>
      <c r="J94" s="187"/>
      <c r="K94" s="188"/>
      <c r="L94" s="189" t="s">
        <v>139</v>
      </c>
      <c r="M94" s="190">
        <f>+M93+J93</f>
        <v>10723.010999999999</v>
      </c>
      <c r="N94" s="188"/>
      <c r="O94" s="191">
        <f>+O92</f>
        <v>64402.245862009477</v>
      </c>
      <c r="P94" s="192" t="s">
        <v>341</v>
      </c>
    </row>
    <row r="95" spans="1:16" s="167" customFormat="1" x14ac:dyDescent="0.15">
      <c r="A95" s="193"/>
      <c r="B95" s="470"/>
      <c r="C95" s="470"/>
      <c r="D95" s="470"/>
      <c r="E95" s="183"/>
      <c r="F95" s="472"/>
      <c r="G95" s="472"/>
      <c r="H95" s="185"/>
      <c r="I95" s="186"/>
      <c r="J95" s="187"/>
      <c r="K95" s="210"/>
      <c r="L95" s="188"/>
      <c r="M95" s="190"/>
      <c r="N95" s="188"/>
      <c r="O95" s="191">
        <f>+C8</f>
        <v>19929.012999999999</v>
      </c>
      <c r="P95" s="195" t="s">
        <v>360</v>
      </c>
    </row>
    <row r="96" spans="1:16" s="167" customFormat="1" x14ac:dyDescent="0.15">
      <c r="A96" s="193"/>
      <c r="B96" s="470"/>
      <c r="C96" s="470"/>
      <c r="D96" s="470"/>
      <c r="E96" s="183"/>
      <c r="F96" s="472"/>
      <c r="G96" s="472"/>
      <c r="H96" s="185"/>
      <c r="I96" s="186"/>
      <c r="J96" s="187"/>
      <c r="K96" s="210"/>
      <c r="L96" s="188"/>
      <c r="M96" s="190"/>
      <c r="N96" s="188"/>
      <c r="O96" s="191">
        <v>37947.271999999997</v>
      </c>
      <c r="P96" s="192" t="s">
        <v>392</v>
      </c>
    </row>
    <row r="97" spans="1:16" s="167" customFormat="1" hidden="1" x14ac:dyDescent="0.15">
      <c r="A97" s="193"/>
      <c r="B97" s="470"/>
      <c r="C97" s="470"/>
      <c r="D97" s="470"/>
      <c r="E97" s="183"/>
      <c r="F97" s="472"/>
      <c r="G97" s="472"/>
      <c r="H97" s="185"/>
      <c r="I97" s="186"/>
      <c r="J97" s="187"/>
      <c r="K97" s="210"/>
      <c r="L97" s="188"/>
      <c r="M97" s="190"/>
      <c r="N97" s="188"/>
      <c r="O97" s="191"/>
      <c r="P97" s="195"/>
    </row>
    <row r="98" spans="1:16" s="167" customFormat="1" ht="11.25" hidden="1" customHeight="1" x14ac:dyDescent="0.15">
      <c r="A98" s="193"/>
      <c r="B98" s="470"/>
      <c r="C98" s="470"/>
      <c r="D98" s="470"/>
      <c r="E98" s="183"/>
      <c r="F98" s="472"/>
      <c r="G98" s="472"/>
      <c r="H98" s="185"/>
      <c r="I98" s="186"/>
      <c r="J98" s="187"/>
      <c r="K98" s="210"/>
      <c r="L98" s="188"/>
      <c r="M98" s="190"/>
      <c r="N98" s="188"/>
      <c r="O98" s="191"/>
      <c r="P98" s="195"/>
    </row>
    <row r="99" spans="1:16" s="167" customFormat="1" ht="11.25" hidden="1" customHeight="1" x14ac:dyDescent="0.15">
      <c r="A99" s="193"/>
      <c r="B99" s="470"/>
      <c r="C99" s="470"/>
      <c r="D99" s="470"/>
      <c r="E99" s="183"/>
      <c r="F99" s="472"/>
      <c r="G99" s="472"/>
      <c r="H99" s="185"/>
      <c r="I99" s="186"/>
      <c r="J99" s="187"/>
      <c r="K99" s="210"/>
      <c r="L99" s="188"/>
      <c r="M99" s="190"/>
      <c r="N99" s="188"/>
      <c r="O99" s="191"/>
      <c r="P99" s="195"/>
    </row>
    <row r="100" spans="1:16" s="167" customFormat="1" ht="11.25" hidden="1" customHeight="1" x14ac:dyDescent="0.15">
      <c r="A100" s="193"/>
      <c r="B100" s="470"/>
      <c r="C100" s="470"/>
      <c r="D100" s="470"/>
      <c r="E100" s="183"/>
      <c r="F100" s="472"/>
      <c r="G100" s="472"/>
      <c r="H100" s="185"/>
      <c r="I100" s="186"/>
      <c r="J100" s="187"/>
      <c r="K100" s="210"/>
      <c r="L100" s="188"/>
      <c r="M100" s="190"/>
      <c r="N100" s="188"/>
      <c r="O100" s="191"/>
      <c r="P100" s="195"/>
    </row>
    <row r="101" spans="1:16" s="167" customFormat="1" ht="11.25" hidden="1" customHeight="1" x14ac:dyDescent="0.15">
      <c r="A101" s="193"/>
      <c r="B101" s="470"/>
      <c r="C101" s="470"/>
      <c r="D101" s="470"/>
      <c r="E101" s="183"/>
      <c r="F101" s="472"/>
      <c r="G101" s="472"/>
      <c r="H101" s="185"/>
      <c r="I101" s="186"/>
      <c r="J101" s="187"/>
      <c r="K101" s="210"/>
      <c r="L101" s="188"/>
      <c r="M101" s="190"/>
      <c r="N101" s="188"/>
      <c r="O101" s="191"/>
      <c r="P101" s="195"/>
    </row>
    <row r="102" spans="1:16" s="167" customFormat="1" ht="11.25" hidden="1" customHeight="1" x14ac:dyDescent="0.15">
      <c r="A102" s="193"/>
      <c r="B102" s="470"/>
      <c r="C102" s="470"/>
      <c r="D102" s="470"/>
      <c r="E102" s="183"/>
      <c r="F102" s="472"/>
      <c r="G102" s="472"/>
      <c r="H102" s="185"/>
      <c r="I102" s="186"/>
      <c r="J102" s="187"/>
      <c r="K102" s="210"/>
      <c r="L102" s="188"/>
      <c r="M102" s="190"/>
      <c r="N102" s="188"/>
      <c r="O102" s="191"/>
      <c r="P102" s="195"/>
    </row>
    <row r="103" spans="1:16" s="167" customFormat="1" ht="11.25" hidden="1" customHeight="1" x14ac:dyDescent="0.15">
      <c r="A103" s="193"/>
      <c r="B103" s="470"/>
      <c r="C103" s="470"/>
      <c r="D103" s="470"/>
      <c r="E103" s="183"/>
      <c r="F103" s="472"/>
      <c r="G103" s="472"/>
      <c r="H103" s="185"/>
      <c r="I103" s="186"/>
      <c r="J103" s="187"/>
      <c r="K103" s="210"/>
      <c r="L103" s="188"/>
      <c r="M103" s="190"/>
      <c r="N103" s="188"/>
      <c r="O103" s="191"/>
      <c r="P103" s="195"/>
    </row>
    <row r="104" spans="1:16" s="167" customFormat="1" ht="11.25" hidden="1" customHeight="1" x14ac:dyDescent="0.15">
      <c r="A104" s="193"/>
      <c r="B104" s="470"/>
      <c r="C104" s="470"/>
      <c r="D104" s="470"/>
      <c r="E104" s="183"/>
      <c r="F104" s="472"/>
      <c r="G104" s="472"/>
      <c r="H104" s="185"/>
      <c r="I104" s="186"/>
      <c r="J104" s="187"/>
      <c r="K104" s="210"/>
      <c r="L104" s="188"/>
      <c r="M104" s="190"/>
      <c r="N104" s="188"/>
      <c r="O104" s="191"/>
      <c r="P104" s="195"/>
    </row>
    <row r="105" spans="1:16" s="167" customFormat="1" ht="11.25" hidden="1" customHeight="1" x14ac:dyDescent="0.15">
      <c r="A105" s="193"/>
      <c r="B105" s="470"/>
      <c r="C105" s="470"/>
      <c r="D105" s="470"/>
      <c r="E105" s="183"/>
      <c r="F105" s="472"/>
      <c r="G105" s="472"/>
      <c r="H105" s="185"/>
      <c r="I105" s="186"/>
      <c r="J105" s="187"/>
      <c r="K105" s="210"/>
      <c r="L105" s="188"/>
      <c r="M105" s="190"/>
      <c r="N105" s="188"/>
      <c r="O105" s="191"/>
      <c r="P105" s="195"/>
    </row>
    <row r="106" spans="1:16" s="167" customFormat="1" x14ac:dyDescent="0.15">
      <c r="A106" s="193"/>
      <c r="B106" s="470"/>
      <c r="C106" s="470"/>
      <c r="D106" s="470"/>
      <c r="E106" s="183"/>
      <c r="F106" s="472"/>
      <c r="G106" s="472"/>
      <c r="H106" s="185"/>
      <c r="I106" s="186"/>
      <c r="J106" s="187"/>
      <c r="K106" s="210"/>
      <c r="L106" s="188"/>
      <c r="M106" s="190"/>
      <c r="N106" s="188"/>
      <c r="O106" s="206" t="s">
        <v>33</v>
      </c>
      <c r="P106" s="207">
        <f>SUM(O94:O104)</f>
        <v>122278.53086200947</v>
      </c>
    </row>
    <row r="107" spans="1:16" s="167" customFormat="1" x14ac:dyDescent="0.15">
      <c r="A107" s="193"/>
      <c r="B107" s="470"/>
      <c r="C107" s="470"/>
      <c r="D107" s="470"/>
      <c r="E107" s="183"/>
      <c r="F107" s="472"/>
      <c r="G107" s="472"/>
      <c r="H107" s="185"/>
      <c r="I107" s="186"/>
      <c r="J107" s="187"/>
      <c r="K107" s="210"/>
      <c r="L107" s="188"/>
      <c r="M107" s="190"/>
      <c r="N107" s="188"/>
      <c r="O107" s="190"/>
      <c r="P107" s="197">
        <f>+P93-P106</f>
        <v>0</v>
      </c>
    </row>
    <row r="108" spans="1:16" s="167" customFormat="1" x14ac:dyDescent="0.15">
      <c r="A108" s="193"/>
      <c r="B108" s="470"/>
      <c r="C108" s="470"/>
      <c r="D108" s="470"/>
      <c r="E108" s="183"/>
      <c r="F108" s="472"/>
      <c r="G108" s="472"/>
      <c r="H108" s="185"/>
      <c r="I108" s="186"/>
      <c r="J108" s="187"/>
      <c r="K108" s="210"/>
      <c r="L108" s="188"/>
      <c r="M108" s="190"/>
      <c r="N108" s="188"/>
      <c r="O108" s="188"/>
      <c r="P108" s="198"/>
    </row>
    <row r="109" spans="1:16" x14ac:dyDescent="0.15">
      <c r="A109" s="135"/>
      <c r="B109" s="214"/>
      <c r="C109" s="138"/>
      <c r="D109" s="215"/>
      <c r="E109" s="215"/>
      <c r="F109" s="135"/>
      <c r="G109" s="215"/>
      <c r="H109" s="138"/>
      <c r="I109" s="215"/>
      <c r="J109" s="138"/>
      <c r="K109" s="216"/>
      <c r="L109" s="215"/>
    </row>
    <row r="110" spans="1:16" x14ac:dyDescent="0.15">
      <c r="A110" s="135"/>
      <c r="B110" s="214"/>
      <c r="C110" s="138"/>
      <c r="D110" s="215"/>
      <c r="E110" s="215"/>
      <c r="F110" s="135"/>
      <c r="G110" s="215"/>
      <c r="H110" s="138"/>
      <c r="I110" s="215"/>
      <c r="J110" s="138"/>
      <c r="K110" s="216"/>
      <c r="L110" s="215"/>
    </row>
    <row r="111" spans="1:16" x14ac:dyDescent="0.15">
      <c r="A111" s="135"/>
      <c r="B111" s="214"/>
      <c r="C111" s="138"/>
      <c r="D111" s="215"/>
      <c r="E111" s="215"/>
      <c r="F111" s="135"/>
      <c r="G111" s="215"/>
      <c r="H111" s="138"/>
      <c r="I111" s="215"/>
      <c r="J111" s="138"/>
      <c r="K111" s="216"/>
      <c r="L111" s="215"/>
    </row>
    <row r="112" spans="1:16" x14ac:dyDescent="0.15">
      <c r="A112" s="135"/>
      <c r="B112" s="214"/>
      <c r="C112" s="138"/>
      <c r="D112" s="215"/>
      <c r="E112" s="215"/>
      <c r="F112" s="135"/>
      <c r="G112" s="215"/>
      <c r="H112" s="138"/>
      <c r="I112" s="215"/>
      <c r="J112" s="138"/>
      <c r="K112" s="216"/>
      <c r="L112" s="215"/>
    </row>
    <row r="113" spans="1:16" s="133" customFormat="1" x14ac:dyDescent="0.15">
      <c r="A113" s="135"/>
      <c r="B113" s="214"/>
      <c r="C113" s="138"/>
      <c r="D113" s="215"/>
      <c r="E113" s="215"/>
      <c r="F113" s="135"/>
      <c r="G113" s="215"/>
      <c r="H113" s="138"/>
      <c r="I113" s="215"/>
      <c r="J113" s="138"/>
      <c r="K113" s="216"/>
      <c r="L113" s="215"/>
      <c r="M113" s="132"/>
      <c r="N113" s="134"/>
      <c r="O113" s="132"/>
      <c r="P113" s="132"/>
    </row>
    <row r="114" spans="1:16" x14ac:dyDescent="0.15">
      <c r="A114" s="135"/>
      <c r="B114" s="214"/>
      <c r="C114" s="138"/>
      <c r="D114" s="215"/>
      <c r="E114" s="215"/>
      <c r="F114" s="135"/>
      <c r="G114" s="215"/>
      <c r="H114" s="138"/>
      <c r="I114" s="215"/>
      <c r="J114" s="138"/>
      <c r="K114" s="135"/>
      <c r="L114" s="215"/>
    </row>
    <row r="115" spans="1:16" x14ac:dyDescent="0.15">
      <c r="A115" s="135"/>
      <c r="B115" s="214"/>
      <c r="C115" s="138"/>
      <c r="D115" s="215"/>
      <c r="E115" s="215"/>
      <c r="F115" s="135"/>
      <c r="G115" s="215"/>
      <c r="H115" s="138"/>
      <c r="I115" s="215"/>
      <c r="J115" s="138"/>
      <c r="K115" s="135"/>
      <c r="L115" s="215"/>
    </row>
  </sheetData>
  <mergeCells count="36">
    <mergeCell ref="J3:L3"/>
    <mergeCell ref="A4:C4"/>
    <mergeCell ref="D4:H4"/>
    <mergeCell ref="I4:N4"/>
    <mergeCell ref="J5:K5"/>
    <mergeCell ref="L5:N5"/>
    <mergeCell ref="B94:D94"/>
    <mergeCell ref="F94:G94"/>
    <mergeCell ref="B95:D95"/>
    <mergeCell ref="F95:G95"/>
    <mergeCell ref="B96:D96"/>
    <mergeCell ref="F96:G96"/>
    <mergeCell ref="B97:D97"/>
    <mergeCell ref="F97:G97"/>
    <mergeCell ref="B98:D98"/>
    <mergeCell ref="F98:G98"/>
    <mergeCell ref="B99:D99"/>
    <mergeCell ref="F99:G99"/>
    <mergeCell ref="B100:D100"/>
    <mergeCell ref="F100:G100"/>
    <mergeCell ref="B101:D101"/>
    <mergeCell ref="F101:G101"/>
    <mergeCell ref="B102:D102"/>
    <mergeCell ref="F102:G102"/>
    <mergeCell ref="B103:D103"/>
    <mergeCell ref="F103:G103"/>
    <mergeCell ref="B104:D104"/>
    <mergeCell ref="F104:G104"/>
    <mergeCell ref="B105:D105"/>
    <mergeCell ref="F105:G105"/>
    <mergeCell ref="B106:D106"/>
    <mergeCell ref="F106:G106"/>
    <mergeCell ref="B107:D107"/>
    <mergeCell ref="F107:G107"/>
    <mergeCell ref="B108:D108"/>
    <mergeCell ref="F108:G108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zoomScale="115" zoomScaleNormal="115" workbookViewId="0">
      <pane ySplit="6" topLeftCell="A7" activePane="bottomLeft" state="frozen"/>
      <selection pane="bottomLeft" activeCell="A7" sqref="A7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378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341</v>
      </c>
      <c r="B7" s="146"/>
      <c r="C7" s="147">
        <v>95939.256862009468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95939.256862009468</v>
      </c>
      <c r="P7" s="147">
        <f>+C93</f>
        <v>115868.26986200947</v>
      </c>
    </row>
    <row r="8" spans="1:16" x14ac:dyDescent="0.15">
      <c r="A8" s="154" t="s">
        <v>360</v>
      </c>
      <c r="B8" s="151"/>
      <c r="C8" s="152">
        <v>19929.012999999999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95939.256862009468</v>
      </c>
      <c r="P8" s="152">
        <f t="shared" ref="P8:P71" si="0">P7+H8-J8-M8</f>
        <v>115868.26986200947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72" si="1">+O8-J9-M9</f>
        <v>95939.256862009468</v>
      </c>
      <c r="P9" s="152">
        <f t="shared" si="0"/>
        <v>115868.26986200947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 t="s">
        <v>379</v>
      </c>
      <c r="J10" s="152">
        <v>1529</v>
      </c>
      <c r="K10" s="150" t="s">
        <v>341</v>
      </c>
      <c r="L10" s="154"/>
      <c r="M10" s="152"/>
      <c r="N10" s="150"/>
      <c r="O10" s="152">
        <f t="shared" si="1"/>
        <v>94410.256862009468</v>
      </c>
      <c r="P10" s="152">
        <f t="shared" si="0"/>
        <v>114339.26986200947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380</v>
      </c>
      <c r="J11" s="152">
        <v>1406</v>
      </c>
      <c r="K11" s="150" t="s">
        <v>341</v>
      </c>
      <c r="L11" s="154"/>
      <c r="M11" s="152"/>
      <c r="N11" s="150"/>
      <c r="O11" s="152">
        <f t="shared" si="1"/>
        <v>93004.256862009468</v>
      </c>
      <c r="P11" s="152">
        <f t="shared" si="0"/>
        <v>112933.26986200947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381</v>
      </c>
      <c r="J12" s="152">
        <v>878</v>
      </c>
      <c r="K12" s="150" t="s">
        <v>341</v>
      </c>
      <c r="L12" s="154"/>
      <c r="M12" s="152"/>
      <c r="N12" s="150"/>
      <c r="O12" s="152">
        <f t="shared" si="1"/>
        <v>92126.256862009468</v>
      </c>
      <c r="P12" s="152">
        <f t="shared" si="0"/>
        <v>112055.26986200947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382</v>
      </c>
      <c r="J13" s="152">
        <v>980</v>
      </c>
      <c r="K13" s="150" t="s">
        <v>341</v>
      </c>
      <c r="L13" s="154"/>
      <c r="M13" s="152"/>
      <c r="N13" s="154"/>
      <c r="O13" s="152">
        <f t="shared" si="1"/>
        <v>91146.256862009468</v>
      </c>
      <c r="P13" s="152">
        <f t="shared" si="0"/>
        <v>111075.26986200947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383</v>
      </c>
      <c r="J14" s="152">
        <v>1806</v>
      </c>
      <c r="K14" s="150" t="s">
        <v>341</v>
      </c>
      <c r="L14" s="154"/>
      <c r="M14" s="152"/>
      <c r="N14" s="154"/>
      <c r="O14" s="152">
        <f t="shared" si="1"/>
        <v>89340.256862009468</v>
      </c>
      <c r="P14" s="152">
        <f t="shared" si="0"/>
        <v>109269.26986200947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383</v>
      </c>
      <c r="J15" s="152">
        <v>220</v>
      </c>
      <c r="K15" s="150" t="s">
        <v>341</v>
      </c>
      <c r="L15" s="154"/>
      <c r="M15" s="152"/>
      <c r="N15" s="154"/>
      <c r="O15" s="152">
        <f t="shared" si="1"/>
        <v>89120.256862009468</v>
      </c>
      <c r="P15" s="152">
        <f t="shared" si="0"/>
        <v>109049.26986200947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384</v>
      </c>
      <c r="J16" s="152">
        <v>317</v>
      </c>
      <c r="K16" s="150" t="s">
        <v>341</v>
      </c>
      <c r="L16" s="154"/>
      <c r="M16" s="152"/>
      <c r="N16" s="154"/>
      <c r="O16" s="152">
        <f t="shared" si="1"/>
        <v>88803.256862009468</v>
      </c>
      <c r="P16" s="152">
        <f t="shared" si="0"/>
        <v>108732.26986200947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385</v>
      </c>
      <c r="J17" s="152">
        <v>259</v>
      </c>
      <c r="K17" s="150" t="s">
        <v>341</v>
      </c>
      <c r="L17" s="154"/>
      <c r="M17" s="152"/>
      <c r="N17" s="154"/>
      <c r="O17" s="152">
        <f t="shared" si="1"/>
        <v>88544.256862009468</v>
      </c>
      <c r="P17" s="152">
        <f t="shared" si="0"/>
        <v>108473.26986200947</v>
      </c>
    </row>
    <row r="18" spans="1:16" x14ac:dyDescent="0.15">
      <c r="A18" s="154"/>
      <c r="B18" s="151"/>
      <c r="C18" s="152"/>
      <c r="D18" s="153"/>
      <c r="E18" s="154"/>
      <c r="F18" s="157"/>
      <c r="G18" s="154"/>
      <c r="H18" s="152"/>
      <c r="I18" s="153" t="s">
        <v>386</v>
      </c>
      <c r="J18" s="152">
        <v>1357</v>
      </c>
      <c r="K18" s="154" t="s">
        <v>341</v>
      </c>
      <c r="L18" s="154"/>
      <c r="M18" s="152"/>
      <c r="N18" s="154"/>
      <c r="O18" s="152">
        <f t="shared" si="1"/>
        <v>87187.256862009468</v>
      </c>
      <c r="P18" s="152">
        <f t="shared" si="0"/>
        <v>107116.26986200947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3" t="s">
        <v>387</v>
      </c>
      <c r="J19" s="152">
        <v>1874</v>
      </c>
      <c r="K19" s="154" t="s">
        <v>341</v>
      </c>
      <c r="L19" s="154"/>
      <c r="M19" s="152"/>
      <c r="N19" s="154"/>
      <c r="O19" s="152">
        <f t="shared" si="1"/>
        <v>85313.256862009468</v>
      </c>
      <c r="P19" s="152">
        <f t="shared" si="0"/>
        <v>105242.26986200947</v>
      </c>
    </row>
    <row r="20" spans="1:16" x14ac:dyDescent="0.15">
      <c r="A20" s="154"/>
      <c r="B20" s="151"/>
      <c r="C20" s="152"/>
      <c r="D20" s="153"/>
      <c r="E20" s="154"/>
      <c r="F20" s="157"/>
      <c r="G20" s="154"/>
      <c r="H20" s="152"/>
      <c r="I20" s="153" t="s">
        <v>388</v>
      </c>
      <c r="J20" s="152">
        <v>368</v>
      </c>
      <c r="K20" s="154" t="s">
        <v>341</v>
      </c>
      <c r="L20" s="154"/>
      <c r="M20" s="152"/>
      <c r="N20" s="154"/>
      <c r="O20" s="152">
        <f t="shared" si="1"/>
        <v>84945.256862009468</v>
      </c>
      <c r="P20" s="152">
        <f t="shared" si="0"/>
        <v>104874.26986200947</v>
      </c>
    </row>
    <row r="21" spans="1:16" x14ac:dyDescent="0.15">
      <c r="A21" s="154"/>
      <c r="B21" s="151"/>
      <c r="C21" s="152"/>
      <c r="D21" s="153"/>
      <c r="E21" s="154"/>
      <c r="F21" s="157"/>
      <c r="G21" s="154"/>
      <c r="H21" s="152"/>
      <c r="I21" s="153" t="s">
        <v>389</v>
      </c>
      <c r="J21" s="152">
        <v>7595</v>
      </c>
      <c r="K21" s="154" t="s">
        <v>341</v>
      </c>
      <c r="L21" s="154"/>
      <c r="M21" s="152"/>
      <c r="N21" s="154"/>
      <c r="O21" s="152">
        <f t="shared" si="1"/>
        <v>77350.256862009468</v>
      </c>
      <c r="P21" s="152">
        <f t="shared" si="0"/>
        <v>97279.269862009474</v>
      </c>
    </row>
    <row r="22" spans="1:16" x14ac:dyDescent="0.15">
      <c r="A22" s="154"/>
      <c r="B22" s="151"/>
      <c r="C22" s="152"/>
      <c r="D22" s="153" t="s">
        <v>391</v>
      </c>
      <c r="E22" s="154" t="s">
        <v>72</v>
      </c>
      <c r="F22" s="157" t="s">
        <v>392</v>
      </c>
      <c r="G22" s="154"/>
      <c r="H22" s="152">
        <v>37947.271999999997</v>
      </c>
      <c r="I22" s="153" t="s">
        <v>391</v>
      </c>
      <c r="J22" s="152"/>
      <c r="K22" s="154"/>
      <c r="L22" s="154"/>
      <c r="M22" s="152"/>
      <c r="N22" s="154"/>
      <c r="O22" s="152">
        <f t="shared" si="1"/>
        <v>77350.256862009468</v>
      </c>
      <c r="P22" s="152">
        <f t="shared" si="0"/>
        <v>135226.54186200947</v>
      </c>
    </row>
    <row r="23" spans="1:16" x14ac:dyDescent="0.15">
      <c r="A23" s="154"/>
      <c r="B23" s="151"/>
      <c r="C23" s="152"/>
      <c r="D23" s="153"/>
      <c r="E23" s="154"/>
      <c r="F23" s="157"/>
      <c r="G23" s="154"/>
      <c r="H23" s="152"/>
      <c r="I23" s="153" t="s">
        <v>390</v>
      </c>
      <c r="J23" s="152">
        <f>534+1691</f>
        <v>2225</v>
      </c>
      <c r="K23" s="157" t="s">
        <v>341</v>
      </c>
      <c r="L23" s="154"/>
      <c r="M23" s="152"/>
      <c r="N23" s="154"/>
      <c r="O23" s="152">
        <f t="shared" si="1"/>
        <v>75125.256862009468</v>
      </c>
      <c r="P23" s="152">
        <f t="shared" si="0"/>
        <v>133001.54186200947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7"/>
      <c r="L24" s="154"/>
      <c r="M24" s="152"/>
      <c r="N24" s="157"/>
      <c r="O24" s="152">
        <f t="shared" si="1"/>
        <v>75125.256862009468</v>
      </c>
      <c r="P24" s="152">
        <f t="shared" si="0"/>
        <v>133001.54186200947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152"/>
      <c r="N25" s="154"/>
      <c r="O25" s="152">
        <f t="shared" si="1"/>
        <v>75125.256862009468</v>
      </c>
      <c r="P25" s="152">
        <f t="shared" si="0"/>
        <v>133001.54186200947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7"/>
      <c r="L26" s="154"/>
      <c r="M26" s="152"/>
      <c r="N26" s="154"/>
      <c r="O26" s="152">
        <f t="shared" si="1"/>
        <v>75125.256862009468</v>
      </c>
      <c r="P26" s="152">
        <f t="shared" si="0"/>
        <v>133001.54186200947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152"/>
      <c r="N27" s="154"/>
      <c r="O27" s="152">
        <f t="shared" si="1"/>
        <v>75125.256862009468</v>
      </c>
      <c r="P27" s="152">
        <f t="shared" si="0"/>
        <v>133001.54186200947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7"/>
      <c r="L28" s="154"/>
      <c r="M28" s="152"/>
      <c r="N28" s="154"/>
      <c r="O28" s="152">
        <f t="shared" si="1"/>
        <v>75125.256862009468</v>
      </c>
      <c r="P28" s="152">
        <f t="shared" si="0"/>
        <v>133001.54186200947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7"/>
      <c r="L29" s="154"/>
      <c r="M29" s="152"/>
      <c r="N29" s="157"/>
      <c r="O29" s="152">
        <f t="shared" si="1"/>
        <v>75125.256862009468</v>
      </c>
      <c r="P29" s="152">
        <f t="shared" si="0"/>
        <v>133001.54186200947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7"/>
      <c r="L30" s="154"/>
      <c r="M30" s="152"/>
      <c r="N30" s="157"/>
      <c r="O30" s="152">
        <f t="shared" si="1"/>
        <v>75125.256862009468</v>
      </c>
      <c r="P30" s="152">
        <f t="shared" si="0"/>
        <v>133001.54186200947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0"/>
      <c r="L31" s="154"/>
      <c r="M31" s="152"/>
      <c r="N31" s="157"/>
      <c r="O31" s="152">
        <f t="shared" si="1"/>
        <v>75125.256862009468</v>
      </c>
      <c r="P31" s="152">
        <f t="shared" si="0"/>
        <v>133001.54186200947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152"/>
      <c r="N32" s="157"/>
      <c r="O32" s="152">
        <f t="shared" si="1"/>
        <v>75125.256862009468</v>
      </c>
      <c r="P32" s="152">
        <f t="shared" si="0"/>
        <v>133001.54186200947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152"/>
      <c r="N33" s="157"/>
      <c r="O33" s="152">
        <f t="shared" si="1"/>
        <v>75125.256862009468</v>
      </c>
      <c r="P33" s="152">
        <f t="shared" si="0"/>
        <v>133001.54186200947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0"/>
      <c r="L34" s="154"/>
      <c r="M34" s="152"/>
      <c r="N34" s="157"/>
      <c r="O34" s="152">
        <f t="shared" si="1"/>
        <v>75125.256862009468</v>
      </c>
      <c r="P34" s="152">
        <f t="shared" si="0"/>
        <v>133001.54186200947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0"/>
      <c r="L35" s="154"/>
      <c r="M35" s="152"/>
      <c r="N35" s="157"/>
      <c r="O35" s="152">
        <f t="shared" si="1"/>
        <v>75125.256862009468</v>
      </c>
      <c r="P35" s="152">
        <f t="shared" si="0"/>
        <v>133001.54186200947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152"/>
      <c r="N36" s="157"/>
      <c r="O36" s="152">
        <f t="shared" si="1"/>
        <v>75125.256862009468</v>
      </c>
      <c r="P36" s="152">
        <f t="shared" si="0"/>
        <v>133001.54186200947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0"/>
      <c r="L37" s="154"/>
      <c r="M37" s="152"/>
      <c r="N37" s="157"/>
      <c r="O37" s="152">
        <f t="shared" si="1"/>
        <v>75125.256862009468</v>
      </c>
      <c r="P37" s="152">
        <f t="shared" si="0"/>
        <v>133001.54186200947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0"/>
      <c r="L38" s="154"/>
      <c r="M38" s="152"/>
      <c r="N38" s="157"/>
      <c r="O38" s="152">
        <f t="shared" si="1"/>
        <v>75125.256862009468</v>
      </c>
      <c r="P38" s="152">
        <f t="shared" si="0"/>
        <v>133001.54186200947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152"/>
      <c r="N39" s="157"/>
      <c r="O39" s="152">
        <f t="shared" si="1"/>
        <v>75125.256862009468</v>
      </c>
      <c r="P39" s="152">
        <f t="shared" si="0"/>
        <v>133001.54186200947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152"/>
      <c r="N40" s="157"/>
      <c r="O40" s="152">
        <f t="shared" si="1"/>
        <v>75125.256862009468</v>
      </c>
      <c r="P40" s="152">
        <f t="shared" si="0"/>
        <v>133001.54186200947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152"/>
      <c r="N41" s="157"/>
      <c r="O41" s="152">
        <f t="shared" si="1"/>
        <v>75125.256862009468</v>
      </c>
      <c r="P41" s="152">
        <f t="shared" si="0"/>
        <v>133001.54186200947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152"/>
      <c r="N42" s="157"/>
      <c r="O42" s="152">
        <f t="shared" si="1"/>
        <v>75125.256862009468</v>
      </c>
      <c r="P42" s="152">
        <f t="shared" si="0"/>
        <v>133001.54186200947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7"/>
      <c r="L43" s="154"/>
      <c r="M43" s="152"/>
      <c r="N43" s="157"/>
      <c r="O43" s="152">
        <f t="shared" si="1"/>
        <v>75125.256862009468</v>
      </c>
      <c r="P43" s="152">
        <f t="shared" si="0"/>
        <v>133001.54186200947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1"/>
        <v>75125.256862009468</v>
      </c>
      <c r="P44" s="152">
        <f t="shared" si="0"/>
        <v>133001.54186200947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1"/>
        <v>75125.256862009468</v>
      </c>
      <c r="P45" s="152">
        <f t="shared" si="0"/>
        <v>133001.54186200947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1"/>
        <v>75125.256862009468</v>
      </c>
      <c r="P46" s="152">
        <f t="shared" si="0"/>
        <v>133001.54186200947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1"/>
        <v>75125.256862009468</v>
      </c>
      <c r="P47" s="152">
        <f t="shared" si="0"/>
        <v>133001.54186200947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1"/>
        <v>75125.256862009468</v>
      </c>
      <c r="P48" s="152">
        <f t="shared" si="0"/>
        <v>133001.54186200947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1"/>
        <v>75125.256862009468</v>
      </c>
      <c r="P49" s="152">
        <f t="shared" si="0"/>
        <v>133001.54186200947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1"/>
        <v>75125.256862009468</v>
      </c>
      <c r="P50" s="152">
        <f t="shared" si="0"/>
        <v>133001.54186200947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1"/>
        <v>75125.256862009468</v>
      </c>
      <c r="P51" s="152">
        <f t="shared" si="0"/>
        <v>133001.54186200947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0"/>
      <c r="L52" s="154"/>
      <c r="M52" s="152"/>
      <c r="N52" s="157"/>
      <c r="O52" s="152">
        <f t="shared" si="1"/>
        <v>75125.256862009468</v>
      </c>
      <c r="P52" s="152">
        <f t="shared" si="0"/>
        <v>133001.54186200947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0"/>
      <c r="L53" s="154"/>
      <c r="M53" s="152"/>
      <c r="N53" s="157"/>
      <c r="O53" s="152">
        <f t="shared" si="1"/>
        <v>75125.256862009468</v>
      </c>
      <c r="P53" s="152">
        <f t="shared" si="0"/>
        <v>133001.54186200947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1"/>
        <v>75125.256862009468</v>
      </c>
      <c r="P54" s="152">
        <f t="shared" si="0"/>
        <v>133001.54186200947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0"/>
      <c r="L55" s="154"/>
      <c r="M55" s="152"/>
      <c r="N55" s="157"/>
      <c r="O55" s="152">
        <f t="shared" si="1"/>
        <v>75125.256862009468</v>
      </c>
      <c r="P55" s="152">
        <f t="shared" si="0"/>
        <v>133001.54186200947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152"/>
      <c r="N56" s="157"/>
      <c r="O56" s="152">
        <f t="shared" si="1"/>
        <v>75125.256862009468</v>
      </c>
      <c r="P56" s="152">
        <f t="shared" si="0"/>
        <v>133001.54186200947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152"/>
      <c r="N57" s="157"/>
      <c r="O57" s="152">
        <f t="shared" si="1"/>
        <v>75125.256862009468</v>
      </c>
      <c r="P57" s="152">
        <f t="shared" si="0"/>
        <v>133001.54186200947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152"/>
      <c r="N58" s="157"/>
      <c r="O58" s="152">
        <f t="shared" si="1"/>
        <v>75125.256862009468</v>
      </c>
      <c r="P58" s="152">
        <f t="shared" si="0"/>
        <v>133001.54186200947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4"/>
      <c r="L59" s="154"/>
      <c r="M59" s="152"/>
      <c r="N59" s="157"/>
      <c r="O59" s="152">
        <f t="shared" si="1"/>
        <v>75125.256862009468</v>
      </c>
      <c r="P59" s="152">
        <f t="shared" si="0"/>
        <v>133001.54186200947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4"/>
      <c r="L60" s="154"/>
      <c r="M60" s="152"/>
      <c r="N60" s="157"/>
      <c r="O60" s="152">
        <f t="shared" si="1"/>
        <v>75125.256862009468</v>
      </c>
      <c r="P60" s="152">
        <f t="shared" si="0"/>
        <v>133001.54186200947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4"/>
      <c r="L61" s="154"/>
      <c r="M61" s="152"/>
      <c r="N61" s="157"/>
      <c r="O61" s="152">
        <f t="shared" si="1"/>
        <v>75125.256862009468</v>
      </c>
      <c r="P61" s="152">
        <f t="shared" si="0"/>
        <v>133001.54186200947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1"/>
        <v>75125.256862009468</v>
      </c>
      <c r="P62" s="152">
        <f t="shared" si="0"/>
        <v>133001.54186200947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7"/>
      <c r="O63" s="152">
        <f t="shared" si="1"/>
        <v>75125.256862009468</v>
      </c>
      <c r="P63" s="152">
        <f t="shared" si="0"/>
        <v>133001.54186200947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0"/>
      <c r="L64" s="154"/>
      <c r="M64" s="152"/>
      <c r="N64" s="157"/>
      <c r="O64" s="152">
        <f t="shared" si="1"/>
        <v>75125.256862009468</v>
      </c>
      <c r="P64" s="152">
        <f t="shared" si="0"/>
        <v>133001.54186200947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0"/>
      <c r="L65" s="154"/>
      <c r="M65" s="152"/>
      <c r="N65" s="157"/>
      <c r="O65" s="152">
        <f t="shared" si="1"/>
        <v>75125.256862009468</v>
      </c>
      <c r="P65" s="152">
        <f t="shared" si="0"/>
        <v>133001.54186200947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1"/>
        <v>75125.256862009468</v>
      </c>
      <c r="P66" s="152">
        <f t="shared" si="0"/>
        <v>133001.54186200947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1"/>
        <v>75125.256862009468</v>
      </c>
      <c r="P67" s="152">
        <f t="shared" si="0"/>
        <v>133001.54186200947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1"/>
        <v>75125.256862009468</v>
      </c>
      <c r="P68" s="152">
        <f t="shared" si="0"/>
        <v>133001.54186200947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1"/>
        <v>75125.256862009468</v>
      </c>
      <c r="P69" s="152">
        <f t="shared" si="0"/>
        <v>133001.54186200947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1"/>
        <v>75125.256862009468</v>
      </c>
      <c r="P70" s="152">
        <f t="shared" si="0"/>
        <v>133001.54186200947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9"/>
      <c r="L71" s="154"/>
      <c r="M71" s="152"/>
      <c r="N71" s="157"/>
      <c r="O71" s="152">
        <f t="shared" si="1"/>
        <v>75125.256862009468</v>
      </c>
      <c r="P71" s="152">
        <f t="shared" si="0"/>
        <v>133001.54186200947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9"/>
      <c r="L72" s="154"/>
      <c r="M72" s="152"/>
      <c r="N72" s="157"/>
      <c r="O72" s="152">
        <f t="shared" si="1"/>
        <v>75125.256862009468</v>
      </c>
      <c r="P72" s="152">
        <f t="shared" ref="P72:P92" si="2">P71+H72-J72-M72</f>
        <v>133001.54186200947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9"/>
      <c r="L73" s="154"/>
      <c r="M73" s="152"/>
      <c r="N73" s="157"/>
      <c r="O73" s="152">
        <f t="shared" ref="O73:O92" si="3">+O72-J73-M73</f>
        <v>75125.256862009468</v>
      </c>
      <c r="P73" s="152">
        <f t="shared" si="2"/>
        <v>133001.54186200947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3"/>
        <v>75125.256862009468</v>
      </c>
      <c r="P74" s="152">
        <f t="shared" si="2"/>
        <v>133001.54186200947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3"/>
        <v>75125.256862009468</v>
      </c>
      <c r="P75" s="152">
        <f t="shared" si="2"/>
        <v>133001.54186200947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7"/>
      <c r="O76" s="152">
        <f t="shared" si="3"/>
        <v>75125.256862009468</v>
      </c>
      <c r="P76" s="152">
        <f t="shared" si="2"/>
        <v>133001.54186200947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7"/>
      <c r="L77" s="154"/>
      <c r="M77" s="152"/>
      <c r="N77" s="157"/>
      <c r="O77" s="152">
        <f t="shared" si="3"/>
        <v>75125.256862009468</v>
      </c>
      <c r="P77" s="152">
        <f t="shared" si="2"/>
        <v>133001.54186200947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7"/>
      <c r="L78" s="154"/>
      <c r="M78" s="152"/>
      <c r="N78" s="150"/>
      <c r="O78" s="152">
        <f t="shared" si="3"/>
        <v>75125.256862009468</v>
      </c>
      <c r="P78" s="152">
        <f t="shared" si="2"/>
        <v>133001.54186200947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9"/>
      <c r="L79" s="154"/>
      <c r="M79" s="152"/>
      <c r="N79" s="157"/>
      <c r="O79" s="152">
        <f t="shared" si="3"/>
        <v>75125.256862009468</v>
      </c>
      <c r="P79" s="152">
        <f t="shared" si="2"/>
        <v>133001.54186200947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9"/>
      <c r="L80" s="154"/>
      <c r="M80" s="152"/>
      <c r="N80" s="157"/>
      <c r="O80" s="152">
        <f t="shared" si="3"/>
        <v>75125.256862009468</v>
      </c>
      <c r="P80" s="152">
        <f t="shared" si="2"/>
        <v>133001.54186200947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9"/>
      <c r="L81" s="154"/>
      <c r="M81" s="152"/>
      <c r="N81" s="157"/>
      <c r="O81" s="152">
        <f t="shared" si="3"/>
        <v>75125.256862009468</v>
      </c>
      <c r="P81" s="152">
        <f t="shared" si="2"/>
        <v>133001.54186200947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3"/>
        <v>75125.256862009468</v>
      </c>
      <c r="P82" s="152">
        <f t="shared" si="2"/>
        <v>133001.54186200947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7"/>
      <c r="L83" s="154"/>
      <c r="M83" s="152"/>
      <c r="N83" s="157"/>
      <c r="O83" s="152">
        <f t="shared" si="3"/>
        <v>75125.256862009468</v>
      </c>
      <c r="P83" s="152">
        <f t="shared" si="2"/>
        <v>133001.54186200947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7"/>
      <c r="L84" s="154"/>
      <c r="M84" s="152"/>
      <c r="N84" s="157"/>
      <c r="O84" s="152">
        <f t="shared" si="3"/>
        <v>75125.256862009468</v>
      </c>
      <c r="P84" s="152">
        <f t="shared" si="2"/>
        <v>133001.54186200947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9"/>
      <c r="L85" s="154"/>
      <c r="M85" s="152"/>
      <c r="N85" s="157"/>
      <c r="O85" s="152">
        <f t="shared" si="3"/>
        <v>75125.256862009468</v>
      </c>
      <c r="P85" s="152">
        <f t="shared" si="2"/>
        <v>133001.54186200947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9"/>
      <c r="L86" s="154"/>
      <c r="M86" s="152"/>
      <c r="N86" s="157"/>
      <c r="O86" s="152">
        <f t="shared" si="3"/>
        <v>75125.256862009468</v>
      </c>
      <c r="P86" s="152">
        <f t="shared" si="2"/>
        <v>133001.54186200947</v>
      </c>
    </row>
    <row r="87" spans="1:16" hidden="1" x14ac:dyDescent="0.15">
      <c r="A87" s="154"/>
      <c r="B87" s="151"/>
      <c r="C87" s="152"/>
      <c r="D87" s="153"/>
      <c r="E87" s="154"/>
      <c r="F87" s="160"/>
      <c r="G87" s="151"/>
      <c r="H87" s="152"/>
      <c r="I87" s="153"/>
      <c r="J87" s="152"/>
      <c r="K87" s="159"/>
      <c r="L87" s="154"/>
      <c r="M87" s="152"/>
      <c r="N87" s="157"/>
      <c r="O87" s="152">
        <f t="shared" si="3"/>
        <v>75125.256862009468</v>
      </c>
      <c r="P87" s="152">
        <f t="shared" si="2"/>
        <v>133001.54186200947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9"/>
      <c r="L88" s="154"/>
      <c r="M88" s="152"/>
      <c r="N88" s="157"/>
      <c r="O88" s="152">
        <f t="shared" si="3"/>
        <v>75125.256862009468</v>
      </c>
      <c r="P88" s="152">
        <f t="shared" si="2"/>
        <v>133001.54186200947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0"/>
      <c r="L89" s="154"/>
      <c r="M89" s="152"/>
      <c r="N89" s="157"/>
      <c r="O89" s="152">
        <f t="shared" si="3"/>
        <v>75125.256862009468</v>
      </c>
      <c r="P89" s="152">
        <f t="shared" si="2"/>
        <v>133001.54186200947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7"/>
      <c r="L90" s="154"/>
      <c r="M90" s="152"/>
      <c r="N90" s="150"/>
      <c r="O90" s="152">
        <f t="shared" si="3"/>
        <v>75125.256862009468</v>
      </c>
      <c r="P90" s="152">
        <f t="shared" si="2"/>
        <v>133001.54186200947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3"/>
        <v>75125.256862009468</v>
      </c>
      <c r="P91" s="152">
        <f t="shared" si="2"/>
        <v>133001.54186200947</v>
      </c>
    </row>
    <row r="92" spans="1:16" x14ac:dyDescent="0.15">
      <c r="A92" s="173"/>
      <c r="B92" s="173"/>
      <c r="C92" s="174"/>
      <c r="D92" s="175"/>
      <c r="E92" s="173"/>
      <c r="F92" s="173"/>
      <c r="G92" s="176"/>
      <c r="H92" s="174"/>
      <c r="I92" s="175"/>
      <c r="J92" s="174"/>
      <c r="K92" s="173"/>
      <c r="L92" s="173"/>
      <c r="M92" s="174"/>
      <c r="N92" s="173"/>
      <c r="O92" s="152">
        <f t="shared" si="3"/>
        <v>75125.256862009468</v>
      </c>
      <c r="P92" s="152">
        <f t="shared" si="2"/>
        <v>133001.54186200947</v>
      </c>
    </row>
    <row r="93" spans="1:16" x14ac:dyDescent="0.15">
      <c r="A93" s="177"/>
      <c r="B93" s="177"/>
      <c r="C93" s="178">
        <f>SUM(C7:C91)</f>
        <v>115868.26986200947</v>
      </c>
      <c r="D93" s="177"/>
      <c r="E93" s="177"/>
      <c r="F93" s="177"/>
      <c r="G93" s="177"/>
      <c r="H93" s="178">
        <f>SUM(H7:H91)</f>
        <v>37947.271999999997</v>
      </c>
      <c r="I93" s="179"/>
      <c r="J93" s="178">
        <f>SUM(J7:J91)</f>
        <v>20814</v>
      </c>
      <c r="K93" s="177"/>
      <c r="L93" s="177"/>
      <c r="M93" s="178">
        <f>SUM(M9:M91)</f>
        <v>0</v>
      </c>
      <c r="N93" s="177"/>
      <c r="O93" s="180"/>
      <c r="P93" s="181">
        <f>C93+H93-J93-M93</f>
        <v>133001.54186200947</v>
      </c>
    </row>
    <row r="94" spans="1:16" x14ac:dyDescent="0.15">
      <c r="A94" s="182"/>
      <c r="B94" s="465"/>
      <c r="C94" s="465"/>
      <c r="D94" s="465"/>
      <c r="E94" s="183"/>
      <c r="F94" s="472"/>
      <c r="G94" s="472"/>
      <c r="H94" s="185"/>
      <c r="I94" s="186"/>
      <c r="J94" s="187"/>
      <c r="K94" s="188"/>
      <c r="L94" s="189" t="s">
        <v>139</v>
      </c>
      <c r="M94" s="190">
        <f>+M93+J93</f>
        <v>20814</v>
      </c>
      <c r="N94" s="188"/>
      <c r="O94" s="191">
        <f>+O92</f>
        <v>75125.256862009468</v>
      </c>
      <c r="P94" s="192" t="s">
        <v>341</v>
      </c>
    </row>
    <row r="95" spans="1:16" s="167" customFormat="1" x14ac:dyDescent="0.15">
      <c r="A95" s="193"/>
      <c r="B95" s="470"/>
      <c r="C95" s="470"/>
      <c r="D95" s="470"/>
      <c r="E95" s="183"/>
      <c r="F95" s="472"/>
      <c r="G95" s="472"/>
      <c r="H95" s="185"/>
      <c r="I95" s="186"/>
      <c r="J95" s="187"/>
      <c r="K95" s="210"/>
      <c r="L95" s="188"/>
      <c r="M95" s="190"/>
      <c r="N95" s="188"/>
      <c r="O95" s="191">
        <f>+C8</f>
        <v>19929.012999999999</v>
      </c>
      <c r="P95" s="195" t="s">
        <v>360</v>
      </c>
    </row>
    <row r="96" spans="1:16" s="167" customFormat="1" x14ac:dyDescent="0.15">
      <c r="A96" s="193"/>
      <c r="B96" s="470"/>
      <c r="C96" s="470"/>
      <c r="D96" s="470"/>
      <c r="E96" s="183"/>
      <c r="F96" s="472"/>
      <c r="G96" s="472"/>
      <c r="H96" s="185"/>
      <c r="I96" s="186"/>
      <c r="J96" s="187"/>
      <c r="K96" s="210"/>
      <c r="L96" s="188"/>
      <c r="M96" s="190"/>
      <c r="N96" s="188"/>
      <c r="O96" s="191">
        <f>+H22</f>
        <v>37947.271999999997</v>
      </c>
      <c r="P96" s="192" t="s">
        <v>392</v>
      </c>
    </row>
    <row r="97" spans="1:16" s="167" customFormat="1" hidden="1" x14ac:dyDescent="0.15">
      <c r="A97" s="193"/>
      <c r="B97" s="470"/>
      <c r="C97" s="470"/>
      <c r="D97" s="470"/>
      <c r="E97" s="183"/>
      <c r="F97" s="472"/>
      <c r="G97" s="472"/>
      <c r="H97" s="185"/>
      <c r="I97" s="186"/>
      <c r="J97" s="187"/>
      <c r="K97" s="210"/>
      <c r="L97" s="188"/>
      <c r="M97" s="190"/>
      <c r="N97" s="188"/>
      <c r="O97" s="191"/>
      <c r="P97" s="195"/>
    </row>
    <row r="98" spans="1:16" s="167" customFormat="1" ht="11.25" hidden="1" customHeight="1" x14ac:dyDescent="0.15">
      <c r="A98" s="193"/>
      <c r="B98" s="470"/>
      <c r="C98" s="470"/>
      <c r="D98" s="470"/>
      <c r="E98" s="183"/>
      <c r="F98" s="472"/>
      <c r="G98" s="472"/>
      <c r="H98" s="185"/>
      <c r="I98" s="186"/>
      <c r="J98" s="187"/>
      <c r="K98" s="210"/>
      <c r="L98" s="188"/>
      <c r="M98" s="190"/>
      <c r="N98" s="188"/>
      <c r="O98" s="191"/>
      <c r="P98" s="195"/>
    </row>
    <row r="99" spans="1:16" s="167" customFormat="1" ht="11.25" hidden="1" customHeight="1" x14ac:dyDescent="0.15">
      <c r="A99" s="193"/>
      <c r="B99" s="470"/>
      <c r="C99" s="470"/>
      <c r="D99" s="470"/>
      <c r="E99" s="183"/>
      <c r="F99" s="472"/>
      <c r="G99" s="472"/>
      <c r="H99" s="185"/>
      <c r="I99" s="186"/>
      <c r="J99" s="187"/>
      <c r="K99" s="210"/>
      <c r="L99" s="188"/>
      <c r="M99" s="190"/>
      <c r="N99" s="188"/>
      <c r="O99" s="191"/>
      <c r="P99" s="195"/>
    </row>
    <row r="100" spans="1:16" s="167" customFormat="1" ht="11.25" hidden="1" customHeight="1" x14ac:dyDescent="0.15">
      <c r="A100" s="193"/>
      <c r="B100" s="470"/>
      <c r="C100" s="470"/>
      <c r="D100" s="470"/>
      <c r="E100" s="183"/>
      <c r="F100" s="472"/>
      <c r="G100" s="472"/>
      <c r="H100" s="185"/>
      <c r="I100" s="186"/>
      <c r="J100" s="187"/>
      <c r="K100" s="210"/>
      <c r="L100" s="188"/>
      <c r="M100" s="190"/>
      <c r="N100" s="188"/>
      <c r="O100" s="191"/>
      <c r="P100" s="195"/>
    </row>
    <row r="101" spans="1:16" s="167" customFormat="1" ht="11.25" hidden="1" customHeight="1" x14ac:dyDescent="0.15">
      <c r="A101" s="193"/>
      <c r="B101" s="470"/>
      <c r="C101" s="470"/>
      <c r="D101" s="470"/>
      <c r="E101" s="183"/>
      <c r="F101" s="472"/>
      <c r="G101" s="472"/>
      <c r="H101" s="185"/>
      <c r="I101" s="186"/>
      <c r="J101" s="187"/>
      <c r="K101" s="210"/>
      <c r="L101" s="188"/>
      <c r="M101" s="190"/>
      <c r="N101" s="188"/>
      <c r="O101" s="191"/>
      <c r="P101" s="195"/>
    </row>
    <row r="102" spans="1:16" s="167" customFormat="1" ht="11.25" hidden="1" customHeight="1" x14ac:dyDescent="0.15">
      <c r="A102" s="193"/>
      <c r="B102" s="470"/>
      <c r="C102" s="470"/>
      <c r="D102" s="470"/>
      <c r="E102" s="183"/>
      <c r="F102" s="472"/>
      <c r="G102" s="472"/>
      <c r="H102" s="185"/>
      <c r="I102" s="186"/>
      <c r="J102" s="187"/>
      <c r="K102" s="210"/>
      <c r="L102" s="188"/>
      <c r="M102" s="190"/>
      <c r="N102" s="188"/>
      <c r="O102" s="191"/>
      <c r="P102" s="195"/>
    </row>
    <row r="103" spans="1:16" s="167" customFormat="1" ht="11.25" hidden="1" customHeight="1" x14ac:dyDescent="0.15">
      <c r="A103" s="193"/>
      <c r="B103" s="470"/>
      <c r="C103" s="470"/>
      <c r="D103" s="470"/>
      <c r="E103" s="183"/>
      <c r="F103" s="472"/>
      <c r="G103" s="472"/>
      <c r="H103" s="185"/>
      <c r="I103" s="186"/>
      <c r="J103" s="187"/>
      <c r="K103" s="210"/>
      <c r="L103" s="188"/>
      <c r="M103" s="190"/>
      <c r="N103" s="188"/>
      <c r="O103" s="191"/>
      <c r="P103" s="195"/>
    </row>
    <row r="104" spans="1:16" s="167" customFormat="1" ht="11.25" hidden="1" customHeight="1" x14ac:dyDescent="0.15">
      <c r="A104" s="193"/>
      <c r="B104" s="470"/>
      <c r="C104" s="470"/>
      <c r="D104" s="470"/>
      <c r="E104" s="183"/>
      <c r="F104" s="472"/>
      <c r="G104" s="472"/>
      <c r="H104" s="185"/>
      <c r="I104" s="186"/>
      <c r="J104" s="187"/>
      <c r="K104" s="210"/>
      <c r="L104" s="188"/>
      <c r="M104" s="190"/>
      <c r="N104" s="188"/>
      <c r="O104" s="191"/>
      <c r="P104" s="195"/>
    </row>
    <row r="105" spans="1:16" s="167" customFormat="1" ht="11.25" hidden="1" customHeight="1" x14ac:dyDescent="0.15">
      <c r="A105" s="193"/>
      <c r="B105" s="470"/>
      <c r="C105" s="470"/>
      <c r="D105" s="470"/>
      <c r="E105" s="183"/>
      <c r="F105" s="472"/>
      <c r="G105" s="472"/>
      <c r="H105" s="185"/>
      <c r="I105" s="186"/>
      <c r="J105" s="187"/>
      <c r="K105" s="210"/>
      <c r="L105" s="188"/>
      <c r="M105" s="190"/>
      <c r="N105" s="188"/>
      <c r="O105" s="191"/>
      <c r="P105" s="195"/>
    </row>
    <row r="106" spans="1:16" s="167" customFormat="1" x14ac:dyDescent="0.15">
      <c r="A106" s="193"/>
      <c r="B106" s="470"/>
      <c r="C106" s="470"/>
      <c r="D106" s="470"/>
      <c r="E106" s="183"/>
      <c r="F106" s="472"/>
      <c r="G106" s="472"/>
      <c r="H106" s="185"/>
      <c r="I106" s="186"/>
      <c r="J106" s="187"/>
      <c r="K106" s="210"/>
      <c r="L106" s="188"/>
      <c r="M106" s="190"/>
      <c r="N106" s="188"/>
      <c r="O106" s="206" t="s">
        <v>33</v>
      </c>
      <c r="P106" s="207">
        <f>SUM(O94:O104)</f>
        <v>133001.54186200947</v>
      </c>
    </row>
    <row r="107" spans="1:16" s="167" customFormat="1" x14ac:dyDescent="0.15">
      <c r="A107" s="193"/>
      <c r="B107" s="470"/>
      <c r="C107" s="470"/>
      <c r="D107" s="470"/>
      <c r="E107" s="183"/>
      <c r="F107" s="472"/>
      <c r="G107" s="472"/>
      <c r="H107" s="185"/>
      <c r="I107" s="186"/>
      <c r="J107" s="187"/>
      <c r="K107" s="210"/>
      <c r="L107" s="188"/>
      <c r="M107" s="190"/>
      <c r="N107" s="188"/>
      <c r="O107" s="190"/>
      <c r="P107" s="197">
        <f>+P93-P106</f>
        <v>0</v>
      </c>
    </row>
    <row r="108" spans="1:16" s="167" customFormat="1" x14ac:dyDescent="0.15">
      <c r="A108" s="193"/>
      <c r="B108" s="470"/>
      <c r="C108" s="470"/>
      <c r="D108" s="470"/>
      <c r="E108" s="183"/>
      <c r="F108" s="472"/>
      <c r="G108" s="472"/>
      <c r="H108" s="185"/>
      <c r="I108" s="186"/>
      <c r="J108" s="187"/>
      <c r="K108" s="210"/>
      <c r="L108" s="188"/>
      <c r="M108" s="190"/>
      <c r="N108" s="188"/>
      <c r="O108" s="188"/>
      <c r="P108" s="198"/>
    </row>
    <row r="109" spans="1:16" x14ac:dyDescent="0.15">
      <c r="A109" s="135"/>
      <c r="B109" s="214"/>
      <c r="C109" s="138"/>
      <c r="D109" s="215"/>
      <c r="E109" s="215"/>
      <c r="F109" s="135"/>
      <c r="G109" s="215"/>
      <c r="H109" s="138"/>
      <c r="I109" s="215"/>
      <c r="J109" s="138"/>
      <c r="K109" s="216"/>
      <c r="L109" s="215"/>
    </row>
    <row r="110" spans="1:16" x14ac:dyDescent="0.15">
      <c r="A110" s="135"/>
      <c r="B110" s="214"/>
      <c r="C110" s="138"/>
      <c r="D110" s="215"/>
      <c r="E110" s="215"/>
      <c r="F110" s="135"/>
      <c r="G110" s="215"/>
      <c r="H110" s="138"/>
      <c r="I110" s="215"/>
      <c r="J110" s="138"/>
      <c r="K110" s="216"/>
      <c r="L110" s="215"/>
    </row>
    <row r="111" spans="1:16" x14ac:dyDescent="0.15">
      <c r="A111" s="135"/>
      <c r="B111" s="214"/>
      <c r="C111" s="138"/>
      <c r="D111" s="215"/>
      <c r="E111" s="215"/>
      <c r="F111" s="135"/>
      <c r="G111" s="215"/>
      <c r="H111" s="138"/>
      <c r="I111" s="215"/>
      <c r="J111" s="138"/>
      <c r="K111" s="216"/>
      <c r="L111" s="215"/>
    </row>
    <row r="112" spans="1:16" x14ac:dyDescent="0.15">
      <c r="A112" s="135"/>
      <c r="B112" s="214"/>
      <c r="C112" s="138"/>
      <c r="D112" s="215"/>
      <c r="E112" s="215"/>
      <c r="F112" s="135"/>
      <c r="G112" s="215"/>
      <c r="H112" s="138"/>
      <c r="I112" s="215"/>
      <c r="J112" s="138"/>
      <c r="K112" s="216"/>
      <c r="L112" s="215"/>
    </row>
    <row r="113" spans="1:16" s="133" customFormat="1" x14ac:dyDescent="0.15">
      <c r="A113" s="135"/>
      <c r="B113" s="214"/>
      <c r="C113" s="138"/>
      <c r="D113" s="215"/>
      <c r="E113" s="215"/>
      <c r="F113" s="135"/>
      <c r="G113" s="215"/>
      <c r="H113" s="138"/>
      <c r="I113" s="215"/>
      <c r="J113" s="138"/>
      <c r="K113" s="216"/>
      <c r="L113" s="215"/>
      <c r="M113" s="132"/>
      <c r="N113" s="134"/>
      <c r="O113" s="132"/>
      <c r="P113" s="132"/>
    </row>
    <row r="114" spans="1:16" x14ac:dyDescent="0.15">
      <c r="A114" s="135"/>
      <c r="B114" s="214"/>
      <c r="C114" s="138"/>
      <c r="D114" s="215"/>
      <c r="E114" s="215"/>
      <c r="F114" s="135"/>
      <c r="G114" s="215"/>
      <c r="H114" s="138"/>
      <c r="I114" s="215"/>
      <c r="J114" s="138"/>
      <c r="K114" s="135"/>
      <c r="L114" s="215"/>
    </row>
    <row r="115" spans="1:16" x14ac:dyDescent="0.15">
      <c r="A115" s="135"/>
      <c r="B115" s="214"/>
      <c r="C115" s="138"/>
      <c r="D115" s="215"/>
      <c r="E115" s="215"/>
      <c r="F115" s="135"/>
      <c r="G115" s="215"/>
      <c r="H115" s="138"/>
      <c r="I115" s="215"/>
      <c r="J115" s="138"/>
      <c r="K115" s="135"/>
      <c r="L115" s="215"/>
    </row>
  </sheetData>
  <mergeCells count="36">
    <mergeCell ref="J3:L3"/>
    <mergeCell ref="A4:C4"/>
    <mergeCell ref="D4:H4"/>
    <mergeCell ref="I4:N4"/>
    <mergeCell ref="J5:K5"/>
    <mergeCell ref="L5:N5"/>
    <mergeCell ref="B94:D94"/>
    <mergeCell ref="F94:G94"/>
    <mergeCell ref="B95:D95"/>
    <mergeCell ref="F95:G95"/>
    <mergeCell ref="B96:D96"/>
    <mergeCell ref="F96:G96"/>
    <mergeCell ref="B97:D97"/>
    <mergeCell ref="F97:G97"/>
    <mergeCell ref="B98:D98"/>
    <mergeCell ref="F98:G98"/>
    <mergeCell ref="B99:D99"/>
    <mergeCell ref="F99:G99"/>
    <mergeCell ref="B100:D100"/>
    <mergeCell ref="F100:G100"/>
    <mergeCell ref="B101:D101"/>
    <mergeCell ref="F101:G101"/>
    <mergeCell ref="B102:D102"/>
    <mergeCell ref="F102:G102"/>
    <mergeCell ref="B103:D103"/>
    <mergeCell ref="F103:G103"/>
    <mergeCell ref="B104:D104"/>
    <mergeCell ref="F104:G104"/>
    <mergeCell ref="B105:D105"/>
    <mergeCell ref="F105:G105"/>
    <mergeCell ref="B106:D106"/>
    <mergeCell ref="F106:G106"/>
    <mergeCell ref="B107:D107"/>
    <mergeCell ref="F107:G107"/>
    <mergeCell ref="B108:D108"/>
    <mergeCell ref="F108:G108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zoomScale="115" zoomScaleNormal="115" workbookViewId="0">
      <pane ySplit="6" topLeftCell="A7" activePane="bottomLeft" state="frozen"/>
      <selection pane="bottomLeft" activeCell="K9" sqref="K9:K15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377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341</v>
      </c>
      <c r="B7" s="146"/>
      <c r="C7" s="147">
        <v>100701.23186200946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100701.23186200946</v>
      </c>
      <c r="P7" s="147">
        <f>+C93</f>
        <v>120630.24486200945</v>
      </c>
    </row>
    <row r="8" spans="1:16" x14ac:dyDescent="0.15">
      <c r="A8" s="154" t="s">
        <v>360</v>
      </c>
      <c r="B8" s="151"/>
      <c r="C8" s="152">
        <v>19929.012999999999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100701.23186200946</v>
      </c>
      <c r="P8" s="152">
        <f t="shared" ref="P8:P71" si="0">P7+H8-J8-M8</f>
        <v>120630.24486200945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 t="s">
        <v>371</v>
      </c>
      <c r="J9" s="152">
        <v>599.98800000000006</v>
      </c>
      <c r="K9" s="154" t="s">
        <v>341</v>
      </c>
      <c r="L9" s="154"/>
      <c r="M9" s="152"/>
      <c r="N9" s="154"/>
      <c r="O9" s="152">
        <f t="shared" ref="O9:O72" si="1">+O8-J9-M9</f>
        <v>100101.24386200946</v>
      </c>
      <c r="P9" s="152">
        <f t="shared" si="0"/>
        <v>120030.25686200945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 t="s">
        <v>372</v>
      </c>
      <c r="J10" s="152">
        <v>816</v>
      </c>
      <c r="K10" s="150" t="s">
        <v>341</v>
      </c>
      <c r="L10" s="154"/>
      <c r="M10" s="152"/>
      <c r="N10" s="150"/>
      <c r="O10" s="152">
        <f t="shared" si="1"/>
        <v>99285.243862009462</v>
      </c>
      <c r="P10" s="152">
        <f t="shared" si="0"/>
        <v>119214.25686200945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373</v>
      </c>
      <c r="J11" s="152">
        <v>635.98699999999997</v>
      </c>
      <c r="K11" s="150" t="s">
        <v>341</v>
      </c>
      <c r="L11" s="154"/>
      <c r="M11" s="152"/>
      <c r="N11" s="150"/>
      <c r="O11" s="152">
        <f t="shared" si="1"/>
        <v>98649.256862009468</v>
      </c>
      <c r="P11" s="152">
        <f t="shared" si="0"/>
        <v>118578.26986200946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374</v>
      </c>
      <c r="J12" s="152">
        <v>1382.0160000000001</v>
      </c>
      <c r="K12" s="150" t="s">
        <v>341</v>
      </c>
      <c r="L12" s="154"/>
      <c r="M12" s="152"/>
      <c r="N12" s="150"/>
      <c r="O12" s="152">
        <f t="shared" si="1"/>
        <v>97267.240862009465</v>
      </c>
      <c r="P12" s="152">
        <f t="shared" si="0"/>
        <v>117196.25386200946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375</v>
      </c>
      <c r="J13" s="152">
        <v>652.98400000000004</v>
      </c>
      <c r="K13" s="150" t="s">
        <v>341</v>
      </c>
      <c r="L13" s="154"/>
      <c r="M13" s="152"/>
      <c r="N13" s="154"/>
      <c r="O13" s="152">
        <f t="shared" si="1"/>
        <v>96614.256862009468</v>
      </c>
      <c r="P13" s="152">
        <f t="shared" si="0"/>
        <v>116543.26986200946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375</v>
      </c>
      <c r="J14" s="152">
        <v>129</v>
      </c>
      <c r="K14" s="150" t="s">
        <v>341</v>
      </c>
      <c r="L14" s="154"/>
      <c r="M14" s="152"/>
      <c r="N14" s="154"/>
      <c r="O14" s="152">
        <f t="shared" si="1"/>
        <v>96485.256862009468</v>
      </c>
      <c r="P14" s="152">
        <f t="shared" si="0"/>
        <v>116414.26986200946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376</v>
      </c>
      <c r="J15" s="152">
        <v>546</v>
      </c>
      <c r="K15" s="150" t="s">
        <v>341</v>
      </c>
      <c r="L15" s="154"/>
      <c r="M15" s="152"/>
      <c r="N15" s="154"/>
      <c r="O15" s="152">
        <f t="shared" si="1"/>
        <v>95939.256862009468</v>
      </c>
      <c r="P15" s="152">
        <f t="shared" si="0"/>
        <v>115868.26986200946</v>
      </c>
    </row>
    <row r="16" spans="1:16" hidden="1" x14ac:dyDescent="0.15">
      <c r="A16" s="154"/>
      <c r="B16" s="151"/>
      <c r="C16" s="152"/>
      <c r="D16" s="153"/>
      <c r="E16" s="154"/>
      <c r="F16" s="157"/>
      <c r="G16" s="154"/>
      <c r="H16" s="152"/>
      <c r="I16" s="153"/>
      <c r="J16" s="152"/>
      <c r="K16" s="150"/>
      <c r="L16" s="154"/>
      <c r="M16" s="152"/>
      <c r="N16" s="154"/>
      <c r="O16" s="152">
        <f t="shared" si="1"/>
        <v>95939.256862009468</v>
      </c>
      <c r="P16" s="152">
        <f t="shared" si="0"/>
        <v>115868.26986200946</v>
      </c>
    </row>
    <row r="17" spans="1:16" hidden="1" x14ac:dyDescent="0.15">
      <c r="A17" s="154"/>
      <c r="B17" s="151"/>
      <c r="C17" s="152"/>
      <c r="D17" s="153"/>
      <c r="E17" s="154"/>
      <c r="F17" s="157"/>
      <c r="G17" s="154"/>
      <c r="H17" s="152"/>
      <c r="I17" s="153"/>
      <c r="J17" s="152"/>
      <c r="K17" s="150"/>
      <c r="L17" s="154"/>
      <c r="M17" s="152"/>
      <c r="N17" s="154"/>
      <c r="O17" s="152">
        <f t="shared" si="1"/>
        <v>95939.256862009468</v>
      </c>
      <c r="P17" s="152">
        <f t="shared" si="0"/>
        <v>115868.26986200946</v>
      </c>
    </row>
    <row r="18" spans="1:16" hidden="1" x14ac:dyDescent="0.15">
      <c r="A18" s="154"/>
      <c r="B18" s="151"/>
      <c r="C18" s="152"/>
      <c r="D18" s="153"/>
      <c r="E18" s="154"/>
      <c r="F18" s="157"/>
      <c r="G18" s="154"/>
      <c r="H18" s="152"/>
      <c r="I18" s="153"/>
      <c r="J18" s="152"/>
      <c r="K18" s="154"/>
      <c r="L18" s="154"/>
      <c r="M18" s="152"/>
      <c r="N18" s="154"/>
      <c r="O18" s="152">
        <f t="shared" si="1"/>
        <v>95939.256862009468</v>
      </c>
      <c r="P18" s="152">
        <f t="shared" si="0"/>
        <v>115868.26986200946</v>
      </c>
    </row>
    <row r="19" spans="1:16" hidden="1" x14ac:dyDescent="0.15">
      <c r="A19" s="154"/>
      <c r="B19" s="151"/>
      <c r="C19" s="152"/>
      <c r="D19" s="153"/>
      <c r="E19" s="154"/>
      <c r="F19" s="157"/>
      <c r="G19" s="154"/>
      <c r="H19" s="152"/>
      <c r="I19" s="153"/>
      <c r="J19" s="152"/>
      <c r="K19" s="154"/>
      <c r="L19" s="154"/>
      <c r="M19" s="152"/>
      <c r="N19" s="154"/>
      <c r="O19" s="152">
        <f t="shared" si="1"/>
        <v>95939.256862009468</v>
      </c>
      <c r="P19" s="152">
        <f t="shared" si="0"/>
        <v>115868.26986200946</v>
      </c>
    </row>
    <row r="20" spans="1:16" hidden="1" x14ac:dyDescent="0.15">
      <c r="A20" s="154"/>
      <c r="B20" s="151"/>
      <c r="C20" s="152"/>
      <c r="D20" s="153"/>
      <c r="E20" s="154"/>
      <c r="F20" s="157"/>
      <c r="G20" s="154"/>
      <c r="H20" s="152"/>
      <c r="I20" s="153"/>
      <c r="J20" s="152"/>
      <c r="K20" s="154"/>
      <c r="L20" s="154"/>
      <c r="M20" s="152"/>
      <c r="N20" s="154"/>
      <c r="O20" s="152">
        <f t="shared" si="1"/>
        <v>95939.256862009468</v>
      </c>
      <c r="P20" s="152">
        <f t="shared" si="0"/>
        <v>115868.26986200946</v>
      </c>
    </row>
    <row r="21" spans="1:16" hidden="1" x14ac:dyDescent="0.15">
      <c r="A21" s="154"/>
      <c r="B21" s="151"/>
      <c r="C21" s="152"/>
      <c r="D21" s="153"/>
      <c r="E21" s="154"/>
      <c r="F21" s="157"/>
      <c r="G21" s="154"/>
      <c r="H21" s="152"/>
      <c r="I21" s="153"/>
      <c r="J21" s="152"/>
      <c r="K21" s="154"/>
      <c r="L21" s="154"/>
      <c r="M21" s="152"/>
      <c r="N21" s="154"/>
      <c r="O21" s="152">
        <f t="shared" si="1"/>
        <v>95939.256862009468</v>
      </c>
      <c r="P21" s="152">
        <f t="shared" si="0"/>
        <v>115868.26986200946</v>
      </c>
    </row>
    <row r="22" spans="1:16" hidden="1" x14ac:dyDescent="0.15">
      <c r="A22" s="154"/>
      <c r="B22" s="151"/>
      <c r="C22" s="152"/>
      <c r="D22" s="153"/>
      <c r="E22" s="154"/>
      <c r="F22" s="157"/>
      <c r="G22" s="154"/>
      <c r="H22" s="152"/>
      <c r="I22" s="153"/>
      <c r="J22" s="152"/>
      <c r="K22" s="154"/>
      <c r="L22" s="154"/>
      <c r="M22" s="152"/>
      <c r="N22" s="154"/>
      <c r="O22" s="152">
        <f t="shared" si="1"/>
        <v>95939.256862009468</v>
      </c>
      <c r="P22" s="152">
        <f t="shared" si="0"/>
        <v>115868.26986200946</v>
      </c>
    </row>
    <row r="23" spans="1:16" hidden="1" x14ac:dyDescent="0.15">
      <c r="A23" s="154"/>
      <c r="B23" s="151"/>
      <c r="C23" s="152"/>
      <c r="D23" s="153"/>
      <c r="E23" s="154"/>
      <c r="F23" s="157"/>
      <c r="G23" s="154"/>
      <c r="H23" s="152"/>
      <c r="I23" s="153"/>
      <c r="J23" s="152"/>
      <c r="K23" s="157"/>
      <c r="L23" s="154"/>
      <c r="M23" s="152"/>
      <c r="N23" s="154"/>
      <c r="O23" s="152">
        <f t="shared" si="1"/>
        <v>95939.256862009468</v>
      </c>
      <c r="P23" s="152">
        <f t="shared" si="0"/>
        <v>115868.26986200946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7"/>
      <c r="L24" s="154"/>
      <c r="M24" s="152"/>
      <c r="N24" s="157"/>
      <c r="O24" s="152">
        <f t="shared" si="1"/>
        <v>95939.256862009468</v>
      </c>
      <c r="P24" s="152">
        <f t="shared" si="0"/>
        <v>115868.26986200946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152"/>
      <c r="N25" s="154"/>
      <c r="O25" s="152">
        <f t="shared" si="1"/>
        <v>95939.256862009468</v>
      </c>
      <c r="P25" s="152">
        <f t="shared" si="0"/>
        <v>115868.26986200946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7"/>
      <c r="L26" s="154"/>
      <c r="M26" s="152"/>
      <c r="N26" s="154"/>
      <c r="O26" s="152">
        <f t="shared" si="1"/>
        <v>95939.256862009468</v>
      </c>
      <c r="P26" s="152">
        <f t="shared" si="0"/>
        <v>115868.26986200946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152"/>
      <c r="N27" s="154"/>
      <c r="O27" s="152">
        <f t="shared" si="1"/>
        <v>95939.256862009468</v>
      </c>
      <c r="P27" s="152">
        <f t="shared" si="0"/>
        <v>115868.26986200946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7"/>
      <c r="L28" s="154"/>
      <c r="M28" s="152"/>
      <c r="N28" s="154"/>
      <c r="O28" s="152">
        <f t="shared" si="1"/>
        <v>95939.256862009468</v>
      </c>
      <c r="P28" s="152">
        <f t="shared" si="0"/>
        <v>115868.26986200946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7"/>
      <c r="L29" s="154"/>
      <c r="M29" s="152"/>
      <c r="N29" s="157"/>
      <c r="O29" s="152">
        <f t="shared" si="1"/>
        <v>95939.256862009468</v>
      </c>
      <c r="P29" s="152">
        <f t="shared" si="0"/>
        <v>115868.26986200946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7"/>
      <c r="L30" s="154"/>
      <c r="M30" s="152"/>
      <c r="N30" s="157"/>
      <c r="O30" s="152">
        <f t="shared" si="1"/>
        <v>95939.256862009468</v>
      </c>
      <c r="P30" s="152">
        <f t="shared" si="0"/>
        <v>115868.26986200946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0"/>
      <c r="L31" s="154"/>
      <c r="M31" s="152"/>
      <c r="N31" s="157"/>
      <c r="O31" s="152">
        <f t="shared" si="1"/>
        <v>95939.256862009468</v>
      </c>
      <c r="P31" s="152">
        <f t="shared" si="0"/>
        <v>115868.26986200946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152"/>
      <c r="N32" s="157"/>
      <c r="O32" s="152">
        <f t="shared" si="1"/>
        <v>95939.256862009468</v>
      </c>
      <c r="P32" s="152">
        <f t="shared" si="0"/>
        <v>115868.26986200946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152"/>
      <c r="N33" s="157"/>
      <c r="O33" s="152">
        <f t="shared" si="1"/>
        <v>95939.256862009468</v>
      </c>
      <c r="P33" s="152">
        <f t="shared" si="0"/>
        <v>115868.26986200946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0"/>
      <c r="L34" s="154"/>
      <c r="M34" s="152"/>
      <c r="N34" s="157"/>
      <c r="O34" s="152">
        <f t="shared" si="1"/>
        <v>95939.256862009468</v>
      </c>
      <c r="P34" s="152">
        <f t="shared" si="0"/>
        <v>115868.26986200946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0"/>
      <c r="L35" s="154"/>
      <c r="M35" s="152"/>
      <c r="N35" s="157"/>
      <c r="O35" s="152">
        <f t="shared" si="1"/>
        <v>95939.256862009468</v>
      </c>
      <c r="P35" s="152">
        <f t="shared" si="0"/>
        <v>115868.26986200946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152"/>
      <c r="N36" s="157"/>
      <c r="O36" s="152">
        <f t="shared" si="1"/>
        <v>95939.256862009468</v>
      </c>
      <c r="P36" s="152">
        <f t="shared" si="0"/>
        <v>115868.26986200946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0"/>
      <c r="L37" s="154"/>
      <c r="M37" s="152"/>
      <c r="N37" s="157"/>
      <c r="O37" s="152">
        <f t="shared" si="1"/>
        <v>95939.256862009468</v>
      </c>
      <c r="P37" s="152">
        <f t="shared" si="0"/>
        <v>115868.26986200946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0"/>
      <c r="L38" s="154"/>
      <c r="M38" s="152"/>
      <c r="N38" s="157"/>
      <c r="O38" s="152">
        <f t="shared" si="1"/>
        <v>95939.256862009468</v>
      </c>
      <c r="P38" s="152">
        <f t="shared" si="0"/>
        <v>115868.26986200946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152"/>
      <c r="N39" s="157"/>
      <c r="O39" s="152">
        <f t="shared" si="1"/>
        <v>95939.256862009468</v>
      </c>
      <c r="P39" s="152">
        <f t="shared" si="0"/>
        <v>115868.26986200946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152"/>
      <c r="N40" s="157"/>
      <c r="O40" s="152">
        <f t="shared" si="1"/>
        <v>95939.256862009468</v>
      </c>
      <c r="P40" s="152">
        <f t="shared" si="0"/>
        <v>115868.26986200946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152"/>
      <c r="N41" s="157"/>
      <c r="O41" s="152">
        <f t="shared" si="1"/>
        <v>95939.256862009468</v>
      </c>
      <c r="P41" s="152">
        <f t="shared" si="0"/>
        <v>115868.26986200946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152"/>
      <c r="N42" s="157"/>
      <c r="O42" s="152">
        <f t="shared" si="1"/>
        <v>95939.256862009468</v>
      </c>
      <c r="P42" s="152">
        <f t="shared" si="0"/>
        <v>115868.26986200946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7"/>
      <c r="L43" s="154"/>
      <c r="M43" s="152"/>
      <c r="N43" s="157"/>
      <c r="O43" s="152">
        <f t="shared" si="1"/>
        <v>95939.256862009468</v>
      </c>
      <c r="P43" s="152">
        <f t="shared" si="0"/>
        <v>115868.26986200946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1"/>
        <v>95939.256862009468</v>
      </c>
      <c r="P44" s="152">
        <f t="shared" si="0"/>
        <v>115868.26986200946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1"/>
        <v>95939.256862009468</v>
      </c>
      <c r="P45" s="152">
        <f t="shared" si="0"/>
        <v>115868.26986200946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1"/>
        <v>95939.256862009468</v>
      </c>
      <c r="P46" s="152">
        <f t="shared" si="0"/>
        <v>115868.26986200946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1"/>
        <v>95939.256862009468</v>
      </c>
      <c r="P47" s="152">
        <f t="shared" si="0"/>
        <v>115868.26986200946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1"/>
        <v>95939.256862009468</v>
      </c>
      <c r="P48" s="152">
        <f t="shared" si="0"/>
        <v>115868.26986200946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1"/>
        <v>95939.256862009468</v>
      </c>
      <c r="P49" s="152">
        <f t="shared" si="0"/>
        <v>115868.26986200946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1"/>
        <v>95939.256862009468</v>
      </c>
      <c r="P50" s="152">
        <f t="shared" si="0"/>
        <v>115868.26986200946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1"/>
        <v>95939.256862009468</v>
      </c>
      <c r="P51" s="152">
        <f t="shared" si="0"/>
        <v>115868.26986200946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0"/>
      <c r="L52" s="154"/>
      <c r="M52" s="152"/>
      <c r="N52" s="157"/>
      <c r="O52" s="152">
        <f t="shared" si="1"/>
        <v>95939.256862009468</v>
      </c>
      <c r="P52" s="152">
        <f t="shared" si="0"/>
        <v>115868.26986200946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0"/>
      <c r="L53" s="154"/>
      <c r="M53" s="152"/>
      <c r="N53" s="157"/>
      <c r="O53" s="152">
        <f t="shared" si="1"/>
        <v>95939.256862009468</v>
      </c>
      <c r="P53" s="152">
        <f t="shared" si="0"/>
        <v>115868.26986200946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1"/>
        <v>95939.256862009468</v>
      </c>
      <c r="P54" s="152">
        <f t="shared" si="0"/>
        <v>115868.26986200946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0"/>
      <c r="L55" s="154"/>
      <c r="M55" s="152"/>
      <c r="N55" s="157"/>
      <c r="O55" s="152">
        <f t="shared" si="1"/>
        <v>95939.256862009468</v>
      </c>
      <c r="P55" s="152">
        <f t="shared" si="0"/>
        <v>115868.26986200946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152"/>
      <c r="N56" s="157"/>
      <c r="O56" s="152">
        <f t="shared" si="1"/>
        <v>95939.256862009468</v>
      </c>
      <c r="P56" s="152">
        <f t="shared" si="0"/>
        <v>115868.26986200946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152"/>
      <c r="N57" s="157"/>
      <c r="O57" s="152">
        <f t="shared" si="1"/>
        <v>95939.256862009468</v>
      </c>
      <c r="P57" s="152">
        <f t="shared" si="0"/>
        <v>115868.26986200946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152"/>
      <c r="N58" s="157"/>
      <c r="O58" s="152">
        <f t="shared" si="1"/>
        <v>95939.256862009468</v>
      </c>
      <c r="P58" s="152">
        <f t="shared" si="0"/>
        <v>115868.26986200946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4"/>
      <c r="L59" s="154"/>
      <c r="M59" s="152"/>
      <c r="N59" s="157"/>
      <c r="O59" s="152">
        <f t="shared" si="1"/>
        <v>95939.256862009468</v>
      </c>
      <c r="P59" s="152">
        <f t="shared" si="0"/>
        <v>115868.26986200946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4"/>
      <c r="L60" s="154"/>
      <c r="M60" s="152"/>
      <c r="N60" s="157"/>
      <c r="O60" s="152">
        <f t="shared" si="1"/>
        <v>95939.256862009468</v>
      </c>
      <c r="P60" s="152">
        <f t="shared" si="0"/>
        <v>115868.26986200946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4"/>
      <c r="L61" s="154"/>
      <c r="M61" s="152"/>
      <c r="N61" s="157"/>
      <c r="O61" s="152">
        <f t="shared" si="1"/>
        <v>95939.256862009468</v>
      </c>
      <c r="P61" s="152">
        <f t="shared" si="0"/>
        <v>115868.26986200946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1"/>
        <v>95939.256862009468</v>
      </c>
      <c r="P62" s="152">
        <f t="shared" si="0"/>
        <v>115868.26986200946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7"/>
      <c r="O63" s="152">
        <f t="shared" si="1"/>
        <v>95939.256862009468</v>
      </c>
      <c r="P63" s="152">
        <f t="shared" si="0"/>
        <v>115868.26986200946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0"/>
      <c r="L64" s="154"/>
      <c r="M64" s="152"/>
      <c r="N64" s="157"/>
      <c r="O64" s="152">
        <f t="shared" si="1"/>
        <v>95939.256862009468</v>
      </c>
      <c r="P64" s="152">
        <f t="shared" si="0"/>
        <v>115868.26986200946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0"/>
      <c r="L65" s="154"/>
      <c r="M65" s="152"/>
      <c r="N65" s="157"/>
      <c r="O65" s="152">
        <f t="shared" si="1"/>
        <v>95939.256862009468</v>
      </c>
      <c r="P65" s="152">
        <f t="shared" si="0"/>
        <v>115868.26986200946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1"/>
        <v>95939.256862009468</v>
      </c>
      <c r="P66" s="152">
        <f t="shared" si="0"/>
        <v>115868.26986200946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1"/>
        <v>95939.256862009468</v>
      </c>
      <c r="P67" s="152">
        <f t="shared" si="0"/>
        <v>115868.26986200946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1"/>
        <v>95939.256862009468</v>
      </c>
      <c r="P68" s="152">
        <f t="shared" si="0"/>
        <v>115868.26986200946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1"/>
        <v>95939.256862009468</v>
      </c>
      <c r="P69" s="152">
        <f t="shared" si="0"/>
        <v>115868.26986200946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1"/>
        <v>95939.256862009468</v>
      </c>
      <c r="P70" s="152">
        <f t="shared" si="0"/>
        <v>115868.26986200946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9"/>
      <c r="L71" s="154"/>
      <c r="M71" s="152"/>
      <c r="N71" s="157"/>
      <c r="O71" s="152">
        <f t="shared" si="1"/>
        <v>95939.256862009468</v>
      </c>
      <c r="P71" s="152">
        <f t="shared" si="0"/>
        <v>115868.26986200946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9"/>
      <c r="L72" s="154"/>
      <c r="M72" s="152"/>
      <c r="N72" s="157"/>
      <c r="O72" s="152">
        <f t="shared" si="1"/>
        <v>95939.256862009468</v>
      </c>
      <c r="P72" s="152">
        <f t="shared" ref="P72:P92" si="2">P71+H72-J72-M72</f>
        <v>115868.26986200946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9"/>
      <c r="L73" s="154"/>
      <c r="M73" s="152"/>
      <c r="N73" s="157"/>
      <c r="O73" s="152">
        <f t="shared" ref="O73:O92" si="3">+O72-J73-M73</f>
        <v>95939.256862009468</v>
      </c>
      <c r="P73" s="152">
        <f t="shared" si="2"/>
        <v>115868.26986200946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3"/>
        <v>95939.256862009468</v>
      </c>
      <c r="P74" s="152">
        <f t="shared" si="2"/>
        <v>115868.26986200946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3"/>
        <v>95939.256862009468</v>
      </c>
      <c r="P75" s="152">
        <f t="shared" si="2"/>
        <v>115868.26986200946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7"/>
      <c r="O76" s="152">
        <f t="shared" si="3"/>
        <v>95939.256862009468</v>
      </c>
      <c r="P76" s="152">
        <f t="shared" si="2"/>
        <v>115868.26986200946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7"/>
      <c r="L77" s="154"/>
      <c r="M77" s="152"/>
      <c r="N77" s="157"/>
      <c r="O77" s="152">
        <f t="shared" si="3"/>
        <v>95939.256862009468</v>
      </c>
      <c r="P77" s="152">
        <f t="shared" si="2"/>
        <v>115868.26986200946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7"/>
      <c r="L78" s="154"/>
      <c r="M78" s="152"/>
      <c r="N78" s="150"/>
      <c r="O78" s="152">
        <f t="shared" si="3"/>
        <v>95939.256862009468</v>
      </c>
      <c r="P78" s="152">
        <f t="shared" si="2"/>
        <v>115868.26986200946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9"/>
      <c r="L79" s="154"/>
      <c r="M79" s="152"/>
      <c r="N79" s="157"/>
      <c r="O79" s="152">
        <f t="shared" si="3"/>
        <v>95939.256862009468</v>
      </c>
      <c r="P79" s="152">
        <f t="shared" si="2"/>
        <v>115868.26986200946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9"/>
      <c r="L80" s="154"/>
      <c r="M80" s="152"/>
      <c r="N80" s="157"/>
      <c r="O80" s="152">
        <f t="shared" si="3"/>
        <v>95939.256862009468</v>
      </c>
      <c r="P80" s="152">
        <f t="shared" si="2"/>
        <v>115868.26986200946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9"/>
      <c r="L81" s="154"/>
      <c r="M81" s="152"/>
      <c r="N81" s="157"/>
      <c r="O81" s="152">
        <f t="shared" si="3"/>
        <v>95939.256862009468</v>
      </c>
      <c r="P81" s="152">
        <f t="shared" si="2"/>
        <v>115868.26986200946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3"/>
        <v>95939.256862009468</v>
      </c>
      <c r="P82" s="152">
        <f t="shared" si="2"/>
        <v>115868.26986200946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7"/>
      <c r="L83" s="154"/>
      <c r="M83" s="152"/>
      <c r="N83" s="157"/>
      <c r="O83" s="152">
        <f t="shared" si="3"/>
        <v>95939.256862009468</v>
      </c>
      <c r="P83" s="152">
        <f t="shared" si="2"/>
        <v>115868.26986200946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7"/>
      <c r="L84" s="154"/>
      <c r="M84" s="152"/>
      <c r="N84" s="157"/>
      <c r="O84" s="152">
        <f t="shared" si="3"/>
        <v>95939.256862009468</v>
      </c>
      <c r="P84" s="152">
        <f t="shared" si="2"/>
        <v>115868.26986200946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9"/>
      <c r="L85" s="154"/>
      <c r="M85" s="152"/>
      <c r="N85" s="157"/>
      <c r="O85" s="152">
        <f t="shared" si="3"/>
        <v>95939.256862009468</v>
      </c>
      <c r="P85" s="152">
        <f t="shared" si="2"/>
        <v>115868.26986200946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9"/>
      <c r="L86" s="154"/>
      <c r="M86" s="152"/>
      <c r="N86" s="157"/>
      <c r="O86" s="152">
        <f t="shared" si="3"/>
        <v>95939.256862009468</v>
      </c>
      <c r="P86" s="152">
        <f t="shared" si="2"/>
        <v>115868.26986200946</v>
      </c>
    </row>
    <row r="87" spans="1:16" hidden="1" x14ac:dyDescent="0.15">
      <c r="A87" s="154"/>
      <c r="B87" s="151"/>
      <c r="C87" s="152"/>
      <c r="D87" s="153"/>
      <c r="E87" s="154"/>
      <c r="F87" s="160"/>
      <c r="G87" s="151"/>
      <c r="H87" s="152"/>
      <c r="I87" s="153"/>
      <c r="J87" s="152"/>
      <c r="K87" s="159"/>
      <c r="L87" s="154"/>
      <c r="M87" s="152"/>
      <c r="N87" s="157"/>
      <c r="O87" s="152">
        <f t="shared" si="3"/>
        <v>95939.256862009468</v>
      </c>
      <c r="P87" s="152">
        <f t="shared" si="2"/>
        <v>115868.26986200946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9"/>
      <c r="L88" s="154"/>
      <c r="M88" s="152"/>
      <c r="N88" s="157"/>
      <c r="O88" s="152">
        <f t="shared" si="3"/>
        <v>95939.256862009468</v>
      </c>
      <c r="P88" s="152">
        <f t="shared" si="2"/>
        <v>115868.26986200946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0"/>
      <c r="L89" s="154"/>
      <c r="M89" s="152"/>
      <c r="N89" s="157"/>
      <c r="O89" s="152">
        <f t="shared" si="3"/>
        <v>95939.256862009468</v>
      </c>
      <c r="P89" s="152">
        <f t="shared" si="2"/>
        <v>115868.26986200946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7"/>
      <c r="L90" s="154"/>
      <c r="M90" s="152"/>
      <c r="N90" s="150"/>
      <c r="O90" s="152">
        <f t="shared" si="3"/>
        <v>95939.256862009468</v>
      </c>
      <c r="P90" s="152">
        <f t="shared" si="2"/>
        <v>115868.26986200946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3"/>
        <v>95939.256862009468</v>
      </c>
      <c r="P91" s="152">
        <f t="shared" si="2"/>
        <v>115868.26986200946</v>
      </c>
    </row>
    <row r="92" spans="1:16" x14ac:dyDescent="0.15">
      <c r="A92" s="173"/>
      <c r="B92" s="173"/>
      <c r="C92" s="174"/>
      <c r="D92" s="175"/>
      <c r="E92" s="173"/>
      <c r="F92" s="173"/>
      <c r="G92" s="176"/>
      <c r="H92" s="174"/>
      <c r="I92" s="175"/>
      <c r="J92" s="174"/>
      <c r="K92" s="173"/>
      <c r="L92" s="173"/>
      <c r="M92" s="174"/>
      <c r="N92" s="173"/>
      <c r="O92" s="152">
        <f t="shared" si="3"/>
        <v>95939.256862009468</v>
      </c>
      <c r="P92" s="152">
        <f t="shared" si="2"/>
        <v>115868.26986200946</v>
      </c>
    </row>
    <row r="93" spans="1:16" x14ac:dyDescent="0.15">
      <c r="A93" s="177"/>
      <c r="B93" s="177"/>
      <c r="C93" s="178">
        <f>SUM(C7:C91)</f>
        <v>120630.24486200945</v>
      </c>
      <c r="D93" s="177"/>
      <c r="E93" s="177"/>
      <c r="F93" s="177"/>
      <c r="G93" s="177"/>
      <c r="H93" s="178">
        <f>SUM(H7:H91)</f>
        <v>0</v>
      </c>
      <c r="I93" s="179"/>
      <c r="J93" s="178">
        <f>SUM(J7:J91)</f>
        <v>4761.9750000000004</v>
      </c>
      <c r="K93" s="177"/>
      <c r="L93" s="177"/>
      <c r="M93" s="178">
        <f>SUM(M9:M91)</f>
        <v>0</v>
      </c>
      <c r="N93" s="177"/>
      <c r="O93" s="180"/>
      <c r="P93" s="181">
        <f>C93+H93-J93-M93</f>
        <v>115868.26986200945</v>
      </c>
    </row>
    <row r="94" spans="1:16" x14ac:dyDescent="0.15">
      <c r="A94" s="182"/>
      <c r="B94" s="465"/>
      <c r="C94" s="465"/>
      <c r="D94" s="465"/>
      <c r="E94" s="183"/>
      <c r="F94" s="472"/>
      <c r="G94" s="472"/>
      <c r="H94" s="185"/>
      <c r="I94" s="186"/>
      <c r="J94" s="187"/>
      <c r="K94" s="188"/>
      <c r="L94" s="189" t="s">
        <v>139</v>
      </c>
      <c r="M94" s="190">
        <f>+M93+J93</f>
        <v>4761.9750000000004</v>
      </c>
      <c r="N94" s="188"/>
      <c r="O94" s="191">
        <f>+O92</f>
        <v>95939.256862009468</v>
      </c>
      <c r="P94" s="192" t="s">
        <v>341</v>
      </c>
    </row>
    <row r="95" spans="1:16" s="167" customFormat="1" x14ac:dyDescent="0.15">
      <c r="A95" s="193"/>
      <c r="B95" s="470"/>
      <c r="C95" s="470"/>
      <c r="D95" s="470"/>
      <c r="E95" s="183"/>
      <c r="F95" s="472"/>
      <c r="G95" s="472"/>
      <c r="H95" s="185"/>
      <c r="I95" s="186"/>
      <c r="J95" s="187"/>
      <c r="K95" s="210"/>
      <c r="L95" s="188"/>
      <c r="M95" s="190"/>
      <c r="N95" s="188"/>
      <c r="O95" s="191">
        <f>+C8</f>
        <v>19929.012999999999</v>
      </c>
      <c r="P95" s="195" t="s">
        <v>360</v>
      </c>
    </row>
    <row r="96" spans="1:16" s="167" customFormat="1" hidden="1" x14ac:dyDescent="0.15">
      <c r="A96" s="193"/>
      <c r="B96" s="470"/>
      <c r="C96" s="470"/>
      <c r="D96" s="470"/>
      <c r="E96" s="183"/>
      <c r="F96" s="472"/>
      <c r="G96" s="472"/>
      <c r="H96" s="185"/>
      <c r="I96" s="186"/>
      <c r="J96" s="187"/>
      <c r="K96" s="210"/>
      <c r="L96" s="188"/>
      <c r="M96" s="190"/>
      <c r="N96" s="188"/>
      <c r="O96" s="191"/>
      <c r="P96" s="192"/>
    </row>
    <row r="97" spans="1:16" s="167" customFormat="1" hidden="1" x14ac:dyDescent="0.15">
      <c r="A97" s="193"/>
      <c r="B97" s="470"/>
      <c r="C97" s="470"/>
      <c r="D97" s="470"/>
      <c r="E97" s="183"/>
      <c r="F97" s="472"/>
      <c r="G97" s="472"/>
      <c r="H97" s="185"/>
      <c r="I97" s="186"/>
      <c r="J97" s="187"/>
      <c r="K97" s="210"/>
      <c r="L97" s="188"/>
      <c r="M97" s="190"/>
      <c r="N97" s="188"/>
      <c r="O97" s="191"/>
      <c r="P97" s="195"/>
    </row>
    <row r="98" spans="1:16" s="167" customFormat="1" ht="11.25" hidden="1" customHeight="1" x14ac:dyDescent="0.15">
      <c r="A98" s="193"/>
      <c r="B98" s="470"/>
      <c r="C98" s="470"/>
      <c r="D98" s="470"/>
      <c r="E98" s="183"/>
      <c r="F98" s="472"/>
      <c r="G98" s="472"/>
      <c r="H98" s="185"/>
      <c r="I98" s="186"/>
      <c r="J98" s="187"/>
      <c r="K98" s="210"/>
      <c r="L98" s="188"/>
      <c r="M98" s="190"/>
      <c r="N98" s="188"/>
      <c r="O98" s="191"/>
      <c r="P98" s="195"/>
    </row>
    <row r="99" spans="1:16" s="167" customFormat="1" ht="11.25" hidden="1" customHeight="1" x14ac:dyDescent="0.15">
      <c r="A99" s="193"/>
      <c r="B99" s="470"/>
      <c r="C99" s="470"/>
      <c r="D99" s="470"/>
      <c r="E99" s="183"/>
      <c r="F99" s="472"/>
      <c r="G99" s="472"/>
      <c r="H99" s="185"/>
      <c r="I99" s="186"/>
      <c r="J99" s="187"/>
      <c r="K99" s="210"/>
      <c r="L99" s="188"/>
      <c r="M99" s="190"/>
      <c r="N99" s="188"/>
      <c r="O99" s="191"/>
      <c r="P99" s="195"/>
    </row>
    <row r="100" spans="1:16" s="167" customFormat="1" ht="11.25" hidden="1" customHeight="1" x14ac:dyDescent="0.15">
      <c r="A100" s="193"/>
      <c r="B100" s="470"/>
      <c r="C100" s="470"/>
      <c r="D100" s="470"/>
      <c r="E100" s="183"/>
      <c r="F100" s="472"/>
      <c r="G100" s="472"/>
      <c r="H100" s="185"/>
      <c r="I100" s="186"/>
      <c r="J100" s="187"/>
      <c r="K100" s="210"/>
      <c r="L100" s="188"/>
      <c r="M100" s="190"/>
      <c r="N100" s="188"/>
      <c r="O100" s="191"/>
      <c r="P100" s="195"/>
    </row>
    <row r="101" spans="1:16" s="167" customFormat="1" ht="11.25" hidden="1" customHeight="1" x14ac:dyDescent="0.15">
      <c r="A101" s="193"/>
      <c r="B101" s="470"/>
      <c r="C101" s="470"/>
      <c r="D101" s="470"/>
      <c r="E101" s="183"/>
      <c r="F101" s="472"/>
      <c r="G101" s="472"/>
      <c r="H101" s="185"/>
      <c r="I101" s="186"/>
      <c r="J101" s="187"/>
      <c r="K101" s="210"/>
      <c r="L101" s="188"/>
      <c r="M101" s="190"/>
      <c r="N101" s="188"/>
      <c r="O101" s="191"/>
      <c r="P101" s="195"/>
    </row>
    <row r="102" spans="1:16" s="167" customFormat="1" ht="11.25" hidden="1" customHeight="1" x14ac:dyDescent="0.15">
      <c r="A102" s="193"/>
      <c r="B102" s="470"/>
      <c r="C102" s="470"/>
      <c r="D102" s="470"/>
      <c r="E102" s="183"/>
      <c r="F102" s="472"/>
      <c r="G102" s="472"/>
      <c r="H102" s="185"/>
      <c r="I102" s="186"/>
      <c r="J102" s="187"/>
      <c r="K102" s="210"/>
      <c r="L102" s="188"/>
      <c r="M102" s="190"/>
      <c r="N102" s="188"/>
      <c r="O102" s="191"/>
      <c r="P102" s="195"/>
    </row>
    <row r="103" spans="1:16" s="167" customFormat="1" ht="11.25" hidden="1" customHeight="1" x14ac:dyDescent="0.15">
      <c r="A103" s="193"/>
      <c r="B103" s="470"/>
      <c r="C103" s="470"/>
      <c r="D103" s="470"/>
      <c r="E103" s="183"/>
      <c r="F103" s="472"/>
      <c r="G103" s="472"/>
      <c r="H103" s="185"/>
      <c r="I103" s="186"/>
      <c r="J103" s="187"/>
      <c r="K103" s="210"/>
      <c r="L103" s="188"/>
      <c r="M103" s="190"/>
      <c r="N103" s="188"/>
      <c r="O103" s="191"/>
      <c r="P103" s="195"/>
    </row>
    <row r="104" spans="1:16" s="167" customFormat="1" ht="11.25" hidden="1" customHeight="1" x14ac:dyDescent="0.15">
      <c r="A104" s="193"/>
      <c r="B104" s="470"/>
      <c r="C104" s="470"/>
      <c r="D104" s="470"/>
      <c r="E104" s="183"/>
      <c r="F104" s="472"/>
      <c r="G104" s="472"/>
      <c r="H104" s="185"/>
      <c r="I104" s="186"/>
      <c r="J104" s="187"/>
      <c r="K104" s="210"/>
      <c r="L104" s="188"/>
      <c r="M104" s="190"/>
      <c r="N104" s="188"/>
      <c r="O104" s="191"/>
      <c r="P104" s="195"/>
    </row>
    <row r="105" spans="1:16" s="167" customFormat="1" ht="11.25" hidden="1" customHeight="1" x14ac:dyDescent="0.15">
      <c r="A105" s="193"/>
      <c r="B105" s="470"/>
      <c r="C105" s="470"/>
      <c r="D105" s="470"/>
      <c r="E105" s="183"/>
      <c r="F105" s="472"/>
      <c r="G105" s="472"/>
      <c r="H105" s="185"/>
      <c r="I105" s="186"/>
      <c r="J105" s="187"/>
      <c r="K105" s="210"/>
      <c r="L105" s="188"/>
      <c r="M105" s="190"/>
      <c r="N105" s="188"/>
      <c r="O105" s="191"/>
      <c r="P105" s="195"/>
    </row>
    <row r="106" spans="1:16" s="167" customFormat="1" x14ac:dyDescent="0.15">
      <c r="A106" s="193"/>
      <c r="B106" s="470"/>
      <c r="C106" s="470"/>
      <c r="D106" s="470"/>
      <c r="E106" s="183"/>
      <c r="F106" s="472"/>
      <c r="G106" s="472"/>
      <c r="H106" s="185"/>
      <c r="I106" s="186"/>
      <c r="J106" s="187"/>
      <c r="K106" s="210"/>
      <c r="L106" s="188"/>
      <c r="M106" s="190"/>
      <c r="N106" s="188"/>
      <c r="O106" s="206" t="s">
        <v>33</v>
      </c>
      <c r="P106" s="207">
        <f>SUM(O94:O104)</f>
        <v>115868.26986200947</v>
      </c>
    </row>
    <row r="107" spans="1:16" s="167" customFormat="1" x14ac:dyDescent="0.15">
      <c r="A107" s="193"/>
      <c r="B107" s="470"/>
      <c r="C107" s="470"/>
      <c r="D107" s="470"/>
      <c r="E107" s="183"/>
      <c r="F107" s="472"/>
      <c r="G107" s="472"/>
      <c r="H107" s="185"/>
      <c r="I107" s="186"/>
      <c r="J107" s="187"/>
      <c r="K107" s="210"/>
      <c r="L107" s="188"/>
      <c r="M107" s="190"/>
      <c r="N107" s="188"/>
      <c r="O107" s="190"/>
      <c r="P107" s="197">
        <f>+P93-P106</f>
        <v>0</v>
      </c>
    </row>
    <row r="108" spans="1:16" s="167" customFormat="1" x14ac:dyDescent="0.15">
      <c r="A108" s="193"/>
      <c r="B108" s="470"/>
      <c r="C108" s="470"/>
      <c r="D108" s="470"/>
      <c r="E108" s="183"/>
      <c r="F108" s="472"/>
      <c r="G108" s="472"/>
      <c r="H108" s="185"/>
      <c r="I108" s="186"/>
      <c r="J108" s="187"/>
      <c r="K108" s="210"/>
      <c r="L108" s="188"/>
      <c r="M108" s="190"/>
      <c r="N108" s="188"/>
      <c r="O108" s="188"/>
      <c r="P108" s="198"/>
    </row>
    <row r="109" spans="1:16" x14ac:dyDescent="0.15">
      <c r="A109" s="135"/>
      <c r="B109" s="214"/>
      <c r="C109" s="138"/>
      <c r="D109" s="215"/>
      <c r="E109" s="215"/>
      <c r="F109" s="135"/>
      <c r="G109" s="215"/>
      <c r="H109" s="138"/>
      <c r="I109" s="215"/>
      <c r="J109" s="138"/>
      <c r="K109" s="216"/>
      <c r="L109" s="215"/>
    </row>
    <row r="110" spans="1:16" x14ac:dyDescent="0.15">
      <c r="A110" s="135"/>
      <c r="B110" s="214"/>
      <c r="C110" s="138"/>
      <c r="D110" s="215"/>
      <c r="E110" s="215"/>
      <c r="F110" s="135"/>
      <c r="G110" s="215"/>
      <c r="H110" s="138"/>
      <c r="I110" s="215"/>
      <c r="J110" s="138"/>
      <c r="K110" s="216"/>
      <c r="L110" s="215"/>
    </row>
    <row r="111" spans="1:16" x14ac:dyDescent="0.15">
      <c r="A111" s="135"/>
      <c r="B111" s="214"/>
      <c r="C111" s="138"/>
      <c r="D111" s="215"/>
      <c r="E111" s="215"/>
      <c r="F111" s="135"/>
      <c r="G111" s="215"/>
      <c r="H111" s="138"/>
      <c r="I111" s="215"/>
      <c r="J111" s="138"/>
      <c r="K111" s="216"/>
      <c r="L111" s="215"/>
    </row>
    <row r="112" spans="1:16" x14ac:dyDescent="0.15">
      <c r="A112" s="135"/>
      <c r="B112" s="214"/>
      <c r="C112" s="138"/>
      <c r="D112" s="215"/>
      <c r="E112" s="215"/>
      <c r="F112" s="135"/>
      <c r="G112" s="215"/>
      <c r="H112" s="138"/>
      <c r="I112" s="215"/>
      <c r="J112" s="138"/>
      <c r="K112" s="216"/>
      <c r="L112" s="215"/>
    </row>
    <row r="113" spans="1:16" s="133" customFormat="1" x14ac:dyDescent="0.15">
      <c r="A113" s="135"/>
      <c r="B113" s="214"/>
      <c r="C113" s="138"/>
      <c r="D113" s="215"/>
      <c r="E113" s="215"/>
      <c r="F113" s="135"/>
      <c r="G113" s="215"/>
      <c r="H113" s="138"/>
      <c r="I113" s="215"/>
      <c r="J113" s="138"/>
      <c r="K113" s="216"/>
      <c r="L113" s="215"/>
      <c r="M113" s="132"/>
      <c r="N113" s="134"/>
      <c r="O113" s="132"/>
      <c r="P113" s="132"/>
    </row>
    <row r="114" spans="1:16" x14ac:dyDescent="0.15">
      <c r="A114" s="135"/>
      <c r="B114" s="214"/>
      <c r="C114" s="138"/>
      <c r="D114" s="215"/>
      <c r="E114" s="215"/>
      <c r="F114" s="135"/>
      <c r="G114" s="215"/>
      <c r="H114" s="138"/>
      <c r="I114" s="215"/>
      <c r="J114" s="138"/>
      <c r="K114" s="135"/>
      <c r="L114" s="215"/>
    </row>
    <row r="115" spans="1:16" x14ac:dyDescent="0.15">
      <c r="A115" s="135"/>
      <c r="B115" s="214"/>
      <c r="C115" s="138"/>
      <c r="D115" s="215"/>
      <c r="E115" s="215"/>
      <c r="F115" s="135"/>
      <c r="G115" s="215"/>
      <c r="H115" s="138"/>
      <c r="I115" s="215"/>
      <c r="J115" s="138"/>
      <c r="K115" s="135"/>
      <c r="L115" s="215"/>
    </row>
  </sheetData>
  <mergeCells count="36">
    <mergeCell ref="J3:L3"/>
    <mergeCell ref="A4:C4"/>
    <mergeCell ref="D4:H4"/>
    <mergeCell ref="I4:N4"/>
    <mergeCell ref="J5:K5"/>
    <mergeCell ref="L5:N5"/>
    <mergeCell ref="B94:D94"/>
    <mergeCell ref="F94:G94"/>
    <mergeCell ref="B95:D95"/>
    <mergeCell ref="F95:G95"/>
    <mergeCell ref="B96:D96"/>
    <mergeCell ref="F96:G96"/>
    <mergeCell ref="B97:D97"/>
    <mergeCell ref="F97:G97"/>
    <mergeCell ref="B98:D98"/>
    <mergeCell ref="F98:G98"/>
    <mergeCell ref="B99:D99"/>
    <mergeCell ref="F99:G99"/>
    <mergeCell ref="B100:D100"/>
    <mergeCell ref="F100:G100"/>
    <mergeCell ref="B101:D101"/>
    <mergeCell ref="F101:G101"/>
    <mergeCell ref="B102:D102"/>
    <mergeCell ref="F102:G102"/>
    <mergeCell ref="B103:D103"/>
    <mergeCell ref="F103:G103"/>
    <mergeCell ref="B104:D104"/>
    <mergeCell ref="F104:G104"/>
    <mergeCell ref="B105:D105"/>
    <mergeCell ref="F105:G105"/>
    <mergeCell ref="B106:D106"/>
    <mergeCell ref="F106:G106"/>
    <mergeCell ref="B107:D107"/>
    <mergeCell ref="F107:G107"/>
    <mergeCell ref="B108:D108"/>
    <mergeCell ref="F108:G108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D1" zoomScale="115" zoomScaleNormal="115" workbookViewId="0">
      <pane ySplit="6" topLeftCell="A7" activePane="bottomLeft" state="frozen"/>
      <selection pane="bottomLeft" activeCell="K9" sqref="K9:K18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358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341</v>
      </c>
      <c r="B7" s="146"/>
      <c r="C7" s="147">
        <v>108364.27186200945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108364.27186200945</v>
      </c>
      <c r="P7" s="147">
        <f>+C93</f>
        <v>128293.28486200946</v>
      </c>
    </row>
    <row r="8" spans="1:16" x14ac:dyDescent="0.15">
      <c r="A8" s="154" t="s">
        <v>360</v>
      </c>
      <c r="B8" s="151"/>
      <c r="C8" s="152">
        <v>19929.012999999999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108364.27186200945</v>
      </c>
      <c r="P8" s="152">
        <f t="shared" ref="P8:P12" si="0">P7+H8-J8-M8</f>
        <v>128293.28486200946</v>
      </c>
    </row>
    <row r="9" spans="1:16" x14ac:dyDescent="0.15">
      <c r="A9" s="154"/>
      <c r="B9" s="151"/>
      <c r="C9" s="152"/>
      <c r="D9" s="154"/>
      <c r="E9" s="154"/>
      <c r="F9" s="154"/>
      <c r="G9" s="154"/>
      <c r="H9" s="152"/>
      <c r="I9" s="154" t="s">
        <v>361</v>
      </c>
      <c r="J9" s="152">
        <v>537</v>
      </c>
      <c r="K9" s="154" t="s">
        <v>341</v>
      </c>
      <c r="L9" s="154"/>
      <c r="M9" s="152"/>
      <c r="N9" s="154"/>
      <c r="O9" s="152">
        <f t="shared" ref="O9:O12" si="1">+O8-J9-M9</f>
        <v>107827.27186200945</v>
      </c>
      <c r="P9" s="152">
        <f t="shared" si="0"/>
        <v>127756.28486200946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3" t="s">
        <v>362</v>
      </c>
      <c r="J10" s="152">
        <v>980</v>
      </c>
      <c r="K10" s="150" t="s">
        <v>341</v>
      </c>
      <c r="L10" s="154"/>
      <c r="M10" s="152"/>
      <c r="N10" s="150"/>
      <c r="O10" s="152">
        <f t="shared" si="1"/>
        <v>106847.27186200945</v>
      </c>
      <c r="P10" s="152">
        <f t="shared" si="0"/>
        <v>126776.28486200946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363</v>
      </c>
      <c r="J11" s="152">
        <v>498</v>
      </c>
      <c r="K11" s="150" t="s">
        <v>341</v>
      </c>
      <c r="L11" s="154"/>
      <c r="M11" s="152"/>
      <c r="N11" s="150"/>
      <c r="O11" s="152">
        <f t="shared" si="1"/>
        <v>106349.27186200945</v>
      </c>
      <c r="P11" s="152">
        <f t="shared" si="0"/>
        <v>126278.28486200946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364</v>
      </c>
      <c r="J12" s="152">
        <v>262</v>
      </c>
      <c r="K12" s="150" t="s">
        <v>341</v>
      </c>
      <c r="L12" s="154"/>
      <c r="M12" s="152"/>
      <c r="N12" s="150"/>
      <c r="O12" s="152">
        <f t="shared" si="1"/>
        <v>106087.27186200945</v>
      </c>
      <c r="P12" s="152">
        <f t="shared" si="0"/>
        <v>126016.28486200946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365</v>
      </c>
      <c r="J13" s="152">
        <v>482</v>
      </c>
      <c r="K13" s="150" t="s">
        <v>341</v>
      </c>
      <c r="L13" s="154"/>
      <c r="M13" s="152"/>
      <c r="N13" s="154"/>
      <c r="O13" s="152">
        <f t="shared" ref="O13:O76" si="2">+O12-J13-M13</f>
        <v>105605.27186200945</v>
      </c>
      <c r="P13" s="152">
        <f t="shared" ref="P13:P76" si="3">P12+H13-J13-M13</f>
        <v>125534.28486200946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366</v>
      </c>
      <c r="J14" s="152">
        <v>2596.04</v>
      </c>
      <c r="K14" s="150" t="s">
        <v>341</v>
      </c>
      <c r="L14" s="154"/>
      <c r="M14" s="152"/>
      <c r="N14" s="154"/>
      <c r="O14" s="152">
        <f t="shared" si="2"/>
        <v>103009.23186200946</v>
      </c>
      <c r="P14" s="152">
        <f t="shared" si="3"/>
        <v>122938.24486200947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367</v>
      </c>
      <c r="J15" s="152">
        <v>975</v>
      </c>
      <c r="K15" s="150" t="s">
        <v>341</v>
      </c>
      <c r="L15" s="154"/>
      <c r="M15" s="152"/>
      <c r="N15" s="154"/>
      <c r="O15" s="152">
        <f t="shared" si="2"/>
        <v>102034.23186200946</v>
      </c>
      <c r="P15" s="152">
        <f t="shared" si="3"/>
        <v>121963.24486200947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368</v>
      </c>
      <c r="J16" s="152">
        <v>300</v>
      </c>
      <c r="K16" s="150" t="s">
        <v>341</v>
      </c>
      <c r="L16" s="154"/>
      <c r="M16" s="152"/>
      <c r="N16" s="154"/>
      <c r="O16" s="152">
        <f t="shared" si="2"/>
        <v>101734.23186200946</v>
      </c>
      <c r="P16" s="152">
        <f t="shared" si="3"/>
        <v>121663.24486200947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369</v>
      </c>
      <c r="J17" s="152">
        <v>239</v>
      </c>
      <c r="K17" s="150" t="s">
        <v>341</v>
      </c>
      <c r="L17" s="154"/>
      <c r="M17" s="152"/>
      <c r="N17" s="154"/>
      <c r="O17" s="152">
        <f t="shared" si="2"/>
        <v>101495.23186200946</v>
      </c>
      <c r="P17" s="152">
        <f t="shared" si="3"/>
        <v>121424.24486200947</v>
      </c>
    </row>
    <row r="18" spans="1:16" x14ac:dyDescent="0.15">
      <c r="A18" s="154"/>
      <c r="B18" s="151"/>
      <c r="C18" s="152"/>
      <c r="D18" s="153"/>
      <c r="E18" s="154"/>
      <c r="F18" s="157"/>
      <c r="G18" s="154"/>
      <c r="H18" s="152"/>
      <c r="I18" s="153" t="s">
        <v>370</v>
      </c>
      <c r="J18" s="152">
        <v>794</v>
      </c>
      <c r="K18" s="154" t="s">
        <v>341</v>
      </c>
      <c r="L18" s="154"/>
      <c r="M18" s="152"/>
      <c r="N18" s="154"/>
      <c r="O18" s="152">
        <f t="shared" si="2"/>
        <v>100701.23186200946</v>
      </c>
      <c r="P18" s="152">
        <f t="shared" si="3"/>
        <v>120630.24486200947</v>
      </c>
    </row>
    <row r="19" spans="1:16" hidden="1" x14ac:dyDescent="0.15">
      <c r="A19" s="154"/>
      <c r="B19" s="151"/>
      <c r="C19" s="152"/>
      <c r="D19" s="153"/>
      <c r="E19" s="154"/>
      <c r="F19" s="157"/>
      <c r="G19" s="154"/>
      <c r="H19" s="152"/>
      <c r="I19" s="153"/>
      <c r="J19" s="152"/>
      <c r="K19" s="154"/>
      <c r="L19" s="154"/>
      <c r="M19" s="152"/>
      <c r="N19" s="154"/>
      <c r="O19" s="152">
        <f t="shared" si="2"/>
        <v>100701.23186200946</v>
      </c>
      <c r="P19" s="152">
        <f t="shared" si="3"/>
        <v>120630.24486200947</v>
      </c>
    </row>
    <row r="20" spans="1:16" hidden="1" x14ac:dyDescent="0.15">
      <c r="A20" s="154"/>
      <c r="B20" s="151"/>
      <c r="C20" s="152"/>
      <c r="D20" s="153"/>
      <c r="E20" s="154"/>
      <c r="F20" s="157"/>
      <c r="G20" s="154"/>
      <c r="H20" s="152"/>
      <c r="I20" s="153"/>
      <c r="J20" s="152"/>
      <c r="K20" s="154"/>
      <c r="L20" s="154"/>
      <c r="M20" s="152"/>
      <c r="N20" s="154"/>
      <c r="O20" s="152">
        <f t="shared" si="2"/>
        <v>100701.23186200946</v>
      </c>
      <c r="P20" s="152">
        <f t="shared" si="3"/>
        <v>120630.24486200947</v>
      </c>
    </row>
    <row r="21" spans="1:16" hidden="1" x14ac:dyDescent="0.15">
      <c r="A21" s="154"/>
      <c r="B21" s="151"/>
      <c r="C21" s="152"/>
      <c r="D21" s="153"/>
      <c r="E21" s="154"/>
      <c r="F21" s="157"/>
      <c r="G21" s="154"/>
      <c r="H21" s="152"/>
      <c r="I21" s="153"/>
      <c r="J21" s="152"/>
      <c r="K21" s="154"/>
      <c r="L21" s="154"/>
      <c r="M21" s="152"/>
      <c r="N21" s="154"/>
      <c r="O21" s="152">
        <f t="shared" si="2"/>
        <v>100701.23186200946</v>
      </c>
      <c r="P21" s="152">
        <f t="shared" si="3"/>
        <v>120630.24486200947</v>
      </c>
    </row>
    <row r="22" spans="1:16" hidden="1" x14ac:dyDescent="0.15">
      <c r="A22" s="154"/>
      <c r="B22" s="151"/>
      <c r="C22" s="152"/>
      <c r="D22" s="153"/>
      <c r="E22" s="154"/>
      <c r="F22" s="157"/>
      <c r="G22" s="154"/>
      <c r="H22" s="152"/>
      <c r="I22" s="153"/>
      <c r="J22" s="152"/>
      <c r="K22" s="154"/>
      <c r="L22" s="154"/>
      <c r="M22" s="152"/>
      <c r="N22" s="154"/>
      <c r="O22" s="152">
        <f t="shared" si="2"/>
        <v>100701.23186200946</v>
      </c>
      <c r="P22" s="152">
        <f t="shared" si="3"/>
        <v>120630.24486200947</v>
      </c>
    </row>
    <row r="23" spans="1:16" hidden="1" x14ac:dyDescent="0.15">
      <c r="A23" s="154"/>
      <c r="B23" s="151"/>
      <c r="C23" s="152"/>
      <c r="D23" s="153"/>
      <c r="E23" s="154"/>
      <c r="F23" s="157"/>
      <c r="G23" s="154"/>
      <c r="H23" s="152"/>
      <c r="I23" s="153"/>
      <c r="J23" s="152"/>
      <c r="K23" s="157"/>
      <c r="L23" s="154"/>
      <c r="M23" s="152"/>
      <c r="N23" s="154"/>
      <c r="O23" s="152">
        <f t="shared" si="2"/>
        <v>100701.23186200946</v>
      </c>
      <c r="P23" s="152">
        <f t="shared" si="3"/>
        <v>120630.24486200947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7"/>
      <c r="L24" s="154"/>
      <c r="M24" s="152"/>
      <c r="N24" s="157"/>
      <c r="O24" s="152">
        <f t="shared" si="2"/>
        <v>100701.23186200946</v>
      </c>
      <c r="P24" s="152">
        <f t="shared" si="3"/>
        <v>120630.24486200947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152"/>
      <c r="N25" s="154"/>
      <c r="O25" s="152">
        <f t="shared" si="2"/>
        <v>100701.23186200946</v>
      </c>
      <c r="P25" s="152">
        <f t="shared" si="3"/>
        <v>120630.24486200947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7"/>
      <c r="L26" s="154"/>
      <c r="M26" s="152"/>
      <c r="N26" s="154"/>
      <c r="O26" s="152">
        <f t="shared" si="2"/>
        <v>100701.23186200946</v>
      </c>
      <c r="P26" s="152">
        <f t="shared" si="3"/>
        <v>120630.24486200947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152"/>
      <c r="N27" s="154"/>
      <c r="O27" s="152">
        <f t="shared" si="2"/>
        <v>100701.23186200946</v>
      </c>
      <c r="P27" s="152">
        <f t="shared" si="3"/>
        <v>120630.24486200947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7"/>
      <c r="L28" s="154"/>
      <c r="M28" s="152"/>
      <c r="N28" s="154"/>
      <c r="O28" s="152">
        <f t="shared" si="2"/>
        <v>100701.23186200946</v>
      </c>
      <c r="P28" s="152">
        <f t="shared" si="3"/>
        <v>120630.24486200947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7"/>
      <c r="L29" s="154"/>
      <c r="M29" s="152"/>
      <c r="N29" s="157"/>
      <c r="O29" s="152">
        <f t="shared" si="2"/>
        <v>100701.23186200946</v>
      </c>
      <c r="P29" s="152">
        <f t="shared" si="3"/>
        <v>120630.24486200947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7"/>
      <c r="L30" s="154"/>
      <c r="M30" s="152"/>
      <c r="N30" s="157"/>
      <c r="O30" s="152">
        <f t="shared" si="2"/>
        <v>100701.23186200946</v>
      </c>
      <c r="P30" s="152">
        <f t="shared" si="3"/>
        <v>120630.24486200947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0"/>
      <c r="L31" s="154"/>
      <c r="M31" s="152"/>
      <c r="N31" s="157"/>
      <c r="O31" s="152">
        <f t="shared" si="2"/>
        <v>100701.23186200946</v>
      </c>
      <c r="P31" s="152">
        <f t="shared" si="3"/>
        <v>120630.24486200947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152"/>
      <c r="N32" s="157"/>
      <c r="O32" s="152">
        <f t="shared" si="2"/>
        <v>100701.23186200946</v>
      </c>
      <c r="P32" s="152">
        <f t="shared" si="3"/>
        <v>120630.24486200947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152"/>
      <c r="N33" s="157"/>
      <c r="O33" s="152">
        <f t="shared" si="2"/>
        <v>100701.23186200946</v>
      </c>
      <c r="P33" s="152">
        <f t="shared" si="3"/>
        <v>120630.24486200947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0"/>
      <c r="L34" s="154"/>
      <c r="M34" s="152"/>
      <c r="N34" s="157"/>
      <c r="O34" s="152">
        <f t="shared" si="2"/>
        <v>100701.23186200946</v>
      </c>
      <c r="P34" s="152">
        <f t="shared" si="3"/>
        <v>120630.24486200947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0"/>
      <c r="L35" s="154"/>
      <c r="M35" s="152"/>
      <c r="N35" s="157"/>
      <c r="O35" s="152">
        <f t="shared" si="2"/>
        <v>100701.23186200946</v>
      </c>
      <c r="P35" s="152">
        <f t="shared" si="3"/>
        <v>120630.24486200947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152"/>
      <c r="N36" s="157"/>
      <c r="O36" s="152">
        <f t="shared" si="2"/>
        <v>100701.23186200946</v>
      </c>
      <c r="P36" s="152">
        <f t="shared" si="3"/>
        <v>120630.24486200947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0"/>
      <c r="L37" s="154"/>
      <c r="M37" s="152"/>
      <c r="N37" s="157"/>
      <c r="O37" s="152">
        <f t="shared" si="2"/>
        <v>100701.23186200946</v>
      </c>
      <c r="P37" s="152">
        <f t="shared" si="3"/>
        <v>120630.24486200947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0"/>
      <c r="L38" s="154"/>
      <c r="M38" s="152"/>
      <c r="N38" s="157"/>
      <c r="O38" s="152">
        <f t="shared" si="2"/>
        <v>100701.23186200946</v>
      </c>
      <c r="P38" s="152">
        <f t="shared" si="3"/>
        <v>120630.24486200947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152"/>
      <c r="N39" s="157"/>
      <c r="O39" s="152">
        <f t="shared" si="2"/>
        <v>100701.23186200946</v>
      </c>
      <c r="P39" s="152">
        <f t="shared" si="3"/>
        <v>120630.24486200947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152"/>
      <c r="N40" s="157"/>
      <c r="O40" s="152">
        <f t="shared" si="2"/>
        <v>100701.23186200946</v>
      </c>
      <c r="P40" s="152">
        <f t="shared" si="3"/>
        <v>120630.24486200947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152"/>
      <c r="N41" s="157"/>
      <c r="O41" s="152">
        <f t="shared" si="2"/>
        <v>100701.23186200946</v>
      </c>
      <c r="P41" s="152">
        <f t="shared" si="3"/>
        <v>120630.24486200947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152"/>
      <c r="N42" s="157"/>
      <c r="O42" s="152">
        <f t="shared" si="2"/>
        <v>100701.23186200946</v>
      </c>
      <c r="P42" s="152">
        <f t="shared" si="3"/>
        <v>120630.24486200947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7"/>
      <c r="L43" s="154"/>
      <c r="M43" s="152"/>
      <c r="N43" s="157"/>
      <c r="O43" s="152">
        <f t="shared" si="2"/>
        <v>100701.23186200946</v>
      </c>
      <c r="P43" s="152">
        <f t="shared" si="3"/>
        <v>120630.24486200947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2"/>
        <v>100701.23186200946</v>
      </c>
      <c r="P44" s="152">
        <f t="shared" si="3"/>
        <v>120630.24486200947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2"/>
        <v>100701.23186200946</v>
      </c>
      <c r="P45" s="152">
        <f t="shared" si="3"/>
        <v>120630.24486200947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2"/>
        <v>100701.23186200946</v>
      </c>
      <c r="P46" s="152">
        <f t="shared" si="3"/>
        <v>120630.24486200947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2"/>
        <v>100701.23186200946</v>
      </c>
      <c r="P47" s="152">
        <f t="shared" si="3"/>
        <v>120630.24486200947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2"/>
        <v>100701.23186200946</v>
      </c>
      <c r="P48" s="152">
        <f t="shared" si="3"/>
        <v>120630.24486200947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2"/>
        <v>100701.23186200946</v>
      </c>
      <c r="P49" s="152">
        <f t="shared" si="3"/>
        <v>120630.24486200947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2"/>
        <v>100701.23186200946</v>
      </c>
      <c r="P50" s="152">
        <f t="shared" si="3"/>
        <v>120630.24486200947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2"/>
        <v>100701.23186200946</v>
      </c>
      <c r="P51" s="152">
        <f t="shared" si="3"/>
        <v>120630.24486200947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0"/>
      <c r="L52" s="154"/>
      <c r="M52" s="152"/>
      <c r="N52" s="157"/>
      <c r="O52" s="152">
        <f t="shared" si="2"/>
        <v>100701.23186200946</v>
      </c>
      <c r="P52" s="152">
        <f t="shared" si="3"/>
        <v>120630.24486200947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0"/>
      <c r="L53" s="154"/>
      <c r="M53" s="152"/>
      <c r="N53" s="157"/>
      <c r="O53" s="152">
        <f t="shared" si="2"/>
        <v>100701.23186200946</v>
      </c>
      <c r="P53" s="152">
        <f t="shared" si="3"/>
        <v>120630.24486200947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2"/>
        <v>100701.23186200946</v>
      </c>
      <c r="P54" s="152">
        <f t="shared" si="3"/>
        <v>120630.24486200947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0"/>
      <c r="L55" s="154"/>
      <c r="M55" s="152"/>
      <c r="N55" s="157"/>
      <c r="O55" s="152">
        <f t="shared" si="2"/>
        <v>100701.23186200946</v>
      </c>
      <c r="P55" s="152">
        <f t="shared" si="3"/>
        <v>120630.24486200947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152"/>
      <c r="N56" s="157"/>
      <c r="O56" s="152">
        <f t="shared" si="2"/>
        <v>100701.23186200946</v>
      </c>
      <c r="P56" s="152">
        <f t="shared" si="3"/>
        <v>120630.24486200947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152"/>
      <c r="N57" s="157"/>
      <c r="O57" s="152">
        <f t="shared" si="2"/>
        <v>100701.23186200946</v>
      </c>
      <c r="P57" s="152">
        <f t="shared" si="3"/>
        <v>120630.24486200947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152"/>
      <c r="N58" s="157"/>
      <c r="O58" s="152">
        <f t="shared" si="2"/>
        <v>100701.23186200946</v>
      </c>
      <c r="P58" s="152">
        <f t="shared" si="3"/>
        <v>120630.24486200947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4"/>
      <c r="L59" s="154"/>
      <c r="M59" s="152"/>
      <c r="N59" s="157"/>
      <c r="O59" s="152">
        <f t="shared" si="2"/>
        <v>100701.23186200946</v>
      </c>
      <c r="P59" s="152">
        <f t="shared" si="3"/>
        <v>120630.24486200947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4"/>
      <c r="L60" s="154"/>
      <c r="M60" s="152"/>
      <c r="N60" s="157"/>
      <c r="O60" s="152">
        <f t="shared" si="2"/>
        <v>100701.23186200946</v>
      </c>
      <c r="P60" s="152">
        <f t="shared" si="3"/>
        <v>120630.24486200947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4"/>
      <c r="L61" s="154"/>
      <c r="M61" s="152"/>
      <c r="N61" s="157"/>
      <c r="O61" s="152">
        <f t="shared" si="2"/>
        <v>100701.23186200946</v>
      </c>
      <c r="P61" s="152">
        <f t="shared" si="3"/>
        <v>120630.24486200947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2"/>
        <v>100701.23186200946</v>
      </c>
      <c r="P62" s="152">
        <f t="shared" si="3"/>
        <v>120630.24486200947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7"/>
      <c r="O63" s="152">
        <f t="shared" si="2"/>
        <v>100701.23186200946</v>
      </c>
      <c r="P63" s="152">
        <f t="shared" si="3"/>
        <v>120630.24486200947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0"/>
      <c r="L64" s="154"/>
      <c r="M64" s="152"/>
      <c r="N64" s="157"/>
      <c r="O64" s="152">
        <f t="shared" si="2"/>
        <v>100701.23186200946</v>
      </c>
      <c r="P64" s="152">
        <f t="shared" si="3"/>
        <v>120630.24486200947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0"/>
      <c r="L65" s="154"/>
      <c r="M65" s="152"/>
      <c r="N65" s="157"/>
      <c r="O65" s="152">
        <f t="shared" si="2"/>
        <v>100701.23186200946</v>
      </c>
      <c r="P65" s="152">
        <f t="shared" si="3"/>
        <v>120630.24486200947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2"/>
        <v>100701.23186200946</v>
      </c>
      <c r="P66" s="152">
        <f t="shared" si="3"/>
        <v>120630.24486200947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2"/>
        <v>100701.23186200946</v>
      </c>
      <c r="P67" s="152">
        <f t="shared" si="3"/>
        <v>120630.24486200947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2"/>
        <v>100701.23186200946</v>
      </c>
      <c r="P68" s="152">
        <f t="shared" si="3"/>
        <v>120630.24486200947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2"/>
        <v>100701.23186200946</v>
      </c>
      <c r="P69" s="152">
        <f t="shared" si="3"/>
        <v>120630.24486200947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2"/>
        <v>100701.23186200946</v>
      </c>
      <c r="P70" s="152">
        <f t="shared" si="3"/>
        <v>120630.24486200947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9"/>
      <c r="L71" s="154"/>
      <c r="M71" s="152"/>
      <c r="N71" s="157"/>
      <c r="O71" s="152">
        <f t="shared" si="2"/>
        <v>100701.23186200946</v>
      </c>
      <c r="P71" s="152">
        <f t="shared" si="3"/>
        <v>120630.24486200947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9"/>
      <c r="L72" s="154"/>
      <c r="M72" s="152"/>
      <c r="N72" s="157"/>
      <c r="O72" s="152">
        <f t="shared" si="2"/>
        <v>100701.23186200946</v>
      </c>
      <c r="P72" s="152">
        <f t="shared" si="3"/>
        <v>120630.24486200947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9"/>
      <c r="L73" s="154"/>
      <c r="M73" s="152"/>
      <c r="N73" s="157"/>
      <c r="O73" s="152">
        <f t="shared" si="2"/>
        <v>100701.23186200946</v>
      </c>
      <c r="P73" s="152">
        <f t="shared" si="3"/>
        <v>120630.24486200947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2"/>
        <v>100701.23186200946</v>
      </c>
      <c r="P74" s="152">
        <f t="shared" si="3"/>
        <v>120630.24486200947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2"/>
        <v>100701.23186200946</v>
      </c>
      <c r="P75" s="152">
        <f t="shared" si="3"/>
        <v>120630.24486200947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7"/>
      <c r="O76" s="152">
        <f t="shared" si="2"/>
        <v>100701.23186200946</v>
      </c>
      <c r="P76" s="152">
        <f t="shared" si="3"/>
        <v>120630.24486200947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7"/>
      <c r="L77" s="154"/>
      <c r="M77" s="152"/>
      <c r="N77" s="157"/>
      <c r="O77" s="152">
        <f t="shared" ref="O77:O92" si="4">+O76-J77-M77</f>
        <v>100701.23186200946</v>
      </c>
      <c r="P77" s="152">
        <f t="shared" ref="P77:P92" si="5">P76+H77-J77-M77</f>
        <v>120630.24486200947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7"/>
      <c r="L78" s="154"/>
      <c r="M78" s="152"/>
      <c r="N78" s="150"/>
      <c r="O78" s="152">
        <f t="shared" si="4"/>
        <v>100701.23186200946</v>
      </c>
      <c r="P78" s="152">
        <f t="shared" si="5"/>
        <v>120630.24486200947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9"/>
      <c r="L79" s="154"/>
      <c r="M79" s="152"/>
      <c r="N79" s="157"/>
      <c r="O79" s="152">
        <f t="shared" si="4"/>
        <v>100701.23186200946</v>
      </c>
      <c r="P79" s="152">
        <f t="shared" si="5"/>
        <v>120630.24486200947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9"/>
      <c r="L80" s="154"/>
      <c r="M80" s="152"/>
      <c r="N80" s="157"/>
      <c r="O80" s="152">
        <f t="shared" si="4"/>
        <v>100701.23186200946</v>
      </c>
      <c r="P80" s="152">
        <f t="shared" si="5"/>
        <v>120630.24486200947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9"/>
      <c r="L81" s="154"/>
      <c r="M81" s="152"/>
      <c r="N81" s="157"/>
      <c r="O81" s="152">
        <f t="shared" si="4"/>
        <v>100701.23186200946</v>
      </c>
      <c r="P81" s="152">
        <f t="shared" si="5"/>
        <v>120630.24486200947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4"/>
        <v>100701.23186200946</v>
      </c>
      <c r="P82" s="152">
        <f t="shared" si="5"/>
        <v>120630.24486200947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7"/>
      <c r="L83" s="154"/>
      <c r="M83" s="152"/>
      <c r="N83" s="157"/>
      <c r="O83" s="152">
        <f t="shared" si="4"/>
        <v>100701.23186200946</v>
      </c>
      <c r="P83" s="152">
        <f t="shared" si="5"/>
        <v>120630.24486200947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7"/>
      <c r="L84" s="154"/>
      <c r="M84" s="152"/>
      <c r="N84" s="157"/>
      <c r="O84" s="152">
        <f t="shared" si="4"/>
        <v>100701.23186200946</v>
      </c>
      <c r="P84" s="152">
        <f t="shared" si="5"/>
        <v>120630.24486200947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9"/>
      <c r="L85" s="154"/>
      <c r="M85" s="152"/>
      <c r="N85" s="157"/>
      <c r="O85" s="152">
        <f t="shared" si="4"/>
        <v>100701.23186200946</v>
      </c>
      <c r="P85" s="152">
        <f t="shared" si="5"/>
        <v>120630.24486200947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9"/>
      <c r="L86" s="154"/>
      <c r="M86" s="152"/>
      <c r="N86" s="157"/>
      <c r="O86" s="152">
        <f t="shared" si="4"/>
        <v>100701.23186200946</v>
      </c>
      <c r="P86" s="152">
        <f t="shared" si="5"/>
        <v>120630.24486200947</v>
      </c>
    </row>
    <row r="87" spans="1:16" hidden="1" x14ac:dyDescent="0.15">
      <c r="A87" s="154"/>
      <c r="B87" s="151"/>
      <c r="C87" s="152"/>
      <c r="D87" s="153"/>
      <c r="E87" s="154"/>
      <c r="F87" s="160"/>
      <c r="G87" s="151"/>
      <c r="H87" s="152"/>
      <c r="I87" s="153"/>
      <c r="J87" s="152"/>
      <c r="K87" s="159"/>
      <c r="L87" s="154"/>
      <c r="M87" s="152"/>
      <c r="N87" s="157"/>
      <c r="O87" s="152">
        <f t="shared" si="4"/>
        <v>100701.23186200946</v>
      </c>
      <c r="P87" s="152">
        <f t="shared" si="5"/>
        <v>120630.24486200947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9"/>
      <c r="L88" s="154"/>
      <c r="M88" s="152"/>
      <c r="N88" s="157"/>
      <c r="O88" s="152">
        <f t="shared" si="4"/>
        <v>100701.23186200946</v>
      </c>
      <c r="P88" s="152">
        <f t="shared" si="5"/>
        <v>120630.24486200947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0"/>
      <c r="L89" s="154"/>
      <c r="M89" s="152"/>
      <c r="N89" s="157"/>
      <c r="O89" s="152">
        <f t="shared" si="4"/>
        <v>100701.23186200946</v>
      </c>
      <c r="P89" s="152">
        <f t="shared" si="5"/>
        <v>120630.24486200947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7"/>
      <c r="L90" s="154"/>
      <c r="M90" s="152"/>
      <c r="N90" s="150"/>
      <c r="O90" s="152">
        <f t="shared" si="4"/>
        <v>100701.23186200946</v>
      </c>
      <c r="P90" s="152">
        <f t="shared" si="5"/>
        <v>120630.24486200947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4"/>
        <v>100701.23186200946</v>
      </c>
      <c r="P91" s="152">
        <f t="shared" si="5"/>
        <v>120630.24486200947</v>
      </c>
    </row>
    <row r="92" spans="1:16" x14ac:dyDescent="0.15">
      <c r="A92" s="173"/>
      <c r="B92" s="173"/>
      <c r="C92" s="174"/>
      <c r="D92" s="175"/>
      <c r="E92" s="173"/>
      <c r="F92" s="173"/>
      <c r="G92" s="176"/>
      <c r="H92" s="174"/>
      <c r="I92" s="175"/>
      <c r="J92" s="174"/>
      <c r="K92" s="173"/>
      <c r="L92" s="173"/>
      <c r="M92" s="174"/>
      <c r="N92" s="173"/>
      <c r="O92" s="152">
        <f t="shared" si="4"/>
        <v>100701.23186200946</v>
      </c>
      <c r="P92" s="152">
        <f t="shared" si="5"/>
        <v>120630.24486200947</v>
      </c>
    </row>
    <row r="93" spans="1:16" x14ac:dyDescent="0.15">
      <c r="A93" s="177"/>
      <c r="B93" s="177"/>
      <c r="C93" s="178">
        <f>SUM(C7:C91)</f>
        <v>128293.28486200946</v>
      </c>
      <c r="D93" s="177"/>
      <c r="E93" s="177"/>
      <c r="F93" s="177"/>
      <c r="G93" s="177"/>
      <c r="H93" s="178">
        <f>SUM(H7:H91)</f>
        <v>0</v>
      </c>
      <c r="I93" s="179"/>
      <c r="J93" s="178">
        <f>SUM(J7:J91)</f>
        <v>7663.04</v>
      </c>
      <c r="K93" s="177"/>
      <c r="L93" s="177"/>
      <c r="M93" s="178">
        <f>SUM(M9:M91)</f>
        <v>0</v>
      </c>
      <c r="N93" s="177"/>
      <c r="O93" s="180"/>
      <c r="P93" s="181">
        <f>C93+H93-J93-M93</f>
        <v>120630.24486200947</v>
      </c>
    </row>
    <row r="94" spans="1:16" x14ac:dyDescent="0.15">
      <c r="A94" s="182"/>
      <c r="B94" s="465"/>
      <c r="C94" s="465"/>
      <c r="D94" s="465"/>
      <c r="E94" s="183"/>
      <c r="F94" s="472"/>
      <c r="G94" s="472"/>
      <c r="H94" s="185"/>
      <c r="I94" s="186"/>
      <c r="J94" s="187"/>
      <c r="K94" s="188"/>
      <c r="L94" s="189" t="s">
        <v>139</v>
      </c>
      <c r="M94" s="190">
        <f>+M93+J93</f>
        <v>7663.04</v>
      </c>
      <c r="N94" s="188"/>
      <c r="O94" s="191">
        <f>+O92</f>
        <v>100701.23186200946</v>
      </c>
      <c r="P94" s="192" t="s">
        <v>341</v>
      </c>
    </row>
    <row r="95" spans="1:16" s="167" customFormat="1" x14ac:dyDescent="0.15">
      <c r="A95" s="193"/>
      <c r="B95" s="470"/>
      <c r="C95" s="470"/>
      <c r="D95" s="470"/>
      <c r="E95" s="183"/>
      <c r="F95" s="472"/>
      <c r="G95" s="472"/>
      <c r="H95" s="185"/>
      <c r="I95" s="186"/>
      <c r="J95" s="187"/>
      <c r="K95" s="210"/>
      <c r="L95" s="188"/>
      <c r="M95" s="190"/>
      <c r="N95" s="188"/>
      <c r="O95" s="191">
        <f>+C8</f>
        <v>19929.012999999999</v>
      </c>
      <c r="P95" s="195" t="s">
        <v>360</v>
      </c>
    </row>
    <row r="96" spans="1:16" s="167" customFormat="1" hidden="1" x14ac:dyDescent="0.15">
      <c r="A96" s="193"/>
      <c r="B96" s="470"/>
      <c r="C96" s="470"/>
      <c r="D96" s="470"/>
      <c r="E96" s="183"/>
      <c r="F96" s="472"/>
      <c r="G96" s="472"/>
      <c r="H96" s="185"/>
      <c r="I96" s="186"/>
      <c r="J96" s="187"/>
      <c r="K96" s="210"/>
      <c r="L96" s="188"/>
      <c r="M96" s="190"/>
      <c r="N96" s="188"/>
      <c r="O96" s="191"/>
      <c r="P96" s="192"/>
    </row>
    <row r="97" spans="1:16" s="167" customFormat="1" hidden="1" x14ac:dyDescent="0.15">
      <c r="A97" s="193"/>
      <c r="B97" s="470"/>
      <c r="C97" s="470"/>
      <c r="D97" s="470"/>
      <c r="E97" s="183"/>
      <c r="F97" s="472"/>
      <c r="G97" s="472"/>
      <c r="H97" s="185"/>
      <c r="I97" s="186"/>
      <c r="J97" s="187"/>
      <c r="K97" s="210"/>
      <c r="L97" s="188"/>
      <c r="M97" s="190"/>
      <c r="N97" s="188"/>
      <c r="O97" s="191"/>
      <c r="P97" s="195"/>
    </row>
    <row r="98" spans="1:16" s="167" customFormat="1" ht="11.25" hidden="1" customHeight="1" x14ac:dyDescent="0.15">
      <c r="A98" s="193"/>
      <c r="B98" s="470"/>
      <c r="C98" s="470"/>
      <c r="D98" s="470"/>
      <c r="E98" s="183"/>
      <c r="F98" s="472"/>
      <c r="G98" s="472"/>
      <c r="H98" s="185"/>
      <c r="I98" s="186"/>
      <c r="J98" s="187"/>
      <c r="K98" s="210"/>
      <c r="L98" s="188"/>
      <c r="M98" s="190"/>
      <c r="N98" s="188"/>
      <c r="O98" s="191"/>
      <c r="P98" s="195"/>
    </row>
    <row r="99" spans="1:16" s="167" customFormat="1" ht="11.25" hidden="1" customHeight="1" x14ac:dyDescent="0.15">
      <c r="A99" s="193"/>
      <c r="B99" s="470"/>
      <c r="C99" s="470"/>
      <c r="D99" s="470"/>
      <c r="E99" s="183"/>
      <c r="F99" s="472"/>
      <c r="G99" s="472"/>
      <c r="H99" s="185"/>
      <c r="I99" s="186"/>
      <c r="J99" s="187"/>
      <c r="K99" s="210"/>
      <c r="L99" s="188"/>
      <c r="M99" s="190"/>
      <c r="N99" s="188"/>
      <c r="O99" s="191"/>
      <c r="P99" s="195"/>
    </row>
    <row r="100" spans="1:16" s="167" customFormat="1" ht="11.25" hidden="1" customHeight="1" x14ac:dyDescent="0.15">
      <c r="A100" s="193"/>
      <c r="B100" s="470"/>
      <c r="C100" s="470"/>
      <c r="D100" s="470"/>
      <c r="E100" s="183"/>
      <c r="F100" s="472"/>
      <c r="G100" s="472"/>
      <c r="H100" s="185"/>
      <c r="I100" s="186"/>
      <c r="J100" s="187"/>
      <c r="K100" s="210"/>
      <c r="L100" s="188"/>
      <c r="M100" s="190"/>
      <c r="N100" s="188"/>
      <c r="O100" s="191"/>
      <c r="P100" s="195"/>
    </row>
    <row r="101" spans="1:16" s="167" customFormat="1" ht="11.25" hidden="1" customHeight="1" x14ac:dyDescent="0.15">
      <c r="A101" s="193"/>
      <c r="B101" s="470"/>
      <c r="C101" s="470"/>
      <c r="D101" s="470"/>
      <c r="E101" s="183"/>
      <c r="F101" s="472"/>
      <c r="G101" s="472"/>
      <c r="H101" s="185"/>
      <c r="I101" s="186"/>
      <c r="J101" s="187"/>
      <c r="K101" s="210"/>
      <c r="L101" s="188"/>
      <c r="M101" s="190"/>
      <c r="N101" s="188"/>
      <c r="O101" s="191"/>
      <c r="P101" s="195"/>
    </row>
    <row r="102" spans="1:16" s="167" customFormat="1" ht="11.25" hidden="1" customHeight="1" x14ac:dyDescent="0.15">
      <c r="A102" s="193"/>
      <c r="B102" s="470"/>
      <c r="C102" s="470"/>
      <c r="D102" s="470"/>
      <c r="E102" s="183"/>
      <c r="F102" s="472"/>
      <c r="G102" s="472"/>
      <c r="H102" s="185"/>
      <c r="I102" s="186"/>
      <c r="J102" s="187"/>
      <c r="K102" s="210"/>
      <c r="L102" s="188"/>
      <c r="M102" s="190"/>
      <c r="N102" s="188"/>
      <c r="O102" s="191"/>
      <c r="P102" s="195"/>
    </row>
    <row r="103" spans="1:16" s="167" customFormat="1" ht="11.25" hidden="1" customHeight="1" x14ac:dyDescent="0.15">
      <c r="A103" s="193"/>
      <c r="B103" s="470"/>
      <c r="C103" s="470"/>
      <c r="D103" s="470"/>
      <c r="E103" s="183"/>
      <c r="F103" s="472"/>
      <c r="G103" s="472"/>
      <c r="H103" s="185"/>
      <c r="I103" s="186"/>
      <c r="J103" s="187"/>
      <c r="K103" s="210"/>
      <c r="L103" s="188"/>
      <c r="M103" s="190"/>
      <c r="N103" s="188"/>
      <c r="O103" s="191"/>
      <c r="P103" s="195"/>
    </row>
    <row r="104" spans="1:16" s="167" customFormat="1" ht="11.25" hidden="1" customHeight="1" x14ac:dyDescent="0.15">
      <c r="A104" s="193"/>
      <c r="B104" s="470"/>
      <c r="C104" s="470"/>
      <c r="D104" s="470"/>
      <c r="E104" s="183"/>
      <c r="F104" s="472"/>
      <c r="G104" s="472"/>
      <c r="H104" s="185"/>
      <c r="I104" s="186"/>
      <c r="J104" s="187"/>
      <c r="K104" s="210"/>
      <c r="L104" s="188"/>
      <c r="M104" s="190"/>
      <c r="N104" s="188"/>
      <c r="O104" s="191"/>
      <c r="P104" s="195"/>
    </row>
    <row r="105" spans="1:16" s="167" customFormat="1" ht="11.25" hidden="1" customHeight="1" x14ac:dyDescent="0.15">
      <c r="A105" s="193"/>
      <c r="B105" s="470"/>
      <c r="C105" s="470"/>
      <c r="D105" s="470"/>
      <c r="E105" s="183"/>
      <c r="F105" s="472"/>
      <c r="G105" s="472"/>
      <c r="H105" s="185"/>
      <c r="I105" s="186"/>
      <c r="J105" s="187"/>
      <c r="K105" s="210"/>
      <c r="L105" s="188"/>
      <c r="M105" s="190"/>
      <c r="N105" s="188"/>
      <c r="O105" s="191"/>
      <c r="P105" s="195"/>
    </row>
    <row r="106" spans="1:16" s="167" customFormat="1" x14ac:dyDescent="0.15">
      <c r="A106" s="193"/>
      <c r="B106" s="470"/>
      <c r="C106" s="470"/>
      <c r="D106" s="470"/>
      <c r="E106" s="183"/>
      <c r="F106" s="472"/>
      <c r="G106" s="472"/>
      <c r="H106" s="185"/>
      <c r="I106" s="186"/>
      <c r="J106" s="187"/>
      <c r="K106" s="210"/>
      <c r="L106" s="188"/>
      <c r="M106" s="190"/>
      <c r="N106" s="188"/>
      <c r="O106" s="206" t="s">
        <v>33</v>
      </c>
      <c r="P106" s="207">
        <f>SUM(O94:O104)</f>
        <v>120630.24486200945</v>
      </c>
    </row>
    <row r="107" spans="1:16" s="167" customFormat="1" x14ac:dyDescent="0.15">
      <c r="A107" s="193"/>
      <c r="B107" s="470"/>
      <c r="C107" s="470"/>
      <c r="D107" s="470"/>
      <c r="E107" s="183"/>
      <c r="F107" s="472"/>
      <c r="G107" s="472"/>
      <c r="H107" s="185"/>
      <c r="I107" s="186"/>
      <c r="J107" s="187"/>
      <c r="K107" s="210"/>
      <c r="L107" s="188"/>
      <c r="M107" s="190"/>
      <c r="N107" s="188"/>
      <c r="O107" s="190"/>
      <c r="P107" s="197">
        <f>+P93-P106</f>
        <v>0</v>
      </c>
    </row>
    <row r="108" spans="1:16" s="167" customFormat="1" x14ac:dyDescent="0.15">
      <c r="A108" s="193"/>
      <c r="B108" s="470"/>
      <c r="C108" s="470"/>
      <c r="D108" s="470"/>
      <c r="E108" s="183"/>
      <c r="F108" s="472"/>
      <c r="G108" s="472"/>
      <c r="H108" s="185"/>
      <c r="I108" s="186"/>
      <c r="J108" s="187"/>
      <c r="K108" s="210"/>
      <c r="L108" s="188"/>
      <c r="M108" s="190"/>
      <c r="N108" s="188"/>
      <c r="O108" s="188"/>
      <c r="P108" s="198"/>
    </row>
    <row r="109" spans="1:16" x14ac:dyDescent="0.15">
      <c r="A109" s="135"/>
      <c r="B109" s="214"/>
      <c r="C109" s="138"/>
      <c r="D109" s="215"/>
      <c r="E109" s="215"/>
      <c r="F109" s="135"/>
      <c r="G109" s="215"/>
      <c r="H109" s="138"/>
      <c r="I109" s="215"/>
      <c r="J109" s="138"/>
      <c r="K109" s="216"/>
      <c r="L109" s="215"/>
    </row>
    <row r="110" spans="1:16" x14ac:dyDescent="0.15">
      <c r="A110" s="135"/>
      <c r="B110" s="214"/>
      <c r="C110" s="138"/>
      <c r="D110" s="215"/>
      <c r="E110" s="215"/>
      <c r="F110" s="135"/>
      <c r="G110" s="215"/>
      <c r="H110" s="138"/>
      <c r="I110" s="215"/>
      <c r="J110" s="138"/>
      <c r="K110" s="216"/>
      <c r="L110" s="215"/>
    </row>
    <row r="111" spans="1:16" x14ac:dyDescent="0.15">
      <c r="A111" s="135"/>
      <c r="B111" s="214"/>
      <c r="C111" s="138"/>
      <c r="D111" s="215"/>
      <c r="E111" s="215"/>
      <c r="F111" s="135"/>
      <c r="G111" s="215"/>
      <c r="H111" s="138"/>
      <c r="I111" s="215"/>
      <c r="J111" s="138"/>
      <c r="K111" s="216"/>
      <c r="L111" s="215"/>
    </row>
    <row r="112" spans="1:16" x14ac:dyDescent="0.15">
      <c r="A112" s="135"/>
      <c r="B112" s="214"/>
      <c r="C112" s="138"/>
      <c r="D112" s="215"/>
      <c r="E112" s="215"/>
      <c r="F112" s="135"/>
      <c r="G112" s="215"/>
      <c r="H112" s="138"/>
      <c r="I112" s="215"/>
      <c r="J112" s="138"/>
      <c r="K112" s="216"/>
      <c r="L112" s="215"/>
    </row>
    <row r="113" spans="1:16" s="133" customFormat="1" x14ac:dyDescent="0.15">
      <c r="A113" s="135"/>
      <c r="B113" s="214"/>
      <c r="C113" s="138"/>
      <c r="D113" s="215"/>
      <c r="E113" s="215"/>
      <c r="F113" s="135"/>
      <c r="G113" s="215"/>
      <c r="H113" s="138"/>
      <c r="I113" s="215"/>
      <c r="J113" s="138"/>
      <c r="K113" s="216"/>
      <c r="L113" s="215"/>
      <c r="M113" s="132"/>
      <c r="N113" s="134"/>
      <c r="O113" s="132"/>
      <c r="P113" s="132"/>
    </row>
    <row r="114" spans="1:16" x14ac:dyDescent="0.15">
      <c r="A114" s="135"/>
      <c r="B114" s="214"/>
      <c r="C114" s="138"/>
      <c r="D114" s="215"/>
      <c r="E114" s="215"/>
      <c r="F114" s="135"/>
      <c r="G114" s="215"/>
      <c r="H114" s="138"/>
      <c r="I114" s="215"/>
      <c r="J114" s="138"/>
      <c r="K114" s="135"/>
      <c r="L114" s="215"/>
    </row>
    <row r="115" spans="1:16" x14ac:dyDescent="0.15">
      <c r="A115" s="135"/>
      <c r="B115" s="214"/>
      <c r="C115" s="138"/>
      <c r="D115" s="215"/>
      <c r="E115" s="215"/>
      <c r="F115" s="135"/>
      <c r="G115" s="215"/>
      <c r="H115" s="138"/>
      <c r="I115" s="215"/>
      <c r="J115" s="138"/>
      <c r="K115" s="135"/>
      <c r="L115" s="215"/>
    </row>
  </sheetData>
  <mergeCells count="36">
    <mergeCell ref="J3:L3"/>
    <mergeCell ref="A4:C4"/>
    <mergeCell ref="D4:H4"/>
    <mergeCell ref="I4:N4"/>
    <mergeCell ref="J5:K5"/>
    <mergeCell ref="L5:N5"/>
    <mergeCell ref="B94:D94"/>
    <mergeCell ref="F94:G94"/>
    <mergeCell ref="B95:D95"/>
    <mergeCell ref="F95:G95"/>
    <mergeCell ref="B96:D96"/>
    <mergeCell ref="F96:G96"/>
    <mergeCell ref="B97:D97"/>
    <mergeCell ref="F97:G97"/>
    <mergeCell ref="B98:D98"/>
    <mergeCell ref="F98:G98"/>
    <mergeCell ref="B99:D99"/>
    <mergeCell ref="F99:G99"/>
    <mergeCell ref="B100:D100"/>
    <mergeCell ref="F100:G100"/>
    <mergeCell ref="B101:D101"/>
    <mergeCell ref="F101:G101"/>
    <mergeCell ref="B102:D102"/>
    <mergeCell ref="F102:G102"/>
    <mergeCell ref="B103:D103"/>
    <mergeCell ref="F103:G103"/>
    <mergeCell ref="B104:D104"/>
    <mergeCell ref="F104:G104"/>
    <mergeCell ref="B105:D105"/>
    <mergeCell ref="F105:G105"/>
    <mergeCell ref="B106:D106"/>
    <mergeCell ref="F106:G106"/>
    <mergeCell ref="B107:D107"/>
    <mergeCell ref="F107:G107"/>
    <mergeCell ref="B108:D108"/>
    <mergeCell ref="F108:G108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opLeftCell="G1" zoomScale="115" zoomScaleNormal="115" workbookViewId="0">
      <pane ySplit="6" topLeftCell="A7" activePane="bottomLeft" state="frozen"/>
      <selection pane="bottomLeft" activeCell="O240" sqref="O240:P240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350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341</v>
      </c>
      <c r="B7" s="146"/>
      <c r="C7" s="147">
        <v>114560.27186200945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114560.27186200945</v>
      </c>
      <c r="P7" s="147">
        <f>+C234</f>
        <v>114560.27186200945</v>
      </c>
    </row>
    <row r="8" spans="1:16" x14ac:dyDescent="0.15">
      <c r="A8" s="154"/>
      <c r="B8" s="151"/>
      <c r="C8" s="152"/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114560.27186200945</v>
      </c>
      <c r="P8" s="152">
        <f t="shared" ref="P8" si="0">P7+H8-J8-M8</f>
        <v>114560.27186200945</v>
      </c>
    </row>
    <row r="9" spans="1:16" x14ac:dyDescent="0.15">
      <c r="A9" s="154"/>
      <c r="B9" s="151"/>
      <c r="C9" s="152"/>
      <c r="D9" s="154" t="s">
        <v>359</v>
      </c>
      <c r="E9" s="154" t="s">
        <v>72</v>
      </c>
      <c r="F9" s="154" t="s">
        <v>360</v>
      </c>
      <c r="G9" s="154"/>
      <c r="H9" s="152">
        <v>19929.012999999999</v>
      </c>
      <c r="I9" s="153" t="s">
        <v>359</v>
      </c>
      <c r="J9" s="152"/>
      <c r="K9" s="154"/>
      <c r="L9" s="154"/>
      <c r="M9" s="152"/>
      <c r="N9" s="154"/>
      <c r="O9" s="152">
        <f t="shared" ref="O9:O72" si="1">+O8-J9-M9</f>
        <v>114560.27186200945</v>
      </c>
      <c r="P9" s="152">
        <f t="shared" ref="P9:P72" si="2">P8+H9-J9-M9</f>
        <v>134489.28486200946</v>
      </c>
    </row>
    <row r="10" spans="1:16" x14ac:dyDescent="0.15">
      <c r="A10" s="154"/>
      <c r="B10" s="151"/>
      <c r="C10" s="152"/>
      <c r="D10" s="153"/>
      <c r="E10" s="154"/>
      <c r="F10" s="157"/>
      <c r="G10" s="154"/>
      <c r="H10" s="152"/>
      <c r="I10" s="154" t="s">
        <v>351</v>
      </c>
      <c r="J10" s="152">
        <v>256</v>
      </c>
      <c r="K10" s="154" t="s">
        <v>341</v>
      </c>
      <c r="L10" s="154"/>
      <c r="M10" s="152"/>
      <c r="N10" s="150"/>
      <c r="O10" s="152">
        <f t="shared" si="1"/>
        <v>114304.27186200945</v>
      </c>
      <c r="P10" s="152">
        <f t="shared" si="2"/>
        <v>134233.28486200946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352</v>
      </c>
      <c r="J11" s="152">
        <v>578</v>
      </c>
      <c r="K11" s="150" t="s">
        <v>341</v>
      </c>
      <c r="L11" s="154"/>
      <c r="M11" s="152"/>
      <c r="N11" s="150"/>
      <c r="O11" s="152">
        <f t="shared" si="1"/>
        <v>113726.27186200945</v>
      </c>
      <c r="P11" s="152">
        <f t="shared" si="2"/>
        <v>133655.28486200946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3" t="s">
        <v>353</v>
      </c>
      <c r="J12" s="152">
        <v>259</v>
      </c>
      <c r="K12" s="150" t="s">
        <v>341</v>
      </c>
      <c r="L12" s="154"/>
      <c r="M12" s="152"/>
      <c r="N12" s="150"/>
      <c r="O12" s="152">
        <f t="shared" si="1"/>
        <v>113467.27186200945</v>
      </c>
      <c r="P12" s="152">
        <f t="shared" si="2"/>
        <v>133396.28486200946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354</v>
      </c>
      <c r="J13" s="152">
        <v>1487</v>
      </c>
      <c r="K13" s="150" t="s">
        <v>341</v>
      </c>
      <c r="L13" s="154"/>
      <c r="M13" s="152"/>
      <c r="N13" s="154"/>
      <c r="O13" s="152">
        <f t="shared" si="1"/>
        <v>111980.27186200945</v>
      </c>
      <c r="P13" s="152">
        <f t="shared" si="2"/>
        <v>131909.28486200946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355</v>
      </c>
      <c r="J14" s="152">
        <v>2047</v>
      </c>
      <c r="K14" s="150" t="s">
        <v>341</v>
      </c>
      <c r="L14" s="154"/>
      <c r="M14" s="152"/>
      <c r="N14" s="154"/>
      <c r="O14" s="152">
        <f t="shared" si="1"/>
        <v>109933.27186200945</v>
      </c>
      <c r="P14" s="152">
        <f t="shared" si="2"/>
        <v>129862.28486200946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356</v>
      </c>
      <c r="J15" s="152">
        <v>490</v>
      </c>
      <c r="K15" s="150" t="s">
        <v>341</v>
      </c>
      <c r="L15" s="154"/>
      <c r="M15" s="152"/>
      <c r="N15" s="154"/>
      <c r="O15" s="152">
        <f t="shared" si="1"/>
        <v>109443.27186200945</v>
      </c>
      <c r="P15" s="152">
        <f t="shared" si="2"/>
        <v>129372.28486200946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357</v>
      </c>
      <c r="J16" s="152">
        <v>1079</v>
      </c>
      <c r="K16" s="150" t="s">
        <v>341</v>
      </c>
      <c r="L16" s="154"/>
      <c r="M16" s="152"/>
      <c r="N16" s="154"/>
      <c r="O16" s="152">
        <f t="shared" si="1"/>
        <v>108364.27186200945</v>
      </c>
      <c r="P16" s="152">
        <f t="shared" si="2"/>
        <v>128293.28486200946</v>
      </c>
    </row>
    <row r="17" spans="1:16" hidden="1" x14ac:dyDescent="0.15">
      <c r="A17" s="154"/>
      <c r="B17" s="151"/>
      <c r="C17" s="152"/>
      <c r="D17" s="153"/>
      <c r="E17" s="154"/>
      <c r="F17" s="157"/>
      <c r="G17" s="154"/>
      <c r="H17" s="152"/>
      <c r="I17" s="153"/>
      <c r="J17" s="152"/>
      <c r="K17" s="150"/>
      <c r="L17" s="154"/>
      <c r="M17" s="152"/>
      <c r="N17" s="154"/>
      <c r="O17" s="152">
        <f t="shared" si="1"/>
        <v>108364.27186200945</v>
      </c>
      <c r="P17" s="152">
        <f t="shared" si="2"/>
        <v>128293.28486200946</v>
      </c>
    </row>
    <row r="18" spans="1:16" hidden="1" x14ac:dyDescent="0.15">
      <c r="A18" s="154"/>
      <c r="B18" s="151"/>
      <c r="C18" s="152"/>
      <c r="D18" s="153"/>
      <c r="E18" s="154"/>
      <c r="F18" s="157"/>
      <c r="G18" s="154"/>
      <c r="H18" s="152"/>
      <c r="I18" s="153"/>
      <c r="J18" s="152"/>
      <c r="K18" s="154"/>
      <c r="L18" s="154"/>
      <c r="M18" s="152"/>
      <c r="N18" s="154"/>
      <c r="O18" s="152">
        <f t="shared" si="1"/>
        <v>108364.27186200945</v>
      </c>
      <c r="P18" s="152">
        <f t="shared" si="2"/>
        <v>128293.28486200946</v>
      </c>
    </row>
    <row r="19" spans="1:16" hidden="1" x14ac:dyDescent="0.15">
      <c r="A19" s="154"/>
      <c r="B19" s="151"/>
      <c r="C19" s="152"/>
      <c r="D19" s="153"/>
      <c r="E19" s="154"/>
      <c r="F19" s="157"/>
      <c r="G19" s="154"/>
      <c r="H19" s="152"/>
      <c r="I19" s="153"/>
      <c r="J19" s="152"/>
      <c r="K19" s="154"/>
      <c r="L19" s="154"/>
      <c r="M19" s="152"/>
      <c r="N19" s="154"/>
      <c r="O19" s="152">
        <f t="shared" si="1"/>
        <v>108364.27186200945</v>
      </c>
      <c r="P19" s="152">
        <f t="shared" si="2"/>
        <v>128293.28486200946</v>
      </c>
    </row>
    <row r="20" spans="1:16" hidden="1" x14ac:dyDescent="0.15">
      <c r="A20" s="154"/>
      <c r="B20" s="151"/>
      <c r="C20" s="152"/>
      <c r="D20" s="153"/>
      <c r="E20" s="154"/>
      <c r="F20" s="157"/>
      <c r="G20" s="154"/>
      <c r="H20" s="152"/>
      <c r="I20" s="153"/>
      <c r="J20" s="152"/>
      <c r="K20" s="154"/>
      <c r="L20" s="154"/>
      <c r="M20" s="152"/>
      <c r="N20" s="154"/>
      <c r="O20" s="152">
        <f t="shared" si="1"/>
        <v>108364.27186200945</v>
      </c>
      <c r="P20" s="152">
        <f t="shared" si="2"/>
        <v>128293.28486200946</v>
      </c>
    </row>
    <row r="21" spans="1:16" hidden="1" x14ac:dyDescent="0.15">
      <c r="A21" s="154"/>
      <c r="B21" s="151"/>
      <c r="C21" s="152"/>
      <c r="D21" s="153"/>
      <c r="E21" s="154"/>
      <c r="F21" s="157"/>
      <c r="G21" s="154"/>
      <c r="H21" s="152"/>
      <c r="I21" s="153"/>
      <c r="J21" s="152"/>
      <c r="K21" s="154"/>
      <c r="L21" s="154"/>
      <c r="M21" s="152"/>
      <c r="N21" s="154"/>
      <c r="O21" s="152">
        <f t="shared" si="1"/>
        <v>108364.27186200945</v>
      </c>
      <c r="P21" s="152">
        <f t="shared" si="2"/>
        <v>128293.28486200946</v>
      </c>
    </row>
    <row r="22" spans="1:16" hidden="1" x14ac:dyDescent="0.15">
      <c r="A22" s="154"/>
      <c r="B22" s="151"/>
      <c r="C22" s="152"/>
      <c r="D22" s="153"/>
      <c r="E22" s="154"/>
      <c r="F22" s="157"/>
      <c r="G22" s="154"/>
      <c r="H22" s="152"/>
      <c r="I22" s="153"/>
      <c r="J22" s="152"/>
      <c r="K22" s="154"/>
      <c r="L22" s="154"/>
      <c r="M22" s="152"/>
      <c r="N22" s="154"/>
      <c r="O22" s="152">
        <f t="shared" si="1"/>
        <v>108364.27186200945</v>
      </c>
      <c r="P22" s="152">
        <f t="shared" si="2"/>
        <v>128293.28486200946</v>
      </c>
    </row>
    <row r="23" spans="1:16" hidden="1" x14ac:dyDescent="0.15">
      <c r="A23" s="154"/>
      <c r="B23" s="151"/>
      <c r="C23" s="152"/>
      <c r="D23" s="153"/>
      <c r="E23" s="154"/>
      <c r="F23" s="157"/>
      <c r="G23" s="154"/>
      <c r="H23" s="152"/>
      <c r="I23" s="153"/>
      <c r="J23" s="152"/>
      <c r="K23" s="157"/>
      <c r="L23" s="154"/>
      <c r="M23" s="152"/>
      <c r="N23" s="154"/>
      <c r="O23" s="152">
        <f t="shared" si="1"/>
        <v>108364.27186200945</v>
      </c>
      <c r="P23" s="152">
        <f t="shared" si="2"/>
        <v>128293.28486200946</v>
      </c>
    </row>
    <row r="24" spans="1:16" hidden="1" x14ac:dyDescent="0.15">
      <c r="A24" s="154"/>
      <c r="B24" s="151"/>
      <c r="C24" s="152"/>
      <c r="D24" s="153"/>
      <c r="E24" s="154"/>
      <c r="F24" s="157"/>
      <c r="G24" s="154"/>
      <c r="H24" s="152"/>
      <c r="I24" s="153"/>
      <c r="J24" s="152"/>
      <c r="K24" s="157"/>
      <c r="L24" s="154"/>
      <c r="M24" s="152"/>
      <c r="N24" s="157"/>
      <c r="O24" s="152">
        <f t="shared" si="1"/>
        <v>108364.27186200945</v>
      </c>
      <c r="P24" s="152">
        <f t="shared" si="2"/>
        <v>128293.28486200946</v>
      </c>
    </row>
    <row r="25" spans="1:16" hidden="1" x14ac:dyDescent="0.15">
      <c r="A25" s="154"/>
      <c r="B25" s="151"/>
      <c r="C25" s="152"/>
      <c r="D25" s="153"/>
      <c r="E25" s="154"/>
      <c r="F25" s="157"/>
      <c r="G25" s="154"/>
      <c r="H25" s="152"/>
      <c r="I25" s="153"/>
      <c r="J25" s="152"/>
      <c r="K25" s="154"/>
      <c r="L25" s="154"/>
      <c r="M25" s="152"/>
      <c r="N25" s="154"/>
      <c r="O25" s="152">
        <f t="shared" si="1"/>
        <v>108364.27186200945</v>
      </c>
      <c r="P25" s="152">
        <f t="shared" si="2"/>
        <v>128293.28486200946</v>
      </c>
    </row>
    <row r="26" spans="1:16" hidden="1" x14ac:dyDescent="0.15">
      <c r="A26" s="154"/>
      <c r="B26" s="151"/>
      <c r="C26" s="152"/>
      <c r="D26" s="153"/>
      <c r="E26" s="154"/>
      <c r="F26" s="157"/>
      <c r="G26" s="154"/>
      <c r="H26" s="152"/>
      <c r="I26" s="153"/>
      <c r="J26" s="152"/>
      <c r="K26" s="157"/>
      <c r="L26" s="154"/>
      <c r="M26" s="152"/>
      <c r="N26" s="154"/>
      <c r="O26" s="152">
        <f t="shared" si="1"/>
        <v>108364.27186200945</v>
      </c>
      <c r="P26" s="152">
        <f t="shared" si="2"/>
        <v>128293.28486200946</v>
      </c>
    </row>
    <row r="27" spans="1:16" hidden="1" x14ac:dyDescent="0.15">
      <c r="A27" s="154"/>
      <c r="B27" s="151"/>
      <c r="C27" s="152"/>
      <c r="D27" s="153"/>
      <c r="E27" s="154"/>
      <c r="F27" s="157"/>
      <c r="G27" s="154"/>
      <c r="H27" s="152"/>
      <c r="I27" s="153"/>
      <c r="J27" s="152"/>
      <c r="K27" s="154"/>
      <c r="L27" s="154"/>
      <c r="M27" s="152"/>
      <c r="N27" s="154"/>
      <c r="O27" s="152">
        <f t="shared" si="1"/>
        <v>108364.27186200945</v>
      </c>
      <c r="P27" s="152">
        <f t="shared" si="2"/>
        <v>128293.28486200946</v>
      </c>
    </row>
    <row r="28" spans="1:16" hidden="1" x14ac:dyDescent="0.15">
      <c r="A28" s="154"/>
      <c r="B28" s="151"/>
      <c r="C28" s="152"/>
      <c r="D28" s="153"/>
      <c r="E28" s="154"/>
      <c r="F28" s="157"/>
      <c r="G28" s="154"/>
      <c r="H28" s="152"/>
      <c r="I28" s="153"/>
      <c r="J28" s="152"/>
      <c r="K28" s="157"/>
      <c r="L28" s="154"/>
      <c r="M28" s="152"/>
      <c r="N28" s="154"/>
      <c r="O28" s="152">
        <f t="shared" si="1"/>
        <v>108364.27186200945</v>
      </c>
      <c r="P28" s="152">
        <f t="shared" si="2"/>
        <v>128293.28486200946</v>
      </c>
    </row>
    <row r="29" spans="1:16" hidden="1" x14ac:dyDescent="0.15">
      <c r="A29" s="154"/>
      <c r="B29" s="151"/>
      <c r="C29" s="152"/>
      <c r="D29" s="153"/>
      <c r="E29" s="154"/>
      <c r="F29" s="157"/>
      <c r="G29" s="154"/>
      <c r="H29" s="152"/>
      <c r="I29" s="153"/>
      <c r="J29" s="152"/>
      <c r="K29" s="157"/>
      <c r="L29" s="154"/>
      <c r="M29" s="152"/>
      <c r="N29" s="157"/>
      <c r="O29" s="152">
        <f t="shared" si="1"/>
        <v>108364.27186200945</v>
      </c>
      <c r="P29" s="152">
        <f t="shared" si="2"/>
        <v>128293.28486200946</v>
      </c>
    </row>
    <row r="30" spans="1:16" hidden="1" x14ac:dyDescent="0.15">
      <c r="A30" s="154"/>
      <c r="B30" s="151"/>
      <c r="C30" s="152"/>
      <c r="D30" s="153"/>
      <c r="E30" s="154"/>
      <c r="F30" s="157"/>
      <c r="G30" s="154"/>
      <c r="H30" s="152"/>
      <c r="I30" s="153"/>
      <c r="J30" s="152"/>
      <c r="K30" s="157"/>
      <c r="L30" s="154"/>
      <c r="M30" s="152"/>
      <c r="N30" s="157"/>
      <c r="O30" s="152">
        <f t="shared" si="1"/>
        <v>108364.27186200945</v>
      </c>
      <c r="P30" s="152">
        <f t="shared" si="2"/>
        <v>128293.28486200946</v>
      </c>
    </row>
    <row r="31" spans="1:16" hidden="1" x14ac:dyDescent="0.15">
      <c r="A31" s="154"/>
      <c r="B31" s="151"/>
      <c r="C31" s="152"/>
      <c r="D31" s="153"/>
      <c r="E31" s="154"/>
      <c r="F31" s="157"/>
      <c r="G31" s="154"/>
      <c r="H31" s="152"/>
      <c r="I31" s="153"/>
      <c r="J31" s="152"/>
      <c r="K31" s="150"/>
      <c r="L31" s="154"/>
      <c r="M31" s="152"/>
      <c r="N31" s="157"/>
      <c r="O31" s="152">
        <f t="shared" si="1"/>
        <v>108364.27186200945</v>
      </c>
      <c r="P31" s="152">
        <f t="shared" si="2"/>
        <v>128293.28486200946</v>
      </c>
    </row>
    <row r="32" spans="1:16" hidden="1" x14ac:dyDescent="0.15">
      <c r="A32" s="154"/>
      <c r="B32" s="151"/>
      <c r="C32" s="152"/>
      <c r="D32" s="153"/>
      <c r="E32" s="154"/>
      <c r="F32" s="157"/>
      <c r="G32" s="154"/>
      <c r="H32" s="152"/>
      <c r="I32" s="153"/>
      <c r="J32" s="152"/>
      <c r="K32" s="150"/>
      <c r="L32" s="154"/>
      <c r="M32" s="152"/>
      <c r="N32" s="157"/>
      <c r="O32" s="152">
        <f t="shared" si="1"/>
        <v>108364.27186200945</v>
      </c>
      <c r="P32" s="152">
        <f t="shared" si="2"/>
        <v>128293.28486200946</v>
      </c>
    </row>
    <row r="33" spans="1:16" hidden="1" x14ac:dyDescent="0.15">
      <c r="A33" s="154"/>
      <c r="B33" s="151"/>
      <c r="C33" s="152"/>
      <c r="D33" s="153"/>
      <c r="E33" s="154"/>
      <c r="F33" s="157"/>
      <c r="G33" s="154"/>
      <c r="H33" s="152"/>
      <c r="I33" s="153"/>
      <c r="J33" s="152"/>
      <c r="K33" s="157"/>
      <c r="L33" s="154"/>
      <c r="M33" s="152"/>
      <c r="N33" s="157"/>
      <c r="O33" s="152">
        <f t="shared" si="1"/>
        <v>108364.27186200945</v>
      </c>
      <c r="P33" s="152">
        <f t="shared" si="2"/>
        <v>128293.28486200946</v>
      </c>
    </row>
    <row r="34" spans="1:16" hidden="1" x14ac:dyDescent="0.15">
      <c r="A34" s="154"/>
      <c r="B34" s="151"/>
      <c r="C34" s="152"/>
      <c r="D34" s="153"/>
      <c r="E34" s="154"/>
      <c r="F34" s="157"/>
      <c r="G34" s="154"/>
      <c r="H34" s="152"/>
      <c r="I34" s="153"/>
      <c r="J34" s="152"/>
      <c r="K34" s="150"/>
      <c r="L34" s="154"/>
      <c r="M34" s="152"/>
      <c r="N34" s="157"/>
      <c r="O34" s="152">
        <f t="shared" si="1"/>
        <v>108364.27186200945</v>
      </c>
      <c r="P34" s="152">
        <f t="shared" si="2"/>
        <v>128293.28486200946</v>
      </c>
    </row>
    <row r="35" spans="1:16" hidden="1" x14ac:dyDescent="0.15">
      <c r="A35" s="154"/>
      <c r="B35" s="151"/>
      <c r="C35" s="152"/>
      <c r="D35" s="153"/>
      <c r="E35" s="154"/>
      <c r="F35" s="157"/>
      <c r="G35" s="154"/>
      <c r="H35" s="152"/>
      <c r="I35" s="153"/>
      <c r="J35" s="152"/>
      <c r="K35" s="150"/>
      <c r="L35" s="154"/>
      <c r="M35" s="152"/>
      <c r="N35" s="157"/>
      <c r="O35" s="152">
        <f t="shared" si="1"/>
        <v>108364.27186200945</v>
      </c>
      <c r="P35" s="152">
        <f t="shared" si="2"/>
        <v>128293.28486200946</v>
      </c>
    </row>
    <row r="36" spans="1:16" hidden="1" x14ac:dyDescent="0.15">
      <c r="A36" s="154"/>
      <c r="B36" s="151"/>
      <c r="C36" s="152"/>
      <c r="D36" s="153"/>
      <c r="E36" s="154"/>
      <c r="F36" s="157"/>
      <c r="G36" s="154"/>
      <c r="H36" s="152"/>
      <c r="I36" s="153"/>
      <c r="J36" s="152"/>
      <c r="K36" s="150"/>
      <c r="L36" s="154"/>
      <c r="M36" s="152"/>
      <c r="N36" s="157"/>
      <c r="O36" s="152">
        <f t="shared" si="1"/>
        <v>108364.27186200945</v>
      </c>
      <c r="P36" s="152">
        <f t="shared" si="2"/>
        <v>128293.28486200946</v>
      </c>
    </row>
    <row r="37" spans="1:16" hidden="1" x14ac:dyDescent="0.15">
      <c r="A37" s="154"/>
      <c r="B37" s="151"/>
      <c r="C37" s="152"/>
      <c r="D37" s="153"/>
      <c r="E37" s="154"/>
      <c r="F37" s="157"/>
      <c r="G37" s="154"/>
      <c r="H37" s="152"/>
      <c r="I37" s="153"/>
      <c r="J37" s="152"/>
      <c r="K37" s="150"/>
      <c r="L37" s="154"/>
      <c r="M37" s="152"/>
      <c r="N37" s="157"/>
      <c r="O37" s="152">
        <f t="shared" si="1"/>
        <v>108364.27186200945</v>
      </c>
      <c r="P37" s="152">
        <f t="shared" si="2"/>
        <v>128293.28486200946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0"/>
      <c r="L38" s="154"/>
      <c r="M38" s="152"/>
      <c r="N38" s="157"/>
      <c r="O38" s="152">
        <f t="shared" si="1"/>
        <v>108364.27186200945</v>
      </c>
      <c r="P38" s="152">
        <f t="shared" si="2"/>
        <v>128293.28486200946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152"/>
      <c r="N39" s="157"/>
      <c r="O39" s="152">
        <f t="shared" si="1"/>
        <v>108364.27186200945</v>
      </c>
      <c r="P39" s="152">
        <f t="shared" si="2"/>
        <v>128293.28486200946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152"/>
      <c r="N40" s="157"/>
      <c r="O40" s="152">
        <f t="shared" si="1"/>
        <v>108364.27186200945</v>
      </c>
      <c r="P40" s="152">
        <f t="shared" si="2"/>
        <v>128293.28486200946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152"/>
      <c r="N41" s="157"/>
      <c r="O41" s="152">
        <f t="shared" si="1"/>
        <v>108364.27186200945</v>
      </c>
      <c r="P41" s="152">
        <f t="shared" si="2"/>
        <v>128293.28486200946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152"/>
      <c r="N42" s="157"/>
      <c r="O42" s="152">
        <f t="shared" si="1"/>
        <v>108364.27186200945</v>
      </c>
      <c r="P42" s="152">
        <f t="shared" si="2"/>
        <v>128293.28486200946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7"/>
      <c r="L43" s="154"/>
      <c r="M43" s="152"/>
      <c r="N43" s="157"/>
      <c r="O43" s="152">
        <f t="shared" si="1"/>
        <v>108364.27186200945</v>
      </c>
      <c r="P43" s="152">
        <f t="shared" si="2"/>
        <v>128293.28486200946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1"/>
        <v>108364.27186200945</v>
      </c>
      <c r="P44" s="152">
        <f t="shared" si="2"/>
        <v>128293.28486200946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1"/>
        <v>108364.27186200945</v>
      </c>
      <c r="P45" s="152">
        <f t="shared" si="2"/>
        <v>128293.28486200946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1"/>
        <v>108364.27186200945</v>
      </c>
      <c r="P46" s="152">
        <f t="shared" si="2"/>
        <v>128293.28486200946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1"/>
        <v>108364.27186200945</v>
      </c>
      <c r="P47" s="152">
        <f t="shared" si="2"/>
        <v>128293.28486200946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1"/>
        <v>108364.27186200945</v>
      </c>
      <c r="P48" s="152">
        <f t="shared" si="2"/>
        <v>128293.28486200946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1"/>
        <v>108364.27186200945</v>
      </c>
      <c r="P49" s="152">
        <f t="shared" si="2"/>
        <v>128293.28486200946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1"/>
        <v>108364.27186200945</v>
      </c>
      <c r="P50" s="152">
        <f t="shared" si="2"/>
        <v>128293.28486200946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1"/>
        <v>108364.27186200945</v>
      </c>
      <c r="P51" s="152">
        <f t="shared" si="2"/>
        <v>128293.28486200946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0"/>
      <c r="L52" s="154"/>
      <c r="M52" s="152"/>
      <c r="N52" s="157"/>
      <c r="O52" s="152">
        <f t="shared" si="1"/>
        <v>108364.27186200945</v>
      </c>
      <c r="P52" s="152">
        <f t="shared" si="2"/>
        <v>128293.28486200946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0"/>
      <c r="L53" s="154"/>
      <c r="M53" s="152"/>
      <c r="N53" s="157"/>
      <c r="O53" s="152">
        <f t="shared" si="1"/>
        <v>108364.27186200945</v>
      </c>
      <c r="P53" s="152">
        <f t="shared" si="2"/>
        <v>128293.28486200946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1"/>
        <v>108364.27186200945</v>
      </c>
      <c r="P54" s="152">
        <f t="shared" si="2"/>
        <v>128293.28486200946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0"/>
      <c r="L55" s="154"/>
      <c r="M55" s="152"/>
      <c r="N55" s="157"/>
      <c r="O55" s="152">
        <f t="shared" si="1"/>
        <v>108364.27186200945</v>
      </c>
      <c r="P55" s="152">
        <f t="shared" si="2"/>
        <v>128293.28486200946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152"/>
      <c r="N56" s="157"/>
      <c r="O56" s="152">
        <f t="shared" si="1"/>
        <v>108364.27186200945</v>
      </c>
      <c r="P56" s="152">
        <f t="shared" si="2"/>
        <v>128293.28486200946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152"/>
      <c r="N57" s="157"/>
      <c r="O57" s="152">
        <f t="shared" si="1"/>
        <v>108364.27186200945</v>
      </c>
      <c r="P57" s="152">
        <f t="shared" si="2"/>
        <v>128293.28486200946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152"/>
      <c r="N58" s="157"/>
      <c r="O58" s="152">
        <f t="shared" si="1"/>
        <v>108364.27186200945</v>
      </c>
      <c r="P58" s="152">
        <f t="shared" si="2"/>
        <v>128293.28486200946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4"/>
      <c r="L59" s="154"/>
      <c r="M59" s="152"/>
      <c r="N59" s="157"/>
      <c r="O59" s="152">
        <f t="shared" si="1"/>
        <v>108364.27186200945</v>
      </c>
      <c r="P59" s="152">
        <f t="shared" si="2"/>
        <v>128293.28486200946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4"/>
      <c r="L60" s="154"/>
      <c r="M60" s="152"/>
      <c r="N60" s="157"/>
      <c r="O60" s="152">
        <f t="shared" si="1"/>
        <v>108364.27186200945</v>
      </c>
      <c r="P60" s="152">
        <f t="shared" si="2"/>
        <v>128293.28486200946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4"/>
      <c r="L61" s="154"/>
      <c r="M61" s="152"/>
      <c r="N61" s="157"/>
      <c r="O61" s="152">
        <f t="shared" si="1"/>
        <v>108364.27186200945</v>
      </c>
      <c r="P61" s="152">
        <f t="shared" si="2"/>
        <v>128293.28486200946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1"/>
        <v>108364.27186200945</v>
      </c>
      <c r="P62" s="152">
        <f t="shared" si="2"/>
        <v>128293.28486200946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7"/>
      <c r="O63" s="152">
        <f t="shared" si="1"/>
        <v>108364.27186200945</v>
      </c>
      <c r="P63" s="152">
        <f t="shared" si="2"/>
        <v>128293.28486200946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0"/>
      <c r="L64" s="154"/>
      <c r="M64" s="152"/>
      <c r="N64" s="157"/>
      <c r="O64" s="152">
        <f t="shared" si="1"/>
        <v>108364.27186200945</v>
      </c>
      <c r="P64" s="152">
        <f t="shared" si="2"/>
        <v>128293.28486200946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0"/>
      <c r="L65" s="154"/>
      <c r="M65" s="152"/>
      <c r="N65" s="157"/>
      <c r="O65" s="152">
        <f t="shared" si="1"/>
        <v>108364.27186200945</v>
      </c>
      <c r="P65" s="152">
        <f t="shared" si="2"/>
        <v>128293.28486200946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1"/>
        <v>108364.27186200945</v>
      </c>
      <c r="P66" s="152">
        <f t="shared" si="2"/>
        <v>128293.28486200946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1"/>
        <v>108364.27186200945</v>
      </c>
      <c r="P67" s="152">
        <f t="shared" si="2"/>
        <v>128293.28486200946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1"/>
        <v>108364.27186200945</v>
      </c>
      <c r="P68" s="152">
        <f t="shared" si="2"/>
        <v>128293.28486200946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1"/>
        <v>108364.27186200945</v>
      </c>
      <c r="P69" s="152">
        <f t="shared" si="2"/>
        <v>128293.28486200946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1"/>
        <v>108364.27186200945</v>
      </c>
      <c r="P70" s="152">
        <f t="shared" si="2"/>
        <v>128293.28486200946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9"/>
      <c r="L71" s="154"/>
      <c r="M71" s="152"/>
      <c r="N71" s="157"/>
      <c r="O71" s="152">
        <f t="shared" si="1"/>
        <v>108364.27186200945</v>
      </c>
      <c r="P71" s="152">
        <f t="shared" si="2"/>
        <v>128293.28486200946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9"/>
      <c r="L72" s="154"/>
      <c r="M72" s="152"/>
      <c r="N72" s="157"/>
      <c r="O72" s="152">
        <f t="shared" si="1"/>
        <v>108364.27186200945</v>
      </c>
      <c r="P72" s="152">
        <f t="shared" si="2"/>
        <v>128293.28486200946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9"/>
      <c r="L73" s="154"/>
      <c r="M73" s="152"/>
      <c r="N73" s="157"/>
      <c r="O73" s="152">
        <f t="shared" ref="O73:O136" si="3">+O72-J73-M73</f>
        <v>108364.27186200945</v>
      </c>
      <c r="P73" s="152">
        <f t="shared" ref="P73:P136" si="4">P72+H73-J73-M73</f>
        <v>128293.28486200946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3"/>
        <v>108364.27186200945</v>
      </c>
      <c r="P74" s="152">
        <f t="shared" si="4"/>
        <v>128293.28486200946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3"/>
        <v>108364.27186200945</v>
      </c>
      <c r="P75" s="152">
        <f t="shared" si="4"/>
        <v>128293.28486200946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7"/>
      <c r="O76" s="152">
        <f t="shared" si="3"/>
        <v>108364.27186200945</v>
      </c>
      <c r="P76" s="152">
        <f t="shared" si="4"/>
        <v>128293.28486200946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7"/>
      <c r="L77" s="154"/>
      <c r="M77" s="152"/>
      <c r="N77" s="157"/>
      <c r="O77" s="152">
        <f t="shared" si="3"/>
        <v>108364.27186200945</v>
      </c>
      <c r="P77" s="152">
        <f t="shared" si="4"/>
        <v>128293.28486200946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7"/>
      <c r="L78" s="154"/>
      <c r="M78" s="152"/>
      <c r="N78" s="150"/>
      <c r="O78" s="152">
        <f t="shared" si="3"/>
        <v>108364.27186200945</v>
      </c>
      <c r="P78" s="152">
        <f t="shared" si="4"/>
        <v>128293.28486200946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9"/>
      <c r="L79" s="154"/>
      <c r="M79" s="152"/>
      <c r="N79" s="157"/>
      <c r="O79" s="152">
        <f t="shared" si="3"/>
        <v>108364.27186200945</v>
      </c>
      <c r="P79" s="152">
        <f t="shared" si="4"/>
        <v>128293.28486200946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9"/>
      <c r="L80" s="154"/>
      <c r="M80" s="152"/>
      <c r="N80" s="157"/>
      <c r="O80" s="152">
        <f t="shared" si="3"/>
        <v>108364.27186200945</v>
      </c>
      <c r="P80" s="152">
        <f t="shared" si="4"/>
        <v>128293.28486200946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9"/>
      <c r="L81" s="154"/>
      <c r="M81" s="152"/>
      <c r="N81" s="157"/>
      <c r="O81" s="152">
        <f t="shared" si="3"/>
        <v>108364.27186200945</v>
      </c>
      <c r="P81" s="152">
        <f t="shared" si="4"/>
        <v>128293.28486200946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3"/>
        <v>108364.27186200945</v>
      </c>
      <c r="P82" s="152">
        <f t="shared" si="4"/>
        <v>128293.28486200946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7"/>
      <c r="L83" s="154"/>
      <c r="M83" s="152"/>
      <c r="N83" s="157"/>
      <c r="O83" s="152">
        <f t="shared" si="3"/>
        <v>108364.27186200945</v>
      </c>
      <c r="P83" s="152">
        <f t="shared" si="4"/>
        <v>128293.28486200946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7"/>
      <c r="L84" s="154"/>
      <c r="M84" s="152"/>
      <c r="N84" s="157"/>
      <c r="O84" s="152">
        <f t="shared" si="3"/>
        <v>108364.27186200945</v>
      </c>
      <c r="P84" s="152">
        <f t="shared" si="4"/>
        <v>128293.28486200946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9"/>
      <c r="L85" s="154"/>
      <c r="M85" s="152"/>
      <c r="N85" s="157"/>
      <c r="O85" s="152">
        <f t="shared" si="3"/>
        <v>108364.27186200945</v>
      </c>
      <c r="P85" s="152">
        <f t="shared" si="4"/>
        <v>128293.28486200946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9"/>
      <c r="L86" s="154"/>
      <c r="M86" s="152"/>
      <c r="N86" s="157"/>
      <c r="O86" s="152">
        <f t="shared" si="3"/>
        <v>108364.27186200945</v>
      </c>
      <c r="P86" s="152">
        <f t="shared" si="4"/>
        <v>128293.28486200946</v>
      </c>
    </row>
    <row r="87" spans="1:16" hidden="1" x14ac:dyDescent="0.15">
      <c r="A87" s="154"/>
      <c r="B87" s="151"/>
      <c r="C87" s="152"/>
      <c r="D87" s="153"/>
      <c r="E87" s="154"/>
      <c r="F87" s="160"/>
      <c r="G87" s="151"/>
      <c r="H87" s="152"/>
      <c r="I87" s="153"/>
      <c r="J87" s="152"/>
      <c r="K87" s="159"/>
      <c r="L87" s="154"/>
      <c r="M87" s="152"/>
      <c r="N87" s="157"/>
      <c r="O87" s="152">
        <f t="shared" si="3"/>
        <v>108364.27186200945</v>
      </c>
      <c r="P87" s="152">
        <f t="shared" si="4"/>
        <v>128293.28486200946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9"/>
      <c r="L88" s="154"/>
      <c r="M88" s="152"/>
      <c r="N88" s="157"/>
      <c r="O88" s="152">
        <f t="shared" si="3"/>
        <v>108364.27186200945</v>
      </c>
      <c r="P88" s="152">
        <f t="shared" si="4"/>
        <v>128293.28486200946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0"/>
      <c r="L89" s="154"/>
      <c r="M89" s="152"/>
      <c r="N89" s="157"/>
      <c r="O89" s="152">
        <f t="shared" si="3"/>
        <v>108364.27186200945</v>
      </c>
      <c r="P89" s="152">
        <f t="shared" si="4"/>
        <v>128293.28486200946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7"/>
      <c r="L90" s="154"/>
      <c r="M90" s="152"/>
      <c r="N90" s="150"/>
      <c r="O90" s="152">
        <f t="shared" si="3"/>
        <v>108364.27186200945</v>
      </c>
      <c r="P90" s="152">
        <f t="shared" si="4"/>
        <v>128293.28486200946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3"/>
        <v>108364.27186200945</v>
      </c>
      <c r="P91" s="152">
        <f t="shared" si="4"/>
        <v>128293.28486200946</v>
      </c>
    </row>
    <row r="92" spans="1:16" hidden="1" x14ac:dyDescent="0.15">
      <c r="A92" s="154"/>
      <c r="B92" s="151"/>
      <c r="C92" s="152"/>
      <c r="D92" s="153"/>
      <c r="E92" s="154"/>
      <c r="F92" s="160"/>
      <c r="G92" s="151"/>
      <c r="H92" s="152"/>
      <c r="I92" s="153"/>
      <c r="J92" s="152"/>
      <c r="K92" s="150"/>
      <c r="L92" s="154"/>
      <c r="M92" s="152"/>
      <c r="N92" s="157"/>
      <c r="O92" s="152">
        <f t="shared" si="3"/>
        <v>108364.27186200945</v>
      </c>
      <c r="P92" s="152">
        <f t="shared" si="4"/>
        <v>128293.28486200946</v>
      </c>
    </row>
    <row r="93" spans="1:16" hidden="1" x14ac:dyDescent="0.15">
      <c r="A93" s="154"/>
      <c r="B93" s="151"/>
      <c r="C93" s="152"/>
      <c r="D93" s="153"/>
      <c r="E93" s="154"/>
      <c r="F93" s="157"/>
      <c r="G93" s="151"/>
      <c r="H93" s="152"/>
      <c r="I93" s="153"/>
      <c r="J93" s="152"/>
      <c r="K93" s="150"/>
      <c r="L93" s="154"/>
      <c r="M93" s="152"/>
      <c r="N93" s="157"/>
      <c r="O93" s="152">
        <f t="shared" si="3"/>
        <v>108364.27186200945</v>
      </c>
      <c r="P93" s="152">
        <f t="shared" si="4"/>
        <v>128293.28486200946</v>
      </c>
    </row>
    <row r="94" spans="1:16" hidden="1" x14ac:dyDescent="0.15">
      <c r="A94" s="154"/>
      <c r="B94" s="151"/>
      <c r="C94" s="152"/>
      <c r="D94" s="153"/>
      <c r="E94" s="154"/>
      <c r="F94" s="157"/>
      <c r="G94" s="151"/>
      <c r="H94" s="152"/>
      <c r="I94" s="153"/>
      <c r="J94" s="152"/>
      <c r="K94" s="150"/>
      <c r="L94" s="154"/>
      <c r="M94" s="152"/>
      <c r="N94" s="150"/>
      <c r="O94" s="152">
        <f t="shared" si="3"/>
        <v>108364.27186200945</v>
      </c>
      <c r="P94" s="152">
        <f t="shared" si="4"/>
        <v>128293.28486200946</v>
      </c>
    </row>
    <row r="95" spans="1:16" hidden="1" x14ac:dyDescent="0.15">
      <c r="A95" s="154"/>
      <c r="B95" s="151"/>
      <c r="C95" s="152"/>
      <c r="D95" s="158"/>
      <c r="E95" s="154"/>
      <c r="F95" s="157"/>
      <c r="G95" s="151"/>
      <c r="H95" s="152"/>
      <c r="I95" s="158"/>
      <c r="J95" s="152"/>
      <c r="K95" s="150"/>
      <c r="L95" s="154"/>
      <c r="M95" s="152"/>
      <c r="N95" s="157"/>
      <c r="O95" s="152">
        <f t="shared" si="3"/>
        <v>108364.27186200945</v>
      </c>
      <c r="P95" s="152">
        <f t="shared" si="4"/>
        <v>128293.28486200946</v>
      </c>
    </row>
    <row r="96" spans="1:16" hidden="1" x14ac:dyDescent="0.15">
      <c r="A96" s="154"/>
      <c r="B96" s="151"/>
      <c r="C96" s="152"/>
      <c r="D96" s="153"/>
      <c r="E96" s="154"/>
      <c r="F96" s="160"/>
      <c r="G96" s="151"/>
      <c r="H96" s="152"/>
      <c r="I96" s="153"/>
      <c r="J96" s="152"/>
      <c r="K96" s="150"/>
      <c r="L96" s="154"/>
      <c r="M96" s="152"/>
      <c r="N96" s="157"/>
      <c r="O96" s="152">
        <f t="shared" si="3"/>
        <v>108364.27186200945</v>
      </c>
      <c r="P96" s="152">
        <f t="shared" si="4"/>
        <v>128293.28486200946</v>
      </c>
    </row>
    <row r="97" spans="1:16" hidden="1" x14ac:dyDescent="0.15">
      <c r="A97" s="154"/>
      <c r="B97" s="151"/>
      <c r="C97" s="152"/>
      <c r="D97" s="153"/>
      <c r="E97" s="154"/>
      <c r="F97" s="160"/>
      <c r="G97" s="151"/>
      <c r="H97" s="152"/>
      <c r="I97" s="158"/>
      <c r="J97" s="152"/>
      <c r="K97" s="150"/>
      <c r="L97" s="154"/>
      <c r="M97" s="152"/>
      <c r="N97" s="157"/>
      <c r="O97" s="152">
        <f t="shared" si="3"/>
        <v>108364.27186200945</v>
      </c>
      <c r="P97" s="152">
        <f t="shared" si="4"/>
        <v>128293.28486200946</v>
      </c>
    </row>
    <row r="98" spans="1:16" hidden="1" x14ac:dyDescent="0.15">
      <c r="A98" s="154"/>
      <c r="B98" s="151"/>
      <c r="C98" s="152"/>
      <c r="D98" s="153"/>
      <c r="E98" s="154"/>
      <c r="F98" s="160"/>
      <c r="G98" s="151"/>
      <c r="H98" s="152"/>
      <c r="I98" s="158"/>
      <c r="J98" s="152"/>
      <c r="K98" s="150"/>
      <c r="L98" s="154"/>
      <c r="M98" s="152"/>
      <c r="N98" s="157"/>
      <c r="O98" s="152">
        <f t="shared" si="3"/>
        <v>108364.27186200945</v>
      </c>
      <c r="P98" s="152">
        <f t="shared" si="4"/>
        <v>128293.28486200946</v>
      </c>
    </row>
    <row r="99" spans="1:16" hidden="1" x14ac:dyDescent="0.15">
      <c r="A99" s="154"/>
      <c r="B99" s="151"/>
      <c r="C99" s="152"/>
      <c r="D99" s="153"/>
      <c r="E99" s="154"/>
      <c r="F99" s="160"/>
      <c r="G99" s="151"/>
      <c r="H99" s="152"/>
      <c r="I99" s="153"/>
      <c r="J99" s="152"/>
      <c r="K99" s="150"/>
      <c r="L99" s="154"/>
      <c r="M99" s="152"/>
      <c r="N99" s="157"/>
      <c r="O99" s="152">
        <f t="shared" si="3"/>
        <v>108364.27186200945</v>
      </c>
      <c r="P99" s="152">
        <f t="shared" si="4"/>
        <v>128293.28486200946</v>
      </c>
    </row>
    <row r="100" spans="1:16" hidden="1" x14ac:dyDescent="0.15">
      <c r="A100" s="154"/>
      <c r="B100" s="151"/>
      <c r="C100" s="152"/>
      <c r="D100" s="153"/>
      <c r="E100" s="154"/>
      <c r="F100" s="157"/>
      <c r="G100" s="151"/>
      <c r="H100" s="152"/>
      <c r="I100" s="153"/>
      <c r="J100" s="152"/>
      <c r="K100" s="150"/>
      <c r="L100" s="154"/>
      <c r="M100" s="152"/>
      <c r="N100" s="157"/>
      <c r="O100" s="152">
        <f t="shared" si="3"/>
        <v>108364.27186200945</v>
      </c>
      <c r="P100" s="152">
        <f t="shared" si="4"/>
        <v>128293.28486200946</v>
      </c>
    </row>
    <row r="101" spans="1:16" hidden="1" x14ac:dyDescent="0.15">
      <c r="A101" s="154"/>
      <c r="B101" s="151"/>
      <c r="C101" s="152"/>
      <c r="D101" s="153"/>
      <c r="E101" s="154"/>
      <c r="F101" s="157"/>
      <c r="G101" s="151"/>
      <c r="H101" s="152"/>
      <c r="I101" s="153"/>
      <c r="J101" s="152"/>
      <c r="K101" s="150"/>
      <c r="L101" s="154"/>
      <c r="M101" s="152"/>
      <c r="N101" s="157"/>
      <c r="O101" s="152">
        <f t="shared" si="3"/>
        <v>108364.27186200945</v>
      </c>
      <c r="P101" s="152">
        <f t="shared" si="4"/>
        <v>128293.28486200946</v>
      </c>
    </row>
    <row r="102" spans="1:16" hidden="1" x14ac:dyDescent="0.15">
      <c r="A102" s="154"/>
      <c r="B102" s="151"/>
      <c r="C102" s="152"/>
      <c r="D102" s="153"/>
      <c r="E102" s="154"/>
      <c r="F102" s="157"/>
      <c r="G102" s="151"/>
      <c r="H102" s="152"/>
      <c r="I102" s="153"/>
      <c r="J102" s="152"/>
      <c r="K102" s="150"/>
      <c r="L102" s="154"/>
      <c r="M102" s="152"/>
      <c r="N102" s="157"/>
      <c r="O102" s="152">
        <f t="shared" si="3"/>
        <v>108364.27186200945</v>
      </c>
      <c r="P102" s="152">
        <f t="shared" si="4"/>
        <v>128293.28486200946</v>
      </c>
    </row>
    <row r="103" spans="1:16" hidden="1" x14ac:dyDescent="0.15">
      <c r="A103" s="154"/>
      <c r="B103" s="151"/>
      <c r="C103" s="152"/>
      <c r="D103" s="153"/>
      <c r="E103" s="154"/>
      <c r="F103" s="160"/>
      <c r="G103" s="151"/>
      <c r="H103" s="152"/>
      <c r="I103" s="158"/>
      <c r="J103" s="152"/>
      <c r="K103" s="150"/>
      <c r="L103" s="154"/>
      <c r="M103" s="152"/>
      <c r="N103" s="157"/>
      <c r="O103" s="152">
        <f t="shared" si="3"/>
        <v>108364.27186200945</v>
      </c>
      <c r="P103" s="152">
        <f t="shared" si="4"/>
        <v>128293.28486200946</v>
      </c>
    </row>
    <row r="104" spans="1:16" hidden="1" x14ac:dyDescent="0.15">
      <c r="A104" s="154"/>
      <c r="B104" s="151"/>
      <c r="C104" s="152"/>
      <c r="D104" s="153"/>
      <c r="E104" s="154"/>
      <c r="F104" s="160"/>
      <c r="G104" s="151"/>
      <c r="H104" s="152"/>
      <c r="I104" s="153"/>
      <c r="J104" s="152"/>
      <c r="K104" s="150"/>
      <c r="L104" s="154"/>
      <c r="M104" s="152"/>
      <c r="N104" s="157"/>
      <c r="O104" s="152">
        <f t="shared" si="3"/>
        <v>108364.27186200945</v>
      </c>
      <c r="P104" s="152">
        <f t="shared" si="4"/>
        <v>128293.28486200946</v>
      </c>
    </row>
    <row r="105" spans="1:16" hidden="1" x14ac:dyDescent="0.15">
      <c r="A105" s="154"/>
      <c r="B105" s="151"/>
      <c r="C105" s="152"/>
      <c r="D105" s="153"/>
      <c r="E105" s="154"/>
      <c r="F105" s="160"/>
      <c r="G105" s="151"/>
      <c r="H105" s="152"/>
      <c r="I105" s="153"/>
      <c r="J105" s="152"/>
      <c r="K105" s="150"/>
      <c r="L105" s="154"/>
      <c r="M105" s="152"/>
      <c r="N105" s="157"/>
      <c r="O105" s="152">
        <f t="shared" si="3"/>
        <v>108364.27186200945</v>
      </c>
      <c r="P105" s="152">
        <f t="shared" si="4"/>
        <v>128293.28486200946</v>
      </c>
    </row>
    <row r="106" spans="1:16" hidden="1" x14ac:dyDescent="0.15">
      <c r="A106" s="154"/>
      <c r="B106" s="151"/>
      <c r="C106" s="152"/>
      <c r="D106" s="153"/>
      <c r="E106" s="154"/>
      <c r="F106" s="157"/>
      <c r="G106" s="151"/>
      <c r="H106" s="152"/>
      <c r="I106" s="153"/>
      <c r="J106" s="152"/>
      <c r="K106" s="150"/>
      <c r="L106" s="154"/>
      <c r="M106" s="152"/>
      <c r="N106" s="157"/>
      <c r="O106" s="152">
        <f t="shared" si="3"/>
        <v>108364.27186200945</v>
      </c>
      <c r="P106" s="152">
        <f t="shared" si="4"/>
        <v>128293.28486200946</v>
      </c>
    </row>
    <row r="107" spans="1:16" hidden="1" x14ac:dyDescent="0.15">
      <c r="A107" s="154"/>
      <c r="B107" s="151"/>
      <c r="C107" s="152"/>
      <c r="D107" s="153"/>
      <c r="E107" s="154"/>
      <c r="F107" s="157"/>
      <c r="G107" s="151"/>
      <c r="H107" s="152"/>
      <c r="I107" s="153"/>
      <c r="J107" s="152"/>
      <c r="K107" s="150"/>
      <c r="L107" s="154"/>
      <c r="M107" s="152"/>
      <c r="N107" s="150"/>
      <c r="O107" s="152">
        <f t="shared" si="3"/>
        <v>108364.27186200945</v>
      </c>
      <c r="P107" s="152">
        <f t="shared" si="4"/>
        <v>128293.28486200946</v>
      </c>
    </row>
    <row r="108" spans="1:16" hidden="1" x14ac:dyDescent="0.15">
      <c r="A108" s="154"/>
      <c r="B108" s="151"/>
      <c r="C108" s="152"/>
      <c r="D108" s="153"/>
      <c r="E108" s="154"/>
      <c r="F108" s="157"/>
      <c r="G108" s="151"/>
      <c r="H108" s="152"/>
      <c r="I108" s="153"/>
      <c r="J108" s="152"/>
      <c r="K108" s="150"/>
      <c r="L108" s="154"/>
      <c r="M108" s="152"/>
      <c r="N108" s="157"/>
      <c r="O108" s="152">
        <f t="shared" si="3"/>
        <v>108364.27186200945</v>
      </c>
      <c r="P108" s="152">
        <f t="shared" si="4"/>
        <v>128293.28486200946</v>
      </c>
    </row>
    <row r="109" spans="1:16" hidden="1" x14ac:dyDescent="0.15">
      <c r="A109" s="154"/>
      <c r="B109" s="151"/>
      <c r="C109" s="152"/>
      <c r="D109" s="153"/>
      <c r="E109" s="154"/>
      <c r="F109" s="160"/>
      <c r="G109" s="151"/>
      <c r="H109" s="152"/>
      <c r="I109" s="153"/>
      <c r="J109" s="152"/>
      <c r="K109" s="150"/>
      <c r="L109" s="154"/>
      <c r="M109" s="152"/>
      <c r="N109" s="157"/>
      <c r="O109" s="152">
        <f t="shared" si="3"/>
        <v>108364.27186200945</v>
      </c>
      <c r="P109" s="152">
        <f t="shared" si="4"/>
        <v>128293.28486200946</v>
      </c>
    </row>
    <row r="110" spans="1:16" hidden="1" x14ac:dyDescent="0.15">
      <c r="A110" s="154"/>
      <c r="B110" s="161"/>
      <c r="C110" s="152"/>
      <c r="D110" s="153"/>
      <c r="E110" s="154"/>
      <c r="F110" s="157"/>
      <c r="G110" s="151"/>
      <c r="H110" s="152"/>
      <c r="I110" s="153"/>
      <c r="J110" s="152"/>
      <c r="K110" s="150"/>
      <c r="L110" s="154"/>
      <c r="M110" s="152"/>
      <c r="N110" s="157"/>
      <c r="O110" s="152">
        <f t="shared" si="3"/>
        <v>108364.27186200945</v>
      </c>
      <c r="P110" s="152">
        <f t="shared" si="4"/>
        <v>128293.28486200946</v>
      </c>
    </row>
    <row r="111" spans="1:16" hidden="1" x14ac:dyDescent="0.15">
      <c r="A111" s="154"/>
      <c r="B111" s="161"/>
      <c r="C111" s="152"/>
      <c r="D111" s="153"/>
      <c r="E111" s="154"/>
      <c r="F111" s="157"/>
      <c r="G111" s="151"/>
      <c r="H111" s="152"/>
      <c r="I111" s="153"/>
      <c r="J111" s="152"/>
      <c r="K111" s="150"/>
      <c r="L111" s="154"/>
      <c r="M111" s="152"/>
      <c r="N111" s="157"/>
      <c r="O111" s="152">
        <f t="shared" si="3"/>
        <v>108364.27186200945</v>
      </c>
      <c r="P111" s="152">
        <f t="shared" si="4"/>
        <v>128293.28486200946</v>
      </c>
    </row>
    <row r="112" spans="1:16" hidden="1" x14ac:dyDescent="0.15">
      <c r="A112" s="154"/>
      <c r="B112" s="161"/>
      <c r="C112" s="152"/>
      <c r="D112" s="153"/>
      <c r="E112" s="154"/>
      <c r="F112" s="157"/>
      <c r="G112" s="151"/>
      <c r="H112" s="152"/>
      <c r="I112" s="153"/>
      <c r="J112" s="152"/>
      <c r="K112" s="150"/>
      <c r="L112" s="154"/>
      <c r="M112" s="152"/>
      <c r="N112" s="157"/>
      <c r="O112" s="152">
        <f t="shared" si="3"/>
        <v>108364.27186200945</v>
      </c>
      <c r="P112" s="152">
        <f t="shared" si="4"/>
        <v>128293.28486200946</v>
      </c>
    </row>
    <row r="113" spans="1:16" hidden="1" x14ac:dyDescent="0.15">
      <c r="A113" s="154"/>
      <c r="B113" s="163"/>
      <c r="C113" s="152"/>
      <c r="D113" s="158"/>
      <c r="E113" s="154"/>
      <c r="F113" s="157"/>
      <c r="G113" s="163"/>
      <c r="H113" s="152"/>
      <c r="I113" s="158"/>
      <c r="J113" s="152"/>
      <c r="K113" s="159"/>
      <c r="L113" s="154"/>
      <c r="M113" s="152"/>
      <c r="N113" s="157"/>
      <c r="O113" s="152">
        <f t="shared" si="3"/>
        <v>108364.27186200945</v>
      </c>
      <c r="P113" s="152">
        <f t="shared" si="4"/>
        <v>128293.28486200946</v>
      </c>
    </row>
    <row r="114" spans="1:16" hidden="1" x14ac:dyDescent="0.15">
      <c r="A114" s="154"/>
      <c r="B114" s="163"/>
      <c r="C114" s="152"/>
      <c r="D114" s="158"/>
      <c r="E114" s="154"/>
      <c r="F114" s="154"/>
      <c r="G114" s="163"/>
      <c r="H114" s="152"/>
      <c r="I114" s="158"/>
      <c r="J114" s="152"/>
      <c r="K114" s="150"/>
      <c r="L114" s="154"/>
      <c r="M114" s="152"/>
      <c r="N114" s="157"/>
      <c r="O114" s="152">
        <f t="shared" si="3"/>
        <v>108364.27186200945</v>
      </c>
      <c r="P114" s="152">
        <f t="shared" si="4"/>
        <v>128293.28486200946</v>
      </c>
    </row>
    <row r="115" spans="1:16" hidden="1" x14ac:dyDescent="0.15">
      <c r="A115" s="154"/>
      <c r="B115" s="163"/>
      <c r="C115" s="152"/>
      <c r="D115" s="158"/>
      <c r="E115" s="154"/>
      <c r="F115" s="154"/>
      <c r="G115" s="163"/>
      <c r="H115" s="152"/>
      <c r="I115" s="158"/>
      <c r="J115" s="152"/>
      <c r="K115" s="150"/>
      <c r="L115" s="154"/>
      <c r="M115" s="152"/>
      <c r="N115" s="157"/>
      <c r="O115" s="152">
        <f t="shared" si="3"/>
        <v>108364.27186200945</v>
      </c>
      <c r="P115" s="152">
        <f t="shared" si="4"/>
        <v>128293.28486200946</v>
      </c>
    </row>
    <row r="116" spans="1:16" hidden="1" x14ac:dyDescent="0.15">
      <c r="A116" s="154"/>
      <c r="B116" s="163"/>
      <c r="C116" s="152"/>
      <c r="D116" s="153"/>
      <c r="E116" s="154"/>
      <c r="F116" s="157"/>
      <c r="G116" s="163"/>
      <c r="H116" s="152"/>
      <c r="I116" s="158"/>
      <c r="J116" s="152"/>
      <c r="K116" s="150"/>
      <c r="L116" s="154"/>
      <c r="M116" s="152"/>
      <c r="N116" s="157"/>
      <c r="O116" s="152">
        <f t="shared" si="3"/>
        <v>108364.27186200945</v>
      </c>
      <c r="P116" s="152">
        <f t="shared" si="4"/>
        <v>128293.28486200946</v>
      </c>
    </row>
    <row r="117" spans="1:16" hidden="1" x14ac:dyDescent="0.15">
      <c r="A117" s="154"/>
      <c r="B117" s="163"/>
      <c r="C117" s="152"/>
      <c r="D117" s="153"/>
      <c r="E117" s="154"/>
      <c r="F117" s="157"/>
      <c r="G117" s="163"/>
      <c r="H117" s="152"/>
      <c r="I117" s="158"/>
      <c r="J117" s="152"/>
      <c r="K117" s="150"/>
      <c r="L117" s="154"/>
      <c r="M117" s="152"/>
      <c r="N117" s="157"/>
      <c r="O117" s="152">
        <f t="shared" si="3"/>
        <v>108364.27186200945</v>
      </c>
      <c r="P117" s="152">
        <f t="shared" si="4"/>
        <v>128293.28486200946</v>
      </c>
    </row>
    <row r="118" spans="1:16" hidden="1" x14ac:dyDescent="0.15">
      <c r="A118" s="164"/>
      <c r="B118" s="164"/>
      <c r="C118" s="152"/>
      <c r="D118" s="158"/>
      <c r="E118" s="154"/>
      <c r="F118" s="165"/>
      <c r="G118" s="166"/>
      <c r="H118" s="152"/>
      <c r="I118" s="158"/>
      <c r="J118" s="152"/>
      <c r="K118" s="150"/>
      <c r="L118" s="154"/>
      <c r="M118" s="152"/>
      <c r="N118" s="159"/>
      <c r="O118" s="152">
        <f t="shared" si="3"/>
        <v>108364.27186200945</v>
      </c>
      <c r="P118" s="152">
        <f t="shared" si="4"/>
        <v>128293.28486200946</v>
      </c>
    </row>
    <row r="119" spans="1:16" hidden="1" x14ac:dyDescent="0.15">
      <c r="A119" s="150"/>
      <c r="B119" s="161"/>
      <c r="C119" s="152"/>
      <c r="D119" s="153"/>
      <c r="E119" s="154"/>
      <c r="F119" s="157"/>
      <c r="G119" s="151"/>
      <c r="H119" s="152"/>
      <c r="I119" s="158"/>
      <c r="J119" s="152"/>
      <c r="K119" s="159"/>
      <c r="L119" s="154"/>
      <c r="M119" s="152"/>
      <c r="N119" s="159"/>
      <c r="O119" s="152">
        <f t="shared" si="3"/>
        <v>108364.27186200945</v>
      </c>
      <c r="P119" s="152">
        <f t="shared" si="4"/>
        <v>128293.28486200946</v>
      </c>
    </row>
    <row r="120" spans="1:16" hidden="1" x14ac:dyDescent="0.15">
      <c r="A120" s="150"/>
      <c r="B120" s="161"/>
      <c r="C120" s="152"/>
      <c r="D120" s="158"/>
      <c r="E120" s="154"/>
      <c r="F120" s="165"/>
      <c r="G120" s="151"/>
      <c r="H120" s="152"/>
      <c r="I120" s="158"/>
      <c r="J120" s="152"/>
      <c r="K120" s="159"/>
      <c r="L120" s="154"/>
      <c r="M120" s="152"/>
      <c r="N120" s="159"/>
      <c r="O120" s="152">
        <f t="shared" si="3"/>
        <v>108364.27186200945</v>
      </c>
      <c r="P120" s="152">
        <f t="shared" si="4"/>
        <v>128293.28486200946</v>
      </c>
    </row>
    <row r="121" spans="1:16" hidden="1" x14ac:dyDescent="0.15">
      <c r="A121" s="150"/>
      <c r="B121" s="161"/>
      <c r="C121" s="152"/>
      <c r="D121" s="158"/>
      <c r="E121" s="154"/>
      <c r="F121" s="165"/>
      <c r="G121" s="151"/>
      <c r="H121" s="152"/>
      <c r="I121" s="158"/>
      <c r="J121" s="152"/>
      <c r="K121" s="159"/>
      <c r="L121" s="154"/>
      <c r="M121" s="152"/>
      <c r="N121" s="159"/>
      <c r="O121" s="152">
        <f t="shared" si="3"/>
        <v>108364.27186200945</v>
      </c>
      <c r="P121" s="152">
        <f t="shared" si="4"/>
        <v>128293.28486200946</v>
      </c>
    </row>
    <row r="122" spans="1:16" hidden="1" x14ac:dyDescent="0.15">
      <c r="A122" s="150"/>
      <c r="B122" s="161"/>
      <c r="C122" s="152"/>
      <c r="D122" s="153"/>
      <c r="E122" s="154"/>
      <c r="F122" s="165"/>
      <c r="G122" s="151"/>
      <c r="H122" s="152"/>
      <c r="I122" s="158"/>
      <c r="J122" s="152"/>
      <c r="K122" s="159"/>
      <c r="L122" s="154"/>
      <c r="M122" s="152"/>
      <c r="N122" s="159"/>
      <c r="O122" s="152">
        <f t="shared" si="3"/>
        <v>108364.27186200945</v>
      </c>
      <c r="P122" s="152">
        <f t="shared" si="4"/>
        <v>128293.28486200946</v>
      </c>
    </row>
    <row r="123" spans="1:16" hidden="1" x14ac:dyDescent="0.15">
      <c r="A123" s="154"/>
      <c r="B123" s="154"/>
      <c r="C123" s="152"/>
      <c r="D123" s="153"/>
      <c r="E123" s="154"/>
      <c r="F123" s="165"/>
      <c r="G123" s="151"/>
      <c r="H123" s="152"/>
      <c r="I123" s="158"/>
      <c r="J123" s="152"/>
      <c r="K123" s="159"/>
      <c r="L123" s="154"/>
      <c r="M123" s="152"/>
      <c r="N123" s="159"/>
      <c r="O123" s="152">
        <f t="shared" si="3"/>
        <v>108364.27186200945</v>
      </c>
      <c r="P123" s="152">
        <f t="shared" si="4"/>
        <v>128293.28486200946</v>
      </c>
    </row>
    <row r="124" spans="1:16" hidden="1" x14ac:dyDescent="0.15">
      <c r="A124" s="154"/>
      <c r="B124" s="154"/>
      <c r="C124" s="152"/>
      <c r="D124" s="153"/>
      <c r="E124" s="154"/>
      <c r="F124" s="154"/>
      <c r="G124" s="163"/>
      <c r="H124" s="152"/>
      <c r="I124" s="158"/>
      <c r="J124" s="152"/>
      <c r="K124" s="154"/>
      <c r="L124" s="154"/>
      <c r="M124" s="152"/>
      <c r="N124" s="159"/>
      <c r="O124" s="152">
        <f t="shared" si="3"/>
        <v>108364.27186200945</v>
      </c>
      <c r="P124" s="152">
        <f t="shared" si="4"/>
        <v>128293.28486200946</v>
      </c>
    </row>
    <row r="125" spans="1:16" hidden="1" x14ac:dyDescent="0.15">
      <c r="A125" s="154"/>
      <c r="B125" s="154"/>
      <c r="C125" s="152"/>
      <c r="D125" s="153"/>
      <c r="E125" s="154"/>
      <c r="F125" s="154"/>
      <c r="G125" s="163"/>
      <c r="H125" s="152"/>
      <c r="I125" s="158"/>
      <c r="J125" s="152"/>
      <c r="K125" s="154"/>
      <c r="L125" s="154"/>
      <c r="M125" s="152"/>
      <c r="N125" s="159"/>
      <c r="O125" s="152">
        <f t="shared" si="3"/>
        <v>108364.27186200945</v>
      </c>
      <c r="P125" s="152">
        <f t="shared" si="4"/>
        <v>128293.28486200946</v>
      </c>
    </row>
    <row r="126" spans="1:16" hidden="1" x14ac:dyDescent="0.15">
      <c r="A126" s="154"/>
      <c r="B126" s="154"/>
      <c r="C126" s="152"/>
      <c r="D126" s="153"/>
      <c r="E126" s="154"/>
      <c r="F126" s="154"/>
      <c r="G126" s="163"/>
      <c r="H126" s="152"/>
      <c r="I126" s="153"/>
      <c r="J126" s="152"/>
      <c r="K126" s="154"/>
      <c r="L126" s="154"/>
      <c r="M126" s="152"/>
      <c r="N126" s="159"/>
      <c r="O126" s="152">
        <f t="shared" si="3"/>
        <v>108364.27186200945</v>
      </c>
      <c r="P126" s="152">
        <f t="shared" si="4"/>
        <v>128293.28486200946</v>
      </c>
    </row>
    <row r="127" spans="1:16" hidden="1" x14ac:dyDescent="0.15">
      <c r="A127" s="154"/>
      <c r="B127" s="154"/>
      <c r="C127" s="152"/>
      <c r="D127" s="158"/>
      <c r="E127" s="154"/>
      <c r="F127" s="165"/>
      <c r="G127" s="163"/>
      <c r="H127" s="152"/>
      <c r="I127" s="158"/>
      <c r="J127" s="152"/>
      <c r="K127" s="154"/>
      <c r="L127" s="154"/>
      <c r="M127" s="152"/>
      <c r="N127" s="154"/>
      <c r="O127" s="152">
        <f t="shared" si="3"/>
        <v>108364.27186200945</v>
      </c>
      <c r="P127" s="152">
        <f t="shared" si="4"/>
        <v>128293.28486200946</v>
      </c>
    </row>
    <row r="128" spans="1:16" hidden="1" x14ac:dyDescent="0.15">
      <c r="A128" s="154"/>
      <c r="B128" s="154"/>
      <c r="C128" s="152"/>
      <c r="D128" s="158"/>
      <c r="E128" s="154"/>
      <c r="F128" s="165"/>
      <c r="G128" s="163"/>
      <c r="H128" s="152"/>
      <c r="I128" s="158"/>
      <c r="J128" s="152"/>
      <c r="K128" s="154"/>
      <c r="L128" s="154"/>
      <c r="M128" s="152"/>
      <c r="N128" s="154"/>
      <c r="O128" s="152">
        <f t="shared" si="3"/>
        <v>108364.27186200945</v>
      </c>
      <c r="P128" s="152">
        <f t="shared" si="4"/>
        <v>128293.28486200946</v>
      </c>
    </row>
    <row r="129" spans="1:16" hidden="1" x14ac:dyDescent="0.15">
      <c r="A129" s="154"/>
      <c r="B129" s="154"/>
      <c r="C129" s="152"/>
      <c r="D129" s="153"/>
      <c r="E129" s="154"/>
      <c r="F129" s="154"/>
      <c r="G129" s="163"/>
      <c r="H129" s="152"/>
      <c r="I129" s="158"/>
      <c r="J129" s="152"/>
      <c r="K129" s="154"/>
      <c r="L129" s="154"/>
      <c r="M129" s="152"/>
      <c r="N129" s="154"/>
      <c r="O129" s="152">
        <f t="shared" si="3"/>
        <v>108364.27186200945</v>
      </c>
      <c r="P129" s="152">
        <f t="shared" si="4"/>
        <v>128293.28486200946</v>
      </c>
    </row>
    <row r="130" spans="1:16" hidden="1" x14ac:dyDescent="0.15">
      <c r="A130" s="154"/>
      <c r="B130" s="154"/>
      <c r="C130" s="152"/>
      <c r="D130" s="158"/>
      <c r="E130" s="154"/>
      <c r="F130" s="154"/>
      <c r="G130" s="163"/>
      <c r="H130" s="152"/>
      <c r="I130" s="158"/>
      <c r="J130" s="152"/>
      <c r="K130" s="159"/>
      <c r="L130" s="154"/>
      <c r="M130" s="152"/>
      <c r="N130" s="159"/>
      <c r="O130" s="152">
        <f t="shared" si="3"/>
        <v>108364.27186200945</v>
      </c>
      <c r="P130" s="152">
        <f t="shared" si="4"/>
        <v>128293.28486200946</v>
      </c>
    </row>
    <row r="131" spans="1:16" hidden="1" x14ac:dyDescent="0.15">
      <c r="A131" s="154"/>
      <c r="B131" s="154"/>
      <c r="C131" s="152"/>
      <c r="D131" s="158"/>
      <c r="E131" s="154"/>
      <c r="F131" s="154"/>
      <c r="G131" s="163"/>
      <c r="H131" s="152"/>
      <c r="I131" s="153"/>
      <c r="J131" s="152"/>
      <c r="K131" s="159"/>
      <c r="L131" s="154"/>
      <c r="M131" s="152"/>
      <c r="N131" s="159"/>
      <c r="O131" s="152">
        <f t="shared" si="3"/>
        <v>108364.27186200945</v>
      </c>
      <c r="P131" s="152">
        <f t="shared" si="4"/>
        <v>128293.28486200946</v>
      </c>
    </row>
    <row r="132" spans="1:16" hidden="1" x14ac:dyDescent="0.15">
      <c r="A132" s="154"/>
      <c r="B132" s="154"/>
      <c r="C132" s="152"/>
      <c r="D132" s="158"/>
      <c r="E132" s="154"/>
      <c r="F132" s="154"/>
      <c r="G132" s="163"/>
      <c r="H132" s="152"/>
      <c r="I132" s="153"/>
      <c r="J132" s="152"/>
      <c r="K132" s="159"/>
      <c r="L132" s="154"/>
      <c r="M132" s="152"/>
      <c r="N132" s="159"/>
      <c r="O132" s="152">
        <f t="shared" si="3"/>
        <v>108364.27186200945</v>
      </c>
      <c r="P132" s="152">
        <f t="shared" si="4"/>
        <v>128293.28486200946</v>
      </c>
    </row>
    <row r="133" spans="1:16" hidden="1" x14ac:dyDescent="0.15">
      <c r="A133" s="154"/>
      <c r="B133" s="154"/>
      <c r="C133" s="152"/>
      <c r="D133" s="158"/>
      <c r="E133" s="154"/>
      <c r="F133" s="154"/>
      <c r="G133" s="163"/>
      <c r="H133" s="152"/>
      <c r="I133" s="153"/>
      <c r="J133" s="152"/>
      <c r="K133" s="159"/>
      <c r="L133" s="154"/>
      <c r="M133" s="152"/>
      <c r="N133" s="159"/>
      <c r="O133" s="152">
        <f t="shared" si="3"/>
        <v>108364.27186200945</v>
      </c>
      <c r="P133" s="152">
        <f t="shared" si="4"/>
        <v>128293.28486200946</v>
      </c>
    </row>
    <row r="134" spans="1:16" hidden="1" x14ac:dyDescent="0.15">
      <c r="A134" s="154"/>
      <c r="B134" s="154"/>
      <c r="C134" s="152"/>
      <c r="D134" s="158"/>
      <c r="E134" s="154"/>
      <c r="F134" s="154"/>
      <c r="G134" s="163"/>
      <c r="H134" s="152"/>
      <c r="I134" s="158"/>
      <c r="J134" s="152"/>
      <c r="K134" s="154"/>
      <c r="L134" s="154"/>
      <c r="M134" s="152"/>
      <c r="N134" s="154"/>
      <c r="O134" s="152">
        <f t="shared" si="3"/>
        <v>108364.27186200945</v>
      </c>
      <c r="P134" s="152">
        <f t="shared" si="4"/>
        <v>128293.28486200946</v>
      </c>
    </row>
    <row r="135" spans="1:16" hidden="1" x14ac:dyDescent="0.15">
      <c r="A135" s="154"/>
      <c r="B135" s="154"/>
      <c r="C135" s="152"/>
      <c r="D135" s="153"/>
      <c r="E135" s="154"/>
      <c r="F135" s="154"/>
      <c r="G135" s="163"/>
      <c r="H135" s="152"/>
      <c r="I135" s="158"/>
      <c r="J135" s="152"/>
      <c r="K135" s="154"/>
      <c r="L135" s="154"/>
      <c r="M135" s="152"/>
      <c r="N135" s="154"/>
      <c r="O135" s="152">
        <f t="shared" si="3"/>
        <v>108364.27186200945</v>
      </c>
      <c r="P135" s="152">
        <f t="shared" si="4"/>
        <v>128293.28486200946</v>
      </c>
    </row>
    <row r="136" spans="1:16" hidden="1" x14ac:dyDescent="0.15">
      <c r="A136" s="154"/>
      <c r="B136" s="154"/>
      <c r="C136" s="152"/>
      <c r="D136" s="153"/>
      <c r="E136" s="154"/>
      <c r="F136" s="154"/>
      <c r="G136" s="163"/>
      <c r="H136" s="152"/>
      <c r="I136" s="158"/>
      <c r="J136" s="152"/>
      <c r="K136" s="154"/>
      <c r="L136" s="154"/>
      <c r="M136" s="152"/>
      <c r="N136" s="159"/>
      <c r="O136" s="152">
        <f t="shared" si="3"/>
        <v>108364.27186200945</v>
      </c>
      <c r="P136" s="152">
        <f t="shared" si="4"/>
        <v>128293.28486200946</v>
      </c>
    </row>
    <row r="137" spans="1:16" hidden="1" x14ac:dyDescent="0.15">
      <c r="A137" s="154"/>
      <c r="B137" s="154"/>
      <c r="C137" s="152"/>
      <c r="D137" s="153"/>
      <c r="E137" s="154"/>
      <c r="F137" s="154"/>
      <c r="G137" s="163"/>
      <c r="H137" s="152"/>
      <c r="I137" s="158"/>
      <c r="J137" s="152"/>
      <c r="K137" s="154"/>
      <c r="L137" s="154"/>
      <c r="M137" s="152"/>
      <c r="N137" s="154"/>
      <c r="O137" s="152">
        <f t="shared" ref="O137:O200" si="5">+O136-J137-M137</f>
        <v>108364.27186200945</v>
      </c>
      <c r="P137" s="152">
        <f t="shared" ref="P137:P200" si="6">P136+H137-J137-M137</f>
        <v>128293.28486200946</v>
      </c>
    </row>
    <row r="138" spans="1:16" s="167" customFormat="1" hidden="1" x14ac:dyDescent="0.15">
      <c r="A138" s="154"/>
      <c r="B138" s="154"/>
      <c r="C138" s="152"/>
      <c r="D138" s="153"/>
      <c r="E138" s="154"/>
      <c r="F138" s="154"/>
      <c r="G138" s="163"/>
      <c r="H138" s="152"/>
      <c r="I138" s="158"/>
      <c r="J138" s="152"/>
      <c r="K138" s="154"/>
      <c r="L138" s="154"/>
      <c r="M138" s="152"/>
      <c r="N138" s="154"/>
      <c r="O138" s="152">
        <f t="shared" si="5"/>
        <v>108364.27186200945</v>
      </c>
      <c r="P138" s="152">
        <f t="shared" si="6"/>
        <v>128293.28486200946</v>
      </c>
    </row>
    <row r="139" spans="1:16" s="167" customFormat="1" hidden="1" x14ac:dyDescent="0.15">
      <c r="A139" s="154"/>
      <c r="B139" s="154"/>
      <c r="C139" s="152"/>
      <c r="D139" s="158"/>
      <c r="E139" s="154"/>
      <c r="F139" s="154"/>
      <c r="G139" s="163"/>
      <c r="H139" s="152"/>
      <c r="I139" s="158"/>
      <c r="J139" s="152"/>
      <c r="K139" s="154"/>
      <c r="L139" s="154"/>
      <c r="M139" s="152"/>
      <c r="N139" s="154"/>
      <c r="O139" s="152">
        <f t="shared" si="5"/>
        <v>108364.27186200945</v>
      </c>
      <c r="P139" s="152">
        <f t="shared" si="6"/>
        <v>128293.28486200946</v>
      </c>
    </row>
    <row r="140" spans="1:16" s="167" customFormat="1" hidden="1" x14ac:dyDescent="0.15">
      <c r="A140" s="154"/>
      <c r="B140" s="151"/>
      <c r="C140" s="152"/>
      <c r="D140" s="153"/>
      <c r="E140" s="154"/>
      <c r="F140" s="154"/>
      <c r="G140" s="151"/>
      <c r="H140" s="152"/>
      <c r="I140" s="158"/>
      <c r="J140" s="152"/>
      <c r="K140" s="154"/>
      <c r="L140" s="154"/>
      <c r="M140" s="152"/>
      <c r="N140" s="154"/>
      <c r="O140" s="152">
        <f t="shared" si="5"/>
        <v>108364.27186200945</v>
      </c>
      <c r="P140" s="152">
        <f t="shared" si="6"/>
        <v>128293.28486200946</v>
      </c>
    </row>
    <row r="141" spans="1:16" s="167" customFormat="1" hidden="1" x14ac:dyDescent="0.15">
      <c r="A141" s="154"/>
      <c r="B141" s="151"/>
      <c r="C141" s="152"/>
      <c r="D141" s="153"/>
      <c r="E141" s="154"/>
      <c r="F141" s="150"/>
      <c r="G141" s="151"/>
      <c r="H141" s="152"/>
      <c r="I141" s="158"/>
      <c r="J141" s="152"/>
      <c r="K141" s="154"/>
      <c r="L141" s="154"/>
      <c r="M141" s="152"/>
      <c r="N141" s="154"/>
      <c r="O141" s="152">
        <f t="shared" si="5"/>
        <v>108364.27186200945</v>
      </c>
      <c r="P141" s="152">
        <f t="shared" si="6"/>
        <v>128293.28486200946</v>
      </c>
    </row>
    <row r="142" spans="1:16" s="167" customFormat="1" hidden="1" x14ac:dyDescent="0.15">
      <c r="A142" s="154"/>
      <c r="B142" s="151"/>
      <c r="C142" s="152"/>
      <c r="D142" s="153"/>
      <c r="E142" s="154"/>
      <c r="F142" s="150"/>
      <c r="G142" s="151"/>
      <c r="H142" s="152"/>
      <c r="I142" s="158"/>
      <c r="J142" s="152"/>
      <c r="K142" s="154"/>
      <c r="L142" s="154"/>
      <c r="M142" s="152"/>
      <c r="N142" s="154"/>
      <c r="O142" s="152">
        <f t="shared" si="5"/>
        <v>108364.27186200945</v>
      </c>
      <c r="P142" s="152">
        <f t="shared" si="6"/>
        <v>128293.28486200946</v>
      </c>
    </row>
    <row r="143" spans="1:16" s="167" customFormat="1" hidden="1" x14ac:dyDescent="0.15">
      <c r="A143" s="154"/>
      <c r="B143" s="151"/>
      <c r="C143" s="152"/>
      <c r="D143" s="153"/>
      <c r="E143" s="154"/>
      <c r="F143" s="150"/>
      <c r="G143" s="151"/>
      <c r="H143" s="152"/>
      <c r="I143" s="153"/>
      <c r="J143" s="152"/>
      <c r="K143" s="154"/>
      <c r="L143" s="154"/>
      <c r="M143" s="152"/>
      <c r="N143" s="154"/>
      <c r="O143" s="152">
        <f t="shared" si="5"/>
        <v>108364.27186200945</v>
      </c>
      <c r="P143" s="152">
        <f t="shared" si="6"/>
        <v>128293.28486200946</v>
      </c>
    </row>
    <row r="144" spans="1:16" s="167" customFormat="1" hidden="1" x14ac:dyDescent="0.15">
      <c r="A144" s="154"/>
      <c r="B144" s="151"/>
      <c r="C144" s="152"/>
      <c r="D144" s="153"/>
      <c r="E144" s="154"/>
      <c r="F144" s="150"/>
      <c r="G144" s="151"/>
      <c r="H144" s="152"/>
      <c r="I144" s="153"/>
      <c r="J144" s="152"/>
      <c r="K144" s="154"/>
      <c r="L144" s="154"/>
      <c r="M144" s="152"/>
      <c r="N144" s="154"/>
      <c r="O144" s="152">
        <f t="shared" si="5"/>
        <v>108364.27186200945</v>
      </c>
      <c r="P144" s="152">
        <f t="shared" si="6"/>
        <v>128293.28486200946</v>
      </c>
    </row>
    <row r="145" spans="1:16" s="167" customFormat="1" hidden="1" x14ac:dyDescent="0.15">
      <c r="A145" s="154"/>
      <c r="B145" s="151"/>
      <c r="C145" s="152"/>
      <c r="D145" s="158"/>
      <c r="E145" s="154"/>
      <c r="F145" s="150"/>
      <c r="G145" s="151"/>
      <c r="H145" s="152"/>
      <c r="I145" s="158"/>
      <c r="J145" s="152"/>
      <c r="K145" s="159"/>
      <c r="L145" s="154"/>
      <c r="M145" s="152"/>
      <c r="N145" s="154"/>
      <c r="O145" s="152">
        <f t="shared" si="5"/>
        <v>108364.27186200945</v>
      </c>
      <c r="P145" s="152">
        <f t="shared" si="6"/>
        <v>128293.28486200946</v>
      </c>
    </row>
    <row r="146" spans="1:16" s="167" customFormat="1" hidden="1" x14ac:dyDescent="0.15">
      <c r="A146" s="154"/>
      <c r="B146" s="154"/>
      <c r="C146" s="152"/>
      <c r="D146" s="158"/>
      <c r="E146" s="154"/>
      <c r="F146" s="157"/>
      <c r="G146" s="163"/>
      <c r="H146" s="152"/>
      <c r="I146" s="158"/>
      <c r="J146" s="152"/>
      <c r="K146" s="154"/>
      <c r="L146" s="154"/>
      <c r="M146" s="152"/>
      <c r="N146" s="154"/>
      <c r="O146" s="152">
        <f t="shared" si="5"/>
        <v>108364.27186200945</v>
      </c>
      <c r="P146" s="152">
        <f t="shared" si="6"/>
        <v>128293.28486200946</v>
      </c>
    </row>
    <row r="147" spans="1:16" s="167" customFormat="1" hidden="1" x14ac:dyDescent="0.15">
      <c r="A147" s="154"/>
      <c r="B147" s="154"/>
      <c r="C147" s="152"/>
      <c r="D147" s="153"/>
      <c r="E147" s="154"/>
      <c r="F147" s="150"/>
      <c r="G147" s="151"/>
      <c r="H147" s="152"/>
      <c r="I147" s="158"/>
      <c r="J147" s="152"/>
      <c r="K147" s="154"/>
      <c r="L147" s="154"/>
      <c r="M147" s="152"/>
      <c r="N147" s="154"/>
      <c r="O147" s="152">
        <f t="shared" si="5"/>
        <v>108364.27186200945</v>
      </c>
      <c r="P147" s="152">
        <f t="shared" si="6"/>
        <v>128293.28486200946</v>
      </c>
    </row>
    <row r="148" spans="1:16" s="167" customFormat="1" hidden="1" x14ac:dyDescent="0.15">
      <c r="A148" s="154"/>
      <c r="B148" s="154"/>
      <c r="C148" s="152"/>
      <c r="D148" s="158"/>
      <c r="E148" s="154"/>
      <c r="F148" s="154"/>
      <c r="G148" s="163"/>
      <c r="H148" s="152"/>
      <c r="I148" s="158"/>
      <c r="J148" s="152"/>
      <c r="K148" s="154"/>
      <c r="L148" s="154"/>
      <c r="M148" s="152"/>
      <c r="N148" s="154"/>
      <c r="O148" s="152">
        <f t="shared" si="5"/>
        <v>108364.27186200945</v>
      </c>
      <c r="P148" s="152">
        <f t="shared" si="6"/>
        <v>128293.28486200946</v>
      </c>
    </row>
    <row r="149" spans="1:16" s="167" customFormat="1" hidden="1" x14ac:dyDescent="0.15">
      <c r="A149" s="154"/>
      <c r="B149" s="154"/>
      <c r="C149" s="152"/>
      <c r="D149" s="158"/>
      <c r="E149" s="154"/>
      <c r="F149" s="157"/>
      <c r="G149" s="163"/>
      <c r="H149" s="152"/>
      <c r="I149" s="158"/>
      <c r="J149" s="152"/>
      <c r="K149" s="154"/>
      <c r="L149" s="154"/>
      <c r="M149" s="152"/>
      <c r="N149" s="154"/>
      <c r="O149" s="152">
        <f t="shared" si="5"/>
        <v>108364.27186200945</v>
      </c>
      <c r="P149" s="152">
        <f t="shared" si="6"/>
        <v>128293.28486200946</v>
      </c>
    </row>
    <row r="150" spans="1:16" s="167" customFormat="1" hidden="1" x14ac:dyDescent="0.15">
      <c r="A150" s="154"/>
      <c r="B150" s="154"/>
      <c r="C150" s="152"/>
      <c r="D150" s="158"/>
      <c r="E150" s="154"/>
      <c r="F150" s="154"/>
      <c r="G150" s="151"/>
      <c r="H150" s="152"/>
      <c r="I150" s="158"/>
      <c r="J150" s="152"/>
      <c r="K150" s="154"/>
      <c r="L150" s="154"/>
      <c r="M150" s="152"/>
      <c r="N150" s="154"/>
      <c r="O150" s="152">
        <f t="shared" si="5"/>
        <v>108364.27186200945</v>
      </c>
      <c r="P150" s="152">
        <f t="shared" si="6"/>
        <v>128293.28486200946</v>
      </c>
    </row>
    <row r="151" spans="1:16" s="167" customFormat="1" hidden="1" x14ac:dyDescent="0.15">
      <c r="A151" s="154"/>
      <c r="B151" s="154"/>
      <c r="C151" s="152"/>
      <c r="D151" s="153"/>
      <c r="E151" s="154"/>
      <c r="F151" s="154"/>
      <c r="G151" s="151"/>
      <c r="H151" s="152"/>
      <c r="I151" s="158"/>
      <c r="J151" s="152"/>
      <c r="K151" s="154"/>
      <c r="L151" s="154"/>
      <c r="M151" s="152"/>
      <c r="N151" s="154"/>
      <c r="O151" s="152">
        <f t="shared" si="5"/>
        <v>108364.27186200945</v>
      </c>
      <c r="P151" s="152">
        <f t="shared" si="6"/>
        <v>128293.28486200946</v>
      </c>
    </row>
    <row r="152" spans="1:16" s="167" customFormat="1" hidden="1" x14ac:dyDescent="0.15">
      <c r="A152" s="154"/>
      <c r="B152" s="154"/>
      <c r="C152" s="152"/>
      <c r="D152" s="158"/>
      <c r="E152" s="154"/>
      <c r="F152" s="157"/>
      <c r="G152" s="168"/>
      <c r="H152" s="152"/>
      <c r="I152" s="158"/>
      <c r="J152" s="152"/>
      <c r="K152" s="154"/>
      <c r="L152" s="154"/>
      <c r="M152" s="152"/>
      <c r="N152" s="154"/>
      <c r="O152" s="152">
        <f t="shared" si="5"/>
        <v>108364.27186200945</v>
      </c>
      <c r="P152" s="152">
        <f t="shared" si="6"/>
        <v>128293.28486200946</v>
      </c>
    </row>
    <row r="153" spans="1:16" s="167" customFormat="1" hidden="1" x14ac:dyDescent="0.15">
      <c r="A153" s="154"/>
      <c r="B153" s="154"/>
      <c r="C153" s="152"/>
      <c r="D153" s="153"/>
      <c r="E153" s="154"/>
      <c r="F153" s="154"/>
      <c r="G153" s="151"/>
      <c r="H153" s="152"/>
      <c r="I153" s="158"/>
      <c r="J153" s="152"/>
      <c r="K153" s="159"/>
      <c r="L153" s="154"/>
      <c r="M153" s="152"/>
      <c r="N153" s="154"/>
      <c r="O153" s="152">
        <f t="shared" si="5"/>
        <v>108364.27186200945</v>
      </c>
      <c r="P153" s="152">
        <f t="shared" si="6"/>
        <v>128293.28486200946</v>
      </c>
    </row>
    <row r="154" spans="1:16" s="167" customFormat="1" hidden="1" x14ac:dyDescent="0.15">
      <c r="A154" s="154"/>
      <c r="B154" s="154"/>
      <c r="C154" s="152"/>
      <c r="D154" s="158"/>
      <c r="E154" s="154"/>
      <c r="F154" s="154"/>
      <c r="G154" s="151"/>
      <c r="H154" s="152"/>
      <c r="I154" s="158"/>
      <c r="J154" s="152"/>
      <c r="K154" s="154"/>
      <c r="L154" s="154"/>
      <c r="M154" s="152"/>
      <c r="N154" s="154"/>
      <c r="O154" s="152">
        <f t="shared" si="5"/>
        <v>108364.27186200945</v>
      </c>
      <c r="P154" s="152">
        <f t="shared" si="6"/>
        <v>128293.28486200946</v>
      </c>
    </row>
    <row r="155" spans="1:16" s="167" customFormat="1" hidden="1" x14ac:dyDescent="0.15">
      <c r="A155" s="154"/>
      <c r="B155" s="154"/>
      <c r="C155" s="152"/>
      <c r="D155" s="158"/>
      <c r="E155" s="154"/>
      <c r="F155" s="154"/>
      <c r="G155" s="151"/>
      <c r="H155" s="152"/>
      <c r="I155" s="158"/>
      <c r="J155" s="152"/>
      <c r="K155" s="154"/>
      <c r="L155" s="154"/>
      <c r="M155" s="152"/>
      <c r="N155" s="154"/>
      <c r="O155" s="152">
        <f t="shared" si="5"/>
        <v>108364.27186200945</v>
      </c>
      <c r="P155" s="152">
        <f t="shared" si="6"/>
        <v>128293.28486200946</v>
      </c>
    </row>
    <row r="156" spans="1:16" s="167" customFormat="1" hidden="1" x14ac:dyDescent="0.15">
      <c r="A156" s="154"/>
      <c r="B156" s="154"/>
      <c r="C156" s="152"/>
      <c r="D156" s="153"/>
      <c r="E156" s="154"/>
      <c r="F156" s="154"/>
      <c r="G156" s="151"/>
      <c r="H156" s="152"/>
      <c r="I156" s="158"/>
      <c r="J156" s="152"/>
      <c r="K156" s="159"/>
      <c r="L156" s="154"/>
      <c r="M156" s="152"/>
      <c r="N156" s="154"/>
      <c r="O156" s="152">
        <f t="shared" si="5"/>
        <v>108364.27186200945</v>
      </c>
      <c r="P156" s="152">
        <f t="shared" si="6"/>
        <v>128293.28486200946</v>
      </c>
    </row>
    <row r="157" spans="1:16" s="167" customFormat="1" hidden="1" x14ac:dyDescent="0.15">
      <c r="A157" s="154"/>
      <c r="B157" s="154"/>
      <c r="C157" s="152"/>
      <c r="D157" s="158"/>
      <c r="E157" s="154"/>
      <c r="F157" s="157"/>
      <c r="G157" s="163"/>
      <c r="H157" s="152"/>
      <c r="I157" s="158"/>
      <c r="J157" s="152"/>
      <c r="K157" s="154"/>
      <c r="L157" s="154"/>
      <c r="M157" s="152"/>
      <c r="N157" s="154"/>
      <c r="O157" s="152">
        <f t="shared" si="5"/>
        <v>108364.27186200945</v>
      </c>
      <c r="P157" s="152">
        <f t="shared" si="6"/>
        <v>128293.28486200946</v>
      </c>
    </row>
    <row r="158" spans="1:16" s="167" customFormat="1" hidden="1" x14ac:dyDescent="0.15">
      <c r="A158" s="154"/>
      <c r="B158" s="154"/>
      <c r="C158" s="152"/>
      <c r="D158" s="158"/>
      <c r="E158" s="154"/>
      <c r="F158" s="154"/>
      <c r="G158" s="151"/>
      <c r="H158" s="152"/>
      <c r="I158" s="158"/>
      <c r="J158" s="152"/>
      <c r="K158" s="150"/>
      <c r="L158" s="154"/>
      <c r="M158" s="152"/>
      <c r="N158" s="154"/>
      <c r="O158" s="152">
        <f t="shared" si="5"/>
        <v>108364.27186200945</v>
      </c>
      <c r="P158" s="152">
        <f t="shared" si="6"/>
        <v>128293.28486200946</v>
      </c>
    </row>
    <row r="159" spans="1:16" s="167" customFormat="1" hidden="1" x14ac:dyDescent="0.15">
      <c r="A159" s="154"/>
      <c r="B159" s="154"/>
      <c r="C159" s="152"/>
      <c r="D159" s="158"/>
      <c r="E159" s="154"/>
      <c r="F159" s="154"/>
      <c r="G159" s="151"/>
      <c r="H159" s="152"/>
      <c r="I159" s="158"/>
      <c r="J159" s="152"/>
      <c r="K159" s="150"/>
      <c r="L159" s="154"/>
      <c r="M159" s="152"/>
      <c r="N159" s="154"/>
      <c r="O159" s="152">
        <f t="shared" si="5"/>
        <v>108364.27186200945</v>
      </c>
      <c r="P159" s="152">
        <f t="shared" si="6"/>
        <v>128293.28486200946</v>
      </c>
    </row>
    <row r="160" spans="1:16" s="167" customFormat="1" hidden="1" x14ac:dyDescent="0.15">
      <c r="A160" s="154"/>
      <c r="B160" s="154"/>
      <c r="C160" s="152"/>
      <c r="D160" s="158"/>
      <c r="E160" s="154"/>
      <c r="F160" s="154"/>
      <c r="G160" s="151"/>
      <c r="H160" s="152"/>
      <c r="I160" s="158"/>
      <c r="J160" s="152"/>
      <c r="K160" s="154"/>
      <c r="L160" s="154"/>
      <c r="M160" s="152"/>
      <c r="N160" s="154"/>
      <c r="O160" s="152">
        <f t="shared" si="5"/>
        <v>108364.27186200945</v>
      </c>
      <c r="P160" s="152">
        <f t="shared" si="6"/>
        <v>128293.28486200946</v>
      </c>
    </row>
    <row r="161" spans="1:16" s="167" customFormat="1" hidden="1" x14ac:dyDescent="0.15">
      <c r="A161" s="154"/>
      <c r="B161" s="154"/>
      <c r="C161" s="152"/>
      <c r="D161" s="158"/>
      <c r="E161" s="154"/>
      <c r="F161" s="150"/>
      <c r="G161" s="151"/>
      <c r="H161" s="152"/>
      <c r="I161" s="158"/>
      <c r="J161" s="152"/>
      <c r="K161" s="154"/>
      <c r="L161" s="154"/>
      <c r="M161" s="152"/>
      <c r="N161" s="154"/>
      <c r="O161" s="152">
        <f t="shared" si="5"/>
        <v>108364.27186200945</v>
      </c>
      <c r="P161" s="152">
        <f t="shared" si="6"/>
        <v>128293.28486200946</v>
      </c>
    </row>
    <row r="162" spans="1:16" s="167" customFormat="1" hidden="1" x14ac:dyDescent="0.15">
      <c r="A162" s="154"/>
      <c r="B162" s="154"/>
      <c r="C162" s="152"/>
      <c r="D162" s="153"/>
      <c r="E162" s="154"/>
      <c r="F162" s="150"/>
      <c r="G162" s="151"/>
      <c r="H162" s="152"/>
      <c r="I162" s="158"/>
      <c r="J162" s="152"/>
      <c r="K162" s="154"/>
      <c r="L162" s="154"/>
      <c r="M162" s="152"/>
      <c r="N162" s="154"/>
      <c r="O162" s="152">
        <f t="shared" si="5"/>
        <v>108364.27186200945</v>
      </c>
      <c r="P162" s="152">
        <f t="shared" si="6"/>
        <v>128293.28486200946</v>
      </c>
    </row>
    <row r="163" spans="1:16" s="167" customFormat="1" hidden="1" x14ac:dyDescent="0.15">
      <c r="A163" s="154"/>
      <c r="B163" s="154"/>
      <c r="C163" s="152"/>
      <c r="D163" s="158"/>
      <c r="E163" s="154"/>
      <c r="F163" s="157"/>
      <c r="G163" s="151"/>
      <c r="H163" s="152"/>
      <c r="I163" s="158"/>
      <c r="J163" s="152"/>
      <c r="K163" s="154"/>
      <c r="L163" s="154"/>
      <c r="M163" s="152"/>
      <c r="N163" s="154"/>
      <c r="O163" s="152">
        <f t="shared" si="5"/>
        <v>108364.27186200945</v>
      </c>
      <c r="P163" s="152">
        <f t="shared" si="6"/>
        <v>128293.28486200946</v>
      </c>
    </row>
    <row r="164" spans="1:16" s="167" customFormat="1" hidden="1" x14ac:dyDescent="0.15">
      <c r="A164" s="154"/>
      <c r="B164" s="154"/>
      <c r="C164" s="152"/>
      <c r="D164" s="158"/>
      <c r="E164" s="154"/>
      <c r="F164" s="154"/>
      <c r="G164" s="151"/>
      <c r="H164" s="152"/>
      <c r="I164" s="158"/>
      <c r="J164" s="152"/>
      <c r="K164" s="154"/>
      <c r="L164" s="154"/>
      <c r="M164" s="152"/>
      <c r="N164" s="154"/>
      <c r="O164" s="152">
        <f t="shared" si="5"/>
        <v>108364.27186200945</v>
      </c>
      <c r="P164" s="152">
        <f t="shared" si="6"/>
        <v>128293.28486200946</v>
      </c>
    </row>
    <row r="165" spans="1:16" s="167" customFormat="1" hidden="1" x14ac:dyDescent="0.15">
      <c r="A165" s="154"/>
      <c r="B165" s="154"/>
      <c r="C165" s="152"/>
      <c r="D165" s="153"/>
      <c r="E165" s="154"/>
      <c r="F165" s="154"/>
      <c r="G165" s="151"/>
      <c r="H165" s="152"/>
      <c r="I165" s="158"/>
      <c r="J165" s="152"/>
      <c r="K165" s="154"/>
      <c r="L165" s="154"/>
      <c r="M165" s="152"/>
      <c r="N165" s="154"/>
      <c r="O165" s="152">
        <f t="shared" si="5"/>
        <v>108364.27186200945</v>
      </c>
      <c r="P165" s="152">
        <f t="shared" si="6"/>
        <v>128293.28486200946</v>
      </c>
    </row>
    <row r="166" spans="1:16" s="167" customFormat="1" hidden="1" x14ac:dyDescent="0.15">
      <c r="A166" s="154"/>
      <c r="B166" s="154"/>
      <c r="C166" s="152"/>
      <c r="D166" s="153"/>
      <c r="E166" s="154"/>
      <c r="F166" s="157"/>
      <c r="G166" s="168"/>
      <c r="H166" s="152"/>
      <c r="I166" s="158"/>
      <c r="J166" s="152"/>
      <c r="K166" s="154"/>
      <c r="L166" s="154"/>
      <c r="M166" s="152"/>
      <c r="N166" s="154"/>
      <c r="O166" s="152">
        <f t="shared" si="5"/>
        <v>108364.27186200945</v>
      </c>
      <c r="P166" s="152">
        <f t="shared" si="6"/>
        <v>128293.28486200946</v>
      </c>
    </row>
    <row r="167" spans="1:16" s="167" customFormat="1" hidden="1" x14ac:dyDescent="0.15">
      <c r="A167" s="154"/>
      <c r="B167" s="154"/>
      <c r="C167" s="152"/>
      <c r="D167" s="153"/>
      <c r="E167" s="154"/>
      <c r="F167" s="157"/>
      <c r="G167" s="168"/>
      <c r="H167" s="152"/>
      <c r="I167" s="153"/>
      <c r="J167" s="152"/>
      <c r="K167" s="154"/>
      <c r="L167" s="154"/>
      <c r="M167" s="152"/>
      <c r="N167" s="154"/>
      <c r="O167" s="152">
        <f t="shared" si="5"/>
        <v>108364.27186200945</v>
      </c>
      <c r="P167" s="152">
        <f t="shared" si="6"/>
        <v>128293.28486200946</v>
      </c>
    </row>
    <row r="168" spans="1:16" hidden="1" x14ac:dyDescent="0.15">
      <c r="A168" s="154"/>
      <c r="B168" s="154"/>
      <c r="C168" s="152"/>
      <c r="D168" s="158"/>
      <c r="E168" s="154"/>
      <c r="F168" s="150"/>
      <c r="G168" s="151"/>
      <c r="H168" s="152"/>
      <c r="I168" s="158"/>
      <c r="J168" s="152"/>
      <c r="K168" s="154"/>
      <c r="L168" s="154"/>
      <c r="M168" s="152"/>
      <c r="N168" s="154"/>
      <c r="O168" s="152">
        <f t="shared" si="5"/>
        <v>108364.27186200945</v>
      </c>
      <c r="P168" s="152">
        <f t="shared" si="6"/>
        <v>128293.28486200946</v>
      </c>
    </row>
    <row r="169" spans="1:16" hidden="1" x14ac:dyDescent="0.15">
      <c r="A169" s="154"/>
      <c r="B169" s="154"/>
      <c r="C169" s="152"/>
      <c r="D169" s="158"/>
      <c r="E169" s="154"/>
      <c r="F169" s="150"/>
      <c r="G169" s="151"/>
      <c r="H169" s="152"/>
      <c r="I169" s="158"/>
      <c r="J169" s="152"/>
      <c r="K169" s="154"/>
      <c r="L169" s="154"/>
      <c r="M169" s="152"/>
      <c r="N169" s="154"/>
      <c r="O169" s="152">
        <f t="shared" si="5"/>
        <v>108364.27186200945</v>
      </c>
      <c r="P169" s="152">
        <f t="shared" si="6"/>
        <v>128293.28486200946</v>
      </c>
    </row>
    <row r="170" spans="1:16" hidden="1" x14ac:dyDescent="0.15">
      <c r="A170" s="154"/>
      <c r="B170" s="154"/>
      <c r="C170" s="152"/>
      <c r="D170" s="158"/>
      <c r="E170" s="154"/>
      <c r="F170" s="157"/>
      <c r="G170" s="151"/>
      <c r="H170" s="152"/>
      <c r="I170" s="158"/>
      <c r="J170" s="152"/>
      <c r="K170" s="154"/>
      <c r="L170" s="154"/>
      <c r="M170" s="152"/>
      <c r="N170" s="154"/>
      <c r="O170" s="152">
        <f t="shared" si="5"/>
        <v>108364.27186200945</v>
      </c>
      <c r="P170" s="152">
        <f t="shared" si="6"/>
        <v>128293.28486200946</v>
      </c>
    </row>
    <row r="171" spans="1:16" hidden="1" x14ac:dyDescent="0.15">
      <c r="A171" s="154"/>
      <c r="B171" s="154"/>
      <c r="C171" s="152"/>
      <c r="D171" s="153"/>
      <c r="E171" s="154"/>
      <c r="F171" s="154"/>
      <c r="G171" s="163"/>
      <c r="H171" s="152"/>
      <c r="I171" s="158"/>
      <c r="J171" s="152"/>
      <c r="K171" s="154"/>
      <c r="L171" s="154"/>
      <c r="M171" s="152"/>
      <c r="N171" s="154"/>
      <c r="O171" s="152">
        <f t="shared" si="5"/>
        <v>108364.27186200945</v>
      </c>
      <c r="P171" s="152">
        <f t="shared" si="6"/>
        <v>128293.28486200946</v>
      </c>
    </row>
    <row r="172" spans="1:16" hidden="1" x14ac:dyDescent="0.15">
      <c r="A172" s="154"/>
      <c r="B172" s="154"/>
      <c r="C172" s="152"/>
      <c r="D172" s="158"/>
      <c r="E172" s="154"/>
      <c r="F172" s="154"/>
      <c r="G172" s="163"/>
      <c r="H172" s="152"/>
      <c r="I172" s="158"/>
      <c r="J172" s="152"/>
      <c r="K172" s="154"/>
      <c r="L172" s="154"/>
      <c r="M172" s="152"/>
      <c r="N172" s="154"/>
      <c r="O172" s="152">
        <f t="shared" si="5"/>
        <v>108364.27186200945</v>
      </c>
      <c r="P172" s="152">
        <f t="shared" si="6"/>
        <v>128293.28486200946</v>
      </c>
    </row>
    <row r="173" spans="1:16" hidden="1" x14ac:dyDescent="0.15">
      <c r="A173" s="154"/>
      <c r="B173" s="154"/>
      <c r="C173" s="152"/>
      <c r="D173" s="153"/>
      <c r="E173" s="154"/>
      <c r="F173" s="157"/>
      <c r="G173" s="151"/>
      <c r="H173" s="152"/>
      <c r="I173" s="158"/>
      <c r="J173" s="152"/>
      <c r="K173" s="154"/>
      <c r="L173" s="154"/>
      <c r="M173" s="152"/>
      <c r="N173" s="154"/>
      <c r="O173" s="152">
        <f t="shared" si="5"/>
        <v>108364.27186200945</v>
      </c>
      <c r="P173" s="152">
        <f t="shared" si="6"/>
        <v>128293.28486200946</v>
      </c>
    </row>
    <row r="174" spans="1:16" hidden="1" x14ac:dyDescent="0.15">
      <c r="A174" s="154"/>
      <c r="B174" s="154"/>
      <c r="C174" s="152"/>
      <c r="D174" s="158"/>
      <c r="E174" s="154"/>
      <c r="F174" s="154"/>
      <c r="G174" s="163"/>
      <c r="H174" s="152"/>
      <c r="I174" s="158"/>
      <c r="J174" s="152"/>
      <c r="K174" s="164"/>
      <c r="L174" s="154"/>
      <c r="M174" s="152"/>
      <c r="N174" s="154"/>
      <c r="O174" s="152">
        <f t="shared" si="5"/>
        <v>108364.27186200945</v>
      </c>
      <c r="P174" s="152">
        <f t="shared" si="6"/>
        <v>128293.28486200946</v>
      </c>
    </row>
    <row r="175" spans="1:16" hidden="1" x14ac:dyDescent="0.15">
      <c r="A175" s="154"/>
      <c r="B175" s="154"/>
      <c r="C175" s="152"/>
      <c r="D175" s="153"/>
      <c r="E175" s="154"/>
      <c r="F175" s="154"/>
      <c r="G175" s="169"/>
      <c r="H175" s="152"/>
      <c r="I175" s="158"/>
      <c r="J175" s="152"/>
      <c r="K175" s="154"/>
      <c r="L175" s="154"/>
      <c r="M175" s="152"/>
      <c r="N175" s="154"/>
      <c r="O175" s="152">
        <f t="shared" si="5"/>
        <v>108364.27186200945</v>
      </c>
      <c r="P175" s="152">
        <f t="shared" si="6"/>
        <v>128293.28486200946</v>
      </c>
    </row>
    <row r="176" spans="1:16" hidden="1" x14ac:dyDescent="0.15">
      <c r="A176" s="154"/>
      <c r="B176" s="154"/>
      <c r="C176" s="152"/>
      <c r="D176" s="158"/>
      <c r="E176" s="154"/>
      <c r="F176" s="157"/>
      <c r="G176" s="168"/>
      <c r="H176" s="152"/>
      <c r="I176" s="158"/>
      <c r="J176" s="152"/>
      <c r="K176" s="154"/>
      <c r="L176" s="154"/>
      <c r="M176" s="152"/>
      <c r="N176" s="154"/>
      <c r="O176" s="152">
        <f t="shared" si="5"/>
        <v>108364.27186200945</v>
      </c>
      <c r="P176" s="152">
        <f t="shared" si="6"/>
        <v>128293.28486200946</v>
      </c>
    </row>
    <row r="177" spans="1:16" hidden="1" x14ac:dyDescent="0.15">
      <c r="A177" s="154"/>
      <c r="B177" s="154"/>
      <c r="C177" s="152"/>
      <c r="D177" s="158"/>
      <c r="E177" s="154"/>
      <c r="F177" s="154"/>
      <c r="G177" s="163"/>
      <c r="H177" s="152"/>
      <c r="I177" s="158"/>
      <c r="J177" s="152"/>
      <c r="K177" s="154"/>
      <c r="L177" s="154"/>
      <c r="M177" s="152"/>
      <c r="N177" s="154"/>
      <c r="O177" s="152">
        <f t="shared" si="5"/>
        <v>108364.27186200945</v>
      </c>
      <c r="P177" s="152">
        <f t="shared" si="6"/>
        <v>128293.28486200946</v>
      </c>
    </row>
    <row r="178" spans="1:16" hidden="1" x14ac:dyDescent="0.15">
      <c r="A178" s="154"/>
      <c r="B178" s="154"/>
      <c r="C178" s="152"/>
      <c r="D178" s="158"/>
      <c r="E178" s="154"/>
      <c r="F178" s="154"/>
      <c r="G178" s="163"/>
      <c r="H178" s="152"/>
      <c r="I178" s="158"/>
      <c r="J178" s="152"/>
      <c r="K178" s="154"/>
      <c r="L178" s="154"/>
      <c r="M178" s="152"/>
      <c r="N178" s="154"/>
      <c r="O178" s="152">
        <f t="shared" si="5"/>
        <v>108364.27186200945</v>
      </c>
      <c r="P178" s="152">
        <f t="shared" si="6"/>
        <v>128293.28486200946</v>
      </c>
    </row>
    <row r="179" spans="1:16" hidden="1" x14ac:dyDescent="0.15">
      <c r="A179" s="154"/>
      <c r="B179" s="154"/>
      <c r="C179" s="152"/>
      <c r="D179" s="158"/>
      <c r="E179" s="154"/>
      <c r="F179" s="157"/>
      <c r="G179" s="151"/>
      <c r="H179" s="152"/>
      <c r="I179" s="158"/>
      <c r="J179" s="152"/>
      <c r="K179" s="154"/>
      <c r="L179" s="154"/>
      <c r="M179" s="152"/>
      <c r="N179" s="154"/>
      <c r="O179" s="152">
        <f t="shared" si="5"/>
        <v>108364.27186200945</v>
      </c>
      <c r="P179" s="152">
        <f t="shared" si="6"/>
        <v>128293.28486200946</v>
      </c>
    </row>
    <row r="180" spans="1:16" hidden="1" x14ac:dyDescent="0.15">
      <c r="A180" s="154"/>
      <c r="B180" s="154"/>
      <c r="C180" s="152"/>
      <c r="D180" s="153"/>
      <c r="E180" s="154"/>
      <c r="F180" s="154"/>
      <c r="G180" s="163"/>
      <c r="H180" s="152"/>
      <c r="I180" s="158"/>
      <c r="J180" s="152"/>
      <c r="K180" s="154"/>
      <c r="L180" s="154"/>
      <c r="M180" s="152"/>
      <c r="N180" s="154"/>
      <c r="O180" s="152">
        <f t="shared" si="5"/>
        <v>108364.27186200945</v>
      </c>
      <c r="P180" s="152">
        <f t="shared" si="6"/>
        <v>128293.28486200946</v>
      </c>
    </row>
    <row r="181" spans="1:16" hidden="1" x14ac:dyDescent="0.15">
      <c r="A181" s="154"/>
      <c r="B181" s="154"/>
      <c r="C181" s="152"/>
      <c r="D181" s="158"/>
      <c r="E181" s="154"/>
      <c r="F181" s="154"/>
      <c r="G181" s="163"/>
      <c r="H181" s="152"/>
      <c r="I181" s="158"/>
      <c r="J181" s="152"/>
      <c r="K181" s="164"/>
      <c r="L181" s="154"/>
      <c r="M181" s="152"/>
      <c r="N181" s="154"/>
      <c r="O181" s="152">
        <f t="shared" si="5"/>
        <v>108364.27186200945</v>
      </c>
      <c r="P181" s="152">
        <f t="shared" si="6"/>
        <v>128293.28486200946</v>
      </c>
    </row>
    <row r="182" spans="1:16" hidden="1" x14ac:dyDescent="0.15">
      <c r="A182" s="154"/>
      <c r="B182" s="154"/>
      <c r="C182" s="152"/>
      <c r="D182" s="158"/>
      <c r="E182" s="154"/>
      <c r="F182" s="154"/>
      <c r="G182" s="163"/>
      <c r="H182" s="152"/>
      <c r="I182" s="158"/>
      <c r="J182" s="152"/>
      <c r="K182" s="164"/>
      <c r="L182" s="154"/>
      <c r="M182" s="152"/>
      <c r="N182" s="154"/>
      <c r="O182" s="152">
        <f t="shared" si="5"/>
        <v>108364.27186200945</v>
      </c>
      <c r="P182" s="152">
        <f t="shared" si="6"/>
        <v>128293.28486200946</v>
      </c>
    </row>
    <row r="183" spans="1:16" hidden="1" x14ac:dyDescent="0.15">
      <c r="A183" s="154"/>
      <c r="B183" s="154"/>
      <c r="C183" s="152"/>
      <c r="D183" s="153"/>
      <c r="E183" s="154"/>
      <c r="F183" s="150"/>
      <c r="G183" s="151"/>
      <c r="H183" s="152"/>
      <c r="I183" s="158"/>
      <c r="J183" s="152"/>
      <c r="K183" s="154"/>
      <c r="L183" s="154"/>
      <c r="M183" s="152"/>
      <c r="N183" s="154"/>
      <c r="O183" s="152">
        <f t="shared" si="5"/>
        <v>108364.27186200945</v>
      </c>
      <c r="P183" s="152">
        <f t="shared" si="6"/>
        <v>128293.28486200946</v>
      </c>
    </row>
    <row r="184" spans="1:16" hidden="1" x14ac:dyDescent="0.15">
      <c r="A184" s="154"/>
      <c r="B184" s="154"/>
      <c r="C184" s="152"/>
      <c r="D184" s="158"/>
      <c r="E184" s="154"/>
      <c r="F184" s="150"/>
      <c r="G184" s="151"/>
      <c r="H184" s="152"/>
      <c r="I184" s="158"/>
      <c r="J184" s="152"/>
      <c r="K184" s="154"/>
      <c r="L184" s="154"/>
      <c r="M184" s="152"/>
      <c r="N184" s="154"/>
      <c r="O184" s="152">
        <f t="shared" si="5"/>
        <v>108364.27186200945</v>
      </c>
      <c r="P184" s="152">
        <f t="shared" si="6"/>
        <v>128293.28486200946</v>
      </c>
    </row>
    <row r="185" spans="1:16" hidden="1" x14ac:dyDescent="0.15">
      <c r="A185" s="154"/>
      <c r="B185" s="154"/>
      <c r="C185" s="152"/>
      <c r="D185" s="158"/>
      <c r="E185" s="154"/>
      <c r="F185" s="150"/>
      <c r="G185" s="151"/>
      <c r="H185" s="152"/>
      <c r="I185" s="158"/>
      <c r="J185" s="152"/>
      <c r="K185" s="154"/>
      <c r="L185" s="154"/>
      <c r="M185" s="152"/>
      <c r="N185" s="154"/>
      <c r="O185" s="152">
        <f t="shared" si="5"/>
        <v>108364.27186200945</v>
      </c>
      <c r="P185" s="152">
        <f t="shared" si="6"/>
        <v>128293.28486200946</v>
      </c>
    </row>
    <row r="186" spans="1:16" hidden="1" x14ac:dyDescent="0.15">
      <c r="A186" s="154"/>
      <c r="B186" s="154"/>
      <c r="C186" s="152"/>
      <c r="D186" s="158"/>
      <c r="E186" s="154"/>
      <c r="F186" s="150"/>
      <c r="G186" s="151"/>
      <c r="H186" s="152"/>
      <c r="I186" s="158"/>
      <c r="J186" s="152"/>
      <c r="K186" s="154"/>
      <c r="L186" s="154"/>
      <c r="M186" s="152"/>
      <c r="N186" s="154"/>
      <c r="O186" s="152">
        <f t="shared" si="5"/>
        <v>108364.27186200945</v>
      </c>
      <c r="P186" s="152">
        <f t="shared" si="6"/>
        <v>128293.28486200946</v>
      </c>
    </row>
    <row r="187" spans="1:16" hidden="1" x14ac:dyDescent="0.15">
      <c r="A187" s="154"/>
      <c r="B187" s="154"/>
      <c r="C187" s="152"/>
      <c r="D187" s="158"/>
      <c r="E187" s="154"/>
      <c r="F187" s="150"/>
      <c r="G187" s="151"/>
      <c r="H187" s="152"/>
      <c r="I187" s="153"/>
      <c r="J187" s="152"/>
      <c r="K187" s="154"/>
      <c r="L187" s="154"/>
      <c r="M187" s="152"/>
      <c r="N187" s="154"/>
      <c r="O187" s="152">
        <f t="shared" si="5"/>
        <v>108364.27186200945</v>
      </c>
      <c r="P187" s="152">
        <f t="shared" si="6"/>
        <v>128293.28486200946</v>
      </c>
    </row>
    <row r="188" spans="1:16" hidden="1" x14ac:dyDescent="0.15">
      <c r="A188" s="154"/>
      <c r="B188" s="154"/>
      <c r="C188" s="152"/>
      <c r="D188" s="158"/>
      <c r="E188" s="154"/>
      <c r="F188" s="150"/>
      <c r="G188" s="151"/>
      <c r="H188" s="152"/>
      <c r="I188" s="158"/>
      <c r="J188" s="152"/>
      <c r="K188" s="154"/>
      <c r="L188" s="154"/>
      <c r="M188" s="152"/>
      <c r="N188" s="154"/>
      <c r="O188" s="152">
        <f t="shared" si="5"/>
        <v>108364.27186200945</v>
      </c>
      <c r="P188" s="152">
        <f t="shared" si="6"/>
        <v>128293.28486200946</v>
      </c>
    </row>
    <row r="189" spans="1:16" hidden="1" x14ac:dyDescent="0.15">
      <c r="A189" s="154"/>
      <c r="B189" s="154"/>
      <c r="C189" s="152"/>
      <c r="D189" s="158"/>
      <c r="E189" s="154"/>
      <c r="F189" s="170"/>
      <c r="G189" s="151"/>
      <c r="H189" s="152"/>
      <c r="I189" s="158"/>
      <c r="J189" s="152"/>
      <c r="K189" s="154"/>
      <c r="L189" s="154"/>
      <c r="M189" s="152"/>
      <c r="N189" s="154"/>
      <c r="O189" s="152">
        <f t="shared" si="5"/>
        <v>108364.27186200945</v>
      </c>
      <c r="P189" s="152">
        <f t="shared" si="6"/>
        <v>128293.28486200946</v>
      </c>
    </row>
    <row r="190" spans="1:16" hidden="1" x14ac:dyDescent="0.15">
      <c r="A190" s="154"/>
      <c r="B190" s="154"/>
      <c r="C190" s="152"/>
      <c r="D190" s="158"/>
      <c r="E190" s="154"/>
      <c r="F190" s="170"/>
      <c r="G190" s="151"/>
      <c r="H190" s="152"/>
      <c r="I190" s="153"/>
      <c r="J190" s="152"/>
      <c r="K190" s="154"/>
      <c r="L190" s="154"/>
      <c r="M190" s="152"/>
      <c r="N190" s="154"/>
      <c r="O190" s="152">
        <f t="shared" si="5"/>
        <v>108364.27186200945</v>
      </c>
      <c r="P190" s="152">
        <f t="shared" si="6"/>
        <v>128293.28486200946</v>
      </c>
    </row>
    <row r="191" spans="1:16" hidden="1" x14ac:dyDescent="0.15">
      <c r="A191" s="154"/>
      <c r="B191" s="154"/>
      <c r="C191" s="152"/>
      <c r="D191" s="158"/>
      <c r="E191" s="154"/>
      <c r="F191" s="150"/>
      <c r="G191" s="151"/>
      <c r="H191" s="152"/>
      <c r="I191" s="158"/>
      <c r="J191" s="152"/>
      <c r="K191" s="154"/>
      <c r="L191" s="154"/>
      <c r="M191" s="152"/>
      <c r="N191" s="154"/>
      <c r="O191" s="152">
        <f t="shared" si="5"/>
        <v>108364.27186200945</v>
      </c>
      <c r="P191" s="152">
        <f t="shared" si="6"/>
        <v>128293.28486200946</v>
      </c>
    </row>
    <row r="192" spans="1:16" hidden="1" x14ac:dyDescent="0.15">
      <c r="A192" s="154"/>
      <c r="B192" s="154"/>
      <c r="C192" s="152"/>
      <c r="D192" s="153"/>
      <c r="E192" s="154"/>
      <c r="F192" s="157"/>
      <c r="G192" s="168"/>
      <c r="H192" s="152"/>
      <c r="I192" s="158"/>
      <c r="J192" s="152"/>
      <c r="K192" s="154"/>
      <c r="L192" s="154"/>
      <c r="M192" s="152"/>
      <c r="N192" s="154"/>
      <c r="O192" s="152">
        <f t="shared" si="5"/>
        <v>108364.27186200945</v>
      </c>
      <c r="P192" s="152">
        <f t="shared" si="6"/>
        <v>128293.28486200946</v>
      </c>
    </row>
    <row r="193" spans="1:16" hidden="1" x14ac:dyDescent="0.15">
      <c r="A193" s="154"/>
      <c r="B193" s="154"/>
      <c r="C193" s="152"/>
      <c r="D193" s="158"/>
      <c r="E193" s="154"/>
      <c r="F193" s="157"/>
      <c r="G193" s="168"/>
      <c r="H193" s="152"/>
      <c r="I193" s="158"/>
      <c r="J193" s="152"/>
      <c r="K193" s="154"/>
      <c r="L193" s="154"/>
      <c r="M193" s="152"/>
      <c r="N193" s="154"/>
      <c r="O193" s="152">
        <f t="shared" si="5"/>
        <v>108364.27186200945</v>
      </c>
      <c r="P193" s="152">
        <f t="shared" si="6"/>
        <v>128293.28486200946</v>
      </c>
    </row>
    <row r="194" spans="1:16" hidden="1" x14ac:dyDescent="0.15">
      <c r="A194" s="154"/>
      <c r="B194" s="154"/>
      <c r="C194" s="152"/>
      <c r="D194" s="158"/>
      <c r="E194" s="154"/>
      <c r="F194" s="157"/>
      <c r="G194" s="168"/>
      <c r="H194" s="152"/>
      <c r="I194" s="158"/>
      <c r="J194" s="152"/>
      <c r="K194" s="154"/>
      <c r="L194" s="154"/>
      <c r="M194" s="152"/>
      <c r="N194" s="154"/>
      <c r="O194" s="152">
        <f t="shared" si="5"/>
        <v>108364.27186200945</v>
      </c>
      <c r="P194" s="152">
        <f t="shared" si="6"/>
        <v>128293.28486200946</v>
      </c>
    </row>
    <row r="195" spans="1:16" hidden="1" x14ac:dyDescent="0.15">
      <c r="A195" s="154"/>
      <c r="B195" s="154"/>
      <c r="C195" s="152"/>
      <c r="D195" s="158"/>
      <c r="E195" s="154"/>
      <c r="F195" s="157"/>
      <c r="G195" s="168"/>
      <c r="H195" s="152"/>
      <c r="I195" s="158"/>
      <c r="J195" s="152"/>
      <c r="K195" s="154"/>
      <c r="L195" s="154"/>
      <c r="M195" s="152"/>
      <c r="N195" s="154"/>
      <c r="O195" s="152">
        <f t="shared" si="5"/>
        <v>108364.27186200945</v>
      </c>
      <c r="P195" s="152">
        <f t="shared" si="6"/>
        <v>128293.28486200946</v>
      </c>
    </row>
    <row r="196" spans="1:16" hidden="1" x14ac:dyDescent="0.15">
      <c r="A196" s="154"/>
      <c r="B196" s="154"/>
      <c r="C196" s="152"/>
      <c r="D196" s="158"/>
      <c r="E196" s="154"/>
      <c r="F196" s="154"/>
      <c r="G196" s="163"/>
      <c r="H196" s="152"/>
      <c r="I196" s="158"/>
      <c r="J196" s="152"/>
      <c r="K196" s="150"/>
      <c r="L196" s="154"/>
      <c r="M196" s="152"/>
      <c r="N196" s="154"/>
      <c r="O196" s="152">
        <f t="shared" si="5"/>
        <v>108364.27186200945</v>
      </c>
      <c r="P196" s="152">
        <f t="shared" si="6"/>
        <v>128293.28486200946</v>
      </c>
    </row>
    <row r="197" spans="1:16" hidden="1" x14ac:dyDescent="0.15">
      <c r="A197" s="154"/>
      <c r="B197" s="154"/>
      <c r="C197" s="152"/>
      <c r="D197" s="158"/>
      <c r="E197" s="154"/>
      <c r="F197" s="170"/>
      <c r="G197" s="171"/>
      <c r="H197" s="152"/>
      <c r="I197" s="158"/>
      <c r="J197" s="152"/>
      <c r="K197" s="154"/>
      <c r="L197" s="154"/>
      <c r="M197" s="152"/>
      <c r="N197" s="154"/>
      <c r="O197" s="152">
        <f t="shared" si="5"/>
        <v>108364.27186200945</v>
      </c>
      <c r="P197" s="152">
        <f t="shared" si="6"/>
        <v>128293.28486200946</v>
      </c>
    </row>
    <row r="198" spans="1:16" hidden="1" x14ac:dyDescent="0.15">
      <c r="A198" s="154"/>
      <c r="B198" s="154"/>
      <c r="C198" s="152"/>
      <c r="D198" s="158"/>
      <c r="E198" s="154"/>
      <c r="F198" s="154"/>
      <c r="G198" s="163"/>
      <c r="H198" s="152"/>
      <c r="I198" s="158"/>
      <c r="J198" s="152"/>
      <c r="K198" s="154"/>
      <c r="L198" s="154"/>
      <c r="M198" s="152"/>
      <c r="N198" s="154"/>
      <c r="O198" s="152">
        <f t="shared" si="5"/>
        <v>108364.27186200945</v>
      </c>
      <c r="P198" s="152">
        <f t="shared" si="6"/>
        <v>128293.28486200946</v>
      </c>
    </row>
    <row r="199" spans="1:16" hidden="1" x14ac:dyDescent="0.15">
      <c r="A199" s="154"/>
      <c r="B199" s="154"/>
      <c r="C199" s="152"/>
      <c r="D199" s="158"/>
      <c r="E199" s="154"/>
      <c r="F199" s="154"/>
      <c r="G199" s="163"/>
      <c r="H199" s="152"/>
      <c r="I199" s="158"/>
      <c r="J199" s="152"/>
      <c r="K199" s="154"/>
      <c r="L199" s="154"/>
      <c r="M199" s="152"/>
      <c r="N199" s="154"/>
      <c r="O199" s="152">
        <f t="shared" si="5"/>
        <v>108364.27186200945</v>
      </c>
      <c r="P199" s="152">
        <f t="shared" si="6"/>
        <v>128293.28486200946</v>
      </c>
    </row>
    <row r="200" spans="1:16" hidden="1" x14ac:dyDescent="0.15">
      <c r="A200" s="154"/>
      <c r="B200" s="154"/>
      <c r="C200" s="152"/>
      <c r="D200" s="158"/>
      <c r="E200" s="154"/>
      <c r="F200" s="154"/>
      <c r="G200" s="163"/>
      <c r="H200" s="152"/>
      <c r="I200" s="158"/>
      <c r="J200" s="152"/>
      <c r="K200" s="154"/>
      <c r="L200" s="154"/>
      <c r="M200" s="152"/>
      <c r="N200" s="154"/>
      <c r="O200" s="152">
        <f t="shared" si="5"/>
        <v>108364.27186200945</v>
      </c>
      <c r="P200" s="152">
        <f t="shared" si="6"/>
        <v>128293.28486200946</v>
      </c>
    </row>
    <row r="201" spans="1:16" hidden="1" x14ac:dyDescent="0.15">
      <c r="A201" s="154"/>
      <c r="B201" s="154"/>
      <c r="C201" s="152"/>
      <c r="D201" s="158"/>
      <c r="E201" s="154"/>
      <c r="F201" s="157"/>
      <c r="G201" s="171"/>
      <c r="H201" s="152"/>
      <c r="I201" s="158"/>
      <c r="J201" s="152"/>
      <c r="K201" s="154"/>
      <c r="L201" s="154"/>
      <c r="M201" s="152"/>
      <c r="N201" s="154"/>
      <c r="O201" s="152">
        <f t="shared" ref="O201:O233" si="7">+O200-J201-M201</f>
        <v>108364.27186200945</v>
      </c>
      <c r="P201" s="152">
        <f t="shared" ref="P201:P233" si="8">P200+H201-J201-M201</f>
        <v>128293.28486200946</v>
      </c>
    </row>
    <row r="202" spans="1:16" hidden="1" x14ac:dyDescent="0.15">
      <c r="A202" s="154"/>
      <c r="B202" s="154"/>
      <c r="C202" s="152"/>
      <c r="D202" s="158"/>
      <c r="E202" s="154"/>
      <c r="F202" s="150"/>
      <c r="G202" s="151"/>
      <c r="H202" s="152"/>
      <c r="I202" s="158"/>
      <c r="J202" s="152"/>
      <c r="K202" s="150"/>
      <c r="L202" s="154"/>
      <c r="M202" s="152"/>
      <c r="N202" s="154"/>
      <c r="O202" s="152">
        <f t="shared" si="7"/>
        <v>108364.27186200945</v>
      </c>
      <c r="P202" s="152">
        <f t="shared" si="8"/>
        <v>128293.28486200946</v>
      </c>
    </row>
    <row r="203" spans="1:16" hidden="1" x14ac:dyDescent="0.15">
      <c r="A203" s="154"/>
      <c r="B203" s="154"/>
      <c r="C203" s="152"/>
      <c r="D203" s="158"/>
      <c r="E203" s="154"/>
      <c r="F203" s="150"/>
      <c r="G203" s="151"/>
      <c r="H203" s="152"/>
      <c r="I203" s="158"/>
      <c r="J203" s="152"/>
      <c r="K203" s="154"/>
      <c r="L203" s="154"/>
      <c r="M203" s="152"/>
      <c r="N203" s="150"/>
      <c r="O203" s="152">
        <f t="shared" si="7"/>
        <v>108364.27186200945</v>
      </c>
      <c r="P203" s="152">
        <f t="shared" si="8"/>
        <v>128293.28486200946</v>
      </c>
    </row>
    <row r="204" spans="1:16" hidden="1" x14ac:dyDescent="0.15">
      <c r="A204" s="154"/>
      <c r="B204" s="154"/>
      <c r="C204" s="152"/>
      <c r="D204" s="158"/>
      <c r="E204" s="154"/>
      <c r="F204" s="170"/>
      <c r="G204" s="171"/>
      <c r="H204" s="152"/>
      <c r="I204" s="158"/>
      <c r="J204" s="152"/>
      <c r="K204" s="154"/>
      <c r="L204" s="154"/>
      <c r="M204" s="152"/>
      <c r="N204" s="154"/>
      <c r="O204" s="152">
        <f t="shared" si="7"/>
        <v>108364.27186200945</v>
      </c>
      <c r="P204" s="152">
        <f t="shared" si="8"/>
        <v>128293.28486200946</v>
      </c>
    </row>
    <row r="205" spans="1:16" hidden="1" x14ac:dyDescent="0.15">
      <c r="A205" s="154"/>
      <c r="B205" s="154"/>
      <c r="C205" s="152"/>
      <c r="D205" s="158"/>
      <c r="E205" s="154"/>
      <c r="F205" s="159"/>
      <c r="G205" s="151"/>
      <c r="H205" s="152"/>
      <c r="I205" s="158"/>
      <c r="J205" s="152"/>
      <c r="K205" s="157"/>
      <c r="L205" s="154"/>
      <c r="M205" s="152"/>
      <c r="N205" s="154"/>
      <c r="O205" s="152">
        <f t="shared" si="7"/>
        <v>108364.27186200945</v>
      </c>
      <c r="P205" s="152">
        <f t="shared" si="8"/>
        <v>128293.28486200946</v>
      </c>
    </row>
    <row r="206" spans="1:16" hidden="1" x14ac:dyDescent="0.15">
      <c r="A206" s="154"/>
      <c r="B206" s="154"/>
      <c r="C206" s="152"/>
      <c r="D206" s="158"/>
      <c r="E206" s="154"/>
      <c r="F206" s="159"/>
      <c r="G206" s="151"/>
      <c r="H206" s="152"/>
      <c r="I206" s="158"/>
      <c r="J206" s="152"/>
      <c r="K206" s="157"/>
      <c r="L206" s="154"/>
      <c r="M206" s="152"/>
      <c r="N206" s="157"/>
      <c r="O206" s="152">
        <f t="shared" si="7"/>
        <v>108364.27186200945</v>
      </c>
      <c r="P206" s="152">
        <f t="shared" si="8"/>
        <v>128293.28486200946</v>
      </c>
    </row>
    <row r="207" spans="1:16" hidden="1" x14ac:dyDescent="0.15">
      <c r="A207" s="154"/>
      <c r="B207" s="154"/>
      <c r="C207" s="152"/>
      <c r="D207" s="158"/>
      <c r="E207" s="154"/>
      <c r="F207" s="159"/>
      <c r="G207" s="151"/>
      <c r="H207" s="152"/>
      <c r="I207" s="158"/>
      <c r="J207" s="152"/>
      <c r="K207" s="157"/>
      <c r="L207" s="154"/>
      <c r="M207" s="152"/>
      <c r="N207" s="157"/>
      <c r="O207" s="152">
        <f t="shared" si="7"/>
        <v>108364.27186200945</v>
      </c>
      <c r="P207" s="152">
        <f t="shared" si="8"/>
        <v>128293.28486200946</v>
      </c>
    </row>
    <row r="208" spans="1:16" hidden="1" x14ac:dyDescent="0.15">
      <c r="A208" s="154"/>
      <c r="B208" s="154"/>
      <c r="C208" s="152"/>
      <c r="D208" s="158"/>
      <c r="E208" s="154"/>
      <c r="F208" s="159"/>
      <c r="G208" s="151"/>
      <c r="H208" s="152"/>
      <c r="I208" s="158"/>
      <c r="J208" s="152"/>
      <c r="K208" s="154"/>
      <c r="L208" s="154"/>
      <c r="M208" s="152"/>
      <c r="N208" s="157"/>
      <c r="O208" s="152">
        <f t="shared" si="7"/>
        <v>108364.27186200945</v>
      </c>
      <c r="P208" s="152">
        <f t="shared" si="8"/>
        <v>128293.28486200946</v>
      </c>
    </row>
    <row r="209" spans="1:16" hidden="1" x14ac:dyDescent="0.15">
      <c r="A209" s="154"/>
      <c r="B209" s="154"/>
      <c r="C209" s="152"/>
      <c r="D209" s="158"/>
      <c r="E209" s="154"/>
      <c r="F209" s="170"/>
      <c r="G209" s="171"/>
      <c r="H209" s="152"/>
      <c r="I209" s="158"/>
      <c r="J209" s="152"/>
      <c r="K209" s="157"/>
      <c r="L209" s="154"/>
      <c r="M209" s="152"/>
      <c r="N209" s="157"/>
      <c r="O209" s="152">
        <f t="shared" si="7"/>
        <v>108364.27186200945</v>
      </c>
      <c r="P209" s="152">
        <f t="shared" si="8"/>
        <v>128293.28486200946</v>
      </c>
    </row>
    <row r="210" spans="1:16" hidden="1" x14ac:dyDescent="0.15">
      <c r="A210" s="154"/>
      <c r="B210" s="154"/>
      <c r="C210" s="152"/>
      <c r="D210" s="158"/>
      <c r="E210" s="154"/>
      <c r="F210" s="154"/>
      <c r="G210" s="163"/>
      <c r="H210" s="152"/>
      <c r="I210" s="158"/>
      <c r="J210" s="152"/>
      <c r="K210" s="150"/>
      <c r="L210" s="154"/>
      <c r="M210" s="152"/>
      <c r="N210" s="157"/>
      <c r="O210" s="152">
        <f t="shared" si="7"/>
        <v>108364.27186200945</v>
      </c>
      <c r="P210" s="152">
        <f t="shared" si="8"/>
        <v>128293.28486200946</v>
      </c>
    </row>
    <row r="211" spans="1:16" hidden="1" x14ac:dyDescent="0.15">
      <c r="A211" s="154"/>
      <c r="B211" s="154"/>
      <c r="C211" s="152"/>
      <c r="D211" s="158"/>
      <c r="E211" s="154"/>
      <c r="F211" s="154"/>
      <c r="G211" s="163"/>
      <c r="H211" s="152"/>
      <c r="I211" s="158"/>
      <c r="J211" s="152"/>
      <c r="K211" s="150"/>
      <c r="L211" s="154"/>
      <c r="M211" s="152"/>
      <c r="N211" s="157"/>
      <c r="O211" s="152">
        <f t="shared" si="7"/>
        <v>108364.27186200945</v>
      </c>
      <c r="P211" s="152">
        <f t="shared" si="8"/>
        <v>128293.28486200946</v>
      </c>
    </row>
    <row r="212" spans="1:16" hidden="1" x14ac:dyDescent="0.15">
      <c r="A212" s="154"/>
      <c r="B212" s="154"/>
      <c r="C212" s="152"/>
      <c r="D212" s="158"/>
      <c r="E212" s="154"/>
      <c r="F212" s="150"/>
      <c r="G212" s="171"/>
      <c r="H212" s="152"/>
      <c r="I212" s="158"/>
      <c r="J212" s="152"/>
      <c r="K212" s="157"/>
      <c r="L212" s="154"/>
      <c r="M212" s="152"/>
      <c r="N212" s="157"/>
      <c r="O212" s="152">
        <f t="shared" si="7"/>
        <v>108364.27186200945</v>
      </c>
      <c r="P212" s="152">
        <f t="shared" si="8"/>
        <v>128293.28486200946</v>
      </c>
    </row>
    <row r="213" spans="1:16" hidden="1" x14ac:dyDescent="0.15">
      <c r="A213" s="154"/>
      <c r="B213" s="154"/>
      <c r="C213" s="152"/>
      <c r="D213" s="158"/>
      <c r="E213" s="154"/>
      <c r="F213" s="150"/>
      <c r="G213" s="151"/>
      <c r="H213" s="152"/>
      <c r="I213" s="158"/>
      <c r="J213" s="152"/>
      <c r="K213" s="154"/>
      <c r="L213" s="154"/>
      <c r="M213" s="152"/>
      <c r="N213" s="157"/>
      <c r="O213" s="152">
        <f t="shared" si="7"/>
        <v>108364.27186200945</v>
      </c>
      <c r="P213" s="152">
        <f t="shared" si="8"/>
        <v>128293.28486200946</v>
      </c>
    </row>
    <row r="214" spans="1:16" hidden="1" x14ac:dyDescent="0.15">
      <c r="A214" s="154"/>
      <c r="B214" s="154"/>
      <c r="C214" s="152"/>
      <c r="D214" s="158"/>
      <c r="E214" s="154"/>
      <c r="F214" s="150"/>
      <c r="G214" s="151"/>
      <c r="H214" s="152"/>
      <c r="I214" s="158"/>
      <c r="J214" s="152"/>
      <c r="K214" s="154"/>
      <c r="L214" s="154"/>
      <c r="M214" s="152"/>
      <c r="N214" s="154"/>
      <c r="O214" s="152">
        <f t="shared" si="7"/>
        <v>108364.27186200945</v>
      </c>
      <c r="P214" s="152">
        <f t="shared" si="8"/>
        <v>128293.28486200946</v>
      </c>
    </row>
    <row r="215" spans="1:16" hidden="1" x14ac:dyDescent="0.15">
      <c r="A215" s="154"/>
      <c r="B215" s="154"/>
      <c r="C215" s="152"/>
      <c r="D215" s="158"/>
      <c r="E215" s="154"/>
      <c r="F215" s="170"/>
      <c r="G215" s="171"/>
      <c r="H215" s="152"/>
      <c r="I215" s="158"/>
      <c r="J215" s="152"/>
      <c r="K215" s="157"/>
      <c r="L215" s="154"/>
      <c r="M215" s="152"/>
      <c r="N215" s="157"/>
      <c r="O215" s="152">
        <f t="shared" si="7"/>
        <v>108364.27186200945</v>
      </c>
      <c r="P215" s="152">
        <f t="shared" si="8"/>
        <v>128293.28486200946</v>
      </c>
    </row>
    <row r="216" spans="1:16" hidden="1" x14ac:dyDescent="0.15">
      <c r="A216" s="154"/>
      <c r="B216" s="154"/>
      <c r="C216" s="152"/>
      <c r="D216" s="158"/>
      <c r="E216" s="154"/>
      <c r="F216" s="170"/>
      <c r="G216" s="168"/>
      <c r="H216" s="152"/>
      <c r="I216" s="158"/>
      <c r="J216" s="152"/>
      <c r="K216" s="157"/>
      <c r="L216" s="154"/>
      <c r="M216" s="152"/>
      <c r="N216" s="157"/>
      <c r="O216" s="152">
        <f t="shared" si="7"/>
        <v>108364.27186200945</v>
      </c>
      <c r="P216" s="152">
        <f t="shared" si="8"/>
        <v>128293.28486200946</v>
      </c>
    </row>
    <row r="217" spans="1:16" hidden="1" x14ac:dyDescent="0.15">
      <c r="A217" s="154"/>
      <c r="B217" s="154"/>
      <c r="C217" s="152"/>
      <c r="D217" s="158"/>
      <c r="E217" s="154"/>
      <c r="F217" s="170"/>
      <c r="G217" s="168"/>
      <c r="H217" s="152"/>
      <c r="I217" s="158"/>
      <c r="J217" s="152"/>
      <c r="K217" s="154"/>
      <c r="L217" s="154"/>
      <c r="M217" s="152"/>
      <c r="N217" s="157"/>
      <c r="O217" s="152">
        <f t="shared" si="7"/>
        <v>108364.27186200945</v>
      </c>
      <c r="P217" s="152">
        <f t="shared" si="8"/>
        <v>128293.28486200946</v>
      </c>
    </row>
    <row r="218" spans="1:16" hidden="1" x14ac:dyDescent="0.15">
      <c r="A218" s="154"/>
      <c r="B218" s="154"/>
      <c r="C218" s="152"/>
      <c r="D218" s="158"/>
      <c r="E218" s="154"/>
      <c r="F218" s="170"/>
      <c r="G218" s="171"/>
      <c r="H218" s="152"/>
      <c r="I218" s="158"/>
      <c r="J218" s="152"/>
      <c r="K218" s="157"/>
      <c r="L218" s="154"/>
      <c r="M218" s="152"/>
      <c r="N218" s="157"/>
      <c r="O218" s="152">
        <f t="shared" si="7"/>
        <v>108364.27186200945</v>
      </c>
      <c r="P218" s="152">
        <f t="shared" si="8"/>
        <v>128293.28486200946</v>
      </c>
    </row>
    <row r="219" spans="1:16" hidden="1" x14ac:dyDescent="0.15">
      <c r="A219" s="154"/>
      <c r="B219" s="154"/>
      <c r="C219" s="152"/>
      <c r="D219" s="158"/>
      <c r="E219" s="154"/>
      <c r="F219" s="154"/>
      <c r="G219" s="151"/>
      <c r="H219" s="152"/>
      <c r="I219" s="158"/>
      <c r="J219" s="152"/>
      <c r="K219" s="154"/>
      <c r="L219" s="154"/>
      <c r="M219" s="152"/>
      <c r="N219" s="157"/>
      <c r="O219" s="152">
        <f t="shared" si="7"/>
        <v>108364.27186200945</v>
      </c>
      <c r="P219" s="152">
        <f t="shared" si="8"/>
        <v>128293.28486200946</v>
      </c>
    </row>
    <row r="220" spans="1:16" hidden="1" x14ac:dyDescent="0.15">
      <c r="A220" s="154"/>
      <c r="B220" s="154"/>
      <c r="C220" s="152"/>
      <c r="D220" s="158"/>
      <c r="E220" s="154"/>
      <c r="F220" s="154"/>
      <c r="G220" s="151"/>
      <c r="H220" s="152"/>
      <c r="I220" s="158"/>
      <c r="J220" s="152"/>
      <c r="K220" s="154"/>
      <c r="L220" s="154"/>
      <c r="M220" s="152"/>
      <c r="N220" s="157"/>
      <c r="O220" s="152">
        <f t="shared" si="7"/>
        <v>108364.27186200945</v>
      </c>
      <c r="P220" s="152">
        <f t="shared" si="8"/>
        <v>128293.28486200946</v>
      </c>
    </row>
    <row r="221" spans="1:16" hidden="1" x14ac:dyDescent="0.15">
      <c r="A221" s="154"/>
      <c r="B221" s="154"/>
      <c r="C221" s="152"/>
      <c r="D221" s="158"/>
      <c r="E221" s="154"/>
      <c r="F221" s="170"/>
      <c r="G221" s="171"/>
      <c r="H221" s="152"/>
      <c r="I221" s="158"/>
      <c r="J221" s="152"/>
      <c r="K221" s="157"/>
      <c r="L221" s="154"/>
      <c r="M221" s="152"/>
      <c r="N221" s="157"/>
      <c r="O221" s="152">
        <f t="shared" si="7"/>
        <v>108364.27186200945</v>
      </c>
      <c r="P221" s="152">
        <f t="shared" si="8"/>
        <v>128293.28486200946</v>
      </c>
    </row>
    <row r="222" spans="1:16" hidden="1" x14ac:dyDescent="0.15">
      <c r="A222" s="154"/>
      <c r="B222" s="154"/>
      <c r="C222" s="152"/>
      <c r="D222" s="158"/>
      <c r="E222" s="154"/>
      <c r="F222" s="170"/>
      <c r="G222" s="151"/>
      <c r="H222" s="152"/>
      <c r="I222" s="158"/>
      <c r="J222" s="152"/>
      <c r="K222" s="154"/>
      <c r="L222" s="154"/>
      <c r="M222" s="152"/>
      <c r="N222" s="157"/>
      <c r="O222" s="152">
        <f t="shared" si="7"/>
        <v>108364.27186200945</v>
      </c>
      <c r="P222" s="152">
        <f t="shared" si="8"/>
        <v>128293.28486200946</v>
      </c>
    </row>
    <row r="223" spans="1:16" hidden="1" x14ac:dyDescent="0.15">
      <c r="A223" s="154"/>
      <c r="B223" s="154"/>
      <c r="C223" s="152"/>
      <c r="D223" s="158"/>
      <c r="E223" s="154"/>
      <c r="F223" s="170"/>
      <c r="G223" s="151"/>
      <c r="H223" s="152"/>
      <c r="I223" s="158"/>
      <c r="J223" s="152"/>
      <c r="K223" s="154"/>
      <c r="L223" s="154"/>
      <c r="M223" s="152"/>
      <c r="N223" s="157"/>
      <c r="O223" s="152">
        <f t="shared" si="7"/>
        <v>108364.27186200945</v>
      </c>
      <c r="P223" s="152">
        <f t="shared" si="8"/>
        <v>128293.28486200946</v>
      </c>
    </row>
    <row r="224" spans="1:16" hidden="1" x14ac:dyDescent="0.15">
      <c r="A224" s="154"/>
      <c r="B224" s="154"/>
      <c r="C224" s="152"/>
      <c r="D224" s="158"/>
      <c r="E224" s="154"/>
      <c r="F224" s="157"/>
      <c r="G224" s="171"/>
      <c r="H224" s="152"/>
      <c r="I224" s="158"/>
      <c r="J224" s="152"/>
      <c r="K224" s="157"/>
      <c r="L224" s="154"/>
      <c r="M224" s="152"/>
      <c r="N224" s="157"/>
      <c r="O224" s="152">
        <f t="shared" si="7"/>
        <v>108364.27186200945</v>
      </c>
      <c r="P224" s="152">
        <f t="shared" si="8"/>
        <v>128293.28486200946</v>
      </c>
    </row>
    <row r="225" spans="1:16" hidden="1" x14ac:dyDescent="0.15">
      <c r="A225" s="154"/>
      <c r="B225" s="154"/>
      <c r="C225" s="152"/>
      <c r="D225" s="158"/>
      <c r="E225" s="154"/>
      <c r="F225" s="157"/>
      <c r="G225" s="172"/>
      <c r="H225" s="152"/>
      <c r="I225" s="158"/>
      <c r="J225" s="152"/>
      <c r="K225" s="154"/>
      <c r="L225" s="154"/>
      <c r="M225" s="152"/>
      <c r="N225" s="157"/>
      <c r="O225" s="152">
        <f t="shared" si="7"/>
        <v>108364.27186200945</v>
      </c>
      <c r="P225" s="152">
        <f t="shared" si="8"/>
        <v>128293.28486200946</v>
      </c>
    </row>
    <row r="226" spans="1:16" hidden="1" x14ac:dyDescent="0.15">
      <c r="A226" s="154"/>
      <c r="B226" s="154"/>
      <c r="C226" s="152"/>
      <c r="D226" s="158"/>
      <c r="E226" s="154"/>
      <c r="F226" s="157"/>
      <c r="G226" s="172"/>
      <c r="H226" s="152"/>
      <c r="I226" s="158"/>
      <c r="J226" s="152"/>
      <c r="K226" s="157"/>
      <c r="L226" s="154"/>
      <c r="M226" s="152"/>
      <c r="N226" s="157"/>
      <c r="O226" s="152">
        <f t="shared" si="7"/>
        <v>108364.27186200945</v>
      </c>
      <c r="P226" s="152">
        <f t="shared" si="8"/>
        <v>128293.28486200946</v>
      </c>
    </row>
    <row r="227" spans="1:16" hidden="1" x14ac:dyDescent="0.15">
      <c r="A227" s="154"/>
      <c r="B227" s="154"/>
      <c r="C227" s="152"/>
      <c r="D227" s="158"/>
      <c r="E227" s="154"/>
      <c r="F227" s="157"/>
      <c r="G227" s="172"/>
      <c r="H227" s="152"/>
      <c r="I227" s="158"/>
      <c r="J227" s="152"/>
      <c r="K227" s="154"/>
      <c r="L227" s="154"/>
      <c r="M227" s="152"/>
      <c r="N227" s="157"/>
      <c r="O227" s="152">
        <f t="shared" si="7"/>
        <v>108364.27186200945</v>
      </c>
      <c r="P227" s="152">
        <f t="shared" si="8"/>
        <v>128293.28486200946</v>
      </c>
    </row>
    <row r="228" spans="1:16" hidden="1" x14ac:dyDescent="0.15">
      <c r="A228" s="154"/>
      <c r="B228" s="154"/>
      <c r="C228" s="152"/>
      <c r="D228" s="158"/>
      <c r="E228" s="154"/>
      <c r="F228" s="154"/>
      <c r="G228" s="151"/>
      <c r="H228" s="152"/>
      <c r="I228" s="158"/>
      <c r="J228" s="152"/>
      <c r="K228" s="154"/>
      <c r="L228" s="154"/>
      <c r="M228" s="152"/>
      <c r="N228" s="157"/>
      <c r="O228" s="152">
        <f t="shared" si="7"/>
        <v>108364.27186200945</v>
      </c>
      <c r="P228" s="152">
        <f t="shared" si="8"/>
        <v>128293.28486200946</v>
      </c>
    </row>
    <row r="229" spans="1:16" hidden="1" x14ac:dyDescent="0.15">
      <c r="A229" s="154"/>
      <c r="B229" s="154"/>
      <c r="C229" s="152"/>
      <c r="D229" s="158"/>
      <c r="E229" s="154"/>
      <c r="F229" s="157"/>
      <c r="G229" s="172"/>
      <c r="H229" s="152"/>
      <c r="I229" s="158"/>
      <c r="J229" s="152"/>
      <c r="K229" s="154"/>
      <c r="L229" s="154"/>
      <c r="M229" s="152"/>
      <c r="N229" s="154"/>
      <c r="O229" s="152">
        <f t="shared" si="7"/>
        <v>108364.27186200945</v>
      </c>
      <c r="P229" s="152">
        <f t="shared" si="8"/>
        <v>128293.28486200946</v>
      </c>
    </row>
    <row r="230" spans="1:16" hidden="1" x14ac:dyDescent="0.15">
      <c r="A230" s="154"/>
      <c r="B230" s="154"/>
      <c r="C230" s="152"/>
      <c r="D230" s="158"/>
      <c r="E230" s="154"/>
      <c r="F230" s="157"/>
      <c r="G230" s="172"/>
      <c r="H230" s="152"/>
      <c r="I230" s="158"/>
      <c r="J230" s="152"/>
      <c r="K230" s="154"/>
      <c r="L230" s="154"/>
      <c r="M230" s="152"/>
      <c r="N230" s="154"/>
      <c r="O230" s="152">
        <f t="shared" si="7"/>
        <v>108364.27186200945</v>
      </c>
      <c r="P230" s="152">
        <f t="shared" si="8"/>
        <v>128293.28486200946</v>
      </c>
    </row>
    <row r="231" spans="1:16" hidden="1" x14ac:dyDescent="0.15">
      <c r="A231" s="154"/>
      <c r="B231" s="154"/>
      <c r="C231" s="152"/>
      <c r="D231" s="158"/>
      <c r="E231" s="154"/>
      <c r="F231" s="157"/>
      <c r="G231" s="172"/>
      <c r="H231" s="152"/>
      <c r="I231" s="158"/>
      <c r="J231" s="152"/>
      <c r="K231" s="154"/>
      <c r="L231" s="154"/>
      <c r="M231" s="152"/>
      <c r="N231" s="154"/>
      <c r="O231" s="152">
        <f t="shared" si="7"/>
        <v>108364.27186200945</v>
      </c>
      <c r="P231" s="152">
        <f t="shared" si="8"/>
        <v>128293.28486200946</v>
      </c>
    </row>
    <row r="232" spans="1:16" hidden="1" x14ac:dyDescent="0.15">
      <c r="A232" s="154"/>
      <c r="B232" s="154"/>
      <c r="C232" s="152"/>
      <c r="D232" s="158"/>
      <c r="E232" s="154"/>
      <c r="F232" s="154"/>
      <c r="G232" s="163"/>
      <c r="H232" s="152"/>
      <c r="I232" s="158"/>
      <c r="J232" s="152"/>
      <c r="K232" s="154"/>
      <c r="L232" s="154"/>
      <c r="M232" s="152"/>
      <c r="N232" s="154"/>
      <c r="O232" s="152">
        <f t="shared" si="7"/>
        <v>108364.27186200945</v>
      </c>
      <c r="P232" s="152">
        <f t="shared" si="8"/>
        <v>128293.28486200946</v>
      </c>
    </row>
    <row r="233" spans="1:16" x14ac:dyDescent="0.15">
      <c r="A233" s="173"/>
      <c r="B233" s="173"/>
      <c r="C233" s="174"/>
      <c r="D233" s="175"/>
      <c r="E233" s="173"/>
      <c r="F233" s="173"/>
      <c r="G233" s="176"/>
      <c r="H233" s="174"/>
      <c r="I233" s="175"/>
      <c r="J233" s="174"/>
      <c r="K233" s="173"/>
      <c r="L233" s="173"/>
      <c r="M233" s="174"/>
      <c r="N233" s="173"/>
      <c r="O233" s="152">
        <f t="shared" si="7"/>
        <v>108364.27186200945</v>
      </c>
      <c r="P233" s="152">
        <f t="shared" si="8"/>
        <v>128293.28486200946</v>
      </c>
    </row>
    <row r="234" spans="1:16" x14ac:dyDescent="0.15">
      <c r="A234" s="177"/>
      <c r="B234" s="177"/>
      <c r="C234" s="178">
        <f>SUM(C7:C220)</f>
        <v>114560.27186200945</v>
      </c>
      <c r="D234" s="177"/>
      <c r="E234" s="177"/>
      <c r="F234" s="177"/>
      <c r="G234" s="177"/>
      <c r="H234" s="178">
        <f>SUM(H7:H232)</f>
        <v>19929.012999999999</v>
      </c>
      <c r="I234" s="179"/>
      <c r="J234" s="178">
        <f>SUM(J7:J232)</f>
        <v>6196</v>
      </c>
      <c r="K234" s="177"/>
      <c r="L234" s="177"/>
      <c r="M234" s="178">
        <f>SUM(M9:M232)</f>
        <v>0</v>
      </c>
      <c r="N234" s="177"/>
      <c r="O234" s="180"/>
      <c r="P234" s="181">
        <f>C234+H234-J234-M234</f>
        <v>128293.28486200946</v>
      </c>
    </row>
    <row r="235" spans="1:16" x14ac:dyDescent="0.15">
      <c r="A235" s="182"/>
      <c r="B235" s="465"/>
      <c r="C235" s="465"/>
      <c r="D235" s="465"/>
      <c r="E235" s="183"/>
      <c r="F235" s="472"/>
      <c r="G235" s="472"/>
      <c r="H235" s="185"/>
      <c r="I235" s="186"/>
      <c r="J235" s="187"/>
      <c r="K235" s="188"/>
      <c r="L235" s="189" t="s">
        <v>139</v>
      </c>
      <c r="M235" s="190">
        <f>+M234+J234</f>
        <v>6196</v>
      </c>
      <c r="N235" s="188"/>
      <c r="O235" s="191">
        <f>+O233</f>
        <v>108364.27186200945</v>
      </c>
      <c r="P235" s="192" t="s">
        <v>341</v>
      </c>
    </row>
    <row r="236" spans="1:16" s="167" customFormat="1" hidden="1" x14ac:dyDescent="0.15">
      <c r="A236" s="193"/>
      <c r="B236" s="470"/>
      <c r="C236" s="470"/>
      <c r="D236" s="470"/>
      <c r="E236" s="183"/>
      <c r="F236" s="472"/>
      <c r="G236" s="472"/>
      <c r="H236" s="185"/>
      <c r="I236" s="186"/>
      <c r="J236" s="187"/>
      <c r="K236" s="210"/>
      <c r="L236" s="188"/>
      <c r="M236" s="190"/>
      <c r="N236" s="188"/>
      <c r="O236" s="191"/>
      <c r="P236" s="192"/>
    </row>
    <row r="237" spans="1:16" s="167" customFormat="1" hidden="1" x14ac:dyDescent="0.15">
      <c r="A237" s="193"/>
      <c r="B237" s="470"/>
      <c r="C237" s="470"/>
      <c r="D237" s="470"/>
      <c r="E237" s="183"/>
      <c r="F237" s="472"/>
      <c r="G237" s="472"/>
      <c r="H237" s="185"/>
      <c r="I237" s="186"/>
      <c r="J237" s="187"/>
      <c r="K237" s="210"/>
      <c r="L237" s="188"/>
      <c r="M237" s="190"/>
      <c r="N237" s="188"/>
      <c r="O237" s="191"/>
      <c r="P237" s="192"/>
    </row>
    <row r="238" spans="1:16" s="167" customFormat="1" hidden="1" x14ac:dyDescent="0.15">
      <c r="A238" s="193"/>
      <c r="B238" s="470"/>
      <c r="C238" s="470"/>
      <c r="D238" s="470"/>
      <c r="E238" s="183"/>
      <c r="F238" s="472"/>
      <c r="G238" s="472"/>
      <c r="H238" s="185"/>
      <c r="I238" s="186"/>
      <c r="J238" s="187"/>
      <c r="K238" s="210"/>
      <c r="L238" s="188"/>
      <c r="M238" s="190"/>
      <c r="N238" s="188"/>
      <c r="O238" s="191"/>
      <c r="P238" s="195"/>
    </row>
    <row r="239" spans="1:16" s="167" customFormat="1" ht="11.25" hidden="1" customHeight="1" x14ac:dyDescent="0.15">
      <c r="A239" s="193"/>
      <c r="B239" s="470"/>
      <c r="C239" s="470"/>
      <c r="D239" s="470"/>
      <c r="E239" s="183"/>
      <c r="F239" s="472"/>
      <c r="G239" s="472"/>
      <c r="H239" s="185"/>
      <c r="I239" s="186"/>
      <c r="J239" s="187"/>
      <c r="K239" s="210"/>
      <c r="L239" s="188"/>
      <c r="M239" s="190"/>
      <c r="N239" s="188"/>
      <c r="O239" s="191"/>
      <c r="P239" s="195"/>
    </row>
    <row r="240" spans="1:16" s="167" customFormat="1" ht="11.25" customHeight="1" x14ac:dyDescent="0.15">
      <c r="A240" s="193"/>
      <c r="B240" s="470"/>
      <c r="C240" s="470"/>
      <c r="D240" s="470"/>
      <c r="E240" s="183"/>
      <c r="F240" s="472"/>
      <c r="G240" s="472"/>
      <c r="H240" s="185"/>
      <c r="I240" s="186"/>
      <c r="J240" s="187"/>
      <c r="K240" s="210"/>
      <c r="L240" s="188"/>
      <c r="M240" s="190"/>
      <c r="N240" s="188"/>
      <c r="O240" s="191">
        <f>+H9</f>
        <v>19929.012999999999</v>
      </c>
      <c r="P240" s="195" t="s">
        <v>360</v>
      </c>
    </row>
    <row r="241" spans="1:16" s="167" customFormat="1" ht="11.25" hidden="1" customHeight="1" x14ac:dyDescent="0.15">
      <c r="A241" s="193"/>
      <c r="B241" s="470"/>
      <c r="C241" s="470"/>
      <c r="D241" s="470"/>
      <c r="E241" s="183"/>
      <c r="F241" s="472"/>
      <c r="G241" s="472"/>
      <c r="H241" s="185"/>
      <c r="I241" s="186"/>
      <c r="J241" s="187"/>
      <c r="K241" s="210"/>
      <c r="L241" s="188"/>
      <c r="M241" s="190"/>
      <c r="N241" s="188"/>
      <c r="O241" s="191"/>
      <c r="P241" s="195"/>
    </row>
    <row r="242" spans="1:16" s="167" customFormat="1" ht="11.25" hidden="1" customHeight="1" x14ac:dyDescent="0.15">
      <c r="A242" s="193"/>
      <c r="B242" s="470"/>
      <c r="C242" s="470"/>
      <c r="D242" s="470"/>
      <c r="E242" s="183"/>
      <c r="F242" s="472"/>
      <c r="G242" s="472"/>
      <c r="H242" s="185"/>
      <c r="I242" s="186"/>
      <c r="J242" s="187"/>
      <c r="K242" s="210"/>
      <c r="L242" s="188"/>
      <c r="M242" s="190"/>
      <c r="N242" s="188"/>
      <c r="O242" s="191"/>
      <c r="P242" s="195"/>
    </row>
    <row r="243" spans="1:16" s="167" customFormat="1" ht="11.25" hidden="1" customHeight="1" x14ac:dyDescent="0.15">
      <c r="A243" s="193"/>
      <c r="B243" s="470"/>
      <c r="C243" s="470"/>
      <c r="D243" s="470"/>
      <c r="E243" s="183"/>
      <c r="F243" s="472"/>
      <c r="G243" s="472"/>
      <c r="H243" s="185"/>
      <c r="I243" s="186"/>
      <c r="J243" s="187"/>
      <c r="K243" s="210"/>
      <c r="L243" s="188"/>
      <c r="M243" s="190"/>
      <c r="N243" s="188"/>
      <c r="O243" s="191"/>
      <c r="P243" s="195"/>
    </row>
    <row r="244" spans="1:16" s="167" customFormat="1" ht="11.25" hidden="1" customHeight="1" x14ac:dyDescent="0.15">
      <c r="A244" s="193"/>
      <c r="B244" s="470"/>
      <c r="C244" s="470"/>
      <c r="D244" s="470"/>
      <c r="E244" s="183"/>
      <c r="F244" s="472"/>
      <c r="G244" s="472"/>
      <c r="H244" s="185"/>
      <c r="I244" s="186"/>
      <c r="J244" s="187"/>
      <c r="K244" s="210"/>
      <c r="L244" s="188"/>
      <c r="M244" s="190"/>
      <c r="N244" s="188"/>
      <c r="O244" s="191"/>
      <c r="P244" s="195"/>
    </row>
    <row r="245" spans="1:16" s="167" customFormat="1" ht="11.25" hidden="1" customHeight="1" x14ac:dyDescent="0.15">
      <c r="A245" s="193"/>
      <c r="B245" s="470"/>
      <c r="C245" s="470"/>
      <c r="D245" s="470"/>
      <c r="E245" s="183"/>
      <c r="F245" s="472"/>
      <c r="G245" s="472"/>
      <c r="H245" s="185"/>
      <c r="I245" s="186"/>
      <c r="J245" s="187"/>
      <c r="K245" s="210"/>
      <c r="L245" s="188"/>
      <c r="M245" s="190"/>
      <c r="N245" s="188"/>
      <c r="O245" s="191"/>
      <c r="P245" s="195"/>
    </row>
    <row r="246" spans="1:16" s="167" customFormat="1" ht="11.25" hidden="1" customHeight="1" x14ac:dyDescent="0.15">
      <c r="A246" s="193"/>
      <c r="B246" s="470"/>
      <c r="C246" s="470"/>
      <c r="D246" s="470"/>
      <c r="E246" s="183"/>
      <c r="F246" s="472"/>
      <c r="G246" s="472"/>
      <c r="H246" s="185"/>
      <c r="I246" s="186"/>
      <c r="J246" s="187"/>
      <c r="K246" s="210"/>
      <c r="L246" s="188"/>
      <c r="M246" s="190"/>
      <c r="N246" s="188"/>
      <c r="O246" s="191"/>
      <c r="P246" s="195"/>
    </row>
    <row r="247" spans="1:16" s="167" customFormat="1" x14ac:dyDescent="0.15">
      <c r="A247" s="193"/>
      <c r="B247" s="470"/>
      <c r="C247" s="470"/>
      <c r="D247" s="470"/>
      <c r="E247" s="183"/>
      <c r="F247" s="472"/>
      <c r="G247" s="472"/>
      <c r="H247" s="185"/>
      <c r="I247" s="186"/>
      <c r="J247" s="187"/>
      <c r="K247" s="210"/>
      <c r="L247" s="188"/>
      <c r="M247" s="190"/>
      <c r="N247" s="188"/>
      <c r="O247" s="206" t="s">
        <v>33</v>
      </c>
      <c r="P247" s="207">
        <f>SUM(O235:O245)</f>
        <v>128293.28486200946</v>
      </c>
    </row>
    <row r="248" spans="1:16" s="167" customFormat="1" x14ac:dyDescent="0.15">
      <c r="A248" s="193"/>
      <c r="B248" s="470"/>
      <c r="C248" s="470"/>
      <c r="D248" s="470"/>
      <c r="E248" s="183"/>
      <c r="F248" s="472"/>
      <c r="G248" s="472"/>
      <c r="H248" s="185"/>
      <c r="I248" s="186"/>
      <c r="J248" s="187"/>
      <c r="K248" s="210"/>
      <c r="L248" s="188"/>
      <c r="M248" s="190"/>
      <c r="N248" s="188"/>
      <c r="O248" s="190"/>
      <c r="P248" s="197">
        <f>+P234-P247</f>
        <v>0</v>
      </c>
    </row>
    <row r="249" spans="1:16" s="167" customFormat="1" x14ac:dyDescent="0.15">
      <c r="A249" s="193"/>
      <c r="B249" s="470"/>
      <c r="C249" s="470"/>
      <c r="D249" s="470"/>
      <c r="E249" s="183"/>
      <c r="F249" s="472"/>
      <c r="G249" s="472"/>
      <c r="H249" s="185"/>
      <c r="I249" s="186"/>
      <c r="J249" s="187"/>
      <c r="K249" s="210"/>
      <c r="L249" s="188"/>
      <c r="M249" s="190"/>
      <c r="N249" s="188"/>
      <c r="O249" s="188"/>
      <c r="P249" s="198"/>
    </row>
    <row r="250" spans="1:16" x14ac:dyDescent="0.15">
      <c r="A250" s="135"/>
      <c r="B250" s="214"/>
      <c r="C250" s="138"/>
      <c r="D250" s="215"/>
      <c r="E250" s="215"/>
      <c r="F250" s="135"/>
      <c r="G250" s="215"/>
      <c r="H250" s="138"/>
      <c r="I250" s="215"/>
      <c r="J250" s="138"/>
      <c r="K250" s="216"/>
      <c r="L250" s="215"/>
    </row>
    <row r="251" spans="1:16" x14ac:dyDescent="0.15">
      <c r="A251" s="135"/>
      <c r="B251" s="214"/>
      <c r="C251" s="138"/>
      <c r="D251" s="215"/>
      <c r="E251" s="215"/>
      <c r="F251" s="135"/>
      <c r="G251" s="215"/>
      <c r="H251" s="138"/>
      <c r="I251" s="215"/>
      <c r="J251" s="138"/>
      <c r="K251" s="216"/>
      <c r="L251" s="215"/>
    </row>
    <row r="252" spans="1:16" x14ac:dyDescent="0.15">
      <c r="A252" s="135"/>
      <c r="B252" s="214"/>
      <c r="C252" s="138"/>
      <c r="D252" s="215"/>
      <c r="E252" s="215"/>
      <c r="F252" s="135"/>
      <c r="G252" s="215"/>
      <c r="H252" s="138"/>
      <c r="I252" s="215"/>
      <c r="J252" s="138"/>
      <c r="K252" s="216"/>
      <c r="L252" s="215"/>
    </row>
    <row r="253" spans="1:16" x14ac:dyDescent="0.15">
      <c r="A253" s="135"/>
      <c r="B253" s="214"/>
      <c r="C253" s="138"/>
      <c r="D253" s="215"/>
      <c r="E253" s="215"/>
      <c r="F253" s="135"/>
      <c r="G253" s="215"/>
      <c r="H253" s="138"/>
      <c r="I253" s="215"/>
      <c r="J253" s="138"/>
      <c r="K253" s="216"/>
      <c r="L253" s="215"/>
    </row>
    <row r="254" spans="1:16" s="133" customFormat="1" x14ac:dyDescent="0.15">
      <c r="A254" s="135"/>
      <c r="B254" s="214"/>
      <c r="C254" s="138"/>
      <c r="D254" s="215"/>
      <c r="E254" s="215"/>
      <c r="F254" s="135"/>
      <c r="G254" s="215"/>
      <c r="H254" s="138"/>
      <c r="I254" s="215"/>
      <c r="J254" s="138"/>
      <c r="K254" s="216"/>
      <c r="L254" s="215"/>
      <c r="M254" s="132"/>
      <c r="N254" s="134"/>
      <c r="O254" s="132"/>
      <c r="P254" s="132"/>
    </row>
    <row r="255" spans="1:16" x14ac:dyDescent="0.15">
      <c r="A255" s="135"/>
      <c r="B255" s="214"/>
      <c r="C255" s="138"/>
      <c r="D255" s="215"/>
      <c r="E255" s="215"/>
      <c r="F255" s="135"/>
      <c r="G255" s="215"/>
      <c r="H255" s="138"/>
      <c r="I255" s="215"/>
      <c r="J255" s="138"/>
      <c r="K255" s="135"/>
      <c r="L255" s="215"/>
    </row>
    <row r="256" spans="1:16" x14ac:dyDescent="0.15">
      <c r="A256" s="135"/>
      <c r="B256" s="214"/>
      <c r="C256" s="138"/>
      <c r="D256" s="215"/>
      <c r="E256" s="215"/>
      <c r="F256" s="135"/>
      <c r="G256" s="215"/>
      <c r="H256" s="138"/>
      <c r="I256" s="215"/>
      <c r="J256" s="138"/>
      <c r="K256" s="135"/>
      <c r="L256" s="215"/>
    </row>
  </sheetData>
  <mergeCells count="36">
    <mergeCell ref="J3:L3"/>
    <mergeCell ref="A4:C4"/>
    <mergeCell ref="D4:H4"/>
    <mergeCell ref="I4:N4"/>
    <mergeCell ref="J5:K5"/>
    <mergeCell ref="L5:N5"/>
    <mergeCell ref="B235:D235"/>
    <mergeCell ref="F235:G235"/>
    <mergeCell ref="B236:D236"/>
    <mergeCell ref="F236:G236"/>
    <mergeCell ref="B237:D237"/>
    <mergeCell ref="F237:G237"/>
    <mergeCell ref="B238:D238"/>
    <mergeCell ref="F238:G238"/>
    <mergeCell ref="B239:D239"/>
    <mergeCell ref="F239:G239"/>
    <mergeCell ref="B240:D240"/>
    <mergeCell ref="F240:G240"/>
    <mergeCell ref="B241:D241"/>
    <mergeCell ref="F241:G241"/>
    <mergeCell ref="B242:D242"/>
    <mergeCell ref="F242:G242"/>
    <mergeCell ref="B243:D243"/>
    <mergeCell ref="F243:G243"/>
    <mergeCell ref="B244:D244"/>
    <mergeCell ref="F244:G244"/>
    <mergeCell ref="B245:D245"/>
    <mergeCell ref="F245:G245"/>
    <mergeCell ref="B246:D246"/>
    <mergeCell ref="F246:G246"/>
    <mergeCell ref="B247:D247"/>
    <mergeCell ref="F247:G247"/>
    <mergeCell ref="B248:D248"/>
    <mergeCell ref="F248:G248"/>
    <mergeCell ref="B249:D249"/>
    <mergeCell ref="F249:G249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zoomScale="115" zoomScaleNormal="115" workbookViewId="0">
      <pane ySplit="6" topLeftCell="A19" activePane="bottomLeft" state="frozen"/>
      <selection pane="bottomLeft" activeCell="B240" sqref="B240:J240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349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306</v>
      </c>
      <c r="B7" s="146"/>
      <c r="C7" s="147">
        <v>66746.118862009433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66746.118862009433</v>
      </c>
      <c r="P7" s="147">
        <f>+C234</f>
        <v>360348.14086200937</v>
      </c>
    </row>
    <row r="8" spans="1:16" x14ac:dyDescent="0.15">
      <c r="A8" s="154" t="s">
        <v>300</v>
      </c>
      <c r="B8" s="151"/>
      <c r="C8" s="152">
        <v>7991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66746.118862009433</v>
      </c>
      <c r="P8" s="152">
        <f t="shared" ref="P8:P10" si="0">P7+H8-J8-M8</f>
        <v>360348.14086200937</v>
      </c>
    </row>
    <row r="9" spans="1:16" x14ac:dyDescent="0.15">
      <c r="A9" s="154" t="s">
        <v>306</v>
      </c>
      <c r="B9" s="151"/>
      <c r="C9" s="152">
        <v>133786.245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10" si="1">+O8-J9-M9</f>
        <v>66746.118862009433</v>
      </c>
      <c r="P9" s="152">
        <f t="shared" si="0"/>
        <v>360348.14086200937</v>
      </c>
    </row>
    <row r="10" spans="1:16" x14ac:dyDescent="0.15">
      <c r="A10" s="154" t="s">
        <v>307</v>
      </c>
      <c r="B10" s="151"/>
      <c r="C10" s="152">
        <v>75902.241000000009</v>
      </c>
      <c r="D10" s="153"/>
      <c r="E10" s="154"/>
      <c r="F10" s="157"/>
      <c r="G10" s="154"/>
      <c r="H10" s="152"/>
      <c r="I10" s="153"/>
      <c r="J10" s="152"/>
      <c r="K10" s="150"/>
      <c r="L10" s="154"/>
      <c r="M10" s="152"/>
      <c r="N10" s="150"/>
      <c r="O10" s="152">
        <f t="shared" si="1"/>
        <v>66746.118862009433</v>
      </c>
      <c r="P10" s="152">
        <f t="shared" si="0"/>
        <v>360348.14086200937</v>
      </c>
    </row>
    <row r="11" spans="1:16" x14ac:dyDescent="0.15">
      <c r="A11" s="154" t="s">
        <v>308</v>
      </c>
      <c r="B11" s="151"/>
      <c r="C11" s="152">
        <v>75922.535999999993</v>
      </c>
      <c r="D11" s="153"/>
      <c r="E11" s="154"/>
      <c r="F11" s="157"/>
      <c r="G11" s="154"/>
      <c r="H11" s="152"/>
      <c r="I11" s="153"/>
      <c r="J11" s="152"/>
      <c r="K11" s="150"/>
      <c r="L11" s="154"/>
      <c r="M11" s="152"/>
      <c r="N11" s="150"/>
      <c r="O11" s="152">
        <f t="shared" ref="O11" si="2">+O10-J11-M11</f>
        <v>66746.118862009433</v>
      </c>
      <c r="P11" s="152">
        <f t="shared" ref="P11" si="3">P10+H11-J11-M11</f>
        <v>360348.14086200937</v>
      </c>
    </row>
    <row r="12" spans="1:16" x14ac:dyDescent="0.15">
      <c r="A12" s="154"/>
      <c r="B12" s="151"/>
      <c r="C12" s="152"/>
      <c r="D12" s="153" t="s">
        <v>324</v>
      </c>
      <c r="E12" s="154" t="s">
        <v>72</v>
      </c>
      <c r="F12" s="157" t="s">
        <v>308</v>
      </c>
      <c r="G12" s="154"/>
      <c r="H12" s="152">
        <v>76107.471999999994</v>
      </c>
      <c r="I12" s="153" t="s">
        <v>324</v>
      </c>
      <c r="J12" s="152">
        <v>1208</v>
      </c>
      <c r="K12" s="150" t="s">
        <v>306</v>
      </c>
      <c r="L12" s="154" t="s">
        <v>344</v>
      </c>
      <c r="M12" s="152">
        <v>3668</v>
      </c>
      <c r="N12" s="150" t="s">
        <v>306</v>
      </c>
      <c r="O12" s="152">
        <f t="shared" ref="O12:O13" si="4">+O11-J12-M12</f>
        <v>61870.118862009433</v>
      </c>
      <c r="P12" s="152">
        <f t="shared" ref="P12:P13" si="5">P11+H12-J12-M12</f>
        <v>431579.61286200938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324</v>
      </c>
      <c r="J13" s="152"/>
      <c r="K13" s="150"/>
      <c r="L13" s="154" t="s">
        <v>344</v>
      </c>
      <c r="M13" s="152">
        <v>61870</v>
      </c>
      <c r="N13" s="154" t="s">
        <v>306</v>
      </c>
      <c r="O13" s="152">
        <f t="shared" si="4"/>
        <v>0.11886200943263248</v>
      </c>
      <c r="P13" s="152">
        <f t="shared" si="5"/>
        <v>369709.61286200938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324</v>
      </c>
      <c r="J14" s="152"/>
      <c r="K14" s="150"/>
      <c r="L14" s="154" t="s">
        <v>345</v>
      </c>
      <c r="M14" s="152">
        <v>7991</v>
      </c>
      <c r="N14" s="154" t="s">
        <v>300</v>
      </c>
      <c r="O14" s="152">
        <f>C8+O13-J14-M14</f>
        <v>0.11886200943263248</v>
      </c>
      <c r="P14" s="152">
        <f t="shared" ref="P14:P18" si="6">P13+H14-J14-M14</f>
        <v>361718.61286200938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3" t="s">
        <v>324</v>
      </c>
      <c r="J15" s="152"/>
      <c r="K15" s="150"/>
      <c r="L15" s="154" t="s">
        <v>344</v>
      </c>
      <c r="M15" s="152">
        <v>3865</v>
      </c>
      <c r="N15" s="154" t="s">
        <v>306</v>
      </c>
      <c r="O15" s="152">
        <f>C9+O14-J15-M15</f>
        <v>129921.36386200943</v>
      </c>
      <c r="P15" s="152">
        <f t="shared" si="6"/>
        <v>357853.61286200938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3" t="s">
        <v>324</v>
      </c>
      <c r="J16" s="152"/>
      <c r="K16" s="150"/>
      <c r="L16" s="154" t="s">
        <v>344</v>
      </c>
      <c r="M16" s="152">
        <v>83220</v>
      </c>
      <c r="N16" s="154" t="s">
        <v>306</v>
      </c>
      <c r="O16" s="152">
        <f t="shared" ref="O16:O18" si="7">+O15-J16-M16</f>
        <v>46701.363862009428</v>
      </c>
      <c r="P16" s="152">
        <f t="shared" si="6"/>
        <v>274633.61286200938</v>
      </c>
    </row>
    <row r="17" spans="1:16" x14ac:dyDescent="0.15">
      <c r="A17" s="154"/>
      <c r="B17" s="151"/>
      <c r="C17" s="152"/>
      <c r="D17" s="153" t="s">
        <v>338</v>
      </c>
      <c r="E17" s="154" t="s">
        <v>72</v>
      </c>
      <c r="F17" s="157" t="s">
        <v>308</v>
      </c>
      <c r="G17" s="154"/>
      <c r="H17" s="152">
        <v>15975.463</v>
      </c>
      <c r="I17" s="153" t="s">
        <v>338</v>
      </c>
      <c r="J17" s="152"/>
      <c r="K17" s="150"/>
      <c r="L17" s="154"/>
      <c r="M17" s="152"/>
      <c r="N17" s="154"/>
      <c r="O17" s="152">
        <f t="shared" si="7"/>
        <v>46701.363862009428</v>
      </c>
      <c r="P17" s="152">
        <f t="shared" si="6"/>
        <v>290609.07586200937</v>
      </c>
    </row>
    <row r="18" spans="1:16" x14ac:dyDescent="0.15">
      <c r="A18" s="154"/>
      <c r="B18" s="151"/>
      <c r="C18" s="152"/>
      <c r="D18" s="153" t="s">
        <v>325</v>
      </c>
      <c r="E18" s="154" t="s">
        <v>72</v>
      </c>
      <c r="F18" s="157" t="s">
        <v>308</v>
      </c>
      <c r="G18" s="154"/>
      <c r="H18" s="152">
        <v>115760.118</v>
      </c>
      <c r="I18" s="153" t="s">
        <v>325</v>
      </c>
      <c r="J18" s="152">
        <v>645</v>
      </c>
      <c r="K18" s="154" t="s">
        <v>306</v>
      </c>
      <c r="L18" s="154" t="s">
        <v>344</v>
      </c>
      <c r="M18" s="152">
        <v>20703</v>
      </c>
      <c r="N18" s="154" t="s">
        <v>306</v>
      </c>
      <c r="O18" s="152">
        <f t="shared" si="7"/>
        <v>25353.363862009428</v>
      </c>
      <c r="P18" s="152">
        <f t="shared" si="6"/>
        <v>385021.19386200939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3" t="s">
        <v>326</v>
      </c>
      <c r="J19" s="152">
        <v>786</v>
      </c>
      <c r="K19" s="154" t="s">
        <v>306</v>
      </c>
      <c r="L19" s="154"/>
      <c r="M19" s="152"/>
      <c r="N19" s="154"/>
      <c r="O19" s="152">
        <f t="shared" ref="O19:O27" si="8">+O18-J19-M19</f>
        <v>24567.363862009428</v>
      </c>
      <c r="P19" s="152">
        <f t="shared" ref="P19:P27" si="9">P18+H19-J19-M19</f>
        <v>384235.19386200939</v>
      </c>
    </row>
    <row r="20" spans="1:16" x14ac:dyDescent="0.15">
      <c r="A20" s="154"/>
      <c r="B20" s="151"/>
      <c r="C20" s="152"/>
      <c r="D20" s="153" t="s">
        <v>327</v>
      </c>
      <c r="E20" s="154" t="s">
        <v>72</v>
      </c>
      <c r="F20" s="157" t="s">
        <v>340</v>
      </c>
      <c r="G20" s="154"/>
      <c r="H20" s="152">
        <v>115829.837</v>
      </c>
      <c r="I20" s="153" t="s">
        <v>327</v>
      </c>
      <c r="J20" s="152">
        <v>2456</v>
      </c>
      <c r="K20" s="154" t="s">
        <v>306</v>
      </c>
      <c r="L20" s="154" t="s">
        <v>344</v>
      </c>
      <c r="M20" s="152">
        <v>22111</v>
      </c>
      <c r="N20" s="154" t="s">
        <v>306</v>
      </c>
      <c r="O20" s="152">
        <f t="shared" si="8"/>
        <v>0.36386200942797586</v>
      </c>
      <c r="P20" s="152">
        <f t="shared" si="9"/>
        <v>475498.03086200939</v>
      </c>
    </row>
    <row r="21" spans="1:16" x14ac:dyDescent="0.15">
      <c r="A21" s="154"/>
      <c r="B21" s="151"/>
      <c r="C21" s="152"/>
      <c r="D21" s="153"/>
      <c r="E21" s="154"/>
      <c r="F21" s="157"/>
      <c r="G21" s="154"/>
      <c r="H21" s="152"/>
      <c r="I21" s="153" t="s">
        <v>327</v>
      </c>
      <c r="J21" s="152"/>
      <c r="K21" s="154"/>
      <c r="L21" s="154" t="s">
        <v>345</v>
      </c>
      <c r="M21" s="152">
        <v>60800</v>
      </c>
      <c r="N21" s="154" t="s">
        <v>307</v>
      </c>
      <c r="O21" s="152">
        <f>C10+O20-J21-M21</f>
        <v>15102.604862009437</v>
      </c>
      <c r="P21" s="152">
        <f t="shared" si="9"/>
        <v>414698.03086200939</v>
      </c>
    </row>
    <row r="22" spans="1:16" x14ac:dyDescent="0.15">
      <c r="A22" s="154"/>
      <c r="B22" s="151"/>
      <c r="C22" s="152"/>
      <c r="D22" s="153"/>
      <c r="E22" s="154"/>
      <c r="F22" s="157"/>
      <c r="G22" s="154"/>
      <c r="H22" s="152"/>
      <c r="I22" s="153" t="s">
        <v>328</v>
      </c>
      <c r="J22" s="152">
        <v>1175</v>
      </c>
      <c r="K22" s="154" t="s">
        <v>307</v>
      </c>
      <c r="L22" s="154" t="s">
        <v>345</v>
      </c>
      <c r="M22" s="152">
        <v>13928</v>
      </c>
      <c r="N22" s="154" t="s">
        <v>307</v>
      </c>
      <c r="O22" s="152">
        <f t="shared" si="8"/>
        <v>-0.39513799056294374</v>
      </c>
      <c r="P22" s="152">
        <f t="shared" si="9"/>
        <v>399595.03086200939</v>
      </c>
    </row>
    <row r="23" spans="1:16" x14ac:dyDescent="0.15">
      <c r="A23" s="154"/>
      <c r="B23" s="151"/>
      <c r="C23" s="152"/>
      <c r="D23" s="153"/>
      <c r="E23" s="154"/>
      <c r="F23" s="157"/>
      <c r="G23" s="154"/>
      <c r="H23" s="152"/>
      <c r="I23" s="153" t="s">
        <v>328</v>
      </c>
      <c r="J23" s="152"/>
      <c r="K23" s="157"/>
      <c r="L23" s="154" t="s">
        <v>344</v>
      </c>
      <c r="M23" s="152">
        <v>56440</v>
      </c>
      <c r="N23" s="154" t="s">
        <v>308</v>
      </c>
      <c r="O23" s="152">
        <f>C11+H12+H17+H18+O22-J23-M23</f>
        <v>227325.19386200944</v>
      </c>
      <c r="P23" s="152">
        <f t="shared" ref="P23:P26" si="10">P22+H23-J23-M23</f>
        <v>343155.03086200939</v>
      </c>
    </row>
    <row r="24" spans="1:16" x14ac:dyDescent="0.15">
      <c r="A24" s="154"/>
      <c r="B24" s="151"/>
      <c r="C24" s="152"/>
      <c r="D24" s="153" t="s">
        <v>339</v>
      </c>
      <c r="E24" s="154" t="s">
        <v>72</v>
      </c>
      <c r="F24" s="157" t="s">
        <v>341</v>
      </c>
      <c r="G24" s="154"/>
      <c r="H24" s="152">
        <v>115745.08100000001</v>
      </c>
      <c r="I24" s="153" t="s">
        <v>339</v>
      </c>
      <c r="J24" s="152"/>
      <c r="K24" s="157"/>
      <c r="L24" s="154"/>
      <c r="M24" s="152"/>
      <c r="N24" s="157"/>
      <c r="O24" s="152">
        <f t="shared" ref="O24:O26" si="11">+O23-J24-M24</f>
        <v>227325.19386200944</v>
      </c>
      <c r="P24" s="152">
        <f t="shared" si="10"/>
        <v>458900.11186200939</v>
      </c>
    </row>
    <row r="25" spans="1:16" x14ac:dyDescent="0.15">
      <c r="A25" s="154"/>
      <c r="B25" s="151"/>
      <c r="C25" s="152"/>
      <c r="D25" s="153" t="s">
        <v>329</v>
      </c>
      <c r="E25" s="154" t="s">
        <v>72</v>
      </c>
      <c r="F25" s="157" t="s">
        <v>341</v>
      </c>
      <c r="G25" s="154"/>
      <c r="H25" s="152">
        <v>79823.16</v>
      </c>
      <c r="I25" s="153" t="s">
        <v>329</v>
      </c>
      <c r="J25" s="152">
        <v>723</v>
      </c>
      <c r="K25" s="154" t="s">
        <v>308</v>
      </c>
      <c r="L25" s="154" t="s">
        <v>344</v>
      </c>
      <c r="M25" s="152">
        <v>74547</v>
      </c>
      <c r="N25" s="154" t="s">
        <v>308</v>
      </c>
      <c r="O25" s="152">
        <f t="shared" si="11"/>
        <v>152055.19386200944</v>
      </c>
      <c r="P25" s="152">
        <f t="shared" si="10"/>
        <v>463453.27186200942</v>
      </c>
    </row>
    <row r="26" spans="1:16" x14ac:dyDescent="0.15">
      <c r="A26" s="154"/>
      <c r="B26" s="151"/>
      <c r="C26" s="152"/>
      <c r="D26" s="153"/>
      <c r="E26" s="154"/>
      <c r="F26" s="157"/>
      <c r="G26" s="154"/>
      <c r="H26" s="152"/>
      <c r="I26" s="153" t="s">
        <v>329</v>
      </c>
      <c r="J26" s="152"/>
      <c r="K26" s="157"/>
      <c r="L26" s="154" t="s">
        <v>344</v>
      </c>
      <c r="M26" s="152">
        <v>84712</v>
      </c>
      <c r="N26" s="154" t="s">
        <v>308</v>
      </c>
      <c r="O26" s="152">
        <f t="shared" si="11"/>
        <v>67343.193862009444</v>
      </c>
      <c r="P26" s="152">
        <f t="shared" si="10"/>
        <v>378741.27186200942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330</v>
      </c>
      <c r="J27" s="152"/>
      <c r="K27" s="154"/>
      <c r="L27" s="154" t="s">
        <v>344</v>
      </c>
      <c r="M27" s="152">
        <v>47599</v>
      </c>
      <c r="N27" s="154" t="s">
        <v>308</v>
      </c>
      <c r="O27" s="152">
        <f t="shared" si="8"/>
        <v>19744.193862009444</v>
      </c>
      <c r="P27" s="152">
        <f t="shared" si="9"/>
        <v>331142.27186200942</v>
      </c>
    </row>
    <row r="28" spans="1:16" x14ac:dyDescent="0.15">
      <c r="A28" s="154"/>
      <c r="B28" s="151"/>
      <c r="C28" s="152"/>
      <c r="D28" s="153"/>
      <c r="E28" s="154"/>
      <c r="F28" s="157"/>
      <c r="G28" s="154"/>
      <c r="H28" s="152"/>
      <c r="I28" s="153" t="s">
        <v>330</v>
      </c>
      <c r="J28" s="152"/>
      <c r="K28" s="157"/>
      <c r="L28" s="154" t="s">
        <v>344</v>
      </c>
      <c r="M28" s="152">
        <v>19744</v>
      </c>
      <c r="N28" s="154" t="s">
        <v>308</v>
      </c>
      <c r="O28" s="152">
        <f t="shared" ref="O28:O30" si="12">+O27-J28-M28</f>
        <v>0.19386200944427401</v>
      </c>
      <c r="P28" s="152">
        <f t="shared" ref="P28:P30" si="13">P27+H28-J28-M28</f>
        <v>311398.27186200942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330</v>
      </c>
      <c r="J29" s="152"/>
      <c r="K29" s="157"/>
      <c r="L29" s="154" t="s">
        <v>345</v>
      </c>
      <c r="M29" s="152">
        <v>66942</v>
      </c>
      <c r="N29" s="157" t="s">
        <v>340</v>
      </c>
      <c r="O29" s="152">
        <f>H20+O28-J29-M29</f>
        <v>48888.030862009444</v>
      </c>
      <c r="P29" s="152">
        <f t="shared" si="13"/>
        <v>244456.27186200942</v>
      </c>
    </row>
    <row r="30" spans="1:16" x14ac:dyDescent="0.15">
      <c r="A30" s="154"/>
      <c r="B30" s="151"/>
      <c r="C30" s="152"/>
      <c r="D30" s="153"/>
      <c r="E30" s="154"/>
      <c r="F30" s="157"/>
      <c r="G30" s="154"/>
      <c r="H30" s="152"/>
      <c r="I30" s="153" t="s">
        <v>331</v>
      </c>
      <c r="J30" s="152">
        <v>769</v>
      </c>
      <c r="K30" s="157" t="s">
        <v>340</v>
      </c>
      <c r="L30" s="154" t="s">
        <v>345</v>
      </c>
      <c r="M30" s="152">
        <v>48084</v>
      </c>
      <c r="N30" s="157" t="s">
        <v>340</v>
      </c>
      <c r="O30" s="152">
        <f t="shared" si="12"/>
        <v>35.030862009443808</v>
      </c>
      <c r="P30" s="152">
        <f t="shared" si="13"/>
        <v>195603.27186200942</v>
      </c>
    </row>
    <row r="31" spans="1:16" x14ac:dyDescent="0.15">
      <c r="A31" s="154"/>
      <c r="B31" s="151"/>
      <c r="C31" s="152"/>
      <c r="D31" s="153"/>
      <c r="E31" s="154"/>
      <c r="F31" s="157"/>
      <c r="G31" s="154"/>
      <c r="H31" s="152"/>
      <c r="I31" s="153" t="s">
        <v>332</v>
      </c>
      <c r="J31" s="152"/>
      <c r="K31" s="150"/>
      <c r="L31" s="154" t="s">
        <v>345</v>
      </c>
      <c r="M31" s="152">
        <v>35</v>
      </c>
      <c r="N31" s="157" t="s">
        <v>340</v>
      </c>
      <c r="O31" s="152">
        <f t="shared" ref="O31:O35" si="14">+O30-J31-M31</f>
        <v>3.0862009443808347E-2</v>
      </c>
      <c r="P31" s="152">
        <f t="shared" ref="P31:P35" si="15">P30+H31-J31-M31</f>
        <v>195568.27186200942</v>
      </c>
    </row>
    <row r="32" spans="1:16" x14ac:dyDescent="0.15">
      <c r="A32" s="154"/>
      <c r="B32" s="151"/>
      <c r="C32" s="152"/>
      <c r="D32" s="153"/>
      <c r="E32" s="154"/>
      <c r="F32" s="157"/>
      <c r="G32" s="154"/>
      <c r="H32" s="152"/>
      <c r="I32" s="153" t="s">
        <v>332</v>
      </c>
      <c r="J32" s="152"/>
      <c r="K32" s="150"/>
      <c r="L32" s="154" t="s">
        <v>345</v>
      </c>
      <c r="M32" s="152">
        <v>77014</v>
      </c>
      <c r="N32" s="157" t="s">
        <v>341</v>
      </c>
      <c r="O32" s="152">
        <f>H24+H25+O31-J32-M32</f>
        <v>118554.27186200945</v>
      </c>
      <c r="P32" s="152">
        <f t="shared" si="15"/>
        <v>118554.27186200942</v>
      </c>
    </row>
    <row r="33" spans="1:16" x14ac:dyDescent="0.15">
      <c r="A33" s="154"/>
      <c r="B33" s="151"/>
      <c r="C33" s="152"/>
      <c r="D33" s="153"/>
      <c r="E33" s="154"/>
      <c r="F33" s="157"/>
      <c r="G33" s="154"/>
      <c r="H33" s="152"/>
      <c r="I33" s="153" t="s">
        <v>333</v>
      </c>
      <c r="J33" s="152">
        <v>1275</v>
      </c>
      <c r="K33" s="157" t="s">
        <v>341</v>
      </c>
      <c r="L33" s="154"/>
      <c r="M33" s="152"/>
      <c r="N33" s="157"/>
      <c r="O33" s="152">
        <f t="shared" si="14"/>
        <v>117279.27186200945</v>
      </c>
      <c r="P33" s="152">
        <f t="shared" si="15"/>
        <v>117279.27186200942</v>
      </c>
    </row>
    <row r="34" spans="1:16" x14ac:dyDescent="0.15">
      <c r="A34" s="154"/>
      <c r="B34" s="151"/>
      <c r="C34" s="152"/>
      <c r="D34" s="153"/>
      <c r="E34" s="154"/>
      <c r="F34" s="157"/>
      <c r="G34" s="154"/>
      <c r="H34" s="152"/>
      <c r="I34" s="153" t="s">
        <v>334</v>
      </c>
      <c r="J34" s="152">
        <v>330</v>
      </c>
      <c r="K34" s="150" t="s">
        <v>341</v>
      </c>
      <c r="L34" s="154"/>
      <c r="M34" s="152"/>
      <c r="N34" s="157"/>
      <c r="O34" s="152">
        <f t="shared" si="14"/>
        <v>116949.27186200945</v>
      </c>
      <c r="P34" s="152">
        <f t="shared" si="15"/>
        <v>116949.27186200942</v>
      </c>
    </row>
    <row r="35" spans="1:16" x14ac:dyDescent="0.15">
      <c r="A35" s="154"/>
      <c r="B35" s="151"/>
      <c r="C35" s="152"/>
      <c r="D35" s="153"/>
      <c r="E35" s="154"/>
      <c r="F35" s="157"/>
      <c r="G35" s="154"/>
      <c r="H35" s="152"/>
      <c r="I35" s="153" t="s">
        <v>335</v>
      </c>
      <c r="J35" s="152">
        <v>1804</v>
      </c>
      <c r="K35" s="150" t="s">
        <v>341</v>
      </c>
      <c r="L35" s="154"/>
      <c r="M35" s="152"/>
      <c r="N35" s="157"/>
      <c r="O35" s="152">
        <f t="shared" si="14"/>
        <v>115145.27186200945</v>
      </c>
      <c r="P35" s="152">
        <f t="shared" si="15"/>
        <v>115145.27186200942</v>
      </c>
    </row>
    <row r="36" spans="1:16" x14ac:dyDescent="0.15">
      <c r="A36" s="154"/>
      <c r="B36" s="151"/>
      <c r="C36" s="152"/>
      <c r="D36" s="153"/>
      <c r="E36" s="154"/>
      <c r="F36" s="157"/>
      <c r="G36" s="154"/>
      <c r="H36" s="152"/>
      <c r="I36" s="153" t="s">
        <v>336</v>
      </c>
      <c r="J36" s="152">
        <v>200</v>
      </c>
      <c r="K36" s="150" t="s">
        <v>341</v>
      </c>
      <c r="L36" s="154"/>
      <c r="M36" s="152"/>
      <c r="N36" s="157"/>
      <c r="O36" s="152">
        <f t="shared" ref="O36:O88" si="16">+O35-J36-M36</f>
        <v>114945.27186200945</v>
      </c>
      <c r="P36" s="152">
        <f t="shared" ref="P36:P88" si="17">P35+H36-J36-M36</f>
        <v>114945.27186200942</v>
      </c>
    </row>
    <row r="37" spans="1:16" x14ac:dyDescent="0.15">
      <c r="A37" s="154"/>
      <c r="B37" s="151"/>
      <c r="C37" s="152"/>
      <c r="D37" s="153"/>
      <c r="E37" s="154"/>
      <c r="F37" s="157"/>
      <c r="G37" s="154"/>
      <c r="H37" s="152"/>
      <c r="I37" s="153" t="s">
        <v>337</v>
      </c>
      <c r="J37" s="152">
        <v>385</v>
      </c>
      <c r="K37" s="150" t="s">
        <v>341</v>
      </c>
      <c r="L37" s="154"/>
      <c r="M37" s="152"/>
      <c r="N37" s="157"/>
      <c r="O37" s="152">
        <f t="shared" si="16"/>
        <v>114560.27186200945</v>
      </c>
      <c r="P37" s="152">
        <f t="shared" si="17"/>
        <v>114560.27186200942</v>
      </c>
    </row>
    <row r="38" spans="1:16" hidden="1" x14ac:dyDescent="0.15">
      <c r="A38" s="154"/>
      <c r="B38" s="151"/>
      <c r="C38" s="152"/>
      <c r="D38" s="153"/>
      <c r="E38" s="154"/>
      <c r="F38" s="157"/>
      <c r="G38" s="154"/>
      <c r="H38" s="152"/>
      <c r="I38" s="153"/>
      <c r="J38" s="152"/>
      <c r="K38" s="150"/>
      <c r="L38" s="154"/>
      <c r="M38" s="152"/>
      <c r="N38" s="157"/>
      <c r="O38" s="152">
        <f t="shared" si="16"/>
        <v>114560.27186200945</v>
      </c>
      <c r="P38" s="152">
        <f t="shared" si="17"/>
        <v>114560.27186200942</v>
      </c>
    </row>
    <row r="39" spans="1:16" hidden="1" x14ac:dyDescent="0.15">
      <c r="A39" s="154"/>
      <c r="B39" s="151"/>
      <c r="C39" s="152"/>
      <c r="D39" s="153"/>
      <c r="E39" s="154"/>
      <c r="F39" s="157"/>
      <c r="G39" s="154"/>
      <c r="H39" s="152"/>
      <c r="I39" s="153"/>
      <c r="J39" s="152"/>
      <c r="K39" s="157"/>
      <c r="L39" s="154"/>
      <c r="M39" s="152"/>
      <c r="N39" s="157"/>
      <c r="O39" s="152">
        <f t="shared" si="16"/>
        <v>114560.27186200945</v>
      </c>
      <c r="P39" s="152">
        <f t="shared" si="17"/>
        <v>114560.27186200942</v>
      </c>
    </row>
    <row r="40" spans="1:16" hidden="1" x14ac:dyDescent="0.15">
      <c r="A40" s="154"/>
      <c r="B40" s="151"/>
      <c r="C40" s="152"/>
      <c r="D40" s="153"/>
      <c r="E40" s="154"/>
      <c r="F40" s="157"/>
      <c r="G40" s="154"/>
      <c r="H40" s="152"/>
      <c r="I40" s="153"/>
      <c r="J40" s="152"/>
      <c r="K40" s="157"/>
      <c r="L40" s="154"/>
      <c r="M40" s="152"/>
      <c r="N40" s="157"/>
      <c r="O40" s="152">
        <f t="shared" si="16"/>
        <v>114560.27186200945</v>
      </c>
      <c r="P40" s="152">
        <f t="shared" si="17"/>
        <v>114560.27186200942</v>
      </c>
    </row>
    <row r="41" spans="1:16" hidden="1" x14ac:dyDescent="0.15">
      <c r="A41" s="154"/>
      <c r="B41" s="151"/>
      <c r="C41" s="152"/>
      <c r="D41" s="153"/>
      <c r="E41" s="154"/>
      <c r="F41" s="157"/>
      <c r="G41" s="154"/>
      <c r="H41" s="152"/>
      <c r="I41" s="153"/>
      <c r="J41" s="152"/>
      <c r="K41" s="157"/>
      <c r="L41" s="154"/>
      <c r="M41" s="152"/>
      <c r="N41" s="157"/>
      <c r="O41" s="152">
        <f t="shared" si="16"/>
        <v>114560.27186200945</v>
      </c>
      <c r="P41" s="152">
        <f t="shared" si="17"/>
        <v>114560.27186200942</v>
      </c>
    </row>
    <row r="42" spans="1:16" hidden="1" x14ac:dyDescent="0.15">
      <c r="A42" s="154"/>
      <c r="B42" s="151"/>
      <c r="C42" s="152"/>
      <c r="D42" s="153"/>
      <c r="E42" s="154"/>
      <c r="F42" s="157"/>
      <c r="G42" s="154"/>
      <c r="H42" s="152"/>
      <c r="I42" s="153"/>
      <c r="J42" s="152"/>
      <c r="K42" s="157"/>
      <c r="L42" s="154"/>
      <c r="M42" s="152"/>
      <c r="N42" s="157"/>
      <c r="O42" s="152">
        <f t="shared" si="16"/>
        <v>114560.27186200945</v>
      </c>
      <c r="P42" s="152">
        <f t="shared" si="17"/>
        <v>114560.27186200942</v>
      </c>
    </row>
    <row r="43" spans="1:16" hidden="1" x14ac:dyDescent="0.15">
      <c r="A43" s="154"/>
      <c r="B43" s="151"/>
      <c r="C43" s="152"/>
      <c r="D43" s="153"/>
      <c r="E43" s="154"/>
      <c r="F43" s="157"/>
      <c r="G43" s="154"/>
      <c r="H43" s="152"/>
      <c r="I43" s="153"/>
      <c r="J43" s="152"/>
      <c r="K43" s="157"/>
      <c r="L43" s="154"/>
      <c r="M43" s="152"/>
      <c r="N43" s="157"/>
      <c r="O43" s="152">
        <f t="shared" si="16"/>
        <v>114560.27186200945</v>
      </c>
      <c r="P43" s="152">
        <f t="shared" si="17"/>
        <v>114560.27186200942</v>
      </c>
    </row>
    <row r="44" spans="1:16" hidden="1" x14ac:dyDescent="0.15">
      <c r="A44" s="154"/>
      <c r="B44" s="151"/>
      <c r="C44" s="152"/>
      <c r="D44" s="153"/>
      <c r="E44" s="154"/>
      <c r="F44" s="157"/>
      <c r="G44" s="154"/>
      <c r="H44" s="152"/>
      <c r="I44" s="153"/>
      <c r="J44" s="152"/>
      <c r="K44" s="157"/>
      <c r="L44" s="154"/>
      <c r="M44" s="152"/>
      <c r="N44" s="157"/>
      <c r="O44" s="152">
        <f t="shared" si="16"/>
        <v>114560.27186200945</v>
      </c>
      <c r="P44" s="152">
        <f t="shared" si="17"/>
        <v>114560.27186200942</v>
      </c>
    </row>
    <row r="45" spans="1:16" hidden="1" x14ac:dyDescent="0.15">
      <c r="A45" s="154"/>
      <c r="B45" s="151"/>
      <c r="C45" s="152"/>
      <c r="D45" s="153"/>
      <c r="E45" s="154"/>
      <c r="F45" s="157"/>
      <c r="G45" s="154"/>
      <c r="H45" s="152"/>
      <c r="I45" s="153"/>
      <c r="J45" s="152"/>
      <c r="K45" s="150"/>
      <c r="L45" s="154"/>
      <c r="M45" s="152"/>
      <c r="N45" s="157"/>
      <c r="O45" s="152">
        <f t="shared" si="16"/>
        <v>114560.27186200945</v>
      </c>
      <c r="P45" s="152">
        <f t="shared" si="17"/>
        <v>114560.27186200942</v>
      </c>
    </row>
    <row r="46" spans="1:16" hidden="1" x14ac:dyDescent="0.15">
      <c r="A46" s="154"/>
      <c r="B46" s="151"/>
      <c r="C46" s="152"/>
      <c r="D46" s="153"/>
      <c r="E46" s="154"/>
      <c r="F46" s="157"/>
      <c r="G46" s="154"/>
      <c r="H46" s="152"/>
      <c r="I46" s="153"/>
      <c r="J46" s="152"/>
      <c r="K46" s="150"/>
      <c r="L46" s="154"/>
      <c r="M46" s="152"/>
      <c r="N46" s="157"/>
      <c r="O46" s="152">
        <f t="shared" si="16"/>
        <v>114560.27186200945</v>
      </c>
      <c r="P46" s="152">
        <f t="shared" si="17"/>
        <v>114560.27186200942</v>
      </c>
    </row>
    <row r="47" spans="1:16" hidden="1" x14ac:dyDescent="0.15">
      <c r="A47" s="154"/>
      <c r="B47" s="151"/>
      <c r="C47" s="152"/>
      <c r="D47" s="153"/>
      <c r="E47" s="154"/>
      <c r="F47" s="157"/>
      <c r="G47" s="154"/>
      <c r="H47" s="152"/>
      <c r="I47" s="153"/>
      <c r="J47" s="152"/>
      <c r="K47" s="150"/>
      <c r="L47" s="154"/>
      <c r="M47" s="152"/>
      <c r="N47" s="157"/>
      <c r="O47" s="152">
        <f t="shared" si="16"/>
        <v>114560.27186200945</v>
      </c>
      <c r="P47" s="152">
        <f t="shared" si="17"/>
        <v>114560.27186200942</v>
      </c>
    </row>
    <row r="48" spans="1:16" hidden="1" x14ac:dyDescent="0.15">
      <c r="A48" s="154"/>
      <c r="B48" s="151"/>
      <c r="C48" s="152"/>
      <c r="D48" s="153"/>
      <c r="E48" s="154"/>
      <c r="F48" s="157"/>
      <c r="G48" s="154"/>
      <c r="H48" s="152"/>
      <c r="I48" s="153"/>
      <c r="J48" s="152"/>
      <c r="K48" s="150"/>
      <c r="L48" s="154"/>
      <c r="M48" s="152"/>
      <c r="N48" s="157"/>
      <c r="O48" s="152">
        <f t="shared" si="16"/>
        <v>114560.27186200945</v>
      </c>
      <c r="P48" s="152">
        <f t="shared" si="17"/>
        <v>114560.27186200942</v>
      </c>
    </row>
    <row r="49" spans="1:16" hidden="1" x14ac:dyDescent="0.15">
      <c r="A49" s="154"/>
      <c r="B49" s="151"/>
      <c r="C49" s="152"/>
      <c r="D49" s="153"/>
      <c r="E49" s="154"/>
      <c r="F49" s="157"/>
      <c r="G49" s="154"/>
      <c r="H49" s="152"/>
      <c r="I49" s="153"/>
      <c r="J49" s="152"/>
      <c r="K49" s="150"/>
      <c r="L49" s="154"/>
      <c r="M49" s="152"/>
      <c r="N49" s="157"/>
      <c r="O49" s="152">
        <f t="shared" si="16"/>
        <v>114560.27186200945</v>
      </c>
      <c r="P49" s="152">
        <f t="shared" si="17"/>
        <v>114560.27186200942</v>
      </c>
    </row>
    <row r="50" spans="1:16" hidden="1" x14ac:dyDescent="0.15">
      <c r="A50" s="154"/>
      <c r="B50" s="151"/>
      <c r="C50" s="152"/>
      <c r="D50" s="153"/>
      <c r="E50" s="154"/>
      <c r="F50" s="157"/>
      <c r="G50" s="154"/>
      <c r="H50" s="152"/>
      <c r="I50" s="153"/>
      <c r="J50" s="152"/>
      <c r="K50" s="157"/>
      <c r="L50" s="154"/>
      <c r="M50" s="152"/>
      <c r="N50" s="157"/>
      <c r="O50" s="152">
        <f t="shared" si="16"/>
        <v>114560.27186200945</v>
      </c>
      <c r="P50" s="152">
        <f t="shared" si="17"/>
        <v>114560.27186200942</v>
      </c>
    </row>
    <row r="51" spans="1:16" hidden="1" x14ac:dyDescent="0.15">
      <c r="A51" s="154"/>
      <c r="B51" s="151"/>
      <c r="C51" s="152"/>
      <c r="D51" s="153"/>
      <c r="E51" s="154"/>
      <c r="F51" s="157"/>
      <c r="G51" s="154"/>
      <c r="H51" s="152"/>
      <c r="I51" s="153"/>
      <c r="J51" s="152"/>
      <c r="K51" s="157"/>
      <c r="L51" s="154"/>
      <c r="M51" s="152"/>
      <c r="N51" s="157"/>
      <c r="O51" s="152">
        <f t="shared" si="16"/>
        <v>114560.27186200945</v>
      </c>
      <c r="P51" s="152">
        <f t="shared" si="17"/>
        <v>114560.27186200942</v>
      </c>
    </row>
    <row r="52" spans="1:16" hidden="1" x14ac:dyDescent="0.15">
      <c r="A52" s="154"/>
      <c r="B52" s="151"/>
      <c r="C52" s="152"/>
      <c r="D52" s="153"/>
      <c r="E52" s="154"/>
      <c r="F52" s="157"/>
      <c r="G52" s="154"/>
      <c r="H52" s="152"/>
      <c r="I52" s="153"/>
      <c r="J52" s="152"/>
      <c r="K52" s="150"/>
      <c r="L52" s="154"/>
      <c r="M52" s="152"/>
      <c r="N52" s="157"/>
      <c r="O52" s="152">
        <f t="shared" si="16"/>
        <v>114560.27186200945</v>
      </c>
      <c r="P52" s="152">
        <f t="shared" si="17"/>
        <v>114560.27186200942</v>
      </c>
    </row>
    <row r="53" spans="1:16" hidden="1" x14ac:dyDescent="0.15">
      <c r="A53" s="154"/>
      <c r="B53" s="151"/>
      <c r="C53" s="152"/>
      <c r="D53" s="153"/>
      <c r="E53" s="154"/>
      <c r="F53" s="157"/>
      <c r="G53" s="154"/>
      <c r="H53" s="152"/>
      <c r="I53" s="153"/>
      <c r="J53" s="152"/>
      <c r="K53" s="150"/>
      <c r="L53" s="154"/>
      <c r="M53" s="152"/>
      <c r="N53" s="157"/>
      <c r="O53" s="152">
        <f t="shared" si="16"/>
        <v>114560.27186200945</v>
      </c>
      <c r="P53" s="152">
        <f t="shared" si="17"/>
        <v>114560.27186200942</v>
      </c>
    </row>
    <row r="54" spans="1:16" hidden="1" x14ac:dyDescent="0.15">
      <c r="A54" s="154"/>
      <c r="B54" s="151"/>
      <c r="C54" s="152"/>
      <c r="D54" s="153"/>
      <c r="E54" s="154"/>
      <c r="F54" s="157"/>
      <c r="G54" s="154"/>
      <c r="H54" s="152"/>
      <c r="I54" s="153"/>
      <c r="J54" s="152"/>
      <c r="K54" s="157"/>
      <c r="L54" s="154"/>
      <c r="M54" s="152"/>
      <c r="N54" s="157"/>
      <c r="O54" s="152">
        <f t="shared" si="16"/>
        <v>114560.27186200945</v>
      </c>
      <c r="P54" s="152">
        <f t="shared" si="17"/>
        <v>114560.27186200942</v>
      </c>
    </row>
    <row r="55" spans="1:16" hidden="1" x14ac:dyDescent="0.15">
      <c r="A55" s="154"/>
      <c r="B55" s="151"/>
      <c r="C55" s="152"/>
      <c r="D55" s="153"/>
      <c r="E55" s="154"/>
      <c r="F55" s="157"/>
      <c r="G55" s="154"/>
      <c r="H55" s="152"/>
      <c r="I55" s="153"/>
      <c r="J55" s="152"/>
      <c r="K55" s="150"/>
      <c r="L55" s="154"/>
      <c r="M55" s="152"/>
      <c r="N55" s="157"/>
      <c r="O55" s="152">
        <f t="shared" si="16"/>
        <v>114560.27186200945</v>
      </c>
      <c r="P55" s="152">
        <f t="shared" si="17"/>
        <v>114560.27186200942</v>
      </c>
    </row>
    <row r="56" spans="1:16" hidden="1" x14ac:dyDescent="0.15">
      <c r="A56" s="154"/>
      <c r="B56" s="151"/>
      <c r="C56" s="152"/>
      <c r="D56" s="153"/>
      <c r="E56" s="154"/>
      <c r="F56" s="157"/>
      <c r="G56" s="154"/>
      <c r="H56" s="152"/>
      <c r="I56" s="153"/>
      <c r="J56" s="152"/>
      <c r="K56" s="157"/>
      <c r="L56" s="154"/>
      <c r="M56" s="152"/>
      <c r="N56" s="157"/>
      <c r="O56" s="152">
        <f t="shared" si="16"/>
        <v>114560.27186200945</v>
      </c>
      <c r="P56" s="152">
        <f t="shared" si="17"/>
        <v>114560.27186200942</v>
      </c>
    </row>
    <row r="57" spans="1:16" hidden="1" x14ac:dyDescent="0.15">
      <c r="A57" s="154"/>
      <c r="B57" s="151"/>
      <c r="C57" s="152"/>
      <c r="D57" s="153"/>
      <c r="E57" s="154"/>
      <c r="F57" s="157"/>
      <c r="G57" s="154"/>
      <c r="H57" s="152"/>
      <c r="I57" s="153"/>
      <c r="J57" s="152"/>
      <c r="K57" s="157"/>
      <c r="L57" s="154"/>
      <c r="M57" s="152"/>
      <c r="N57" s="157"/>
      <c r="O57" s="152">
        <f t="shared" si="16"/>
        <v>114560.27186200945</v>
      </c>
      <c r="P57" s="152">
        <f t="shared" si="17"/>
        <v>114560.27186200942</v>
      </c>
    </row>
    <row r="58" spans="1:16" hidden="1" x14ac:dyDescent="0.15">
      <c r="A58" s="154"/>
      <c r="B58" s="151"/>
      <c r="C58" s="152"/>
      <c r="D58" s="153"/>
      <c r="E58" s="154"/>
      <c r="F58" s="157"/>
      <c r="G58" s="154"/>
      <c r="H58" s="152"/>
      <c r="I58" s="153"/>
      <c r="J58" s="152"/>
      <c r="K58" s="157"/>
      <c r="L58" s="154"/>
      <c r="M58" s="152"/>
      <c r="N58" s="157"/>
      <c r="O58" s="152">
        <f t="shared" si="16"/>
        <v>114560.27186200945</v>
      </c>
      <c r="P58" s="152">
        <f t="shared" si="17"/>
        <v>114560.27186200942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4"/>
      <c r="L59" s="154"/>
      <c r="M59" s="152"/>
      <c r="N59" s="157"/>
      <c r="O59" s="152">
        <f t="shared" si="16"/>
        <v>114560.27186200945</v>
      </c>
      <c r="P59" s="152">
        <f t="shared" si="17"/>
        <v>114560.27186200942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4"/>
      <c r="L60" s="154"/>
      <c r="M60" s="152"/>
      <c r="N60" s="157"/>
      <c r="O60" s="152">
        <f t="shared" si="16"/>
        <v>114560.27186200945</v>
      </c>
      <c r="P60" s="152">
        <f t="shared" si="17"/>
        <v>114560.27186200942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4"/>
      <c r="L61" s="154"/>
      <c r="M61" s="152"/>
      <c r="N61" s="157"/>
      <c r="O61" s="152">
        <f t="shared" si="16"/>
        <v>114560.27186200945</v>
      </c>
      <c r="P61" s="152">
        <f t="shared" si="17"/>
        <v>114560.27186200942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16"/>
        <v>114560.27186200945</v>
      </c>
      <c r="P62" s="152">
        <f t="shared" si="17"/>
        <v>114560.27186200942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7"/>
      <c r="O63" s="152">
        <f t="shared" si="16"/>
        <v>114560.27186200945</v>
      </c>
      <c r="P63" s="152">
        <f t="shared" si="17"/>
        <v>114560.27186200942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0"/>
      <c r="L64" s="154"/>
      <c r="M64" s="152"/>
      <c r="N64" s="157"/>
      <c r="O64" s="152">
        <f t="shared" si="16"/>
        <v>114560.27186200945</v>
      </c>
      <c r="P64" s="152">
        <f t="shared" si="17"/>
        <v>114560.27186200942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0"/>
      <c r="L65" s="154"/>
      <c r="M65" s="152"/>
      <c r="N65" s="157"/>
      <c r="O65" s="152">
        <f t="shared" si="16"/>
        <v>114560.27186200945</v>
      </c>
      <c r="P65" s="152">
        <f t="shared" si="17"/>
        <v>114560.27186200942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16"/>
        <v>114560.27186200945</v>
      </c>
      <c r="P66" s="152">
        <f t="shared" si="17"/>
        <v>114560.27186200942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16"/>
        <v>114560.27186200945</v>
      </c>
      <c r="P67" s="152">
        <f t="shared" si="17"/>
        <v>114560.27186200942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16"/>
        <v>114560.27186200945</v>
      </c>
      <c r="P68" s="152">
        <f t="shared" si="17"/>
        <v>114560.27186200942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16"/>
        <v>114560.27186200945</v>
      </c>
      <c r="P69" s="152">
        <f t="shared" si="17"/>
        <v>114560.27186200942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16"/>
        <v>114560.27186200945</v>
      </c>
      <c r="P70" s="152">
        <f t="shared" si="17"/>
        <v>114560.27186200942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9"/>
      <c r="L71" s="154"/>
      <c r="M71" s="152"/>
      <c r="N71" s="157"/>
      <c r="O71" s="152">
        <f t="shared" si="16"/>
        <v>114560.27186200945</v>
      </c>
      <c r="P71" s="152">
        <f t="shared" si="17"/>
        <v>114560.27186200942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9"/>
      <c r="L72" s="154"/>
      <c r="M72" s="152"/>
      <c r="N72" s="157"/>
      <c r="O72" s="152">
        <f t="shared" si="16"/>
        <v>114560.27186200945</v>
      </c>
      <c r="P72" s="152">
        <f t="shared" si="17"/>
        <v>114560.27186200942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9"/>
      <c r="L73" s="154"/>
      <c r="M73" s="152"/>
      <c r="N73" s="157"/>
      <c r="O73" s="152">
        <f t="shared" si="16"/>
        <v>114560.27186200945</v>
      </c>
      <c r="P73" s="152">
        <f t="shared" si="17"/>
        <v>114560.27186200942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16"/>
        <v>114560.27186200945</v>
      </c>
      <c r="P74" s="152">
        <f t="shared" si="17"/>
        <v>114560.27186200942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16"/>
        <v>114560.27186200945</v>
      </c>
      <c r="P75" s="152">
        <f t="shared" si="17"/>
        <v>114560.27186200942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7"/>
      <c r="O76" s="152">
        <f t="shared" si="16"/>
        <v>114560.27186200945</v>
      </c>
      <c r="P76" s="152">
        <f t="shared" si="17"/>
        <v>114560.27186200942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7"/>
      <c r="L77" s="154"/>
      <c r="M77" s="152"/>
      <c r="N77" s="157"/>
      <c r="O77" s="152">
        <f t="shared" si="16"/>
        <v>114560.27186200945</v>
      </c>
      <c r="P77" s="152">
        <f t="shared" si="17"/>
        <v>114560.27186200942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7"/>
      <c r="L78" s="154"/>
      <c r="M78" s="152"/>
      <c r="N78" s="150"/>
      <c r="O78" s="152">
        <f t="shared" si="16"/>
        <v>114560.27186200945</v>
      </c>
      <c r="P78" s="152">
        <f t="shared" si="17"/>
        <v>114560.27186200942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9"/>
      <c r="L79" s="154"/>
      <c r="M79" s="152"/>
      <c r="N79" s="157"/>
      <c r="O79" s="152">
        <f t="shared" si="16"/>
        <v>114560.27186200945</v>
      </c>
      <c r="P79" s="152">
        <f t="shared" si="17"/>
        <v>114560.27186200942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9"/>
      <c r="L80" s="154"/>
      <c r="M80" s="152"/>
      <c r="N80" s="157"/>
      <c r="O80" s="152">
        <f t="shared" si="16"/>
        <v>114560.27186200945</v>
      </c>
      <c r="P80" s="152">
        <f t="shared" si="17"/>
        <v>114560.27186200942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9"/>
      <c r="L81" s="154"/>
      <c r="M81" s="152"/>
      <c r="N81" s="157"/>
      <c r="O81" s="152">
        <f t="shared" si="16"/>
        <v>114560.27186200945</v>
      </c>
      <c r="P81" s="152">
        <f t="shared" si="17"/>
        <v>114560.27186200942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16"/>
        <v>114560.27186200945</v>
      </c>
      <c r="P82" s="152">
        <f t="shared" si="17"/>
        <v>114560.27186200942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7"/>
      <c r="L83" s="154"/>
      <c r="M83" s="152"/>
      <c r="N83" s="157"/>
      <c r="O83" s="152">
        <f t="shared" si="16"/>
        <v>114560.27186200945</v>
      </c>
      <c r="P83" s="152">
        <f t="shared" si="17"/>
        <v>114560.27186200942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7"/>
      <c r="L84" s="154"/>
      <c r="M84" s="152"/>
      <c r="N84" s="157"/>
      <c r="O84" s="152">
        <f t="shared" si="16"/>
        <v>114560.27186200945</v>
      </c>
      <c r="P84" s="152">
        <f t="shared" si="17"/>
        <v>114560.27186200942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9"/>
      <c r="L85" s="154"/>
      <c r="M85" s="152"/>
      <c r="N85" s="157"/>
      <c r="O85" s="152">
        <f t="shared" si="16"/>
        <v>114560.27186200945</v>
      </c>
      <c r="P85" s="152">
        <f t="shared" si="17"/>
        <v>114560.27186200942</v>
      </c>
    </row>
    <row r="86" spans="1:16" hidden="1" x14ac:dyDescent="0.15">
      <c r="A86" s="154"/>
      <c r="B86" s="151"/>
      <c r="C86" s="152"/>
      <c r="D86" s="153"/>
      <c r="E86" s="154"/>
      <c r="F86" s="160"/>
      <c r="G86" s="151"/>
      <c r="H86" s="152"/>
      <c r="I86" s="153"/>
      <c r="J86" s="152"/>
      <c r="K86" s="159"/>
      <c r="L86" s="154"/>
      <c r="M86" s="152"/>
      <c r="N86" s="157"/>
      <c r="O86" s="152">
        <f t="shared" si="16"/>
        <v>114560.27186200945</v>
      </c>
      <c r="P86" s="152">
        <f t="shared" si="17"/>
        <v>114560.27186200942</v>
      </c>
    </row>
    <row r="87" spans="1:16" hidden="1" x14ac:dyDescent="0.15">
      <c r="A87" s="154"/>
      <c r="B87" s="151"/>
      <c r="C87" s="152"/>
      <c r="D87" s="153"/>
      <c r="E87" s="154"/>
      <c r="F87" s="160"/>
      <c r="G87" s="151"/>
      <c r="H87" s="152"/>
      <c r="I87" s="153"/>
      <c r="J87" s="152"/>
      <c r="K87" s="159"/>
      <c r="L87" s="154"/>
      <c r="M87" s="152"/>
      <c r="N87" s="157"/>
      <c r="O87" s="152">
        <f t="shared" si="16"/>
        <v>114560.27186200945</v>
      </c>
      <c r="P87" s="152">
        <f t="shared" si="17"/>
        <v>114560.27186200942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9"/>
      <c r="L88" s="154"/>
      <c r="M88" s="152"/>
      <c r="N88" s="157"/>
      <c r="O88" s="152">
        <f t="shared" si="16"/>
        <v>114560.27186200945</v>
      </c>
      <c r="P88" s="152">
        <f t="shared" si="17"/>
        <v>114560.27186200942</v>
      </c>
    </row>
    <row r="89" spans="1:16" hidden="1" x14ac:dyDescent="0.15">
      <c r="A89" s="154"/>
      <c r="B89" s="151"/>
      <c r="C89" s="152"/>
      <c r="D89" s="153"/>
      <c r="E89" s="154"/>
      <c r="F89" s="157"/>
      <c r="G89" s="151"/>
      <c r="H89" s="152"/>
      <c r="I89" s="153"/>
      <c r="J89" s="152"/>
      <c r="K89" s="150"/>
      <c r="L89" s="154"/>
      <c r="M89" s="152"/>
      <c r="N89" s="157"/>
      <c r="O89" s="152">
        <f t="shared" ref="O89:O152" si="18">+O88-J89-M89</f>
        <v>114560.27186200945</v>
      </c>
      <c r="P89" s="152">
        <f t="shared" ref="P89:P152" si="19">P88+H89-J89-M89</f>
        <v>114560.27186200942</v>
      </c>
    </row>
    <row r="90" spans="1:16" hidden="1" x14ac:dyDescent="0.15">
      <c r="A90" s="154"/>
      <c r="B90" s="151"/>
      <c r="C90" s="152"/>
      <c r="D90" s="153"/>
      <c r="E90" s="154"/>
      <c r="F90" s="157"/>
      <c r="G90" s="151"/>
      <c r="H90" s="152"/>
      <c r="I90" s="153"/>
      <c r="J90" s="152"/>
      <c r="K90" s="157"/>
      <c r="L90" s="154"/>
      <c r="M90" s="152"/>
      <c r="N90" s="150"/>
      <c r="O90" s="152">
        <f t="shared" si="18"/>
        <v>114560.27186200945</v>
      </c>
      <c r="P90" s="152">
        <f t="shared" si="19"/>
        <v>114560.27186200942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18"/>
        <v>114560.27186200945</v>
      </c>
      <c r="P91" s="152">
        <f t="shared" si="19"/>
        <v>114560.27186200942</v>
      </c>
    </row>
    <row r="92" spans="1:16" hidden="1" x14ac:dyDescent="0.15">
      <c r="A92" s="154"/>
      <c r="B92" s="151"/>
      <c r="C92" s="152"/>
      <c r="D92" s="153"/>
      <c r="E92" s="154"/>
      <c r="F92" s="160"/>
      <c r="G92" s="151"/>
      <c r="H92" s="152"/>
      <c r="I92" s="153"/>
      <c r="J92" s="152"/>
      <c r="K92" s="150"/>
      <c r="L92" s="154"/>
      <c r="M92" s="152"/>
      <c r="N92" s="157"/>
      <c r="O92" s="152">
        <f t="shared" si="18"/>
        <v>114560.27186200945</v>
      </c>
      <c r="P92" s="152">
        <f t="shared" si="19"/>
        <v>114560.27186200942</v>
      </c>
    </row>
    <row r="93" spans="1:16" hidden="1" x14ac:dyDescent="0.15">
      <c r="A93" s="154"/>
      <c r="B93" s="151"/>
      <c r="C93" s="152"/>
      <c r="D93" s="153"/>
      <c r="E93" s="154"/>
      <c r="F93" s="157"/>
      <c r="G93" s="151"/>
      <c r="H93" s="152"/>
      <c r="I93" s="153"/>
      <c r="J93" s="152"/>
      <c r="K93" s="150"/>
      <c r="L93" s="154"/>
      <c r="M93" s="152"/>
      <c r="N93" s="157"/>
      <c r="O93" s="152">
        <f t="shared" si="18"/>
        <v>114560.27186200945</v>
      </c>
      <c r="P93" s="152">
        <f t="shared" si="19"/>
        <v>114560.27186200942</v>
      </c>
    </row>
    <row r="94" spans="1:16" hidden="1" x14ac:dyDescent="0.15">
      <c r="A94" s="154"/>
      <c r="B94" s="151"/>
      <c r="C94" s="152"/>
      <c r="D94" s="153"/>
      <c r="E94" s="154"/>
      <c r="F94" s="157"/>
      <c r="G94" s="151"/>
      <c r="H94" s="152"/>
      <c r="I94" s="153"/>
      <c r="J94" s="152"/>
      <c r="K94" s="150"/>
      <c r="L94" s="154"/>
      <c r="M94" s="152"/>
      <c r="N94" s="150"/>
      <c r="O94" s="152">
        <f t="shared" si="18"/>
        <v>114560.27186200945</v>
      </c>
      <c r="P94" s="152">
        <f t="shared" si="19"/>
        <v>114560.27186200942</v>
      </c>
    </row>
    <row r="95" spans="1:16" hidden="1" x14ac:dyDescent="0.15">
      <c r="A95" s="154"/>
      <c r="B95" s="151"/>
      <c r="C95" s="152"/>
      <c r="D95" s="158"/>
      <c r="E95" s="154"/>
      <c r="F95" s="157"/>
      <c r="G95" s="151"/>
      <c r="H95" s="152"/>
      <c r="I95" s="158"/>
      <c r="J95" s="152"/>
      <c r="K95" s="150"/>
      <c r="L95" s="154"/>
      <c r="M95" s="152"/>
      <c r="N95" s="157"/>
      <c r="O95" s="152">
        <f t="shared" si="18"/>
        <v>114560.27186200945</v>
      </c>
      <c r="P95" s="152">
        <f t="shared" si="19"/>
        <v>114560.27186200942</v>
      </c>
    </row>
    <row r="96" spans="1:16" hidden="1" x14ac:dyDescent="0.15">
      <c r="A96" s="154"/>
      <c r="B96" s="151"/>
      <c r="C96" s="152"/>
      <c r="D96" s="153"/>
      <c r="E96" s="154"/>
      <c r="F96" s="160"/>
      <c r="G96" s="151"/>
      <c r="H96" s="152"/>
      <c r="I96" s="153"/>
      <c r="J96" s="152"/>
      <c r="K96" s="150"/>
      <c r="L96" s="154"/>
      <c r="M96" s="152"/>
      <c r="N96" s="157"/>
      <c r="O96" s="152">
        <f t="shared" si="18"/>
        <v>114560.27186200945</v>
      </c>
      <c r="P96" s="152">
        <f t="shared" si="19"/>
        <v>114560.27186200942</v>
      </c>
    </row>
    <row r="97" spans="1:16" hidden="1" x14ac:dyDescent="0.15">
      <c r="A97" s="154"/>
      <c r="B97" s="151"/>
      <c r="C97" s="152"/>
      <c r="D97" s="153"/>
      <c r="E97" s="154"/>
      <c r="F97" s="160"/>
      <c r="G97" s="151"/>
      <c r="H97" s="152"/>
      <c r="I97" s="158"/>
      <c r="J97" s="152"/>
      <c r="K97" s="150"/>
      <c r="L97" s="154"/>
      <c r="M97" s="152"/>
      <c r="N97" s="157"/>
      <c r="O97" s="152">
        <f t="shared" si="18"/>
        <v>114560.27186200945</v>
      </c>
      <c r="P97" s="152">
        <f t="shared" si="19"/>
        <v>114560.27186200942</v>
      </c>
    </row>
    <row r="98" spans="1:16" hidden="1" x14ac:dyDescent="0.15">
      <c r="A98" s="154"/>
      <c r="B98" s="151"/>
      <c r="C98" s="152"/>
      <c r="D98" s="153"/>
      <c r="E98" s="154"/>
      <c r="F98" s="160"/>
      <c r="G98" s="151"/>
      <c r="H98" s="152"/>
      <c r="I98" s="158"/>
      <c r="J98" s="152"/>
      <c r="K98" s="150"/>
      <c r="L98" s="154"/>
      <c r="M98" s="152"/>
      <c r="N98" s="157"/>
      <c r="O98" s="152">
        <f t="shared" si="18"/>
        <v>114560.27186200945</v>
      </c>
      <c r="P98" s="152">
        <f t="shared" si="19"/>
        <v>114560.27186200942</v>
      </c>
    </row>
    <row r="99" spans="1:16" hidden="1" x14ac:dyDescent="0.15">
      <c r="A99" s="154"/>
      <c r="B99" s="151"/>
      <c r="C99" s="152"/>
      <c r="D99" s="153"/>
      <c r="E99" s="154"/>
      <c r="F99" s="160"/>
      <c r="G99" s="151"/>
      <c r="H99" s="152"/>
      <c r="I99" s="153"/>
      <c r="J99" s="152"/>
      <c r="K99" s="150"/>
      <c r="L99" s="154"/>
      <c r="M99" s="152"/>
      <c r="N99" s="157"/>
      <c r="O99" s="152">
        <f t="shared" si="18"/>
        <v>114560.27186200945</v>
      </c>
      <c r="P99" s="152">
        <f t="shared" si="19"/>
        <v>114560.27186200942</v>
      </c>
    </row>
    <row r="100" spans="1:16" hidden="1" x14ac:dyDescent="0.15">
      <c r="A100" s="154"/>
      <c r="B100" s="151"/>
      <c r="C100" s="152"/>
      <c r="D100" s="153"/>
      <c r="E100" s="154"/>
      <c r="F100" s="157"/>
      <c r="G100" s="151"/>
      <c r="H100" s="152"/>
      <c r="I100" s="153"/>
      <c r="J100" s="152"/>
      <c r="K100" s="150"/>
      <c r="L100" s="154"/>
      <c r="M100" s="152"/>
      <c r="N100" s="157"/>
      <c r="O100" s="152">
        <f t="shared" si="18"/>
        <v>114560.27186200945</v>
      </c>
      <c r="P100" s="152">
        <f t="shared" si="19"/>
        <v>114560.27186200942</v>
      </c>
    </row>
    <row r="101" spans="1:16" hidden="1" x14ac:dyDescent="0.15">
      <c r="A101" s="154"/>
      <c r="B101" s="151"/>
      <c r="C101" s="152"/>
      <c r="D101" s="153"/>
      <c r="E101" s="154"/>
      <c r="F101" s="157"/>
      <c r="G101" s="151"/>
      <c r="H101" s="152"/>
      <c r="I101" s="153"/>
      <c r="J101" s="152"/>
      <c r="K101" s="150"/>
      <c r="L101" s="154"/>
      <c r="M101" s="152"/>
      <c r="N101" s="157"/>
      <c r="O101" s="152">
        <f t="shared" si="18"/>
        <v>114560.27186200945</v>
      </c>
      <c r="P101" s="152">
        <f t="shared" si="19"/>
        <v>114560.27186200942</v>
      </c>
    </row>
    <row r="102" spans="1:16" hidden="1" x14ac:dyDescent="0.15">
      <c r="A102" s="154"/>
      <c r="B102" s="151"/>
      <c r="C102" s="152"/>
      <c r="D102" s="153"/>
      <c r="E102" s="154"/>
      <c r="F102" s="157"/>
      <c r="G102" s="151"/>
      <c r="H102" s="152"/>
      <c r="I102" s="153"/>
      <c r="J102" s="152"/>
      <c r="K102" s="150"/>
      <c r="L102" s="154"/>
      <c r="M102" s="152"/>
      <c r="N102" s="157"/>
      <c r="O102" s="152">
        <f t="shared" si="18"/>
        <v>114560.27186200945</v>
      </c>
      <c r="P102" s="152">
        <f t="shared" si="19"/>
        <v>114560.27186200942</v>
      </c>
    </row>
    <row r="103" spans="1:16" hidden="1" x14ac:dyDescent="0.15">
      <c r="A103" s="154"/>
      <c r="B103" s="151"/>
      <c r="C103" s="152"/>
      <c r="D103" s="153"/>
      <c r="E103" s="154"/>
      <c r="F103" s="160"/>
      <c r="G103" s="151"/>
      <c r="H103" s="152"/>
      <c r="I103" s="158"/>
      <c r="J103" s="152"/>
      <c r="K103" s="150"/>
      <c r="L103" s="154"/>
      <c r="M103" s="152"/>
      <c r="N103" s="157"/>
      <c r="O103" s="152">
        <f t="shared" si="18"/>
        <v>114560.27186200945</v>
      </c>
      <c r="P103" s="152">
        <f t="shared" si="19"/>
        <v>114560.27186200942</v>
      </c>
    </row>
    <row r="104" spans="1:16" hidden="1" x14ac:dyDescent="0.15">
      <c r="A104" s="154"/>
      <c r="B104" s="151"/>
      <c r="C104" s="152"/>
      <c r="D104" s="153"/>
      <c r="E104" s="154"/>
      <c r="F104" s="160"/>
      <c r="G104" s="151"/>
      <c r="H104" s="152"/>
      <c r="I104" s="153"/>
      <c r="J104" s="152"/>
      <c r="K104" s="150"/>
      <c r="L104" s="154"/>
      <c r="M104" s="152"/>
      <c r="N104" s="157"/>
      <c r="O104" s="152">
        <f t="shared" si="18"/>
        <v>114560.27186200945</v>
      </c>
      <c r="P104" s="152">
        <f t="shared" si="19"/>
        <v>114560.27186200942</v>
      </c>
    </row>
    <row r="105" spans="1:16" hidden="1" x14ac:dyDescent="0.15">
      <c r="A105" s="154"/>
      <c r="B105" s="151"/>
      <c r="C105" s="152"/>
      <c r="D105" s="153"/>
      <c r="E105" s="154"/>
      <c r="F105" s="160"/>
      <c r="G105" s="151"/>
      <c r="H105" s="152"/>
      <c r="I105" s="153"/>
      <c r="J105" s="152"/>
      <c r="K105" s="150"/>
      <c r="L105" s="154"/>
      <c r="M105" s="152"/>
      <c r="N105" s="157"/>
      <c r="O105" s="152">
        <f t="shared" si="18"/>
        <v>114560.27186200945</v>
      </c>
      <c r="P105" s="152">
        <f t="shared" si="19"/>
        <v>114560.27186200942</v>
      </c>
    </row>
    <row r="106" spans="1:16" hidden="1" x14ac:dyDescent="0.15">
      <c r="A106" s="154"/>
      <c r="B106" s="151"/>
      <c r="C106" s="152"/>
      <c r="D106" s="153"/>
      <c r="E106" s="154"/>
      <c r="F106" s="157"/>
      <c r="G106" s="151"/>
      <c r="H106" s="152"/>
      <c r="I106" s="153"/>
      <c r="J106" s="152"/>
      <c r="K106" s="150"/>
      <c r="L106" s="154"/>
      <c r="M106" s="152"/>
      <c r="N106" s="157"/>
      <c r="O106" s="152">
        <f t="shared" si="18"/>
        <v>114560.27186200945</v>
      </c>
      <c r="P106" s="152">
        <f t="shared" si="19"/>
        <v>114560.27186200942</v>
      </c>
    </row>
    <row r="107" spans="1:16" hidden="1" x14ac:dyDescent="0.15">
      <c r="A107" s="154"/>
      <c r="B107" s="151"/>
      <c r="C107" s="152"/>
      <c r="D107" s="153"/>
      <c r="E107" s="154"/>
      <c r="F107" s="157"/>
      <c r="G107" s="151"/>
      <c r="H107" s="152"/>
      <c r="I107" s="153"/>
      <c r="J107" s="152"/>
      <c r="K107" s="150"/>
      <c r="L107" s="154"/>
      <c r="M107" s="152"/>
      <c r="N107" s="150"/>
      <c r="O107" s="152">
        <f t="shared" si="18"/>
        <v>114560.27186200945</v>
      </c>
      <c r="P107" s="152">
        <f t="shared" si="19"/>
        <v>114560.27186200942</v>
      </c>
    </row>
    <row r="108" spans="1:16" hidden="1" x14ac:dyDescent="0.15">
      <c r="A108" s="154"/>
      <c r="B108" s="151"/>
      <c r="C108" s="152"/>
      <c r="D108" s="153"/>
      <c r="E108" s="154"/>
      <c r="F108" s="157"/>
      <c r="G108" s="151"/>
      <c r="H108" s="152"/>
      <c r="I108" s="153"/>
      <c r="J108" s="152"/>
      <c r="K108" s="150"/>
      <c r="L108" s="154"/>
      <c r="M108" s="152"/>
      <c r="N108" s="157"/>
      <c r="O108" s="152">
        <f t="shared" si="18"/>
        <v>114560.27186200945</v>
      </c>
      <c r="P108" s="152">
        <f t="shared" si="19"/>
        <v>114560.27186200942</v>
      </c>
    </row>
    <row r="109" spans="1:16" hidden="1" x14ac:dyDescent="0.15">
      <c r="A109" s="154"/>
      <c r="B109" s="151"/>
      <c r="C109" s="152"/>
      <c r="D109" s="153"/>
      <c r="E109" s="154"/>
      <c r="F109" s="160"/>
      <c r="G109" s="151"/>
      <c r="H109" s="152"/>
      <c r="I109" s="153"/>
      <c r="J109" s="152"/>
      <c r="K109" s="150"/>
      <c r="L109" s="154"/>
      <c r="M109" s="152"/>
      <c r="N109" s="157"/>
      <c r="O109" s="152">
        <f t="shared" si="18"/>
        <v>114560.27186200945</v>
      </c>
      <c r="P109" s="152">
        <f t="shared" si="19"/>
        <v>114560.27186200942</v>
      </c>
    </row>
    <row r="110" spans="1:16" hidden="1" x14ac:dyDescent="0.15">
      <c r="A110" s="154"/>
      <c r="B110" s="161"/>
      <c r="C110" s="152"/>
      <c r="D110" s="153"/>
      <c r="E110" s="154"/>
      <c r="F110" s="157"/>
      <c r="G110" s="151"/>
      <c r="H110" s="152"/>
      <c r="I110" s="153"/>
      <c r="J110" s="152"/>
      <c r="K110" s="150"/>
      <c r="L110" s="154"/>
      <c r="M110" s="152"/>
      <c r="N110" s="157"/>
      <c r="O110" s="152">
        <f t="shared" si="18"/>
        <v>114560.27186200945</v>
      </c>
      <c r="P110" s="152">
        <f t="shared" si="19"/>
        <v>114560.27186200942</v>
      </c>
    </row>
    <row r="111" spans="1:16" hidden="1" x14ac:dyDescent="0.15">
      <c r="A111" s="154"/>
      <c r="B111" s="161"/>
      <c r="C111" s="152"/>
      <c r="D111" s="153"/>
      <c r="E111" s="154"/>
      <c r="F111" s="157"/>
      <c r="G111" s="151"/>
      <c r="H111" s="152"/>
      <c r="I111" s="153"/>
      <c r="J111" s="152"/>
      <c r="K111" s="150"/>
      <c r="L111" s="154"/>
      <c r="M111" s="152"/>
      <c r="N111" s="157"/>
      <c r="O111" s="152">
        <f t="shared" si="18"/>
        <v>114560.27186200945</v>
      </c>
      <c r="P111" s="152">
        <f t="shared" si="19"/>
        <v>114560.27186200942</v>
      </c>
    </row>
    <row r="112" spans="1:16" hidden="1" x14ac:dyDescent="0.15">
      <c r="A112" s="154"/>
      <c r="B112" s="161"/>
      <c r="C112" s="152"/>
      <c r="D112" s="153"/>
      <c r="E112" s="154"/>
      <c r="F112" s="157"/>
      <c r="G112" s="151"/>
      <c r="H112" s="152"/>
      <c r="I112" s="153"/>
      <c r="J112" s="152"/>
      <c r="K112" s="150"/>
      <c r="L112" s="154"/>
      <c r="M112" s="152"/>
      <c r="N112" s="157"/>
      <c r="O112" s="152">
        <f t="shared" si="18"/>
        <v>114560.27186200945</v>
      </c>
      <c r="P112" s="152">
        <f t="shared" si="19"/>
        <v>114560.27186200942</v>
      </c>
    </row>
    <row r="113" spans="1:16" hidden="1" x14ac:dyDescent="0.15">
      <c r="A113" s="154"/>
      <c r="B113" s="163"/>
      <c r="C113" s="152"/>
      <c r="D113" s="158"/>
      <c r="E113" s="154"/>
      <c r="F113" s="157"/>
      <c r="G113" s="163"/>
      <c r="H113" s="152"/>
      <c r="I113" s="158"/>
      <c r="J113" s="152"/>
      <c r="K113" s="159"/>
      <c r="L113" s="154"/>
      <c r="M113" s="152"/>
      <c r="N113" s="157"/>
      <c r="O113" s="152">
        <f t="shared" si="18"/>
        <v>114560.27186200945</v>
      </c>
      <c r="P113" s="152">
        <f t="shared" si="19"/>
        <v>114560.27186200942</v>
      </c>
    </row>
    <row r="114" spans="1:16" hidden="1" x14ac:dyDescent="0.15">
      <c r="A114" s="154"/>
      <c r="B114" s="163"/>
      <c r="C114" s="152"/>
      <c r="D114" s="158"/>
      <c r="E114" s="154"/>
      <c r="F114" s="154"/>
      <c r="G114" s="163"/>
      <c r="H114" s="152"/>
      <c r="I114" s="158"/>
      <c r="J114" s="152"/>
      <c r="K114" s="150"/>
      <c r="L114" s="154"/>
      <c r="M114" s="152"/>
      <c r="N114" s="157"/>
      <c r="O114" s="152">
        <f t="shared" si="18"/>
        <v>114560.27186200945</v>
      </c>
      <c r="P114" s="152">
        <f t="shared" si="19"/>
        <v>114560.27186200942</v>
      </c>
    </row>
    <row r="115" spans="1:16" hidden="1" x14ac:dyDescent="0.15">
      <c r="A115" s="154"/>
      <c r="B115" s="163"/>
      <c r="C115" s="152"/>
      <c r="D115" s="158"/>
      <c r="E115" s="154"/>
      <c r="F115" s="154"/>
      <c r="G115" s="163"/>
      <c r="H115" s="152"/>
      <c r="I115" s="158"/>
      <c r="J115" s="152"/>
      <c r="K115" s="150"/>
      <c r="L115" s="154"/>
      <c r="M115" s="152"/>
      <c r="N115" s="157"/>
      <c r="O115" s="152">
        <f t="shared" si="18"/>
        <v>114560.27186200945</v>
      </c>
      <c r="P115" s="152">
        <f t="shared" si="19"/>
        <v>114560.27186200942</v>
      </c>
    </row>
    <row r="116" spans="1:16" hidden="1" x14ac:dyDescent="0.15">
      <c r="A116" s="154"/>
      <c r="B116" s="163"/>
      <c r="C116" s="152"/>
      <c r="D116" s="153"/>
      <c r="E116" s="154"/>
      <c r="F116" s="157"/>
      <c r="G116" s="163"/>
      <c r="H116" s="152"/>
      <c r="I116" s="158"/>
      <c r="J116" s="152"/>
      <c r="K116" s="150"/>
      <c r="L116" s="154"/>
      <c r="M116" s="152"/>
      <c r="N116" s="157"/>
      <c r="O116" s="152">
        <f t="shared" si="18"/>
        <v>114560.27186200945</v>
      </c>
      <c r="P116" s="152">
        <f t="shared" si="19"/>
        <v>114560.27186200942</v>
      </c>
    </row>
    <row r="117" spans="1:16" hidden="1" x14ac:dyDescent="0.15">
      <c r="A117" s="154"/>
      <c r="B117" s="163"/>
      <c r="C117" s="152"/>
      <c r="D117" s="153"/>
      <c r="E117" s="154"/>
      <c r="F117" s="157"/>
      <c r="G117" s="163"/>
      <c r="H117" s="152"/>
      <c r="I117" s="158"/>
      <c r="J117" s="152"/>
      <c r="K117" s="150"/>
      <c r="L117" s="154"/>
      <c r="M117" s="152"/>
      <c r="N117" s="157"/>
      <c r="O117" s="152">
        <f t="shared" si="18"/>
        <v>114560.27186200945</v>
      </c>
      <c r="P117" s="152">
        <f t="shared" si="19"/>
        <v>114560.27186200942</v>
      </c>
    </row>
    <row r="118" spans="1:16" hidden="1" x14ac:dyDescent="0.15">
      <c r="A118" s="164"/>
      <c r="B118" s="164"/>
      <c r="C118" s="152"/>
      <c r="D118" s="158"/>
      <c r="E118" s="154"/>
      <c r="F118" s="165"/>
      <c r="G118" s="166"/>
      <c r="H118" s="152"/>
      <c r="I118" s="158"/>
      <c r="J118" s="152"/>
      <c r="K118" s="150"/>
      <c r="L118" s="154"/>
      <c r="M118" s="152"/>
      <c r="N118" s="159"/>
      <c r="O118" s="152">
        <f t="shared" si="18"/>
        <v>114560.27186200945</v>
      </c>
      <c r="P118" s="152">
        <f t="shared" si="19"/>
        <v>114560.27186200942</v>
      </c>
    </row>
    <row r="119" spans="1:16" hidden="1" x14ac:dyDescent="0.15">
      <c r="A119" s="150"/>
      <c r="B119" s="161"/>
      <c r="C119" s="152"/>
      <c r="D119" s="153"/>
      <c r="E119" s="154"/>
      <c r="F119" s="157"/>
      <c r="G119" s="151"/>
      <c r="H119" s="152"/>
      <c r="I119" s="158"/>
      <c r="J119" s="152"/>
      <c r="K119" s="159"/>
      <c r="L119" s="154"/>
      <c r="M119" s="152"/>
      <c r="N119" s="159"/>
      <c r="O119" s="152">
        <f t="shared" si="18"/>
        <v>114560.27186200945</v>
      </c>
      <c r="P119" s="152">
        <f t="shared" si="19"/>
        <v>114560.27186200942</v>
      </c>
    </row>
    <row r="120" spans="1:16" hidden="1" x14ac:dyDescent="0.15">
      <c r="A120" s="150"/>
      <c r="B120" s="161"/>
      <c r="C120" s="152"/>
      <c r="D120" s="158"/>
      <c r="E120" s="154"/>
      <c r="F120" s="165"/>
      <c r="G120" s="151"/>
      <c r="H120" s="152"/>
      <c r="I120" s="158"/>
      <c r="J120" s="152"/>
      <c r="K120" s="159"/>
      <c r="L120" s="154"/>
      <c r="M120" s="152"/>
      <c r="N120" s="159"/>
      <c r="O120" s="152">
        <f t="shared" si="18"/>
        <v>114560.27186200945</v>
      </c>
      <c r="P120" s="152">
        <f t="shared" si="19"/>
        <v>114560.27186200942</v>
      </c>
    </row>
    <row r="121" spans="1:16" hidden="1" x14ac:dyDescent="0.15">
      <c r="A121" s="150"/>
      <c r="B121" s="161"/>
      <c r="C121" s="152"/>
      <c r="D121" s="158"/>
      <c r="E121" s="154"/>
      <c r="F121" s="165"/>
      <c r="G121" s="151"/>
      <c r="H121" s="152"/>
      <c r="I121" s="158"/>
      <c r="J121" s="152"/>
      <c r="K121" s="159"/>
      <c r="L121" s="154"/>
      <c r="M121" s="152"/>
      <c r="N121" s="159"/>
      <c r="O121" s="152">
        <f t="shared" si="18"/>
        <v>114560.27186200945</v>
      </c>
      <c r="P121" s="152">
        <f t="shared" si="19"/>
        <v>114560.27186200942</v>
      </c>
    </row>
    <row r="122" spans="1:16" hidden="1" x14ac:dyDescent="0.15">
      <c r="A122" s="150"/>
      <c r="B122" s="161"/>
      <c r="C122" s="152"/>
      <c r="D122" s="153"/>
      <c r="E122" s="154"/>
      <c r="F122" s="165"/>
      <c r="G122" s="151"/>
      <c r="H122" s="152"/>
      <c r="I122" s="158"/>
      <c r="J122" s="152"/>
      <c r="K122" s="159"/>
      <c r="L122" s="154"/>
      <c r="M122" s="152"/>
      <c r="N122" s="159"/>
      <c r="O122" s="152">
        <f t="shared" si="18"/>
        <v>114560.27186200945</v>
      </c>
      <c r="P122" s="152">
        <f t="shared" si="19"/>
        <v>114560.27186200942</v>
      </c>
    </row>
    <row r="123" spans="1:16" hidden="1" x14ac:dyDescent="0.15">
      <c r="A123" s="154"/>
      <c r="B123" s="154"/>
      <c r="C123" s="152"/>
      <c r="D123" s="153"/>
      <c r="E123" s="154"/>
      <c r="F123" s="165"/>
      <c r="G123" s="151"/>
      <c r="H123" s="152"/>
      <c r="I123" s="158"/>
      <c r="J123" s="152"/>
      <c r="K123" s="159"/>
      <c r="L123" s="154"/>
      <c r="M123" s="152"/>
      <c r="N123" s="159"/>
      <c r="O123" s="152">
        <f t="shared" si="18"/>
        <v>114560.27186200945</v>
      </c>
      <c r="P123" s="152">
        <f t="shared" si="19"/>
        <v>114560.27186200942</v>
      </c>
    </row>
    <row r="124" spans="1:16" hidden="1" x14ac:dyDescent="0.15">
      <c r="A124" s="154"/>
      <c r="B124" s="154"/>
      <c r="C124" s="152"/>
      <c r="D124" s="153"/>
      <c r="E124" s="154"/>
      <c r="F124" s="154"/>
      <c r="G124" s="163"/>
      <c r="H124" s="152"/>
      <c r="I124" s="158"/>
      <c r="J124" s="152"/>
      <c r="K124" s="154"/>
      <c r="L124" s="154"/>
      <c r="M124" s="152"/>
      <c r="N124" s="159"/>
      <c r="O124" s="152">
        <f t="shared" si="18"/>
        <v>114560.27186200945</v>
      </c>
      <c r="P124" s="152">
        <f t="shared" si="19"/>
        <v>114560.27186200942</v>
      </c>
    </row>
    <row r="125" spans="1:16" hidden="1" x14ac:dyDescent="0.15">
      <c r="A125" s="154"/>
      <c r="B125" s="154"/>
      <c r="C125" s="152"/>
      <c r="D125" s="153"/>
      <c r="E125" s="154"/>
      <c r="F125" s="154"/>
      <c r="G125" s="163"/>
      <c r="H125" s="152"/>
      <c r="I125" s="158"/>
      <c r="J125" s="152"/>
      <c r="K125" s="154"/>
      <c r="L125" s="154"/>
      <c r="M125" s="152"/>
      <c r="N125" s="159"/>
      <c r="O125" s="152">
        <f t="shared" si="18"/>
        <v>114560.27186200945</v>
      </c>
      <c r="P125" s="152">
        <f t="shared" si="19"/>
        <v>114560.27186200942</v>
      </c>
    </row>
    <row r="126" spans="1:16" hidden="1" x14ac:dyDescent="0.15">
      <c r="A126" s="154"/>
      <c r="B126" s="154"/>
      <c r="C126" s="152"/>
      <c r="D126" s="153"/>
      <c r="E126" s="154"/>
      <c r="F126" s="154"/>
      <c r="G126" s="163"/>
      <c r="H126" s="152"/>
      <c r="I126" s="153"/>
      <c r="J126" s="152"/>
      <c r="K126" s="154"/>
      <c r="L126" s="154"/>
      <c r="M126" s="152"/>
      <c r="N126" s="159"/>
      <c r="O126" s="152">
        <f t="shared" si="18"/>
        <v>114560.27186200945</v>
      </c>
      <c r="P126" s="152">
        <f t="shared" si="19"/>
        <v>114560.27186200942</v>
      </c>
    </row>
    <row r="127" spans="1:16" hidden="1" x14ac:dyDescent="0.15">
      <c r="A127" s="154"/>
      <c r="B127" s="154"/>
      <c r="C127" s="152"/>
      <c r="D127" s="158"/>
      <c r="E127" s="154"/>
      <c r="F127" s="165"/>
      <c r="G127" s="163"/>
      <c r="H127" s="152"/>
      <c r="I127" s="158"/>
      <c r="J127" s="152"/>
      <c r="K127" s="154"/>
      <c r="L127" s="154"/>
      <c r="M127" s="152"/>
      <c r="N127" s="154"/>
      <c r="O127" s="152">
        <f t="shared" si="18"/>
        <v>114560.27186200945</v>
      </c>
      <c r="P127" s="152">
        <f t="shared" si="19"/>
        <v>114560.27186200942</v>
      </c>
    </row>
    <row r="128" spans="1:16" hidden="1" x14ac:dyDescent="0.15">
      <c r="A128" s="154"/>
      <c r="B128" s="154"/>
      <c r="C128" s="152"/>
      <c r="D128" s="158"/>
      <c r="E128" s="154"/>
      <c r="F128" s="165"/>
      <c r="G128" s="163"/>
      <c r="H128" s="152"/>
      <c r="I128" s="158"/>
      <c r="J128" s="152"/>
      <c r="K128" s="154"/>
      <c r="L128" s="154"/>
      <c r="M128" s="152"/>
      <c r="N128" s="154"/>
      <c r="O128" s="152">
        <f t="shared" si="18"/>
        <v>114560.27186200945</v>
      </c>
      <c r="P128" s="152">
        <f t="shared" si="19"/>
        <v>114560.27186200942</v>
      </c>
    </row>
    <row r="129" spans="1:16" hidden="1" x14ac:dyDescent="0.15">
      <c r="A129" s="154"/>
      <c r="B129" s="154"/>
      <c r="C129" s="152"/>
      <c r="D129" s="153"/>
      <c r="E129" s="154"/>
      <c r="F129" s="154"/>
      <c r="G129" s="163"/>
      <c r="H129" s="152"/>
      <c r="I129" s="158"/>
      <c r="J129" s="152"/>
      <c r="K129" s="154"/>
      <c r="L129" s="154"/>
      <c r="M129" s="152"/>
      <c r="N129" s="154"/>
      <c r="O129" s="152">
        <f t="shared" si="18"/>
        <v>114560.27186200945</v>
      </c>
      <c r="P129" s="152">
        <f t="shared" si="19"/>
        <v>114560.27186200942</v>
      </c>
    </row>
    <row r="130" spans="1:16" hidden="1" x14ac:dyDescent="0.15">
      <c r="A130" s="154"/>
      <c r="B130" s="154"/>
      <c r="C130" s="152"/>
      <c r="D130" s="158"/>
      <c r="E130" s="154"/>
      <c r="F130" s="154"/>
      <c r="G130" s="163"/>
      <c r="H130" s="152"/>
      <c r="I130" s="158"/>
      <c r="J130" s="152"/>
      <c r="K130" s="159"/>
      <c r="L130" s="154"/>
      <c r="M130" s="152"/>
      <c r="N130" s="159"/>
      <c r="O130" s="152">
        <f t="shared" si="18"/>
        <v>114560.27186200945</v>
      </c>
      <c r="P130" s="152">
        <f t="shared" si="19"/>
        <v>114560.27186200942</v>
      </c>
    </row>
    <row r="131" spans="1:16" hidden="1" x14ac:dyDescent="0.15">
      <c r="A131" s="154"/>
      <c r="B131" s="154"/>
      <c r="C131" s="152"/>
      <c r="D131" s="158"/>
      <c r="E131" s="154"/>
      <c r="F131" s="154"/>
      <c r="G131" s="163"/>
      <c r="H131" s="152"/>
      <c r="I131" s="153"/>
      <c r="J131" s="152"/>
      <c r="K131" s="159"/>
      <c r="L131" s="154"/>
      <c r="M131" s="152"/>
      <c r="N131" s="159"/>
      <c r="O131" s="152">
        <f t="shared" si="18"/>
        <v>114560.27186200945</v>
      </c>
      <c r="P131" s="152">
        <f t="shared" si="19"/>
        <v>114560.27186200942</v>
      </c>
    </row>
    <row r="132" spans="1:16" hidden="1" x14ac:dyDescent="0.15">
      <c r="A132" s="154"/>
      <c r="B132" s="154"/>
      <c r="C132" s="152"/>
      <c r="D132" s="158"/>
      <c r="E132" s="154"/>
      <c r="F132" s="154"/>
      <c r="G132" s="163"/>
      <c r="H132" s="152"/>
      <c r="I132" s="153"/>
      <c r="J132" s="152"/>
      <c r="K132" s="159"/>
      <c r="L132" s="154"/>
      <c r="M132" s="152"/>
      <c r="N132" s="159"/>
      <c r="O132" s="152">
        <f t="shared" si="18"/>
        <v>114560.27186200945</v>
      </c>
      <c r="P132" s="152">
        <f t="shared" si="19"/>
        <v>114560.27186200942</v>
      </c>
    </row>
    <row r="133" spans="1:16" hidden="1" x14ac:dyDescent="0.15">
      <c r="A133" s="154"/>
      <c r="B133" s="154"/>
      <c r="C133" s="152"/>
      <c r="D133" s="158"/>
      <c r="E133" s="154"/>
      <c r="F133" s="154"/>
      <c r="G133" s="163"/>
      <c r="H133" s="152"/>
      <c r="I133" s="153"/>
      <c r="J133" s="152"/>
      <c r="K133" s="159"/>
      <c r="L133" s="154"/>
      <c r="M133" s="152"/>
      <c r="N133" s="159"/>
      <c r="O133" s="152">
        <f t="shared" si="18"/>
        <v>114560.27186200945</v>
      </c>
      <c r="P133" s="152">
        <f t="shared" si="19"/>
        <v>114560.27186200942</v>
      </c>
    </row>
    <row r="134" spans="1:16" hidden="1" x14ac:dyDescent="0.15">
      <c r="A134" s="154"/>
      <c r="B134" s="154"/>
      <c r="C134" s="152"/>
      <c r="D134" s="158"/>
      <c r="E134" s="154"/>
      <c r="F134" s="154"/>
      <c r="G134" s="163"/>
      <c r="H134" s="152"/>
      <c r="I134" s="158"/>
      <c r="J134" s="152"/>
      <c r="K134" s="154"/>
      <c r="L134" s="154"/>
      <c r="M134" s="152"/>
      <c r="N134" s="154"/>
      <c r="O134" s="152">
        <f t="shared" si="18"/>
        <v>114560.27186200945</v>
      </c>
      <c r="P134" s="152">
        <f t="shared" si="19"/>
        <v>114560.27186200942</v>
      </c>
    </row>
    <row r="135" spans="1:16" hidden="1" x14ac:dyDescent="0.15">
      <c r="A135" s="154"/>
      <c r="B135" s="154"/>
      <c r="C135" s="152"/>
      <c r="D135" s="153"/>
      <c r="E135" s="154"/>
      <c r="F135" s="154"/>
      <c r="G135" s="163"/>
      <c r="H135" s="152"/>
      <c r="I135" s="158"/>
      <c r="J135" s="152"/>
      <c r="K135" s="154"/>
      <c r="L135" s="154"/>
      <c r="M135" s="152"/>
      <c r="N135" s="154"/>
      <c r="O135" s="152">
        <f t="shared" si="18"/>
        <v>114560.27186200945</v>
      </c>
      <c r="P135" s="152">
        <f t="shared" si="19"/>
        <v>114560.27186200942</v>
      </c>
    </row>
    <row r="136" spans="1:16" hidden="1" x14ac:dyDescent="0.15">
      <c r="A136" s="154"/>
      <c r="B136" s="154"/>
      <c r="C136" s="152"/>
      <c r="D136" s="153"/>
      <c r="E136" s="154"/>
      <c r="F136" s="154"/>
      <c r="G136" s="163"/>
      <c r="H136" s="152"/>
      <c r="I136" s="158"/>
      <c r="J136" s="152"/>
      <c r="K136" s="154"/>
      <c r="L136" s="154"/>
      <c r="M136" s="152"/>
      <c r="N136" s="159"/>
      <c r="O136" s="152">
        <f t="shared" si="18"/>
        <v>114560.27186200945</v>
      </c>
      <c r="P136" s="152">
        <f t="shared" si="19"/>
        <v>114560.27186200942</v>
      </c>
    </row>
    <row r="137" spans="1:16" hidden="1" x14ac:dyDescent="0.15">
      <c r="A137" s="154"/>
      <c r="B137" s="154"/>
      <c r="C137" s="152"/>
      <c r="D137" s="153"/>
      <c r="E137" s="154"/>
      <c r="F137" s="154"/>
      <c r="G137" s="163"/>
      <c r="H137" s="152"/>
      <c r="I137" s="158"/>
      <c r="J137" s="152"/>
      <c r="K137" s="154"/>
      <c r="L137" s="154"/>
      <c r="M137" s="152"/>
      <c r="N137" s="154"/>
      <c r="O137" s="152">
        <f t="shared" si="18"/>
        <v>114560.27186200945</v>
      </c>
      <c r="P137" s="152">
        <f t="shared" si="19"/>
        <v>114560.27186200942</v>
      </c>
    </row>
    <row r="138" spans="1:16" s="167" customFormat="1" hidden="1" x14ac:dyDescent="0.15">
      <c r="A138" s="154"/>
      <c r="B138" s="154"/>
      <c r="C138" s="152"/>
      <c r="D138" s="153"/>
      <c r="E138" s="154"/>
      <c r="F138" s="154"/>
      <c r="G138" s="163"/>
      <c r="H138" s="152"/>
      <c r="I138" s="158"/>
      <c r="J138" s="152"/>
      <c r="K138" s="154"/>
      <c r="L138" s="154"/>
      <c r="M138" s="152"/>
      <c r="N138" s="154"/>
      <c r="O138" s="152">
        <f t="shared" si="18"/>
        <v>114560.27186200945</v>
      </c>
      <c r="P138" s="152">
        <f t="shared" si="19"/>
        <v>114560.27186200942</v>
      </c>
    </row>
    <row r="139" spans="1:16" s="167" customFormat="1" hidden="1" x14ac:dyDescent="0.15">
      <c r="A139" s="154"/>
      <c r="B139" s="154"/>
      <c r="C139" s="152"/>
      <c r="D139" s="158"/>
      <c r="E139" s="154"/>
      <c r="F139" s="154"/>
      <c r="G139" s="163"/>
      <c r="H139" s="152"/>
      <c r="I139" s="158"/>
      <c r="J139" s="152"/>
      <c r="K139" s="154"/>
      <c r="L139" s="154"/>
      <c r="M139" s="152"/>
      <c r="N139" s="154"/>
      <c r="O139" s="152">
        <f t="shared" si="18"/>
        <v>114560.27186200945</v>
      </c>
      <c r="P139" s="152">
        <f t="shared" si="19"/>
        <v>114560.27186200942</v>
      </c>
    </row>
    <row r="140" spans="1:16" s="167" customFormat="1" hidden="1" x14ac:dyDescent="0.15">
      <c r="A140" s="154"/>
      <c r="B140" s="151"/>
      <c r="C140" s="152"/>
      <c r="D140" s="153"/>
      <c r="E140" s="154"/>
      <c r="F140" s="154"/>
      <c r="G140" s="151"/>
      <c r="H140" s="152"/>
      <c r="I140" s="158"/>
      <c r="J140" s="152"/>
      <c r="K140" s="154"/>
      <c r="L140" s="154"/>
      <c r="M140" s="152"/>
      <c r="N140" s="154"/>
      <c r="O140" s="152">
        <f t="shared" si="18"/>
        <v>114560.27186200945</v>
      </c>
      <c r="P140" s="152">
        <f t="shared" si="19"/>
        <v>114560.27186200942</v>
      </c>
    </row>
    <row r="141" spans="1:16" s="167" customFormat="1" hidden="1" x14ac:dyDescent="0.15">
      <c r="A141" s="154"/>
      <c r="B141" s="151"/>
      <c r="C141" s="152"/>
      <c r="D141" s="153"/>
      <c r="E141" s="154"/>
      <c r="F141" s="150"/>
      <c r="G141" s="151"/>
      <c r="H141" s="152"/>
      <c r="I141" s="158"/>
      <c r="J141" s="152"/>
      <c r="K141" s="154"/>
      <c r="L141" s="154"/>
      <c r="M141" s="152"/>
      <c r="N141" s="154"/>
      <c r="O141" s="152">
        <f t="shared" si="18"/>
        <v>114560.27186200945</v>
      </c>
      <c r="P141" s="152">
        <f t="shared" si="19"/>
        <v>114560.27186200942</v>
      </c>
    </row>
    <row r="142" spans="1:16" s="167" customFormat="1" hidden="1" x14ac:dyDescent="0.15">
      <c r="A142" s="154"/>
      <c r="B142" s="151"/>
      <c r="C142" s="152"/>
      <c r="D142" s="153"/>
      <c r="E142" s="154"/>
      <c r="F142" s="150"/>
      <c r="G142" s="151"/>
      <c r="H142" s="152"/>
      <c r="I142" s="158"/>
      <c r="J142" s="152"/>
      <c r="K142" s="154"/>
      <c r="L142" s="154"/>
      <c r="M142" s="152"/>
      <c r="N142" s="154"/>
      <c r="O142" s="152">
        <f t="shared" si="18"/>
        <v>114560.27186200945</v>
      </c>
      <c r="P142" s="152">
        <f t="shared" si="19"/>
        <v>114560.27186200942</v>
      </c>
    </row>
    <row r="143" spans="1:16" s="167" customFormat="1" hidden="1" x14ac:dyDescent="0.15">
      <c r="A143" s="154"/>
      <c r="B143" s="151"/>
      <c r="C143" s="152"/>
      <c r="D143" s="153"/>
      <c r="E143" s="154"/>
      <c r="F143" s="150"/>
      <c r="G143" s="151"/>
      <c r="H143" s="152"/>
      <c r="I143" s="153"/>
      <c r="J143" s="152"/>
      <c r="K143" s="154"/>
      <c r="L143" s="154"/>
      <c r="M143" s="152"/>
      <c r="N143" s="154"/>
      <c r="O143" s="152">
        <f t="shared" si="18"/>
        <v>114560.27186200945</v>
      </c>
      <c r="P143" s="152">
        <f t="shared" si="19"/>
        <v>114560.27186200942</v>
      </c>
    </row>
    <row r="144" spans="1:16" s="167" customFormat="1" hidden="1" x14ac:dyDescent="0.15">
      <c r="A144" s="154"/>
      <c r="B144" s="151"/>
      <c r="C144" s="152"/>
      <c r="D144" s="153"/>
      <c r="E144" s="154"/>
      <c r="F144" s="150"/>
      <c r="G144" s="151"/>
      <c r="H144" s="152"/>
      <c r="I144" s="153"/>
      <c r="J144" s="152"/>
      <c r="K144" s="154"/>
      <c r="L144" s="154"/>
      <c r="M144" s="152"/>
      <c r="N144" s="154"/>
      <c r="O144" s="152">
        <f t="shared" si="18"/>
        <v>114560.27186200945</v>
      </c>
      <c r="P144" s="152">
        <f t="shared" si="19"/>
        <v>114560.27186200942</v>
      </c>
    </row>
    <row r="145" spans="1:16" s="167" customFormat="1" hidden="1" x14ac:dyDescent="0.15">
      <c r="A145" s="154"/>
      <c r="B145" s="151"/>
      <c r="C145" s="152"/>
      <c r="D145" s="158"/>
      <c r="E145" s="154"/>
      <c r="F145" s="150"/>
      <c r="G145" s="151"/>
      <c r="H145" s="152"/>
      <c r="I145" s="158"/>
      <c r="J145" s="152"/>
      <c r="K145" s="159"/>
      <c r="L145" s="154"/>
      <c r="M145" s="152"/>
      <c r="N145" s="154"/>
      <c r="O145" s="152">
        <f t="shared" si="18"/>
        <v>114560.27186200945</v>
      </c>
      <c r="P145" s="152">
        <f t="shared" si="19"/>
        <v>114560.27186200942</v>
      </c>
    </row>
    <row r="146" spans="1:16" s="167" customFormat="1" hidden="1" x14ac:dyDescent="0.15">
      <c r="A146" s="154"/>
      <c r="B146" s="154"/>
      <c r="C146" s="152"/>
      <c r="D146" s="158"/>
      <c r="E146" s="154"/>
      <c r="F146" s="157"/>
      <c r="G146" s="163"/>
      <c r="H146" s="152"/>
      <c r="I146" s="158"/>
      <c r="J146" s="152"/>
      <c r="K146" s="154"/>
      <c r="L146" s="154"/>
      <c r="M146" s="152"/>
      <c r="N146" s="154"/>
      <c r="O146" s="152">
        <f t="shared" si="18"/>
        <v>114560.27186200945</v>
      </c>
      <c r="P146" s="152">
        <f t="shared" si="19"/>
        <v>114560.27186200942</v>
      </c>
    </row>
    <row r="147" spans="1:16" s="167" customFormat="1" hidden="1" x14ac:dyDescent="0.15">
      <c r="A147" s="154"/>
      <c r="B147" s="154"/>
      <c r="C147" s="152"/>
      <c r="D147" s="153"/>
      <c r="E147" s="154"/>
      <c r="F147" s="150"/>
      <c r="G147" s="151"/>
      <c r="H147" s="152"/>
      <c r="I147" s="158"/>
      <c r="J147" s="152"/>
      <c r="K147" s="154"/>
      <c r="L147" s="154"/>
      <c r="M147" s="152"/>
      <c r="N147" s="154"/>
      <c r="O147" s="152">
        <f t="shared" si="18"/>
        <v>114560.27186200945</v>
      </c>
      <c r="P147" s="152">
        <f t="shared" si="19"/>
        <v>114560.27186200942</v>
      </c>
    </row>
    <row r="148" spans="1:16" s="167" customFormat="1" hidden="1" x14ac:dyDescent="0.15">
      <c r="A148" s="154"/>
      <c r="B148" s="154"/>
      <c r="C148" s="152"/>
      <c r="D148" s="158"/>
      <c r="E148" s="154"/>
      <c r="F148" s="154"/>
      <c r="G148" s="163"/>
      <c r="H148" s="152"/>
      <c r="I148" s="158"/>
      <c r="J148" s="152"/>
      <c r="K148" s="154"/>
      <c r="L148" s="154"/>
      <c r="M148" s="152"/>
      <c r="N148" s="154"/>
      <c r="O148" s="152">
        <f t="shared" si="18"/>
        <v>114560.27186200945</v>
      </c>
      <c r="P148" s="152">
        <f t="shared" si="19"/>
        <v>114560.27186200942</v>
      </c>
    </row>
    <row r="149" spans="1:16" s="167" customFormat="1" hidden="1" x14ac:dyDescent="0.15">
      <c r="A149" s="154"/>
      <c r="B149" s="154"/>
      <c r="C149" s="152"/>
      <c r="D149" s="158"/>
      <c r="E149" s="154"/>
      <c r="F149" s="157"/>
      <c r="G149" s="163"/>
      <c r="H149" s="152"/>
      <c r="I149" s="158"/>
      <c r="J149" s="152"/>
      <c r="K149" s="154"/>
      <c r="L149" s="154"/>
      <c r="M149" s="152"/>
      <c r="N149" s="154"/>
      <c r="O149" s="152">
        <f t="shared" si="18"/>
        <v>114560.27186200945</v>
      </c>
      <c r="P149" s="152">
        <f t="shared" si="19"/>
        <v>114560.27186200942</v>
      </c>
    </row>
    <row r="150" spans="1:16" s="167" customFormat="1" hidden="1" x14ac:dyDescent="0.15">
      <c r="A150" s="154"/>
      <c r="B150" s="154"/>
      <c r="C150" s="152"/>
      <c r="D150" s="158"/>
      <c r="E150" s="154"/>
      <c r="F150" s="154"/>
      <c r="G150" s="151"/>
      <c r="H150" s="152"/>
      <c r="I150" s="158"/>
      <c r="J150" s="152"/>
      <c r="K150" s="154"/>
      <c r="L150" s="154"/>
      <c r="M150" s="152"/>
      <c r="N150" s="154"/>
      <c r="O150" s="152">
        <f t="shared" si="18"/>
        <v>114560.27186200945</v>
      </c>
      <c r="P150" s="152">
        <f t="shared" si="19"/>
        <v>114560.27186200942</v>
      </c>
    </row>
    <row r="151" spans="1:16" s="167" customFormat="1" hidden="1" x14ac:dyDescent="0.15">
      <c r="A151" s="154"/>
      <c r="B151" s="154"/>
      <c r="C151" s="152"/>
      <c r="D151" s="153"/>
      <c r="E151" s="154"/>
      <c r="F151" s="154"/>
      <c r="G151" s="151"/>
      <c r="H151" s="152"/>
      <c r="I151" s="158"/>
      <c r="J151" s="152"/>
      <c r="K151" s="154"/>
      <c r="L151" s="154"/>
      <c r="M151" s="152"/>
      <c r="N151" s="154"/>
      <c r="O151" s="152">
        <f t="shared" si="18"/>
        <v>114560.27186200945</v>
      </c>
      <c r="P151" s="152">
        <f t="shared" si="19"/>
        <v>114560.27186200942</v>
      </c>
    </row>
    <row r="152" spans="1:16" s="167" customFormat="1" hidden="1" x14ac:dyDescent="0.15">
      <c r="A152" s="154"/>
      <c r="B152" s="154"/>
      <c r="C152" s="152"/>
      <c r="D152" s="158"/>
      <c r="E152" s="154"/>
      <c r="F152" s="157"/>
      <c r="G152" s="168"/>
      <c r="H152" s="152"/>
      <c r="I152" s="158"/>
      <c r="J152" s="152"/>
      <c r="K152" s="154"/>
      <c r="L152" s="154"/>
      <c r="M152" s="152"/>
      <c r="N152" s="154"/>
      <c r="O152" s="152">
        <f t="shared" si="18"/>
        <v>114560.27186200945</v>
      </c>
      <c r="P152" s="152">
        <f t="shared" si="19"/>
        <v>114560.27186200942</v>
      </c>
    </row>
    <row r="153" spans="1:16" s="167" customFormat="1" hidden="1" x14ac:dyDescent="0.15">
      <c r="A153" s="154"/>
      <c r="B153" s="154"/>
      <c r="C153" s="152"/>
      <c r="D153" s="153"/>
      <c r="E153" s="154"/>
      <c r="F153" s="154"/>
      <c r="G153" s="151"/>
      <c r="H153" s="152"/>
      <c r="I153" s="158"/>
      <c r="J153" s="152"/>
      <c r="K153" s="159"/>
      <c r="L153" s="154"/>
      <c r="M153" s="152"/>
      <c r="N153" s="154"/>
      <c r="O153" s="152">
        <f t="shared" ref="O153:O216" si="20">+O152-J153-M153</f>
        <v>114560.27186200945</v>
      </c>
      <c r="P153" s="152">
        <f t="shared" ref="P153:P216" si="21">P152+H153-J153-M153</f>
        <v>114560.27186200942</v>
      </c>
    </row>
    <row r="154" spans="1:16" s="167" customFormat="1" hidden="1" x14ac:dyDescent="0.15">
      <c r="A154" s="154"/>
      <c r="B154" s="154"/>
      <c r="C154" s="152"/>
      <c r="D154" s="158"/>
      <c r="E154" s="154"/>
      <c r="F154" s="154"/>
      <c r="G154" s="151"/>
      <c r="H154" s="152"/>
      <c r="I154" s="158"/>
      <c r="J154" s="152"/>
      <c r="K154" s="154"/>
      <c r="L154" s="154"/>
      <c r="M154" s="152"/>
      <c r="N154" s="154"/>
      <c r="O154" s="152">
        <f t="shared" si="20"/>
        <v>114560.27186200945</v>
      </c>
      <c r="P154" s="152">
        <f t="shared" si="21"/>
        <v>114560.27186200942</v>
      </c>
    </row>
    <row r="155" spans="1:16" s="167" customFormat="1" hidden="1" x14ac:dyDescent="0.15">
      <c r="A155" s="154"/>
      <c r="B155" s="154"/>
      <c r="C155" s="152"/>
      <c r="D155" s="158"/>
      <c r="E155" s="154"/>
      <c r="F155" s="154"/>
      <c r="G155" s="151"/>
      <c r="H155" s="152"/>
      <c r="I155" s="158"/>
      <c r="J155" s="152"/>
      <c r="K155" s="154"/>
      <c r="L155" s="154"/>
      <c r="M155" s="152"/>
      <c r="N155" s="154"/>
      <c r="O155" s="152">
        <f t="shared" si="20"/>
        <v>114560.27186200945</v>
      </c>
      <c r="P155" s="152">
        <f t="shared" si="21"/>
        <v>114560.27186200942</v>
      </c>
    </row>
    <row r="156" spans="1:16" s="167" customFormat="1" hidden="1" x14ac:dyDescent="0.15">
      <c r="A156" s="154"/>
      <c r="B156" s="154"/>
      <c r="C156" s="152"/>
      <c r="D156" s="153"/>
      <c r="E156" s="154"/>
      <c r="F156" s="154"/>
      <c r="G156" s="151"/>
      <c r="H156" s="152"/>
      <c r="I156" s="158"/>
      <c r="J156" s="152"/>
      <c r="K156" s="159"/>
      <c r="L156" s="154"/>
      <c r="M156" s="152"/>
      <c r="N156" s="154"/>
      <c r="O156" s="152">
        <f t="shared" si="20"/>
        <v>114560.27186200945</v>
      </c>
      <c r="P156" s="152">
        <f t="shared" si="21"/>
        <v>114560.27186200942</v>
      </c>
    </row>
    <row r="157" spans="1:16" s="167" customFormat="1" hidden="1" x14ac:dyDescent="0.15">
      <c r="A157" s="154"/>
      <c r="B157" s="154"/>
      <c r="C157" s="152"/>
      <c r="D157" s="158"/>
      <c r="E157" s="154"/>
      <c r="F157" s="157"/>
      <c r="G157" s="163"/>
      <c r="H157" s="152"/>
      <c r="I157" s="158"/>
      <c r="J157" s="152"/>
      <c r="K157" s="154"/>
      <c r="L157" s="154"/>
      <c r="M157" s="152"/>
      <c r="N157" s="154"/>
      <c r="O157" s="152">
        <f t="shared" si="20"/>
        <v>114560.27186200945</v>
      </c>
      <c r="P157" s="152">
        <f t="shared" si="21"/>
        <v>114560.27186200942</v>
      </c>
    </row>
    <row r="158" spans="1:16" s="167" customFormat="1" hidden="1" x14ac:dyDescent="0.15">
      <c r="A158" s="154"/>
      <c r="B158" s="154"/>
      <c r="C158" s="152"/>
      <c r="D158" s="158"/>
      <c r="E158" s="154"/>
      <c r="F158" s="154"/>
      <c r="G158" s="151"/>
      <c r="H158" s="152"/>
      <c r="I158" s="158"/>
      <c r="J158" s="152"/>
      <c r="K158" s="150"/>
      <c r="L158" s="154"/>
      <c r="M158" s="152"/>
      <c r="N158" s="154"/>
      <c r="O158" s="152">
        <f t="shared" si="20"/>
        <v>114560.27186200945</v>
      </c>
      <c r="P158" s="152">
        <f t="shared" si="21"/>
        <v>114560.27186200942</v>
      </c>
    </row>
    <row r="159" spans="1:16" s="167" customFormat="1" hidden="1" x14ac:dyDescent="0.15">
      <c r="A159" s="154"/>
      <c r="B159" s="154"/>
      <c r="C159" s="152"/>
      <c r="D159" s="158"/>
      <c r="E159" s="154"/>
      <c r="F159" s="154"/>
      <c r="G159" s="151"/>
      <c r="H159" s="152"/>
      <c r="I159" s="158"/>
      <c r="J159" s="152"/>
      <c r="K159" s="150"/>
      <c r="L159" s="154"/>
      <c r="M159" s="152"/>
      <c r="N159" s="154"/>
      <c r="O159" s="152">
        <f t="shared" si="20"/>
        <v>114560.27186200945</v>
      </c>
      <c r="P159" s="152">
        <f t="shared" si="21"/>
        <v>114560.27186200942</v>
      </c>
    </row>
    <row r="160" spans="1:16" s="167" customFormat="1" hidden="1" x14ac:dyDescent="0.15">
      <c r="A160" s="154"/>
      <c r="B160" s="154"/>
      <c r="C160" s="152"/>
      <c r="D160" s="158"/>
      <c r="E160" s="154"/>
      <c r="F160" s="154"/>
      <c r="G160" s="151"/>
      <c r="H160" s="152"/>
      <c r="I160" s="158"/>
      <c r="J160" s="152"/>
      <c r="K160" s="154"/>
      <c r="L160" s="154"/>
      <c r="M160" s="152"/>
      <c r="N160" s="154"/>
      <c r="O160" s="152">
        <f t="shared" si="20"/>
        <v>114560.27186200945</v>
      </c>
      <c r="P160" s="152">
        <f t="shared" si="21"/>
        <v>114560.27186200942</v>
      </c>
    </row>
    <row r="161" spans="1:16" s="167" customFormat="1" hidden="1" x14ac:dyDescent="0.15">
      <c r="A161" s="154"/>
      <c r="B161" s="154"/>
      <c r="C161" s="152"/>
      <c r="D161" s="158"/>
      <c r="E161" s="154"/>
      <c r="F161" s="150"/>
      <c r="G161" s="151"/>
      <c r="H161" s="152"/>
      <c r="I161" s="158"/>
      <c r="J161" s="152"/>
      <c r="K161" s="154"/>
      <c r="L161" s="154"/>
      <c r="M161" s="152"/>
      <c r="N161" s="154"/>
      <c r="O161" s="152">
        <f t="shared" si="20"/>
        <v>114560.27186200945</v>
      </c>
      <c r="P161" s="152">
        <f t="shared" si="21"/>
        <v>114560.27186200942</v>
      </c>
    </row>
    <row r="162" spans="1:16" s="167" customFormat="1" hidden="1" x14ac:dyDescent="0.15">
      <c r="A162" s="154"/>
      <c r="B162" s="154"/>
      <c r="C162" s="152"/>
      <c r="D162" s="153"/>
      <c r="E162" s="154"/>
      <c r="F162" s="150"/>
      <c r="G162" s="151"/>
      <c r="H162" s="152"/>
      <c r="I162" s="158"/>
      <c r="J162" s="152"/>
      <c r="K162" s="154"/>
      <c r="L162" s="154"/>
      <c r="M162" s="152"/>
      <c r="N162" s="154"/>
      <c r="O162" s="152">
        <f t="shared" si="20"/>
        <v>114560.27186200945</v>
      </c>
      <c r="P162" s="152">
        <f t="shared" si="21"/>
        <v>114560.27186200942</v>
      </c>
    </row>
    <row r="163" spans="1:16" s="167" customFormat="1" hidden="1" x14ac:dyDescent="0.15">
      <c r="A163" s="154"/>
      <c r="B163" s="154"/>
      <c r="C163" s="152"/>
      <c r="D163" s="158"/>
      <c r="E163" s="154"/>
      <c r="F163" s="157"/>
      <c r="G163" s="151"/>
      <c r="H163" s="152"/>
      <c r="I163" s="158"/>
      <c r="J163" s="152"/>
      <c r="K163" s="154"/>
      <c r="L163" s="154"/>
      <c r="M163" s="152"/>
      <c r="N163" s="154"/>
      <c r="O163" s="152">
        <f t="shared" si="20"/>
        <v>114560.27186200945</v>
      </c>
      <c r="P163" s="152">
        <f t="shared" si="21"/>
        <v>114560.27186200942</v>
      </c>
    </row>
    <row r="164" spans="1:16" s="167" customFormat="1" hidden="1" x14ac:dyDescent="0.15">
      <c r="A164" s="154"/>
      <c r="B164" s="154"/>
      <c r="C164" s="152"/>
      <c r="D164" s="158"/>
      <c r="E164" s="154"/>
      <c r="F164" s="154"/>
      <c r="G164" s="151"/>
      <c r="H164" s="152"/>
      <c r="I164" s="158"/>
      <c r="J164" s="152"/>
      <c r="K164" s="154"/>
      <c r="L164" s="154"/>
      <c r="M164" s="152"/>
      <c r="N164" s="154"/>
      <c r="O164" s="152">
        <f t="shared" si="20"/>
        <v>114560.27186200945</v>
      </c>
      <c r="P164" s="152">
        <f t="shared" si="21"/>
        <v>114560.27186200942</v>
      </c>
    </row>
    <row r="165" spans="1:16" s="167" customFormat="1" hidden="1" x14ac:dyDescent="0.15">
      <c r="A165" s="154"/>
      <c r="B165" s="154"/>
      <c r="C165" s="152"/>
      <c r="D165" s="153"/>
      <c r="E165" s="154"/>
      <c r="F165" s="154"/>
      <c r="G165" s="151"/>
      <c r="H165" s="152"/>
      <c r="I165" s="158"/>
      <c r="J165" s="152"/>
      <c r="K165" s="154"/>
      <c r="L165" s="154"/>
      <c r="M165" s="152"/>
      <c r="N165" s="154"/>
      <c r="O165" s="152">
        <f t="shared" si="20"/>
        <v>114560.27186200945</v>
      </c>
      <c r="P165" s="152">
        <f t="shared" si="21"/>
        <v>114560.27186200942</v>
      </c>
    </row>
    <row r="166" spans="1:16" s="167" customFormat="1" hidden="1" x14ac:dyDescent="0.15">
      <c r="A166" s="154"/>
      <c r="B166" s="154"/>
      <c r="C166" s="152"/>
      <c r="D166" s="153"/>
      <c r="E166" s="154"/>
      <c r="F166" s="157"/>
      <c r="G166" s="168"/>
      <c r="H166" s="152"/>
      <c r="I166" s="158"/>
      <c r="J166" s="152"/>
      <c r="K166" s="154"/>
      <c r="L166" s="154"/>
      <c r="M166" s="152"/>
      <c r="N166" s="154"/>
      <c r="O166" s="152">
        <f t="shared" si="20"/>
        <v>114560.27186200945</v>
      </c>
      <c r="P166" s="152">
        <f t="shared" si="21"/>
        <v>114560.27186200942</v>
      </c>
    </row>
    <row r="167" spans="1:16" s="167" customFormat="1" hidden="1" x14ac:dyDescent="0.15">
      <c r="A167" s="154"/>
      <c r="B167" s="154"/>
      <c r="C167" s="152"/>
      <c r="D167" s="153"/>
      <c r="E167" s="154"/>
      <c r="F167" s="157"/>
      <c r="G167" s="168"/>
      <c r="H167" s="152"/>
      <c r="I167" s="153"/>
      <c r="J167" s="152"/>
      <c r="K167" s="154"/>
      <c r="L167" s="154"/>
      <c r="M167" s="152"/>
      <c r="N167" s="154"/>
      <c r="O167" s="152">
        <f t="shared" si="20"/>
        <v>114560.27186200945</v>
      </c>
      <c r="P167" s="152">
        <f t="shared" si="21"/>
        <v>114560.27186200942</v>
      </c>
    </row>
    <row r="168" spans="1:16" hidden="1" x14ac:dyDescent="0.15">
      <c r="A168" s="154"/>
      <c r="B168" s="154"/>
      <c r="C168" s="152"/>
      <c r="D168" s="158"/>
      <c r="E168" s="154"/>
      <c r="F168" s="150"/>
      <c r="G168" s="151"/>
      <c r="H168" s="152"/>
      <c r="I168" s="158"/>
      <c r="J168" s="152"/>
      <c r="K168" s="154"/>
      <c r="L168" s="154"/>
      <c r="M168" s="152"/>
      <c r="N168" s="154"/>
      <c r="O168" s="152">
        <f t="shared" si="20"/>
        <v>114560.27186200945</v>
      </c>
      <c r="P168" s="152">
        <f t="shared" si="21"/>
        <v>114560.27186200942</v>
      </c>
    </row>
    <row r="169" spans="1:16" hidden="1" x14ac:dyDescent="0.15">
      <c r="A169" s="154"/>
      <c r="B169" s="154"/>
      <c r="C169" s="152"/>
      <c r="D169" s="158"/>
      <c r="E169" s="154"/>
      <c r="F169" s="150"/>
      <c r="G169" s="151"/>
      <c r="H169" s="152"/>
      <c r="I169" s="158"/>
      <c r="J169" s="152"/>
      <c r="K169" s="154"/>
      <c r="L169" s="154"/>
      <c r="M169" s="152"/>
      <c r="N169" s="154"/>
      <c r="O169" s="152">
        <f t="shared" si="20"/>
        <v>114560.27186200945</v>
      </c>
      <c r="P169" s="152">
        <f t="shared" si="21"/>
        <v>114560.27186200942</v>
      </c>
    </row>
    <row r="170" spans="1:16" hidden="1" x14ac:dyDescent="0.15">
      <c r="A170" s="154"/>
      <c r="B170" s="154"/>
      <c r="C170" s="152"/>
      <c r="D170" s="158"/>
      <c r="E170" s="154"/>
      <c r="F170" s="157"/>
      <c r="G170" s="151"/>
      <c r="H170" s="152"/>
      <c r="I170" s="158"/>
      <c r="J170" s="152"/>
      <c r="K170" s="154"/>
      <c r="L170" s="154"/>
      <c r="M170" s="152"/>
      <c r="N170" s="154"/>
      <c r="O170" s="152">
        <f t="shared" si="20"/>
        <v>114560.27186200945</v>
      </c>
      <c r="P170" s="152">
        <f t="shared" si="21"/>
        <v>114560.27186200942</v>
      </c>
    </row>
    <row r="171" spans="1:16" hidden="1" x14ac:dyDescent="0.15">
      <c r="A171" s="154"/>
      <c r="B171" s="154"/>
      <c r="C171" s="152"/>
      <c r="D171" s="153"/>
      <c r="E171" s="154"/>
      <c r="F171" s="154"/>
      <c r="G171" s="163"/>
      <c r="H171" s="152"/>
      <c r="I171" s="158"/>
      <c r="J171" s="152"/>
      <c r="K171" s="154"/>
      <c r="L171" s="154"/>
      <c r="M171" s="152"/>
      <c r="N171" s="154"/>
      <c r="O171" s="152">
        <f t="shared" si="20"/>
        <v>114560.27186200945</v>
      </c>
      <c r="P171" s="152">
        <f t="shared" si="21"/>
        <v>114560.27186200942</v>
      </c>
    </row>
    <row r="172" spans="1:16" hidden="1" x14ac:dyDescent="0.15">
      <c r="A172" s="154"/>
      <c r="B172" s="154"/>
      <c r="C172" s="152"/>
      <c r="D172" s="158"/>
      <c r="E172" s="154"/>
      <c r="F172" s="154"/>
      <c r="G172" s="163"/>
      <c r="H172" s="152"/>
      <c r="I172" s="158"/>
      <c r="J172" s="152"/>
      <c r="K172" s="154"/>
      <c r="L172" s="154"/>
      <c r="M172" s="152"/>
      <c r="N172" s="154"/>
      <c r="O172" s="152">
        <f t="shared" si="20"/>
        <v>114560.27186200945</v>
      </c>
      <c r="P172" s="152">
        <f t="shared" si="21"/>
        <v>114560.27186200942</v>
      </c>
    </row>
    <row r="173" spans="1:16" hidden="1" x14ac:dyDescent="0.15">
      <c r="A173" s="154"/>
      <c r="B173" s="154"/>
      <c r="C173" s="152"/>
      <c r="D173" s="153"/>
      <c r="E173" s="154"/>
      <c r="F173" s="157"/>
      <c r="G173" s="151"/>
      <c r="H173" s="152"/>
      <c r="I173" s="158"/>
      <c r="J173" s="152"/>
      <c r="K173" s="154"/>
      <c r="L173" s="154"/>
      <c r="M173" s="152"/>
      <c r="N173" s="154"/>
      <c r="O173" s="152">
        <f t="shared" si="20"/>
        <v>114560.27186200945</v>
      </c>
      <c r="P173" s="152">
        <f t="shared" si="21"/>
        <v>114560.27186200942</v>
      </c>
    </row>
    <row r="174" spans="1:16" hidden="1" x14ac:dyDescent="0.15">
      <c r="A174" s="154"/>
      <c r="B174" s="154"/>
      <c r="C174" s="152"/>
      <c r="D174" s="158"/>
      <c r="E174" s="154"/>
      <c r="F174" s="154"/>
      <c r="G174" s="163"/>
      <c r="H174" s="152"/>
      <c r="I174" s="158"/>
      <c r="J174" s="152"/>
      <c r="K174" s="164"/>
      <c r="L174" s="154"/>
      <c r="M174" s="152"/>
      <c r="N174" s="154"/>
      <c r="O174" s="152">
        <f t="shared" si="20"/>
        <v>114560.27186200945</v>
      </c>
      <c r="P174" s="152">
        <f t="shared" si="21"/>
        <v>114560.27186200942</v>
      </c>
    </row>
    <row r="175" spans="1:16" hidden="1" x14ac:dyDescent="0.15">
      <c r="A175" s="154"/>
      <c r="B175" s="154"/>
      <c r="C175" s="152"/>
      <c r="D175" s="153"/>
      <c r="E175" s="154"/>
      <c r="F175" s="154"/>
      <c r="G175" s="169"/>
      <c r="H175" s="152"/>
      <c r="I175" s="158"/>
      <c r="J175" s="152"/>
      <c r="K175" s="154"/>
      <c r="L175" s="154"/>
      <c r="M175" s="152"/>
      <c r="N175" s="154"/>
      <c r="O175" s="152">
        <f t="shared" si="20"/>
        <v>114560.27186200945</v>
      </c>
      <c r="P175" s="152">
        <f t="shared" si="21"/>
        <v>114560.27186200942</v>
      </c>
    </row>
    <row r="176" spans="1:16" hidden="1" x14ac:dyDescent="0.15">
      <c r="A176" s="154"/>
      <c r="B176" s="154"/>
      <c r="C176" s="152"/>
      <c r="D176" s="158"/>
      <c r="E176" s="154"/>
      <c r="F176" s="157"/>
      <c r="G176" s="168"/>
      <c r="H176" s="152"/>
      <c r="I176" s="158"/>
      <c r="J176" s="152"/>
      <c r="K176" s="154"/>
      <c r="L176" s="154"/>
      <c r="M176" s="152"/>
      <c r="N176" s="154"/>
      <c r="O176" s="152">
        <f t="shared" si="20"/>
        <v>114560.27186200945</v>
      </c>
      <c r="P176" s="152">
        <f t="shared" si="21"/>
        <v>114560.27186200942</v>
      </c>
    </row>
    <row r="177" spans="1:16" hidden="1" x14ac:dyDescent="0.15">
      <c r="A177" s="154"/>
      <c r="B177" s="154"/>
      <c r="C177" s="152"/>
      <c r="D177" s="158"/>
      <c r="E177" s="154"/>
      <c r="F177" s="154"/>
      <c r="G177" s="163"/>
      <c r="H177" s="152"/>
      <c r="I177" s="158"/>
      <c r="J177" s="152"/>
      <c r="K177" s="154"/>
      <c r="L177" s="154"/>
      <c r="M177" s="152"/>
      <c r="N177" s="154"/>
      <c r="O177" s="152">
        <f t="shared" si="20"/>
        <v>114560.27186200945</v>
      </c>
      <c r="P177" s="152">
        <f t="shared" si="21"/>
        <v>114560.27186200942</v>
      </c>
    </row>
    <row r="178" spans="1:16" hidden="1" x14ac:dyDescent="0.15">
      <c r="A178" s="154"/>
      <c r="B178" s="154"/>
      <c r="C178" s="152"/>
      <c r="D178" s="158"/>
      <c r="E178" s="154"/>
      <c r="F178" s="154"/>
      <c r="G178" s="163"/>
      <c r="H178" s="152"/>
      <c r="I178" s="158"/>
      <c r="J178" s="152"/>
      <c r="K178" s="154"/>
      <c r="L178" s="154"/>
      <c r="M178" s="152"/>
      <c r="N178" s="154"/>
      <c r="O178" s="152">
        <f t="shared" si="20"/>
        <v>114560.27186200945</v>
      </c>
      <c r="P178" s="152">
        <f t="shared" si="21"/>
        <v>114560.27186200942</v>
      </c>
    </row>
    <row r="179" spans="1:16" hidden="1" x14ac:dyDescent="0.15">
      <c r="A179" s="154"/>
      <c r="B179" s="154"/>
      <c r="C179" s="152"/>
      <c r="D179" s="158"/>
      <c r="E179" s="154"/>
      <c r="F179" s="157"/>
      <c r="G179" s="151"/>
      <c r="H179" s="152"/>
      <c r="I179" s="158"/>
      <c r="J179" s="152"/>
      <c r="K179" s="154"/>
      <c r="L179" s="154"/>
      <c r="M179" s="152"/>
      <c r="N179" s="154"/>
      <c r="O179" s="152">
        <f t="shared" si="20"/>
        <v>114560.27186200945</v>
      </c>
      <c r="P179" s="152">
        <f t="shared" si="21"/>
        <v>114560.27186200942</v>
      </c>
    </row>
    <row r="180" spans="1:16" hidden="1" x14ac:dyDescent="0.15">
      <c r="A180" s="154"/>
      <c r="B180" s="154"/>
      <c r="C180" s="152"/>
      <c r="D180" s="153"/>
      <c r="E180" s="154"/>
      <c r="F180" s="154"/>
      <c r="G180" s="163"/>
      <c r="H180" s="152"/>
      <c r="I180" s="158"/>
      <c r="J180" s="152"/>
      <c r="K180" s="154"/>
      <c r="L180" s="154"/>
      <c r="M180" s="152"/>
      <c r="N180" s="154"/>
      <c r="O180" s="152">
        <f t="shared" si="20"/>
        <v>114560.27186200945</v>
      </c>
      <c r="P180" s="152">
        <f t="shared" si="21"/>
        <v>114560.27186200942</v>
      </c>
    </row>
    <row r="181" spans="1:16" hidden="1" x14ac:dyDescent="0.15">
      <c r="A181" s="154"/>
      <c r="B181" s="154"/>
      <c r="C181" s="152"/>
      <c r="D181" s="158"/>
      <c r="E181" s="154"/>
      <c r="F181" s="154"/>
      <c r="G181" s="163"/>
      <c r="H181" s="152"/>
      <c r="I181" s="158"/>
      <c r="J181" s="152"/>
      <c r="K181" s="164"/>
      <c r="L181" s="154"/>
      <c r="M181" s="152"/>
      <c r="N181" s="154"/>
      <c r="O181" s="152">
        <f t="shared" si="20"/>
        <v>114560.27186200945</v>
      </c>
      <c r="P181" s="152">
        <f t="shared" si="21"/>
        <v>114560.27186200942</v>
      </c>
    </row>
    <row r="182" spans="1:16" hidden="1" x14ac:dyDescent="0.15">
      <c r="A182" s="154"/>
      <c r="B182" s="154"/>
      <c r="C182" s="152"/>
      <c r="D182" s="158"/>
      <c r="E182" s="154"/>
      <c r="F182" s="154"/>
      <c r="G182" s="163"/>
      <c r="H182" s="152"/>
      <c r="I182" s="158"/>
      <c r="J182" s="152"/>
      <c r="K182" s="164"/>
      <c r="L182" s="154"/>
      <c r="M182" s="152"/>
      <c r="N182" s="154"/>
      <c r="O182" s="152">
        <f t="shared" si="20"/>
        <v>114560.27186200945</v>
      </c>
      <c r="P182" s="152">
        <f t="shared" si="21"/>
        <v>114560.27186200942</v>
      </c>
    </row>
    <row r="183" spans="1:16" hidden="1" x14ac:dyDescent="0.15">
      <c r="A183" s="154"/>
      <c r="B183" s="154"/>
      <c r="C183" s="152"/>
      <c r="D183" s="153"/>
      <c r="E183" s="154"/>
      <c r="F183" s="150"/>
      <c r="G183" s="151"/>
      <c r="H183" s="152"/>
      <c r="I183" s="158"/>
      <c r="J183" s="152"/>
      <c r="K183" s="154"/>
      <c r="L183" s="154"/>
      <c r="M183" s="152"/>
      <c r="N183" s="154"/>
      <c r="O183" s="152">
        <f t="shared" si="20"/>
        <v>114560.27186200945</v>
      </c>
      <c r="P183" s="152">
        <f t="shared" si="21"/>
        <v>114560.27186200942</v>
      </c>
    </row>
    <row r="184" spans="1:16" hidden="1" x14ac:dyDescent="0.15">
      <c r="A184" s="154"/>
      <c r="B184" s="154"/>
      <c r="C184" s="152"/>
      <c r="D184" s="158"/>
      <c r="E184" s="154"/>
      <c r="F184" s="150"/>
      <c r="G184" s="151"/>
      <c r="H184" s="152"/>
      <c r="I184" s="158"/>
      <c r="J184" s="152"/>
      <c r="K184" s="154"/>
      <c r="L184" s="154"/>
      <c r="M184" s="152"/>
      <c r="N184" s="154"/>
      <c r="O184" s="152">
        <f t="shared" si="20"/>
        <v>114560.27186200945</v>
      </c>
      <c r="P184" s="152">
        <f t="shared" si="21"/>
        <v>114560.27186200942</v>
      </c>
    </row>
    <row r="185" spans="1:16" hidden="1" x14ac:dyDescent="0.15">
      <c r="A185" s="154"/>
      <c r="B185" s="154"/>
      <c r="C185" s="152"/>
      <c r="D185" s="158"/>
      <c r="E185" s="154"/>
      <c r="F185" s="150"/>
      <c r="G185" s="151"/>
      <c r="H185" s="152"/>
      <c r="I185" s="158"/>
      <c r="J185" s="152"/>
      <c r="K185" s="154"/>
      <c r="L185" s="154"/>
      <c r="M185" s="152"/>
      <c r="N185" s="154"/>
      <c r="O185" s="152">
        <f t="shared" si="20"/>
        <v>114560.27186200945</v>
      </c>
      <c r="P185" s="152">
        <f t="shared" si="21"/>
        <v>114560.27186200942</v>
      </c>
    </row>
    <row r="186" spans="1:16" hidden="1" x14ac:dyDescent="0.15">
      <c r="A186" s="154"/>
      <c r="B186" s="154"/>
      <c r="C186" s="152"/>
      <c r="D186" s="158"/>
      <c r="E186" s="154"/>
      <c r="F186" s="150"/>
      <c r="G186" s="151"/>
      <c r="H186" s="152"/>
      <c r="I186" s="158"/>
      <c r="J186" s="152"/>
      <c r="K186" s="154"/>
      <c r="L186" s="154"/>
      <c r="M186" s="152"/>
      <c r="N186" s="154"/>
      <c r="O186" s="152">
        <f t="shared" si="20"/>
        <v>114560.27186200945</v>
      </c>
      <c r="P186" s="152">
        <f t="shared" si="21"/>
        <v>114560.27186200942</v>
      </c>
    </row>
    <row r="187" spans="1:16" hidden="1" x14ac:dyDescent="0.15">
      <c r="A187" s="154"/>
      <c r="B187" s="154"/>
      <c r="C187" s="152"/>
      <c r="D187" s="158"/>
      <c r="E187" s="154"/>
      <c r="F187" s="150"/>
      <c r="G187" s="151"/>
      <c r="H187" s="152"/>
      <c r="I187" s="153"/>
      <c r="J187" s="152"/>
      <c r="K187" s="154"/>
      <c r="L187" s="154"/>
      <c r="M187" s="152"/>
      <c r="N187" s="154"/>
      <c r="O187" s="152">
        <f t="shared" si="20"/>
        <v>114560.27186200945</v>
      </c>
      <c r="P187" s="152">
        <f t="shared" si="21"/>
        <v>114560.27186200942</v>
      </c>
    </row>
    <row r="188" spans="1:16" hidden="1" x14ac:dyDescent="0.15">
      <c r="A188" s="154"/>
      <c r="B188" s="154"/>
      <c r="C188" s="152"/>
      <c r="D188" s="158"/>
      <c r="E188" s="154"/>
      <c r="F188" s="150"/>
      <c r="G188" s="151"/>
      <c r="H188" s="152"/>
      <c r="I188" s="158"/>
      <c r="J188" s="152"/>
      <c r="K188" s="154"/>
      <c r="L188" s="154"/>
      <c r="M188" s="152"/>
      <c r="N188" s="154"/>
      <c r="O188" s="152">
        <f t="shared" si="20"/>
        <v>114560.27186200945</v>
      </c>
      <c r="P188" s="152">
        <f t="shared" si="21"/>
        <v>114560.27186200942</v>
      </c>
    </row>
    <row r="189" spans="1:16" hidden="1" x14ac:dyDescent="0.15">
      <c r="A189" s="154"/>
      <c r="B189" s="154"/>
      <c r="C189" s="152"/>
      <c r="D189" s="158"/>
      <c r="E189" s="154"/>
      <c r="F189" s="170"/>
      <c r="G189" s="151"/>
      <c r="H189" s="152"/>
      <c r="I189" s="158"/>
      <c r="J189" s="152"/>
      <c r="K189" s="154"/>
      <c r="L189" s="154"/>
      <c r="M189" s="152"/>
      <c r="N189" s="154"/>
      <c r="O189" s="152">
        <f t="shared" si="20"/>
        <v>114560.27186200945</v>
      </c>
      <c r="P189" s="152">
        <f t="shared" si="21"/>
        <v>114560.27186200942</v>
      </c>
    </row>
    <row r="190" spans="1:16" hidden="1" x14ac:dyDescent="0.15">
      <c r="A190" s="154"/>
      <c r="B190" s="154"/>
      <c r="C190" s="152"/>
      <c r="D190" s="158"/>
      <c r="E190" s="154"/>
      <c r="F190" s="170"/>
      <c r="G190" s="151"/>
      <c r="H190" s="152"/>
      <c r="I190" s="153"/>
      <c r="J190" s="152"/>
      <c r="K190" s="154"/>
      <c r="L190" s="154"/>
      <c r="M190" s="152"/>
      <c r="N190" s="154"/>
      <c r="O190" s="152">
        <f t="shared" si="20"/>
        <v>114560.27186200945</v>
      </c>
      <c r="P190" s="152">
        <f t="shared" si="21"/>
        <v>114560.27186200942</v>
      </c>
    </row>
    <row r="191" spans="1:16" hidden="1" x14ac:dyDescent="0.15">
      <c r="A191" s="154"/>
      <c r="B191" s="154"/>
      <c r="C191" s="152"/>
      <c r="D191" s="158"/>
      <c r="E191" s="154"/>
      <c r="F191" s="150"/>
      <c r="G191" s="151"/>
      <c r="H191" s="152"/>
      <c r="I191" s="158"/>
      <c r="J191" s="152"/>
      <c r="K191" s="154"/>
      <c r="L191" s="154"/>
      <c r="M191" s="152"/>
      <c r="N191" s="154"/>
      <c r="O191" s="152">
        <f t="shared" si="20"/>
        <v>114560.27186200945</v>
      </c>
      <c r="P191" s="152">
        <f t="shared" si="21"/>
        <v>114560.27186200942</v>
      </c>
    </row>
    <row r="192" spans="1:16" hidden="1" x14ac:dyDescent="0.15">
      <c r="A192" s="154"/>
      <c r="B192" s="154"/>
      <c r="C192" s="152"/>
      <c r="D192" s="153"/>
      <c r="E192" s="154"/>
      <c r="F192" s="157"/>
      <c r="G192" s="168"/>
      <c r="H192" s="152"/>
      <c r="I192" s="158"/>
      <c r="J192" s="152"/>
      <c r="K192" s="154"/>
      <c r="L192" s="154"/>
      <c r="M192" s="152"/>
      <c r="N192" s="154"/>
      <c r="O192" s="152">
        <f t="shared" si="20"/>
        <v>114560.27186200945</v>
      </c>
      <c r="P192" s="152">
        <f t="shared" si="21"/>
        <v>114560.27186200942</v>
      </c>
    </row>
    <row r="193" spans="1:16" hidden="1" x14ac:dyDescent="0.15">
      <c r="A193" s="154"/>
      <c r="B193" s="154"/>
      <c r="C193" s="152"/>
      <c r="D193" s="158"/>
      <c r="E193" s="154"/>
      <c r="F193" s="157"/>
      <c r="G193" s="168"/>
      <c r="H193" s="152"/>
      <c r="I193" s="158"/>
      <c r="J193" s="152"/>
      <c r="K193" s="154"/>
      <c r="L193" s="154"/>
      <c r="M193" s="152"/>
      <c r="N193" s="154"/>
      <c r="O193" s="152">
        <f t="shared" si="20"/>
        <v>114560.27186200945</v>
      </c>
      <c r="P193" s="152">
        <f t="shared" si="21"/>
        <v>114560.27186200942</v>
      </c>
    </row>
    <row r="194" spans="1:16" hidden="1" x14ac:dyDescent="0.15">
      <c r="A194" s="154"/>
      <c r="B194" s="154"/>
      <c r="C194" s="152"/>
      <c r="D194" s="158"/>
      <c r="E194" s="154"/>
      <c r="F194" s="157"/>
      <c r="G194" s="168"/>
      <c r="H194" s="152"/>
      <c r="I194" s="158"/>
      <c r="J194" s="152"/>
      <c r="K194" s="154"/>
      <c r="L194" s="154"/>
      <c r="M194" s="152"/>
      <c r="N194" s="154"/>
      <c r="O194" s="152">
        <f t="shared" si="20"/>
        <v>114560.27186200945</v>
      </c>
      <c r="P194" s="152">
        <f t="shared" si="21"/>
        <v>114560.27186200942</v>
      </c>
    </row>
    <row r="195" spans="1:16" hidden="1" x14ac:dyDescent="0.15">
      <c r="A195" s="154"/>
      <c r="B195" s="154"/>
      <c r="C195" s="152"/>
      <c r="D195" s="158"/>
      <c r="E195" s="154"/>
      <c r="F195" s="157"/>
      <c r="G195" s="168"/>
      <c r="H195" s="152"/>
      <c r="I195" s="158"/>
      <c r="J195" s="152"/>
      <c r="K195" s="154"/>
      <c r="L195" s="154"/>
      <c r="M195" s="152"/>
      <c r="N195" s="154"/>
      <c r="O195" s="152">
        <f t="shared" si="20"/>
        <v>114560.27186200945</v>
      </c>
      <c r="P195" s="152">
        <f t="shared" si="21"/>
        <v>114560.27186200942</v>
      </c>
    </row>
    <row r="196" spans="1:16" hidden="1" x14ac:dyDescent="0.15">
      <c r="A196" s="154"/>
      <c r="B196" s="154"/>
      <c r="C196" s="152"/>
      <c r="D196" s="158"/>
      <c r="E196" s="154"/>
      <c r="F196" s="154"/>
      <c r="G196" s="163"/>
      <c r="H196" s="152"/>
      <c r="I196" s="158"/>
      <c r="J196" s="152"/>
      <c r="K196" s="150"/>
      <c r="L196" s="154"/>
      <c r="M196" s="152"/>
      <c r="N196" s="154"/>
      <c r="O196" s="152">
        <f t="shared" si="20"/>
        <v>114560.27186200945</v>
      </c>
      <c r="P196" s="152">
        <f t="shared" si="21"/>
        <v>114560.27186200942</v>
      </c>
    </row>
    <row r="197" spans="1:16" hidden="1" x14ac:dyDescent="0.15">
      <c r="A197" s="154"/>
      <c r="B197" s="154"/>
      <c r="C197" s="152"/>
      <c r="D197" s="158"/>
      <c r="E197" s="154"/>
      <c r="F197" s="170"/>
      <c r="G197" s="171"/>
      <c r="H197" s="152"/>
      <c r="I197" s="158"/>
      <c r="J197" s="152"/>
      <c r="K197" s="154"/>
      <c r="L197" s="154"/>
      <c r="M197" s="152"/>
      <c r="N197" s="154"/>
      <c r="O197" s="152">
        <f t="shared" si="20"/>
        <v>114560.27186200945</v>
      </c>
      <c r="P197" s="152">
        <f t="shared" si="21"/>
        <v>114560.27186200942</v>
      </c>
    </row>
    <row r="198" spans="1:16" hidden="1" x14ac:dyDescent="0.15">
      <c r="A198" s="154"/>
      <c r="B198" s="154"/>
      <c r="C198" s="152"/>
      <c r="D198" s="158"/>
      <c r="E198" s="154"/>
      <c r="F198" s="154"/>
      <c r="G198" s="163"/>
      <c r="H198" s="152"/>
      <c r="I198" s="158"/>
      <c r="J198" s="152"/>
      <c r="K198" s="154"/>
      <c r="L198" s="154"/>
      <c r="M198" s="152"/>
      <c r="N198" s="154"/>
      <c r="O198" s="152">
        <f t="shared" si="20"/>
        <v>114560.27186200945</v>
      </c>
      <c r="P198" s="152">
        <f t="shared" si="21"/>
        <v>114560.27186200942</v>
      </c>
    </row>
    <row r="199" spans="1:16" hidden="1" x14ac:dyDescent="0.15">
      <c r="A199" s="154"/>
      <c r="B199" s="154"/>
      <c r="C199" s="152"/>
      <c r="D199" s="158"/>
      <c r="E199" s="154"/>
      <c r="F199" s="154"/>
      <c r="G199" s="163"/>
      <c r="H199" s="152"/>
      <c r="I199" s="158"/>
      <c r="J199" s="152"/>
      <c r="K199" s="154"/>
      <c r="L199" s="154"/>
      <c r="M199" s="152"/>
      <c r="N199" s="154"/>
      <c r="O199" s="152">
        <f t="shared" si="20"/>
        <v>114560.27186200945</v>
      </c>
      <c r="P199" s="152">
        <f t="shared" si="21"/>
        <v>114560.27186200942</v>
      </c>
    </row>
    <row r="200" spans="1:16" hidden="1" x14ac:dyDescent="0.15">
      <c r="A200" s="154"/>
      <c r="B200" s="154"/>
      <c r="C200" s="152"/>
      <c r="D200" s="158"/>
      <c r="E200" s="154"/>
      <c r="F200" s="154"/>
      <c r="G200" s="163"/>
      <c r="H200" s="152"/>
      <c r="I200" s="158"/>
      <c r="J200" s="152"/>
      <c r="K200" s="154"/>
      <c r="L200" s="154"/>
      <c r="M200" s="152"/>
      <c r="N200" s="154"/>
      <c r="O200" s="152">
        <f t="shared" si="20"/>
        <v>114560.27186200945</v>
      </c>
      <c r="P200" s="152">
        <f t="shared" si="21"/>
        <v>114560.27186200942</v>
      </c>
    </row>
    <row r="201" spans="1:16" hidden="1" x14ac:dyDescent="0.15">
      <c r="A201" s="154"/>
      <c r="B201" s="154"/>
      <c r="C201" s="152"/>
      <c r="D201" s="158"/>
      <c r="E201" s="154"/>
      <c r="F201" s="157"/>
      <c r="G201" s="171"/>
      <c r="H201" s="152"/>
      <c r="I201" s="158"/>
      <c r="J201" s="152"/>
      <c r="K201" s="154"/>
      <c r="L201" s="154"/>
      <c r="M201" s="152"/>
      <c r="N201" s="154"/>
      <c r="O201" s="152">
        <f t="shared" si="20"/>
        <v>114560.27186200945</v>
      </c>
      <c r="P201" s="152">
        <f t="shared" si="21"/>
        <v>114560.27186200942</v>
      </c>
    </row>
    <row r="202" spans="1:16" hidden="1" x14ac:dyDescent="0.15">
      <c r="A202" s="154"/>
      <c r="B202" s="154"/>
      <c r="C202" s="152"/>
      <c r="D202" s="158"/>
      <c r="E202" s="154"/>
      <c r="F202" s="150"/>
      <c r="G202" s="151"/>
      <c r="H202" s="152"/>
      <c r="I202" s="158"/>
      <c r="J202" s="152"/>
      <c r="K202" s="150"/>
      <c r="L202" s="154"/>
      <c r="M202" s="152"/>
      <c r="N202" s="154"/>
      <c r="O202" s="152">
        <f t="shared" si="20"/>
        <v>114560.27186200945</v>
      </c>
      <c r="P202" s="152">
        <f t="shared" si="21"/>
        <v>114560.27186200942</v>
      </c>
    </row>
    <row r="203" spans="1:16" hidden="1" x14ac:dyDescent="0.15">
      <c r="A203" s="154"/>
      <c r="B203" s="154"/>
      <c r="C203" s="152"/>
      <c r="D203" s="158"/>
      <c r="E203" s="154"/>
      <c r="F203" s="150"/>
      <c r="G203" s="151"/>
      <c r="H203" s="152"/>
      <c r="I203" s="158"/>
      <c r="J203" s="152"/>
      <c r="K203" s="154"/>
      <c r="L203" s="154"/>
      <c r="M203" s="152"/>
      <c r="N203" s="150"/>
      <c r="O203" s="152">
        <f t="shared" si="20"/>
        <v>114560.27186200945</v>
      </c>
      <c r="P203" s="152">
        <f t="shared" si="21"/>
        <v>114560.27186200942</v>
      </c>
    </row>
    <row r="204" spans="1:16" hidden="1" x14ac:dyDescent="0.15">
      <c r="A204" s="154"/>
      <c r="B204" s="154"/>
      <c r="C204" s="152"/>
      <c r="D204" s="158"/>
      <c r="E204" s="154"/>
      <c r="F204" s="170"/>
      <c r="G204" s="171"/>
      <c r="H204" s="152"/>
      <c r="I204" s="158"/>
      <c r="J204" s="152"/>
      <c r="K204" s="154"/>
      <c r="L204" s="154"/>
      <c r="M204" s="152"/>
      <c r="N204" s="154"/>
      <c r="O204" s="152">
        <f t="shared" si="20"/>
        <v>114560.27186200945</v>
      </c>
      <c r="P204" s="152">
        <f t="shared" si="21"/>
        <v>114560.27186200942</v>
      </c>
    </row>
    <row r="205" spans="1:16" hidden="1" x14ac:dyDescent="0.15">
      <c r="A205" s="154"/>
      <c r="B205" s="154"/>
      <c r="C205" s="152"/>
      <c r="D205" s="158"/>
      <c r="E205" s="154"/>
      <c r="F205" s="159"/>
      <c r="G205" s="151"/>
      <c r="H205" s="152"/>
      <c r="I205" s="158"/>
      <c r="J205" s="152"/>
      <c r="K205" s="157"/>
      <c r="L205" s="154"/>
      <c r="M205" s="152"/>
      <c r="N205" s="154"/>
      <c r="O205" s="152">
        <f t="shared" si="20"/>
        <v>114560.27186200945</v>
      </c>
      <c r="P205" s="152">
        <f t="shared" si="21"/>
        <v>114560.27186200942</v>
      </c>
    </row>
    <row r="206" spans="1:16" hidden="1" x14ac:dyDescent="0.15">
      <c r="A206" s="154"/>
      <c r="B206" s="154"/>
      <c r="C206" s="152"/>
      <c r="D206" s="158"/>
      <c r="E206" s="154"/>
      <c r="F206" s="159"/>
      <c r="G206" s="151"/>
      <c r="H206" s="152"/>
      <c r="I206" s="158"/>
      <c r="J206" s="152"/>
      <c r="K206" s="157"/>
      <c r="L206" s="154"/>
      <c r="M206" s="152"/>
      <c r="N206" s="157"/>
      <c r="O206" s="152">
        <f t="shared" si="20"/>
        <v>114560.27186200945</v>
      </c>
      <c r="P206" s="152">
        <f t="shared" si="21"/>
        <v>114560.27186200942</v>
      </c>
    </row>
    <row r="207" spans="1:16" hidden="1" x14ac:dyDescent="0.15">
      <c r="A207" s="154"/>
      <c r="B207" s="154"/>
      <c r="C207" s="152"/>
      <c r="D207" s="158"/>
      <c r="E207" s="154"/>
      <c r="F207" s="159"/>
      <c r="G207" s="151"/>
      <c r="H207" s="152"/>
      <c r="I207" s="158"/>
      <c r="J207" s="152"/>
      <c r="K207" s="157"/>
      <c r="L207" s="154"/>
      <c r="M207" s="152"/>
      <c r="N207" s="157"/>
      <c r="O207" s="152">
        <f t="shared" si="20"/>
        <v>114560.27186200945</v>
      </c>
      <c r="P207" s="152">
        <f t="shared" si="21"/>
        <v>114560.27186200942</v>
      </c>
    </row>
    <row r="208" spans="1:16" hidden="1" x14ac:dyDescent="0.15">
      <c r="A208" s="154"/>
      <c r="B208" s="154"/>
      <c r="C208" s="152"/>
      <c r="D208" s="158"/>
      <c r="E208" s="154"/>
      <c r="F208" s="159"/>
      <c r="G208" s="151"/>
      <c r="H208" s="152"/>
      <c r="I208" s="158"/>
      <c r="J208" s="152"/>
      <c r="K208" s="154"/>
      <c r="L208" s="154"/>
      <c r="M208" s="152"/>
      <c r="N208" s="157"/>
      <c r="O208" s="152">
        <f t="shared" si="20"/>
        <v>114560.27186200945</v>
      </c>
      <c r="P208" s="152">
        <f t="shared" si="21"/>
        <v>114560.27186200942</v>
      </c>
    </row>
    <row r="209" spans="1:16" hidden="1" x14ac:dyDescent="0.15">
      <c r="A209" s="154"/>
      <c r="B209" s="154"/>
      <c r="C209" s="152"/>
      <c r="D209" s="158"/>
      <c r="E209" s="154"/>
      <c r="F209" s="170"/>
      <c r="G209" s="171"/>
      <c r="H209" s="152"/>
      <c r="I209" s="158"/>
      <c r="J209" s="152"/>
      <c r="K209" s="157"/>
      <c r="L209" s="154"/>
      <c r="M209" s="152"/>
      <c r="N209" s="157"/>
      <c r="O209" s="152">
        <f t="shared" si="20"/>
        <v>114560.27186200945</v>
      </c>
      <c r="P209" s="152">
        <f t="shared" si="21"/>
        <v>114560.27186200942</v>
      </c>
    </row>
    <row r="210" spans="1:16" hidden="1" x14ac:dyDescent="0.15">
      <c r="A210" s="154"/>
      <c r="B210" s="154"/>
      <c r="C210" s="152"/>
      <c r="D210" s="158"/>
      <c r="E210" s="154"/>
      <c r="F210" s="154"/>
      <c r="G210" s="163"/>
      <c r="H210" s="152"/>
      <c r="I210" s="158"/>
      <c r="J210" s="152"/>
      <c r="K210" s="150"/>
      <c r="L210" s="154"/>
      <c r="M210" s="152"/>
      <c r="N210" s="157"/>
      <c r="O210" s="152">
        <f t="shared" si="20"/>
        <v>114560.27186200945</v>
      </c>
      <c r="P210" s="152">
        <f t="shared" si="21"/>
        <v>114560.27186200942</v>
      </c>
    </row>
    <row r="211" spans="1:16" hidden="1" x14ac:dyDescent="0.15">
      <c r="A211" s="154"/>
      <c r="B211" s="154"/>
      <c r="C211" s="152"/>
      <c r="D211" s="158"/>
      <c r="E211" s="154"/>
      <c r="F211" s="154"/>
      <c r="G211" s="163"/>
      <c r="H211" s="152"/>
      <c r="I211" s="158"/>
      <c r="J211" s="152"/>
      <c r="K211" s="150"/>
      <c r="L211" s="154"/>
      <c r="M211" s="152"/>
      <c r="N211" s="157"/>
      <c r="O211" s="152">
        <f t="shared" si="20"/>
        <v>114560.27186200945</v>
      </c>
      <c r="P211" s="152">
        <f t="shared" si="21"/>
        <v>114560.27186200942</v>
      </c>
    </row>
    <row r="212" spans="1:16" hidden="1" x14ac:dyDescent="0.15">
      <c r="A212" s="154"/>
      <c r="B212" s="154"/>
      <c r="C212" s="152"/>
      <c r="D212" s="158"/>
      <c r="E212" s="154"/>
      <c r="F212" s="150"/>
      <c r="G212" s="171"/>
      <c r="H212" s="152"/>
      <c r="I212" s="158"/>
      <c r="J212" s="152"/>
      <c r="K212" s="157"/>
      <c r="L212" s="154"/>
      <c r="M212" s="152"/>
      <c r="N212" s="157"/>
      <c r="O212" s="152">
        <f t="shared" si="20"/>
        <v>114560.27186200945</v>
      </c>
      <c r="P212" s="152">
        <f t="shared" si="21"/>
        <v>114560.27186200942</v>
      </c>
    </row>
    <row r="213" spans="1:16" hidden="1" x14ac:dyDescent="0.15">
      <c r="A213" s="154"/>
      <c r="B213" s="154"/>
      <c r="C213" s="152"/>
      <c r="D213" s="158"/>
      <c r="E213" s="154"/>
      <c r="F213" s="150"/>
      <c r="G213" s="151"/>
      <c r="H213" s="152"/>
      <c r="I213" s="158"/>
      <c r="J213" s="152"/>
      <c r="K213" s="154"/>
      <c r="L213" s="154"/>
      <c r="M213" s="152"/>
      <c r="N213" s="157"/>
      <c r="O213" s="152">
        <f t="shared" si="20"/>
        <v>114560.27186200945</v>
      </c>
      <c r="P213" s="152">
        <f t="shared" si="21"/>
        <v>114560.27186200942</v>
      </c>
    </row>
    <row r="214" spans="1:16" hidden="1" x14ac:dyDescent="0.15">
      <c r="A214" s="154"/>
      <c r="B214" s="154"/>
      <c r="C214" s="152"/>
      <c r="D214" s="158"/>
      <c r="E214" s="154"/>
      <c r="F214" s="150"/>
      <c r="G214" s="151"/>
      <c r="H214" s="152"/>
      <c r="I214" s="158"/>
      <c r="J214" s="152"/>
      <c r="K214" s="154"/>
      <c r="L214" s="154"/>
      <c r="M214" s="152"/>
      <c r="N214" s="154"/>
      <c r="O214" s="152">
        <f t="shared" si="20"/>
        <v>114560.27186200945</v>
      </c>
      <c r="P214" s="152">
        <f t="shared" si="21"/>
        <v>114560.27186200942</v>
      </c>
    </row>
    <row r="215" spans="1:16" hidden="1" x14ac:dyDescent="0.15">
      <c r="A215" s="154"/>
      <c r="B215" s="154"/>
      <c r="C215" s="152"/>
      <c r="D215" s="158"/>
      <c r="E215" s="154"/>
      <c r="F215" s="170"/>
      <c r="G215" s="171"/>
      <c r="H215" s="152"/>
      <c r="I215" s="158"/>
      <c r="J215" s="152"/>
      <c r="K215" s="157"/>
      <c r="L215" s="154"/>
      <c r="M215" s="152"/>
      <c r="N215" s="157"/>
      <c r="O215" s="152">
        <f t="shared" si="20"/>
        <v>114560.27186200945</v>
      </c>
      <c r="P215" s="152">
        <f t="shared" si="21"/>
        <v>114560.27186200942</v>
      </c>
    </row>
    <row r="216" spans="1:16" hidden="1" x14ac:dyDescent="0.15">
      <c r="A216" s="154"/>
      <c r="B216" s="154"/>
      <c r="C216" s="152"/>
      <c r="D216" s="158"/>
      <c r="E216" s="154"/>
      <c r="F216" s="170"/>
      <c r="G216" s="168"/>
      <c r="H216" s="152"/>
      <c r="I216" s="158"/>
      <c r="J216" s="152"/>
      <c r="K216" s="157"/>
      <c r="L216" s="154"/>
      <c r="M216" s="152"/>
      <c r="N216" s="157"/>
      <c r="O216" s="152">
        <f t="shared" si="20"/>
        <v>114560.27186200945</v>
      </c>
      <c r="P216" s="152">
        <f t="shared" si="21"/>
        <v>114560.27186200942</v>
      </c>
    </row>
    <row r="217" spans="1:16" hidden="1" x14ac:dyDescent="0.15">
      <c r="A217" s="154"/>
      <c r="B217" s="154"/>
      <c r="C217" s="152"/>
      <c r="D217" s="158"/>
      <c r="E217" s="154"/>
      <c r="F217" s="170"/>
      <c r="G217" s="168"/>
      <c r="H217" s="152"/>
      <c r="I217" s="158"/>
      <c r="J217" s="152"/>
      <c r="K217" s="154"/>
      <c r="L217" s="154"/>
      <c r="M217" s="152"/>
      <c r="N217" s="157"/>
      <c r="O217" s="152">
        <f t="shared" ref="O217:O232" si="22">+O216-J217-M217</f>
        <v>114560.27186200945</v>
      </c>
      <c r="P217" s="152">
        <f t="shared" ref="P217:P232" si="23">P216+H217-J217-M217</f>
        <v>114560.27186200942</v>
      </c>
    </row>
    <row r="218" spans="1:16" hidden="1" x14ac:dyDescent="0.15">
      <c r="A218" s="154"/>
      <c r="B218" s="154"/>
      <c r="C218" s="152"/>
      <c r="D218" s="158"/>
      <c r="E218" s="154"/>
      <c r="F218" s="170"/>
      <c r="G218" s="171"/>
      <c r="H218" s="152"/>
      <c r="I218" s="158"/>
      <c r="J218" s="152"/>
      <c r="K218" s="157"/>
      <c r="L218" s="154"/>
      <c r="M218" s="152"/>
      <c r="N218" s="157"/>
      <c r="O218" s="152">
        <f t="shared" si="22"/>
        <v>114560.27186200945</v>
      </c>
      <c r="P218" s="152">
        <f t="shared" si="23"/>
        <v>114560.27186200942</v>
      </c>
    </row>
    <row r="219" spans="1:16" hidden="1" x14ac:dyDescent="0.15">
      <c r="A219" s="154"/>
      <c r="B219" s="154"/>
      <c r="C219" s="152"/>
      <c r="D219" s="158"/>
      <c r="E219" s="154"/>
      <c r="F219" s="154"/>
      <c r="G219" s="151"/>
      <c r="H219" s="152"/>
      <c r="I219" s="158"/>
      <c r="J219" s="152"/>
      <c r="K219" s="154"/>
      <c r="L219" s="154"/>
      <c r="M219" s="152"/>
      <c r="N219" s="157"/>
      <c r="O219" s="152">
        <f t="shared" si="22"/>
        <v>114560.27186200945</v>
      </c>
      <c r="P219" s="152">
        <f t="shared" si="23"/>
        <v>114560.27186200942</v>
      </c>
    </row>
    <row r="220" spans="1:16" hidden="1" x14ac:dyDescent="0.15">
      <c r="A220" s="154"/>
      <c r="B220" s="154"/>
      <c r="C220" s="152"/>
      <c r="D220" s="158"/>
      <c r="E220" s="154"/>
      <c r="F220" s="154"/>
      <c r="G220" s="151"/>
      <c r="H220" s="152"/>
      <c r="I220" s="158"/>
      <c r="J220" s="152"/>
      <c r="K220" s="154"/>
      <c r="L220" s="154"/>
      <c r="M220" s="152"/>
      <c r="N220" s="157"/>
      <c r="O220" s="152">
        <f t="shared" si="22"/>
        <v>114560.27186200945</v>
      </c>
      <c r="P220" s="152">
        <f t="shared" si="23"/>
        <v>114560.27186200942</v>
      </c>
    </row>
    <row r="221" spans="1:16" hidden="1" x14ac:dyDescent="0.15">
      <c r="A221" s="154"/>
      <c r="B221" s="154"/>
      <c r="C221" s="152"/>
      <c r="D221" s="158"/>
      <c r="E221" s="154"/>
      <c r="F221" s="170"/>
      <c r="G221" s="171"/>
      <c r="H221" s="152"/>
      <c r="I221" s="158"/>
      <c r="J221" s="152"/>
      <c r="K221" s="157"/>
      <c r="L221" s="154"/>
      <c r="M221" s="152"/>
      <c r="N221" s="157"/>
      <c r="O221" s="152">
        <f t="shared" si="22"/>
        <v>114560.27186200945</v>
      </c>
      <c r="P221" s="152">
        <f t="shared" si="23"/>
        <v>114560.27186200942</v>
      </c>
    </row>
    <row r="222" spans="1:16" hidden="1" x14ac:dyDescent="0.15">
      <c r="A222" s="154"/>
      <c r="B222" s="154"/>
      <c r="C222" s="152"/>
      <c r="D222" s="158"/>
      <c r="E222" s="154"/>
      <c r="F222" s="170"/>
      <c r="G222" s="151"/>
      <c r="H222" s="152"/>
      <c r="I222" s="158"/>
      <c r="J222" s="152"/>
      <c r="K222" s="154"/>
      <c r="L222" s="154"/>
      <c r="M222" s="152"/>
      <c r="N222" s="157"/>
      <c r="O222" s="152">
        <f t="shared" si="22"/>
        <v>114560.27186200945</v>
      </c>
      <c r="P222" s="152">
        <f t="shared" si="23"/>
        <v>114560.27186200942</v>
      </c>
    </row>
    <row r="223" spans="1:16" hidden="1" x14ac:dyDescent="0.15">
      <c r="A223" s="154"/>
      <c r="B223" s="154"/>
      <c r="C223" s="152"/>
      <c r="D223" s="158"/>
      <c r="E223" s="154"/>
      <c r="F223" s="170"/>
      <c r="G223" s="151"/>
      <c r="H223" s="152"/>
      <c r="I223" s="158"/>
      <c r="J223" s="152"/>
      <c r="K223" s="154"/>
      <c r="L223" s="154"/>
      <c r="M223" s="152"/>
      <c r="N223" s="157"/>
      <c r="O223" s="152">
        <f t="shared" si="22"/>
        <v>114560.27186200945</v>
      </c>
      <c r="P223" s="152">
        <f t="shared" si="23"/>
        <v>114560.27186200942</v>
      </c>
    </row>
    <row r="224" spans="1:16" hidden="1" x14ac:dyDescent="0.15">
      <c r="A224" s="154"/>
      <c r="B224" s="154"/>
      <c r="C224" s="152"/>
      <c r="D224" s="158"/>
      <c r="E224" s="154"/>
      <c r="F224" s="157"/>
      <c r="G224" s="171"/>
      <c r="H224" s="152"/>
      <c r="I224" s="158"/>
      <c r="J224" s="152"/>
      <c r="K224" s="157"/>
      <c r="L224" s="154"/>
      <c r="M224" s="152"/>
      <c r="N224" s="157"/>
      <c r="O224" s="152">
        <f t="shared" si="22"/>
        <v>114560.27186200945</v>
      </c>
      <c r="P224" s="152">
        <f t="shared" si="23"/>
        <v>114560.27186200942</v>
      </c>
    </row>
    <row r="225" spans="1:16" hidden="1" x14ac:dyDescent="0.15">
      <c r="A225" s="154"/>
      <c r="B225" s="154"/>
      <c r="C225" s="152"/>
      <c r="D225" s="158"/>
      <c r="E225" s="154"/>
      <c r="F225" s="157"/>
      <c r="G225" s="172"/>
      <c r="H225" s="152"/>
      <c r="I225" s="158"/>
      <c r="J225" s="152"/>
      <c r="K225" s="154"/>
      <c r="L225" s="154"/>
      <c r="M225" s="152"/>
      <c r="N225" s="157"/>
      <c r="O225" s="152">
        <f t="shared" si="22"/>
        <v>114560.27186200945</v>
      </c>
      <c r="P225" s="152">
        <f t="shared" si="23"/>
        <v>114560.27186200942</v>
      </c>
    </row>
    <row r="226" spans="1:16" hidden="1" x14ac:dyDescent="0.15">
      <c r="A226" s="154"/>
      <c r="B226" s="154"/>
      <c r="C226" s="152"/>
      <c r="D226" s="158"/>
      <c r="E226" s="154"/>
      <c r="F226" s="157"/>
      <c r="G226" s="172"/>
      <c r="H226" s="152"/>
      <c r="I226" s="158"/>
      <c r="J226" s="152"/>
      <c r="K226" s="157"/>
      <c r="L226" s="154"/>
      <c r="M226" s="152"/>
      <c r="N226" s="157"/>
      <c r="O226" s="152">
        <f t="shared" si="22"/>
        <v>114560.27186200945</v>
      </c>
      <c r="P226" s="152">
        <f t="shared" si="23"/>
        <v>114560.27186200942</v>
      </c>
    </row>
    <row r="227" spans="1:16" hidden="1" x14ac:dyDescent="0.15">
      <c r="A227" s="154"/>
      <c r="B227" s="154"/>
      <c r="C227" s="152"/>
      <c r="D227" s="158"/>
      <c r="E227" s="154"/>
      <c r="F227" s="157"/>
      <c r="G227" s="172"/>
      <c r="H227" s="152"/>
      <c r="I227" s="158"/>
      <c r="J227" s="152"/>
      <c r="K227" s="154"/>
      <c r="L227" s="154"/>
      <c r="M227" s="152"/>
      <c r="N227" s="157"/>
      <c r="O227" s="152">
        <f t="shared" si="22"/>
        <v>114560.27186200945</v>
      </c>
      <c r="P227" s="152">
        <f t="shared" si="23"/>
        <v>114560.27186200942</v>
      </c>
    </row>
    <row r="228" spans="1:16" hidden="1" x14ac:dyDescent="0.15">
      <c r="A228" s="154"/>
      <c r="B228" s="154"/>
      <c r="C228" s="152"/>
      <c r="D228" s="158"/>
      <c r="E228" s="154"/>
      <c r="F228" s="154"/>
      <c r="G228" s="151"/>
      <c r="H228" s="152"/>
      <c r="I228" s="158"/>
      <c r="J228" s="152"/>
      <c r="K228" s="154"/>
      <c r="L228" s="154"/>
      <c r="M228" s="152"/>
      <c r="N228" s="157"/>
      <c r="O228" s="152">
        <f t="shared" si="22"/>
        <v>114560.27186200945</v>
      </c>
      <c r="P228" s="152">
        <f t="shared" si="23"/>
        <v>114560.27186200942</v>
      </c>
    </row>
    <row r="229" spans="1:16" hidden="1" x14ac:dyDescent="0.15">
      <c r="A229" s="154"/>
      <c r="B229" s="154"/>
      <c r="C229" s="152"/>
      <c r="D229" s="158"/>
      <c r="E229" s="154"/>
      <c r="F229" s="157"/>
      <c r="G229" s="172"/>
      <c r="H229" s="152"/>
      <c r="I229" s="158"/>
      <c r="J229" s="152"/>
      <c r="K229" s="154"/>
      <c r="L229" s="154"/>
      <c r="M229" s="152"/>
      <c r="N229" s="154"/>
      <c r="O229" s="152">
        <f t="shared" si="22"/>
        <v>114560.27186200945</v>
      </c>
      <c r="P229" s="152">
        <f t="shared" si="23"/>
        <v>114560.27186200942</v>
      </c>
    </row>
    <row r="230" spans="1:16" hidden="1" x14ac:dyDescent="0.15">
      <c r="A230" s="154"/>
      <c r="B230" s="154"/>
      <c r="C230" s="152"/>
      <c r="D230" s="158"/>
      <c r="E230" s="154"/>
      <c r="F230" s="157"/>
      <c r="G230" s="172"/>
      <c r="H230" s="152"/>
      <c r="I230" s="158"/>
      <c r="J230" s="152"/>
      <c r="K230" s="154"/>
      <c r="L230" s="154"/>
      <c r="M230" s="152"/>
      <c r="N230" s="154"/>
      <c r="O230" s="152">
        <f t="shared" si="22"/>
        <v>114560.27186200945</v>
      </c>
      <c r="P230" s="152">
        <f t="shared" si="23"/>
        <v>114560.27186200942</v>
      </c>
    </row>
    <row r="231" spans="1:16" hidden="1" x14ac:dyDescent="0.15">
      <c r="A231" s="154"/>
      <c r="B231" s="154"/>
      <c r="C231" s="152"/>
      <c r="D231" s="158"/>
      <c r="E231" s="154"/>
      <c r="F231" s="157"/>
      <c r="G231" s="172"/>
      <c r="H231" s="152"/>
      <c r="I231" s="158"/>
      <c r="J231" s="152"/>
      <c r="K231" s="154"/>
      <c r="L231" s="154"/>
      <c r="M231" s="152"/>
      <c r="N231" s="154"/>
      <c r="O231" s="152">
        <f t="shared" si="22"/>
        <v>114560.27186200945</v>
      </c>
      <c r="P231" s="152">
        <f t="shared" si="23"/>
        <v>114560.27186200942</v>
      </c>
    </row>
    <row r="232" spans="1:16" hidden="1" x14ac:dyDescent="0.15">
      <c r="A232" s="154"/>
      <c r="B232" s="154"/>
      <c r="C232" s="152"/>
      <c r="D232" s="158"/>
      <c r="E232" s="154"/>
      <c r="F232" s="154"/>
      <c r="G232" s="163"/>
      <c r="H232" s="152"/>
      <c r="I232" s="158"/>
      <c r="J232" s="152"/>
      <c r="K232" s="154"/>
      <c r="L232" s="154"/>
      <c r="M232" s="152"/>
      <c r="N232" s="154"/>
      <c r="O232" s="152">
        <f t="shared" si="22"/>
        <v>114560.27186200945</v>
      </c>
      <c r="P232" s="152">
        <f t="shared" si="23"/>
        <v>114560.27186200942</v>
      </c>
    </row>
    <row r="233" spans="1:16" x14ac:dyDescent="0.15">
      <c r="A233" s="173"/>
      <c r="B233" s="173"/>
      <c r="C233" s="174"/>
      <c r="D233" s="175"/>
      <c r="E233" s="173"/>
      <c r="F233" s="173"/>
      <c r="G233" s="176"/>
      <c r="H233" s="174"/>
      <c r="I233" s="175"/>
      <c r="J233" s="174"/>
      <c r="K233" s="173"/>
      <c r="L233" s="173"/>
      <c r="M233" s="174"/>
      <c r="N233" s="173"/>
      <c r="O233" s="152">
        <f t="shared" ref="O233" si="24">+O232-J233-M233</f>
        <v>114560.27186200945</v>
      </c>
      <c r="P233" s="152">
        <f t="shared" ref="P233" si="25">P232+H233-J233-M233</f>
        <v>114560.27186200942</v>
      </c>
    </row>
    <row r="234" spans="1:16" x14ac:dyDescent="0.15">
      <c r="A234" s="177"/>
      <c r="B234" s="177"/>
      <c r="C234" s="178">
        <f>SUM(C7:C220)</f>
        <v>360348.14086200937</v>
      </c>
      <c r="D234" s="177"/>
      <c r="E234" s="177"/>
      <c r="F234" s="177"/>
      <c r="G234" s="177"/>
      <c r="H234" s="178">
        <f>SUM(H7:H232)</f>
        <v>519241.13100000005</v>
      </c>
      <c r="I234" s="179"/>
      <c r="J234" s="178">
        <f>SUM(J7:J232)</f>
        <v>11756</v>
      </c>
      <c r="K234" s="177"/>
      <c r="L234" s="177"/>
      <c r="M234" s="178">
        <f>SUM(M9:M232)</f>
        <v>753273</v>
      </c>
      <c r="N234" s="177"/>
      <c r="O234" s="180"/>
      <c r="P234" s="181">
        <f>C234+H234-J234-M234</f>
        <v>114560.27186200942</v>
      </c>
    </row>
    <row r="235" spans="1:16" x14ac:dyDescent="0.15">
      <c r="A235" s="182"/>
      <c r="B235" s="465"/>
      <c r="C235" s="465"/>
      <c r="D235" s="465"/>
      <c r="E235" s="183"/>
      <c r="F235" s="472"/>
      <c r="G235" s="472"/>
      <c r="H235" s="185"/>
      <c r="I235" s="186"/>
      <c r="J235" s="187"/>
      <c r="K235" s="188"/>
      <c r="L235" s="189" t="s">
        <v>139</v>
      </c>
      <c r="M235" s="190">
        <f>+M234+J234</f>
        <v>765029</v>
      </c>
      <c r="N235" s="188"/>
      <c r="O235" s="191">
        <f>+O233</f>
        <v>114560.27186200945</v>
      </c>
      <c r="P235" s="192" t="s">
        <v>341</v>
      </c>
    </row>
    <row r="236" spans="1:16" s="167" customFormat="1" x14ac:dyDescent="0.15">
      <c r="A236" s="193" t="s">
        <v>306</v>
      </c>
      <c r="B236" s="470" t="s">
        <v>311</v>
      </c>
      <c r="C236" s="470"/>
      <c r="D236" s="470"/>
      <c r="E236" s="183" t="s">
        <v>55</v>
      </c>
      <c r="F236" s="472">
        <v>75598042.989999995</v>
      </c>
      <c r="G236" s="472"/>
      <c r="H236" s="185" t="s">
        <v>56</v>
      </c>
      <c r="I236" s="186">
        <v>40254</v>
      </c>
      <c r="J236" s="187" t="s">
        <v>71</v>
      </c>
      <c r="K236" s="210">
        <v>195437</v>
      </c>
      <c r="L236" s="188"/>
      <c r="M236" s="190"/>
      <c r="N236" s="188"/>
      <c r="O236" s="191"/>
      <c r="P236" s="192"/>
    </row>
    <row r="237" spans="1:16" s="167" customFormat="1" x14ac:dyDescent="0.15">
      <c r="A237" s="193" t="s">
        <v>300</v>
      </c>
      <c r="B237" s="470" t="s">
        <v>320</v>
      </c>
      <c r="C237" s="470"/>
      <c r="D237" s="470"/>
      <c r="E237" s="183" t="s">
        <v>55</v>
      </c>
      <c r="F237" s="472">
        <v>30078852.109999999</v>
      </c>
      <c r="G237" s="472"/>
      <c r="H237" s="185" t="s">
        <v>56</v>
      </c>
      <c r="I237" s="186">
        <v>40252</v>
      </c>
      <c r="J237" s="187" t="s">
        <v>71</v>
      </c>
      <c r="K237" s="210">
        <v>7991</v>
      </c>
      <c r="L237" s="188"/>
      <c r="M237" s="190"/>
      <c r="N237" s="188"/>
      <c r="O237" s="191"/>
      <c r="P237" s="192"/>
    </row>
    <row r="238" spans="1:16" s="167" customFormat="1" x14ac:dyDescent="0.15">
      <c r="A238" s="193" t="s">
        <v>307</v>
      </c>
      <c r="B238" s="470" t="s">
        <v>346</v>
      </c>
      <c r="C238" s="470"/>
      <c r="D238" s="470"/>
      <c r="E238" s="183" t="s">
        <v>55</v>
      </c>
      <c r="F238" s="472">
        <v>26976793.82</v>
      </c>
      <c r="G238" s="472"/>
      <c r="H238" s="185" t="s">
        <v>56</v>
      </c>
      <c r="I238" s="186">
        <v>14702</v>
      </c>
      <c r="J238" s="187" t="s">
        <v>71</v>
      </c>
      <c r="K238" s="210">
        <v>74728</v>
      </c>
      <c r="L238" s="188"/>
      <c r="M238" s="190"/>
      <c r="N238" s="188"/>
      <c r="O238" s="191"/>
      <c r="P238" s="195"/>
    </row>
    <row r="239" spans="1:16" s="167" customFormat="1" ht="11.25" customHeight="1" x14ac:dyDescent="0.15">
      <c r="A239" s="193" t="s">
        <v>308</v>
      </c>
      <c r="B239" s="470" t="s">
        <v>343</v>
      </c>
      <c r="C239" s="470"/>
      <c r="D239" s="470"/>
      <c r="E239" s="183" t="s">
        <v>55</v>
      </c>
      <c r="F239" s="472">
        <v>111185388.43000001</v>
      </c>
      <c r="G239" s="472"/>
      <c r="H239" s="185" t="s">
        <v>56</v>
      </c>
      <c r="I239" s="186">
        <v>40273</v>
      </c>
      <c r="J239" s="187" t="s">
        <v>71</v>
      </c>
      <c r="K239" s="210">
        <v>283042</v>
      </c>
      <c r="L239" s="188"/>
      <c r="M239" s="190"/>
      <c r="N239" s="188"/>
      <c r="O239" s="191"/>
      <c r="P239" s="195"/>
    </row>
    <row r="240" spans="1:16" s="167" customFormat="1" ht="11.25" customHeight="1" x14ac:dyDescent="0.15">
      <c r="A240" s="193" t="s">
        <v>340</v>
      </c>
      <c r="B240" s="470" t="s">
        <v>347</v>
      </c>
      <c r="C240" s="470"/>
      <c r="D240" s="470"/>
      <c r="E240" s="183" t="s">
        <v>55</v>
      </c>
      <c r="F240" s="472">
        <v>49691661.590000004</v>
      </c>
      <c r="G240" s="472"/>
      <c r="H240" s="185" t="s">
        <v>56</v>
      </c>
      <c r="I240" s="186">
        <v>40280</v>
      </c>
      <c r="J240" s="187" t="s">
        <v>71</v>
      </c>
      <c r="K240" s="210">
        <v>115061</v>
      </c>
      <c r="L240" s="188"/>
      <c r="M240" s="190"/>
      <c r="N240" s="188"/>
      <c r="O240" s="191"/>
      <c r="P240" s="195"/>
    </row>
    <row r="241" spans="1:16" s="167" customFormat="1" ht="11.25" hidden="1" customHeight="1" x14ac:dyDescent="0.15">
      <c r="A241" s="193"/>
      <c r="B241" s="470" t="s">
        <v>342</v>
      </c>
      <c r="C241" s="470"/>
      <c r="D241" s="470"/>
      <c r="E241" s="183" t="s">
        <v>55</v>
      </c>
      <c r="F241" s="472"/>
      <c r="G241" s="472"/>
      <c r="H241" s="185" t="s">
        <v>56</v>
      </c>
      <c r="I241" s="186"/>
      <c r="J241" s="187" t="s">
        <v>71</v>
      </c>
      <c r="K241" s="210"/>
      <c r="L241" s="188"/>
      <c r="M241" s="190"/>
      <c r="N241" s="188"/>
      <c r="O241" s="191"/>
      <c r="P241" s="195"/>
    </row>
    <row r="242" spans="1:16" s="167" customFormat="1" ht="11.25" hidden="1" customHeight="1" x14ac:dyDescent="0.15">
      <c r="A242" s="193"/>
      <c r="B242" s="470" t="s">
        <v>342</v>
      </c>
      <c r="C242" s="470"/>
      <c r="D242" s="470"/>
      <c r="E242" s="183" t="s">
        <v>55</v>
      </c>
      <c r="F242" s="472"/>
      <c r="G242" s="472"/>
      <c r="H242" s="185" t="s">
        <v>56</v>
      </c>
      <c r="I242" s="186"/>
      <c r="J242" s="187" t="s">
        <v>71</v>
      </c>
      <c r="K242" s="210"/>
      <c r="L242" s="188"/>
      <c r="M242" s="190"/>
      <c r="N242" s="188"/>
      <c r="O242" s="191"/>
      <c r="P242" s="195"/>
    </row>
    <row r="243" spans="1:16" s="167" customFormat="1" ht="11.25" hidden="1" customHeight="1" x14ac:dyDescent="0.15">
      <c r="A243" s="193"/>
      <c r="B243" s="470" t="s">
        <v>342</v>
      </c>
      <c r="C243" s="470"/>
      <c r="D243" s="470"/>
      <c r="E243" s="183" t="s">
        <v>55</v>
      </c>
      <c r="F243" s="472"/>
      <c r="G243" s="472"/>
      <c r="H243" s="185" t="s">
        <v>56</v>
      </c>
      <c r="I243" s="186"/>
      <c r="J243" s="187" t="s">
        <v>71</v>
      </c>
      <c r="K243" s="210"/>
      <c r="L243" s="188"/>
      <c r="M243" s="190"/>
      <c r="N243" s="188"/>
      <c r="O243" s="191"/>
      <c r="P243" s="195"/>
    </row>
    <row r="244" spans="1:16" s="167" customFormat="1" ht="11.25" hidden="1" customHeight="1" x14ac:dyDescent="0.15">
      <c r="A244" s="193"/>
      <c r="B244" s="470" t="s">
        <v>342</v>
      </c>
      <c r="C244" s="470"/>
      <c r="D244" s="470"/>
      <c r="E244" s="183" t="s">
        <v>55</v>
      </c>
      <c r="F244" s="472"/>
      <c r="G244" s="472"/>
      <c r="H244" s="185" t="s">
        <v>56</v>
      </c>
      <c r="I244" s="186"/>
      <c r="J244" s="187" t="s">
        <v>71</v>
      </c>
      <c r="K244" s="210"/>
      <c r="L244" s="188"/>
      <c r="M244" s="190"/>
      <c r="N244" s="188"/>
      <c r="O244" s="191"/>
      <c r="P244" s="195"/>
    </row>
    <row r="245" spans="1:16" s="167" customFormat="1" ht="11.25" hidden="1" customHeight="1" x14ac:dyDescent="0.15">
      <c r="A245" s="193"/>
      <c r="B245" s="470" t="s">
        <v>342</v>
      </c>
      <c r="C245" s="470"/>
      <c r="D245" s="470"/>
      <c r="E245" s="183" t="s">
        <v>55</v>
      </c>
      <c r="F245" s="472"/>
      <c r="G245" s="472"/>
      <c r="H245" s="185" t="s">
        <v>56</v>
      </c>
      <c r="I245" s="186"/>
      <c r="J245" s="187" t="s">
        <v>71</v>
      </c>
      <c r="K245" s="210"/>
      <c r="L245" s="188"/>
      <c r="M245" s="190"/>
      <c r="N245" s="188"/>
      <c r="O245" s="191"/>
      <c r="P245" s="195"/>
    </row>
    <row r="246" spans="1:16" s="167" customFormat="1" ht="11.25" hidden="1" customHeight="1" x14ac:dyDescent="0.15">
      <c r="A246" s="193"/>
      <c r="B246" s="470" t="s">
        <v>342</v>
      </c>
      <c r="C246" s="470"/>
      <c r="D246" s="470"/>
      <c r="E246" s="183" t="s">
        <v>55</v>
      </c>
      <c r="F246" s="472"/>
      <c r="G246" s="472"/>
      <c r="H246" s="185" t="s">
        <v>56</v>
      </c>
      <c r="I246" s="186"/>
      <c r="J246" s="187" t="s">
        <v>71</v>
      </c>
      <c r="K246" s="210"/>
      <c r="L246" s="188"/>
      <c r="M246" s="190"/>
      <c r="N246" s="188"/>
      <c r="O246" s="191"/>
      <c r="P246" s="195"/>
    </row>
    <row r="247" spans="1:16" s="167" customFormat="1" x14ac:dyDescent="0.15">
      <c r="A247" s="193" t="s">
        <v>341</v>
      </c>
      <c r="B247" s="470" t="s">
        <v>348</v>
      </c>
      <c r="C247" s="470"/>
      <c r="D247" s="470"/>
      <c r="E247" s="183" t="s">
        <v>55</v>
      </c>
      <c r="F247" s="472">
        <v>36372345.119999997</v>
      </c>
      <c r="G247" s="472"/>
      <c r="H247" s="185" t="s">
        <v>56</v>
      </c>
      <c r="I247" s="186">
        <v>40280</v>
      </c>
      <c r="J247" s="187" t="s">
        <v>71</v>
      </c>
      <c r="K247" s="210">
        <v>77014</v>
      </c>
      <c r="L247" s="188"/>
      <c r="M247" s="190"/>
      <c r="N247" s="188"/>
      <c r="O247" s="206" t="s">
        <v>33</v>
      </c>
      <c r="P247" s="207">
        <f>SUM(O235:O245)</f>
        <v>114560.27186200945</v>
      </c>
    </row>
    <row r="248" spans="1:16" s="167" customFormat="1" ht="12" thickBot="1" x14ac:dyDescent="0.2">
      <c r="A248" s="193"/>
      <c r="B248" s="470"/>
      <c r="C248" s="470"/>
      <c r="D248" s="470"/>
      <c r="E248" s="183"/>
      <c r="F248" s="472"/>
      <c r="G248" s="472"/>
      <c r="H248" s="185"/>
      <c r="I248" s="186"/>
      <c r="J248" s="187"/>
      <c r="K248" s="211">
        <f>SUM(K236:K247)</f>
        <v>753273</v>
      </c>
      <c r="L248" s="188"/>
      <c r="M248" s="190"/>
      <c r="N248" s="188"/>
      <c r="O248" s="190"/>
      <c r="P248" s="197">
        <f>+P234-P247</f>
        <v>0</v>
      </c>
    </row>
    <row r="249" spans="1:16" s="167" customFormat="1" ht="12" thickTop="1" x14ac:dyDescent="0.15">
      <c r="A249" s="193"/>
      <c r="B249" s="470"/>
      <c r="C249" s="470"/>
      <c r="D249" s="470"/>
      <c r="E249" s="183"/>
      <c r="F249" s="472"/>
      <c r="G249" s="472"/>
      <c r="H249" s="185"/>
      <c r="I249" s="186"/>
      <c r="J249" s="187"/>
      <c r="K249" s="210"/>
      <c r="L249" s="188"/>
      <c r="M249" s="190"/>
      <c r="N249" s="188"/>
      <c r="O249" s="188"/>
      <c r="P249" s="198"/>
    </row>
    <row r="250" spans="1:16" x14ac:dyDescent="0.15">
      <c r="J250" s="132" t="s">
        <v>105</v>
      </c>
      <c r="K250" s="205">
        <v>274794</v>
      </c>
    </row>
    <row r="251" spans="1:16" x14ac:dyDescent="0.15">
      <c r="J251" s="132" t="s">
        <v>106</v>
      </c>
      <c r="K251" s="205">
        <v>478479</v>
      </c>
    </row>
    <row r="252" spans="1:16" ht="12" thickBot="1" x14ac:dyDescent="0.2">
      <c r="K252" s="212">
        <f>SUM(K250:K251)</f>
        <v>753273</v>
      </c>
    </row>
    <row r="253" spans="1:16" ht="12" thickTop="1" x14ac:dyDescent="0.15">
      <c r="K253" s="205"/>
    </row>
    <row r="254" spans="1:16" s="133" customFormat="1" x14ac:dyDescent="0.15">
      <c r="A254" s="134"/>
      <c r="B254" s="131"/>
      <c r="C254" s="132"/>
      <c r="F254" s="134"/>
      <c r="H254" s="132"/>
      <c r="J254" s="132"/>
      <c r="K254" s="205"/>
      <c r="M254" s="132"/>
      <c r="N254" s="134"/>
      <c r="O254" s="132"/>
      <c r="P254" s="132"/>
    </row>
  </sheetData>
  <mergeCells count="36">
    <mergeCell ref="B247:D247"/>
    <mergeCell ref="F247:G247"/>
    <mergeCell ref="B248:D248"/>
    <mergeCell ref="F248:G248"/>
    <mergeCell ref="B249:D249"/>
    <mergeCell ref="F249:G249"/>
    <mergeCell ref="B244:D244"/>
    <mergeCell ref="F244:G244"/>
    <mergeCell ref="B245:D245"/>
    <mergeCell ref="F245:G245"/>
    <mergeCell ref="B246:D246"/>
    <mergeCell ref="F246:G246"/>
    <mergeCell ref="B241:D241"/>
    <mergeCell ref="F241:G241"/>
    <mergeCell ref="B242:D242"/>
    <mergeCell ref="F242:G242"/>
    <mergeCell ref="B243:D243"/>
    <mergeCell ref="F243:G243"/>
    <mergeCell ref="B238:D238"/>
    <mergeCell ref="F238:G238"/>
    <mergeCell ref="B239:D239"/>
    <mergeCell ref="F239:G239"/>
    <mergeCell ref="B240:D240"/>
    <mergeCell ref="F240:G240"/>
    <mergeCell ref="B235:D235"/>
    <mergeCell ref="F235:G235"/>
    <mergeCell ref="B236:D236"/>
    <mergeCell ref="F236:G236"/>
    <mergeCell ref="B237:D237"/>
    <mergeCell ref="F237:G237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zoomScale="115" zoomScaleNormal="115" workbookViewId="0">
      <pane ySplit="6" topLeftCell="A7" activePane="bottomLeft" state="frozen"/>
      <selection pane="bottomLeft" activeCell="F16" sqref="F16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270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258</v>
      </c>
      <c r="B7" s="146"/>
      <c r="C7" s="147">
        <v>154185.57099999988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154185.57099999988</v>
      </c>
      <c r="P7" s="147">
        <f>+C237</f>
        <v>550072.81599999988</v>
      </c>
    </row>
    <row r="8" spans="1:16" x14ac:dyDescent="0.15">
      <c r="A8" s="154" t="s">
        <v>257</v>
      </c>
      <c r="B8" s="151"/>
      <c r="C8" s="152">
        <v>243937.342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154185.57099999988</v>
      </c>
      <c r="P8" s="152">
        <f t="shared" ref="P8:P9" si="0">P7+H8-J8-M8</f>
        <v>550072.81599999988</v>
      </c>
    </row>
    <row r="9" spans="1:16" x14ac:dyDescent="0.15">
      <c r="A9" s="154" t="s">
        <v>313</v>
      </c>
      <c r="B9" s="151"/>
      <c r="C9" s="152">
        <v>151949.90299999999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" si="1">+O8-J9-M9</f>
        <v>154185.57099999988</v>
      </c>
      <c r="P9" s="152">
        <f t="shared" si="0"/>
        <v>550072.81599999988</v>
      </c>
    </row>
    <row r="10" spans="1:16" x14ac:dyDescent="0.15">
      <c r="A10" s="154"/>
      <c r="B10" s="151"/>
      <c r="C10" s="152"/>
      <c r="D10" s="153" t="s">
        <v>272</v>
      </c>
      <c r="E10" s="154" t="s">
        <v>72</v>
      </c>
      <c r="F10" s="157" t="s">
        <v>298</v>
      </c>
      <c r="G10" s="154"/>
      <c r="H10" s="152">
        <v>35971.406999999999</v>
      </c>
      <c r="I10" s="153" t="s">
        <v>272</v>
      </c>
      <c r="J10" s="152"/>
      <c r="K10" s="150"/>
      <c r="L10" s="154" t="s">
        <v>309</v>
      </c>
      <c r="M10" s="152">
        <v>50201</v>
      </c>
      <c r="N10" s="150" t="s">
        <v>258</v>
      </c>
      <c r="O10" s="152">
        <f t="shared" ref="O10" si="2">+O9-J10-M10</f>
        <v>103984.57099999988</v>
      </c>
      <c r="P10" s="152">
        <f t="shared" ref="P10" si="3">P9+H10-J10-M10</f>
        <v>535843.22299999988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272</v>
      </c>
      <c r="J11" s="152"/>
      <c r="K11" s="150"/>
      <c r="L11" s="154" t="s">
        <v>309</v>
      </c>
      <c r="M11" s="152">
        <v>92570.834431714495</v>
      </c>
      <c r="N11" s="150" t="s">
        <v>258</v>
      </c>
      <c r="O11" s="152">
        <f t="shared" ref="O11:O15" si="4">+O10-J11-M11</f>
        <v>11413.736568285385</v>
      </c>
      <c r="P11" s="152">
        <f t="shared" ref="P11:P15" si="5">P10+H11-J11-M11</f>
        <v>443272.38856828539</v>
      </c>
    </row>
    <row r="12" spans="1:16" x14ac:dyDescent="0.15">
      <c r="A12" s="154"/>
      <c r="B12" s="151"/>
      <c r="C12" s="152"/>
      <c r="D12" s="153" t="s">
        <v>271</v>
      </c>
      <c r="E12" s="154" t="s">
        <v>72</v>
      </c>
      <c r="F12" s="157" t="s">
        <v>298</v>
      </c>
      <c r="G12" s="154"/>
      <c r="H12" s="152">
        <v>39951.733</v>
      </c>
      <c r="I12" s="153" t="s">
        <v>271</v>
      </c>
      <c r="J12" s="152">
        <v>1685</v>
      </c>
      <c r="K12" s="150" t="s">
        <v>258</v>
      </c>
      <c r="L12" s="154" t="s">
        <v>309</v>
      </c>
      <c r="M12" s="152">
        <v>9729</v>
      </c>
      <c r="N12" s="150" t="s">
        <v>258</v>
      </c>
      <c r="O12" s="152">
        <f t="shared" si="4"/>
        <v>-0.26343171461485326</v>
      </c>
      <c r="P12" s="152">
        <f t="shared" si="5"/>
        <v>471810.12156828539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271</v>
      </c>
      <c r="J13" s="152"/>
      <c r="K13" s="150"/>
      <c r="L13" s="154" t="s">
        <v>309</v>
      </c>
      <c r="M13" s="152">
        <v>43664</v>
      </c>
      <c r="N13" s="154" t="s">
        <v>257</v>
      </c>
      <c r="O13" s="152">
        <f>C8+O12-J13-M13</f>
        <v>200273.07856828539</v>
      </c>
      <c r="P13" s="152">
        <f t="shared" si="5"/>
        <v>428146.12156828539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271</v>
      </c>
      <c r="J14" s="152"/>
      <c r="K14" s="150"/>
      <c r="L14" s="154" t="s">
        <v>309</v>
      </c>
      <c r="M14" s="152">
        <v>78000</v>
      </c>
      <c r="N14" s="154" t="s">
        <v>257</v>
      </c>
      <c r="O14" s="152">
        <f t="shared" si="4"/>
        <v>122273.07856828539</v>
      </c>
      <c r="P14" s="152">
        <f t="shared" si="5"/>
        <v>350146.12156828539</v>
      </c>
    </row>
    <row r="15" spans="1:16" x14ac:dyDescent="0.15">
      <c r="A15" s="154"/>
      <c r="B15" s="151"/>
      <c r="C15" s="152"/>
      <c r="D15" s="153" t="s">
        <v>296</v>
      </c>
      <c r="E15" s="154" t="s">
        <v>72</v>
      </c>
      <c r="F15" s="157" t="s">
        <v>299</v>
      </c>
      <c r="G15" s="154"/>
      <c r="H15" s="152">
        <v>75920.706999999995</v>
      </c>
      <c r="I15" s="153" t="s">
        <v>296</v>
      </c>
      <c r="J15" s="152"/>
      <c r="K15" s="150"/>
      <c r="L15" s="154"/>
      <c r="M15" s="152"/>
      <c r="N15" s="154"/>
      <c r="O15" s="152">
        <f t="shared" si="4"/>
        <v>122273.07856828539</v>
      </c>
      <c r="P15" s="152">
        <f t="shared" si="5"/>
        <v>426066.82856828539</v>
      </c>
    </row>
    <row r="16" spans="1:16" x14ac:dyDescent="0.15">
      <c r="A16" s="154"/>
      <c r="B16" s="151"/>
      <c r="C16" s="152"/>
      <c r="D16" s="153" t="s">
        <v>273</v>
      </c>
      <c r="E16" s="154" t="s">
        <v>72</v>
      </c>
      <c r="F16" s="157" t="s">
        <v>299</v>
      </c>
      <c r="G16" s="154"/>
      <c r="H16" s="152">
        <v>161934.595</v>
      </c>
      <c r="I16" s="153" t="s">
        <v>273</v>
      </c>
      <c r="J16" s="152"/>
      <c r="K16" s="150"/>
      <c r="L16" s="154" t="s">
        <v>309</v>
      </c>
      <c r="M16" s="152">
        <v>75643.955186048872</v>
      </c>
      <c r="N16" s="154" t="s">
        <v>257</v>
      </c>
      <c r="O16" s="152">
        <f t="shared" ref="O16:O84" si="6">+O15-J16-M16</f>
        <v>46629.123382236518</v>
      </c>
      <c r="P16" s="152">
        <f t="shared" ref="P16:P84" si="7">P15+H16-J16-M16</f>
        <v>512357.46838223655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273</v>
      </c>
      <c r="J17" s="152"/>
      <c r="K17" s="150"/>
      <c r="L17" s="154" t="s">
        <v>309</v>
      </c>
      <c r="M17" s="152">
        <v>46629</v>
      </c>
      <c r="N17" s="154" t="s">
        <v>257</v>
      </c>
      <c r="O17" s="152">
        <f t="shared" ref="O17:O20" si="8">+O16-J17-M17</f>
        <v>0.12338223651750013</v>
      </c>
      <c r="P17" s="152">
        <f t="shared" ref="P17:P20" si="9">P16+H17-J17-M17</f>
        <v>465728.46838223655</v>
      </c>
    </row>
    <row r="18" spans="1:16" x14ac:dyDescent="0.15">
      <c r="A18" s="154"/>
      <c r="B18" s="151"/>
      <c r="C18" s="152"/>
      <c r="D18" s="153"/>
      <c r="E18" s="154"/>
      <c r="F18" s="157"/>
      <c r="G18" s="154"/>
      <c r="H18" s="152"/>
      <c r="I18" s="153" t="s">
        <v>273</v>
      </c>
      <c r="J18" s="152"/>
      <c r="K18" s="150"/>
      <c r="L18" s="154" t="s">
        <v>309</v>
      </c>
      <c r="M18" s="152">
        <v>41441</v>
      </c>
      <c r="N18" s="154" t="s">
        <v>313</v>
      </c>
      <c r="O18" s="152">
        <f>C9+O17-J18-M18</f>
        <v>110509.02638223651</v>
      </c>
      <c r="P18" s="152">
        <f t="shared" si="9"/>
        <v>424287.46838223655</v>
      </c>
    </row>
    <row r="19" spans="1:16" x14ac:dyDescent="0.15">
      <c r="A19" s="154"/>
      <c r="B19" s="151"/>
      <c r="C19" s="152"/>
      <c r="D19" s="153" t="s">
        <v>297</v>
      </c>
      <c r="E19" s="154" t="s">
        <v>72</v>
      </c>
      <c r="F19" s="157" t="s">
        <v>315</v>
      </c>
      <c r="G19" s="154"/>
      <c r="H19" s="152">
        <v>109856.735</v>
      </c>
      <c r="I19" s="153" t="s">
        <v>297</v>
      </c>
      <c r="J19" s="152"/>
      <c r="K19" s="150"/>
      <c r="L19" s="154"/>
      <c r="M19" s="152"/>
      <c r="N19" s="154"/>
      <c r="O19" s="152">
        <f t="shared" si="8"/>
        <v>110509.02638223651</v>
      </c>
      <c r="P19" s="152">
        <f t="shared" si="9"/>
        <v>534144.20338223653</v>
      </c>
    </row>
    <row r="20" spans="1:16" x14ac:dyDescent="0.15">
      <c r="A20" s="154"/>
      <c r="B20" s="151"/>
      <c r="C20" s="152"/>
      <c r="D20" s="153" t="s">
        <v>274</v>
      </c>
      <c r="E20" s="154" t="s">
        <v>72</v>
      </c>
      <c r="F20" s="157" t="s">
        <v>315</v>
      </c>
      <c r="G20" s="154"/>
      <c r="H20" s="152">
        <v>93946.263000000006</v>
      </c>
      <c r="I20" s="153" t="s">
        <v>274</v>
      </c>
      <c r="J20" s="152"/>
      <c r="K20" s="150"/>
      <c r="L20" s="154" t="s">
        <v>309</v>
      </c>
      <c r="M20" s="152">
        <v>17959.068234816994</v>
      </c>
      <c r="N20" s="154" t="s">
        <v>313</v>
      </c>
      <c r="O20" s="152">
        <f t="shared" si="8"/>
        <v>92549.958147419515</v>
      </c>
      <c r="P20" s="152">
        <f t="shared" si="9"/>
        <v>610131.39814741956</v>
      </c>
    </row>
    <row r="21" spans="1:16" x14ac:dyDescent="0.15">
      <c r="A21" s="154"/>
      <c r="B21" s="151"/>
      <c r="C21" s="152"/>
      <c r="D21" s="153" t="s">
        <v>275</v>
      </c>
      <c r="E21" s="154" t="s">
        <v>72</v>
      </c>
      <c r="F21" s="157" t="s">
        <v>300</v>
      </c>
      <c r="G21" s="154"/>
      <c r="H21" s="152">
        <v>93918.069000000003</v>
      </c>
      <c r="I21" s="153" t="s">
        <v>275</v>
      </c>
      <c r="J21" s="152">
        <v>1236</v>
      </c>
      <c r="K21" s="154" t="s">
        <v>313</v>
      </c>
      <c r="L21" s="154" t="s">
        <v>309</v>
      </c>
      <c r="M21" s="152">
        <v>86308</v>
      </c>
      <c r="N21" s="154" t="s">
        <v>313</v>
      </c>
      <c r="O21" s="152">
        <f t="shared" ref="O21:O24" si="10">+O20-J21-M21</f>
        <v>5005.9581474195147</v>
      </c>
      <c r="P21" s="152">
        <f t="shared" ref="P21:P24" si="11">P20+H21-J21-M21</f>
        <v>616505.46714741958</v>
      </c>
    </row>
    <row r="22" spans="1:16" x14ac:dyDescent="0.15">
      <c r="A22" s="154"/>
      <c r="B22" s="151"/>
      <c r="C22" s="152"/>
      <c r="D22" s="153"/>
      <c r="E22" s="154"/>
      <c r="F22" s="157"/>
      <c r="G22" s="154"/>
      <c r="H22" s="152"/>
      <c r="I22" s="153" t="s">
        <v>276</v>
      </c>
      <c r="J22" s="152"/>
      <c r="K22" s="150"/>
      <c r="L22" s="154" t="s">
        <v>309</v>
      </c>
      <c r="M22" s="152">
        <v>5006</v>
      </c>
      <c r="N22" s="154" t="s">
        <v>313</v>
      </c>
      <c r="O22" s="152">
        <f t="shared" si="10"/>
        <v>-4.1852580485283397E-2</v>
      </c>
      <c r="P22" s="152">
        <f t="shared" si="11"/>
        <v>611499.46714741958</v>
      </c>
    </row>
    <row r="23" spans="1:16" x14ac:dyDescent="0.15">
      <c r="A23" s="154"/>
      <c r="B23" s="151"/>
      <c r="C23" s="152"/>
      <c r="D23" s="153"/>
      <c r="E23" s="154"/>
      <c r="F23" s="157"/>
      <c r="G23" s="154"/>
      <c r="H23" s="152"/>
      <c r="I23" s="153" t="s">
        <v>276</v>
      </c>
      <c r="J23" s="152"/>
      <c r="K23" s="150"/>
      <c r="L23" s="154" t="s">
        <v>309</v>
      </c>
      <c r="M23" s="152">
        <v>70158</v>
      </c>
      <c r="N23" s="157" t="s">
        <v>298</v>
      </c>
      <c r="O23" s="152">
        <f>H10+H12+O22-J23-M23</f>
        <v>5765.0981474195141</v>
      </c>
      <c r="P23" s="152">
        <f t="shared" si="11"/>
        <v>541341.46714741958</v>
      </c>
    </row>
    <row r="24" spans="1:16" x14ac:dyDescent="0.15">
      <c r="A24" s="154"/>
      <c r="B24" s="151"/>
      <c r="C24" s="152"/>
      <c r="D24" s="153" t="s">
        <v>277</v>
      </c>
      <c r="E24" s="154" t="s">
        <v>72</v>
      </c>
      <c r="F24" s="157" t="s">
        <v>300</v>
      </c>
      <c r="G24" s="154"/>
      <c r="H24" s="152">
        <v>76096.327000000005</v>
      </c>
      <c r="I24" s="153" t="s">
        <v>277</v>
      </c>
      <c r="J24" s="152">
        <v>1930</v>
      </c>
      <c r="K24" s="157" t="s">
        <v>298</v>
      </c>
      <c r="L24" s="154" t="s">
        <v>309</v>
      </c>
      <c r="M24" s="152">
        <v>3835</v>
      </c>
      <c r="N24" s="157" t="s">
        <v>298</v>
      </c>
      <c r="O24" s="152">
        <f t="shared" si="10"/>
        <v>9.8147419514134526E-2</v>
      </c>
      <c r="P24" s="152">
        <f t="shared" si="11"/>
        <v>611672.79414741963</v>
      </c>
    </row>
    <row r="25" spans="1:16" x14ac:dyDescent="0.15">
      <c r="A25" s="154"/>
      <c r="B25" s="151"/>
      <c r="C25" s="152"/>
      <c r="D25" s="153"/>
      <c r="E25" s="154"/>
      <c r="F25" s="157"/>
      <c r="G25" s="154"/>
      <c r="H25" s="152"/>
      <c r="I25" s="153" t="s">
        <v>277</v>
      </c>
      <c r="J25" s="152"/>
      <c r="K25" s="154"/>
      <c r="L25" s="154" t="s">
        <v>309</v>
      </c>
      <c r="M25" s="152">
        <v>72270</v>
      </c>
      <c r="N25" s="157" t="s">
        <v>299</v>
      </c>
      <c r="O25" s="152">
        <f>H15+H16+O24-J25-M25</f>
        <v>165585.40014741951</v>
      </c>
      <c r="P25" s="152">
        <f t="shared" ref="P25:P28" si="12">P24+H25-J25-M25</f>
        <v>539402.79414741963</v>
      </c>
    </row>
    <row r="26" spans="1:16" x14ac:dyDescent="0.15">
      <c r="A26" s="154"/>
      <c r="B26" s="151"/>
      <c r="C26" s="152"/>
      <c r="D26" s="153"/>
      <c r="E26" s="154"/>
      <c r="F26" s="157"/>
      <c r="G26" s="154"/>
      <c r="H26" s="152"/>
      <c r="I26" s="153" t="s">
        <v>277</v>
      </c>
      <c r="J26" s="152"/>
      <c r="K26" s="150"/>
      <c r="L26" s="154" t="s">
        <v>309</v>
      </c>
      <c r="M26" s="152">
        <v>90093.588157761333</v>
      </c>
      <c r="N26" s="157" t="s">
        <v>299</v>
      </c>
      <c r="O26" s="152">
        <f t="shared" ref="O26:O28" si="13">+O25-J26-M26</f>
        <v>75491.811989658177</v>
      </c>
      <c r="P26" s="152">
        <f t="shared" si="12"/>
        <v>449309.20598965831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278</v>
      </c>
      <c r="J27" s="152">
        <v>2943</v>
      </c>
      <c r="K27" s="157" t="s">
        <v>299</v>
      </c>
      <c r="L27" s="154" t="s">
        <v>309</v>
      </c>
      <c r="M27" s="152">
        <v>1771.9214235019772</v>
      </c>
      <c r="N27" s="157" t="s">
        <v>299</v>
      </c>
      <c r="O27" s="152">
        <f t="shared" si="13"/>
        <v>70776.890566156202</v>
      </c>
      <c r="P27" s="152">
        <f t="shared" si="12"/>
        <v>444594.28456615633</v>
      </c>
    </row>
    <row r="28" spans="1:16" x14ac:dyDescent="0.15">
      <c r="A28" s="154"/>
      <c r="B28" s="151"/>
      <c r="C28" s="152"/>
      <c r="D28" s="153" t="s">
        <v>279</v>
      </c>
      <c r="E28" s="154" t="s">
        <v>72</v>
      </c>
      <c r="F28" s="157" t="s">
        <v>301</v>
      </c>
      <c r="G28" s="154"/>
      <c r="H28" s="152">
        <v>73955.483999999997</v>
      </c>
      <c r="I28" s="153" t="s">
        <v>279</v>
      </c>
      <c r="J28" s="152">
        <v>1679</v>
      </c>
      <c r="K28" s="157" t="s">
        <v>299</v>
      </c>
      <c r="L28" s="154" t="s">
        <v>309</v>
      </c>
      <c r="M28" s="152">
        <v>21931.112237655885</v>
      </c>
      <c r="N28" s="157" t="s">
        <v>299</v>
      </c>
      <c r="O28" s="152">
        <f t="shared" si="13"/>
        <v>47166.778328500317</v>
      </c>
      <c r="P28" s="152">
        <f t="shared" si="12"/>
        <v>494939.65632850042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293</v>
      </c>
      <c r="J29" s="152">
        <v>908</v>
      </c>
      <c r="K29" s="157" t="s">
        <v>299</v>
      </c>
      <c r="L29" s="154"/>
      <c r="M29" s="152"/>
      <c r="N29" s="154"/>
      <c r="O29" s="152">
        <f t="shared" ref="O29:O33" si="14">+O28-J29-M29</f>
        <v>46258.778328500317</v>
      </c>
      <c r="P29" s="152">
        <f t="shared" ref="P29:P33" si="15">P28+H29-J29-M29</f>
        <v>494031.65632850042</v>
      </c>
    </row>
    <row r="30" spans="1:16" x14ac:dyDescent="0.15">
      <c r="A30" s="154"/>
      <c r="B30" s="151"/>
      <c r="C30" s="152"/>
      <c r="D30" s="153" t="s">
        <v>280</v>
      </c>
      <c r="E30" s="154" t="s">
        <v>72</v>
      </c>
      <c r="F30" s="157" t="s">
        <v>301</v>
      </c>
      <c r="G30" s="154"/>
      <c r="H30" s="152">
        <v>35976.271000000001</v>
      </c>
      <c r="I30" s="153" t="s">
        <v>280</v>
      </c>
      <c r="J30" s="152">
        <v>2022</v>
      </c>
      <c r="K30" s="157" t="s">
        <v>299</v>
      </c>
      <c r="L30" s="154" t="s">
        <v>309</v>
      </c>
      <c r="M30" s="152">
        <v>44237</v>
      </c>
      <c r="N30" s="157" t="s">
        <v>299</v>
      </c>
      <c r="O30" s="152">
        <f t="shared" si="14"/>
        <v>-0.22167149968299782</v>
      </c>
      <c r="P30" s="152">
        <f t="shared" si="15"/>
        <v>483748.92732850043</v>
      </c>
    </row>
    <row r="31" spans="1:16" x14ac:dyDescent="0.15">
      <c r="A31" s="154"/>
      <c r="B31" s="151"/>
      <c r="C31" s="152"/>
      <c r="D31" s="153"/>
      <c r="E31" s="154"/>
      <c r="F31" s="157"/>
      <c r="G31" s="154"/>
      <c r="H31" s="152"/>
      <c r="I31" s="153" t="s">
        <v>280</v>
      </c>
      <c r="J31" s="152"/>
      <c r="K31" s="154"/>
      <c r="L31" s="154" t="s">
        <v>309</v>
      </c>
      <c r="M31" s="152">
        <v>7584</v>
      </c>
      <c r="N31" s="157" t="s">
        <v>315</v>
      </c>
      <c r="O31" s="152">
        <f>H19+H20+O30-J31-M31</f>
        <v>196218.77632850033</v>
      </c>
      <c r="P31" s="152">
        <f t="shared" si="15"/>
        <v>476164.92732850043</v>
      </c>
    </row>
    <row r="32" spans="1:16" x14ac:dyDescent="0.15">
      <c r="A32" s="154"/>
      <c r="B32" s="151"/>
      <c r="C32" s="152"/>
      <c r="D32" s="153"/>
      <c r="E32" s="154"/>
      <c r="F32" s="157"/>
      <c r="G32" s="154"/>
      <c r="H32" s="152"/>
      <c r="I32" s="153" t="s">
        <v>280</v>
      </c>
      <c r="J32" s="152"/>
      <c r="K32" s="157"/>
      <c r="L32" s="154" t="s">
        <v>309</v>
      </c>
      <c r="M32" s="152">
        <v>91297.426847815077</v>
      </c>
      <c r="N32" s="157" t="s">
        <v>315</v>
      </c>
      <c r="O32" s="152">
        <f t="shared" si="14"/>
        <v>104921.34948068525</v>
      </c>
      <c r="P32" s="152">
        <f t="shared" si="15"/>
        <v>384867.50048068538</v>
      </c>
    </row>
    <row r="33" spans="1:16" x14ac:dyDescent="0.15">
      <c r="A33" s="154"/>
      <c r="B33" s="151"/>
      <c r="C33" s="152"/>
      <c r="D33" s="153" t="s">
        <v>281</v>
      </c>
      <c r="E33" s="154" t="s">
        <v>72</v>
      </c>
      <c r="F33" s="157" t="s">
        <v>301</v>
      </c>
      <c r="G33" s="154"/>
      <c r="H33" s="152">
        <v>81872.741999999998</v>
      </c>
      <c r="I33" s="153" t="s">
        <v>281</v>
      </c>
      <c r="J33" s="152">
        <v>340</v>
      </c>
      <c r="K33" s="157" t="s">
        <v>315</v>
      </c>
      <c r="L33" s="154" t="s">
        <v>309</v>
      </c>
      <c r="M33" s="152">
        <v>48031</v>
      </c>
      <c r="N33" s="157" t="s">
        <v>315</v>
      </c>
      <c r="O33" s="152">
        <f t="shared" si="14"/>
        <v>56550.349480685254</v>
      </c>
      <c r="P33" s="152">
        <f t="shared" si="15"/>
        <v>418369.24248068535</v>
      </c>
    </row>
    <row r="34" spans="1:16" x14ac:dyDescent="0.15">
      <c r="A34" s="154"/>
      <c r="B34" s="151"/>
      <c r="C34" s="152"/>
      <c r="D34" s="153"/>
      <c r="E34" s="154"/>
      <c r="F34" s="157"/>
      <c r="G34" s="154"/>
      <c r="H34" s="152"/>
      <c r="I34" s="153" t="s">
        <v>281</v>
      </c>
      <c r="J34" s="152"/>
      <c r="K34" s="150"/>
      <c r="L34" s="154" t="s">
        <v>309</v>
      </c>
      <c r="M34" s="152">
        <v>56550</v>
      </c>
      <c r="N34" s="157" t="s">
        <v>315</v>
      </c>
      <c r="O34" s="152">
        <f t="shared" ref="O34:O37" si="16">+O33-J34-M34</f>
        <v>0.34948068525409326</v>
      </c>
      <c r="P34" s="152">
        <f t="shared" ref="P34:P37" si="17">P33+H34-J34-M34</f>
        <v>361819.24248068535</v>
      </c>
    </row>
    <row r="35" spans="1:16" x14ac:dyDescent="0.15">
      <c r="A35" s="154"/>
      <c r="B35" s="151"/>
      <c r="C35" s="152"/>
      <c r="D35" s="153"/>
      <c r="E35" s="154"/>
      <c r="F35" s="157"/>
      <c r="G35" s="154"/>
      <c r="H35" s="152"/>
      <c r="I35" s="153" t="s">
        <v>281</v>
      </c>
      <c r="J35" s="152"/>
      <c r="K35" s="150"/>
      <c r="L35" s="154" t="s">
        <v>309</v>
      </c>
      <c r="M35" s="152">
        <v>20492</v>
      </c>
      <c r="N35" s="157" t="s">
        <v>300</v>
      </c>
      <c r="O35" s="152">
        <f>H21+H24+O34-J35-M35</f>
        <v>149522.74548068526</v>
      </c>
      <c r="P35" s="152">
        <f t="shared" si="17"/>
        <v>341327.24248068535</v>
      </c>
    </row>
    <row r="36" spans="1:16" x14ac:dyDescent="0.15">
      <c r="A36" s="154"/>
      <c r="B36" s="151"/>
      <c r="C36" s="152"/>
      <c r="D36" s="153"/>
      <c r="E36" s="154"/>
      <c r="F36" s="157"/>
      <c r="G36" s="154"/>
      <c r="H36" s="152"/>
      <c r="I36" s="153" t="s">
        <v>282</v>
      </c>
      <c r="J36" s="152">
        <v>986</v>
      </c>
      <c r="K36" s="157" t="s">
        <v>300</v>
      </c>
      <c r="L36" s="154" t="s">
        <v>309</v>
      </c>
      <c r="M36" s="152">
        <v>538.6721078779276</v>
      </c>
      <c r="N36" s="157" t="s">
        <v>300</v>
      </c>
      <c r="O36" s="152">
        <f>+O35-J36-M36</f>
        <v>147998.07337280732</v>
      </c>
      <c r="P36" s="152">
        <f>P35+H36-J36-M36</f>
        <v>339802.57037280744</v>
      </c>
    </row>
    <row r="37" spans="1:16" x14ac:dyDescent="0.15">
      <c r="A37" s="154"/>
      <c r="B37" s="151"/>
      <c r="C37" s="152"/>
      <c r="D37" s="153" t="s">
        <v>283</v>
      </c>
      <c r="E37" s="154" t="s">
        <v>72</v>
      </c>
      <c r="F37" s="157" t="s">
        <v>302</v>
      </c>
      <c r="G37" s="154"/>
      <c r="H37" s="152">
        <v>36063.879999999997</v>
      </c>
      <c r="I37" s="153" t="s">
        <v>283</v>
      </c>
      <c r="J37" s="152"/>
      <c r="K37" s="150"/>
      <c r="L37" s="154" t="s">
        <v>309</v>
      </c>
      <c r="M37" s="152">
        <v>80400.231166987724</v>
      </c>
      <c r="N37" s="157" t="s">
        <v>300</v>
      </c>
      <c r="O37" s="152">
        <f t="shared" si="16"/>
        <v>67597.842205819601</v>
      </c>
      <c r="P37" s="152">
        <f t="shared" si="17"/>
        <v>295466.21920581971</v>
      </c>
    </row>
    <row r="38" spans="1:16" x14ac:dyDescent="0.15">
      <c r="A38" s="154"/>
      <c r="B38" s="151"/>
      <c r="C38" s="152"/>
      <c r="D38" s="153"/>
      <c r="E38" s="154"/>
      <c r="F38" s="157"/>
      <c r="G38" s="154"/>
      <c r="H38" s="152"/>
      <c r="I38" s="153" t="s">
        <v>283</v>
      </c>
      <c r="J38" s="152"/>
      <c r="K38" s="150"/>
      <c r="L38" s="154" t="s">
        <v>309</v>
      </c>
      <c r="M38" s="152">
        <v>67598</v>
      </c>
      <c r="N38" s="157" t="s">
        <v>300</v>
      </c>
      <c r="O38" s="152">
        <f t="shared" ref="O38:O40" si="18">+O37-J38-M38</f>
        <v>-0.15779418039892334</v>
      </c>
      <c r="P38" s="152">
        <f t="shared" ref="P38:P40" si="19">P37+H38-J38-M38</f>
        <v>227868.21920581971</v>
      </c>
    </row>
    <row r="39" spans="1:16" x14ac:dyDescent="0.15">
      <c r="A39" s="154"/>
      <c r="B39" s="151"/>
      <c r="C39" s="152"/>
      <c r="D39" s="153"/>
      <c r="E39" s="154"/>
      <c r="F39" s="157"/>
      <c r="G39" s="154"/>
      <c r="H39" s="152"/>
      <c r="I39" s="153" t="s">
        <v>283</v>
      </c>
      <c r="J39" s="152"/>
      <c r="K39" s="150"/>
      <c r="L39" s="154" t="s">
        <v>309</v>
      </c>
      <c r="M39" s="152">
        <v>23136</v>
      </c>
      <c r="N39" s="157" t="s">
        <v>301</v>
      </c>
      <c r="O39" s="152">
        <f>H28+H30+H33+O38-J39-M39</f>
        <v>168668.33920581959</v>
      </c>
      <c r="P39" s="152">
        <f t="shared" si="19"/>
        <v>204732.21920581971</v>
      </c>
    </row>
    <row r="40" spans="1:16" x14ac:dyDescent="0.15">
      <c r="A40" s="154"/>
      <c r="B40" s="151"/>
      <c r="C40" s="152"/>
      <c r="D40" s="153" t="s">
        <v>284</v>
      </c>
      <c r="E40" s="154" t="s">
        <v>72</v>
      </c>
      <c r="F40" s="157" t="s">
        <v>303</v>
      </c>
      <c r="G40" s="154"/>
      <c r="H40" s="152">
        <v>75886.84</v>
      </c>
      <c r="I40" s="153" t="s">
        <v>284</v>
      </c>
      <c r="J40" s="152"/>
      <c r="K40" s="150"/>
      <c r="L40" s="154" t="s">
        <v>309</v>
      </c>
      <c r="M40" s="152">
        <v>592.63925783230252</v>
      </c>
      <c r="N40" s="157" t="s">
        <v>301</v>
      </c>
      <c r="O40" s="152">
        <f t="shared" si="18"/>
        <v>168075.69994798728</v>
      </c>
      <c r="P40" s="152">
        <f t="shared" si="19"/>
        <v>280026.41994798742</v>
      </c>
    </row>
    <row r="41" spans="1:16" x14ac:dyDescent="0.15">
      <c r="A41" s="154"/>
      <c r="B41" s="151"/>
      <c r="C41" s="152"/>
      <c r="D41" s="153" t="s">
        <v>285</v>
      </c>
      <c r="E41" s="154" t="s">
        <v>72</v>
      </c>
      <c r="F41" s="157" t="s">
        <v>303</v>
      </c>
      <c r="G41" s="154"/>
      <c r="H41" s="152">
        <v>75972.417000000001</v>
      </c>
      <c r="I41" s="153" t="s">
        <v>285</v>
      </c>
      <c r="J41" s="152"/>
      <c r="K41" s="150"/>
      <c r="L41" s="154" t="s">
        <v>309</v>
      </c>
      <c r="M41" s="152">
        <v>18021.878130386292</v>
      </c>
      <c r="N41" s="157" t="s">
        <v>301</v>
      </c>
      <c r="O41" s="152">
        <f t="shared" si="6"/>
        <v>150053.82181760098</v>
      </c>
      <c r="P41" s="152">
        <f t="shared" si="7"/>
        <v>337976.95881760115</v>
      </c>
    </row>
    <row r="42" spans="1:16" x14ac:dyDescent="0.15">
      <c r="A42" s="154"/>
      <c r="B42" s="151"/>
      <c r="C42" s="152"/>
      <c r="D42" s="153" t="s">
        <v>286</v>
      </c>
      <c r="E42" s="154" t="s">
        <v>72</v>
      </c>
      <c r="F42" s="157" t="s">
        <v>304</v>
      </c>
      <c r="G42" s="154"/>
      <c r="H42" s="152">
        <v>75914.214999999997</v>
      </c>
      <c r="I42" s="153" t="s">
        <v>286</v>
      </c>
      <c r="J42" s="152"/>
      <c r="K42" s="157"/>
      <c r="L42" s="154" t="s">
        <v>309</v>
      </c>
      <c r="M42" s="152">
        <v>89286</v>
      </c>
      <c r="N42" s="157" t="s">
        <v>301</v>
      </c>
      <c r="O42" s="152">
        <f t="shared" ref="O42:O46" si="20">+O41-J42-M42</f>
        <v>60767.821817600983</v>
      </c>
      <c r="P42" s="152">
        <f t="shared" ref="P42:P46" si="21">P41+H42-J42-M42</f>
        <v>324605.17381760117</v>
      </c>
    </row>
    <row r="43" spans="1:16" x14ac:dyDescent="0.15">
      <c r="A43" s="154"/>
      <c r="B43" s="151"/>
      <c r="C43" s="152"/>
      <c r="D43" s="153" t="s">
        <v>287</v>
      </c>
      <c r="E43" s="154" t="s">
        <v>72</v>
      </c>
      <c r="F43" s="157" t="s">
        <v>304</v>
      </c>
      <c r="G43" s="154"/>
      <c r="H43" s="152">
        <v>78016.425000000003</v>
      </c>
      <c r="I43" s="153" t="s">
        <v>287</v>
      </c>
      <c r="J43" s="152"/>
      <c r="K43" s="157"/>
      <c r="L43" s="154" t="s">
        <v>309</v>
      </c>
      <c r="M43" s="152">
        <v>60768</v>
      </c>
      <c r="N43" s="157" t="s">
        <v>301</v>
      </c>
      <c r="O43" s="152">
        <f t="shared" si="20"/>
        <v>-0.17818239901680499</v>
      </c>
      <c r="P43" s="152">
        <f t="shared" si="21"/>
        <v>341853.59881760116</v>
      </c>
    </row>
    <row r="44" spans="1:16" x14ac:dyDescent="0.15">
      <c r="A44" s="154"/>
      <c r="B44" s="151"/>
      <c r="C44" s="152"/>
      <c r="D44" s="153"/>
      <c r="E44" s="154"/>
      <c r="F44" s="157"/>
      <c r="G44" s="154"/>
      <c r="H44" s="152"/>
      <c r="I44" s="153" t="s">
        <v>287</v>
      </c>
      <c r="J44" s="152"/>
      <c r="K44" s="157"/>
      <c r="L44" s="154" t="s">
        <v>309</v>
      </c>
      <c r="M44" s="152">
        <v>14156</v>
      </c>
      <c r="N44" s="157" t="s">
        <v>302</v>
      </c>
      <c r="O44" s="152">
        <f>H37+O43-J44-M44</f>
        <v>21907.701817600981</v>
      </c>
      <c r="P44" s="152">
        <f t="shared" si="21"/>
        <v>327697.59881760116</v>
      </c>
    </row>
    <row r="45" spans="1:16" x14ac:dyDescent="0.15">
      <c r="A45" s="154"/>
      <c r="B45" s="151"/>
      <c r="C45" s="152"/>
      <c r="D45" s="153" t="s">
        <v>294</v>
      </c>
      <c r="E45" s="154" t="s">
        <v>72</v>
      </c>
      <c r="F45" s="157" t="s">
        <v>304</v>
      </c>
      <c r="G45" s="154"/>
      <c r="H45" s="152">
        <v>41857.938000000002</v>
      </c>
      <c r="I45" s="153" t="s">
        <v>294</v>
      </c>
      <c r="J45" s="152">
        <v>1632</v>
      </c>
      <c r="K45" s="157" t="s">
        <v>302</v>
      </c>
      <c r="L45" s="154"/>
      <c r="M45" s="152"/>
      <c r="N45" s="157"/>
      <c r="O45" s="152">
        <f t="shared" si="20"/>
        <v>20275.701817600981</v>
      </c>
      <c r="P45" s="152">
        <f t="shared" si="21"/>
        <v>367923.53681760118</v>
      </c>
    </row>
    <row r="46" spans="1:16" x14ac:dyDescent="0.15">
      <c r="A46" s="154"/>
      <c r="B46" s="151"/>
      <c r="C46" s="152"/>
      <c r="D46" s="153" t="s">
        <v>288</v>
      </c>
      <c r="E46" s="154" t="s">
        <v>72</v>
      </c>
      <c r="F46" s="157" t="s">
        <v>306</v>
      </c>
      <c r="G46" s="154"/>
      <c r="H46" s="152">
        <v>52087.608</v>
      </c>
      <c r="I46" s="153" t="s">
        <v>288</v>
      </c>
      <c r="J46" s="152"/>
      <c r="K46" s="157"/>
      <c r="L46" s="154" t="s">
        <v>309</v>
      </c>
      <c r="M46" s="152">
        <v>20276</v>
      </c>
      <c r="N46" s="157" t="s">
        <v>302</v>
      </c>
      <c r="O46" s="152">
        <f t="shared" si="20"/>
        <v>-0.29818239901942434</v>
      </c>
      <c r="P46" s="152">
        <f t="shared" si="21"/>
        <v>399735.14481760119</v>
      </c>
    </row>
    <row r="47" spans="1:16" x14ac:dyDescent="0.15">
      <c r="A47" s="154"/>
      <c r="B47" s="151"/>
      <c r="C47" s="152"/>
      <c r="D47" s="153"/>
      <c r="E47" s="154"/>
      <c r="F47" s="157"/>
      <c r="G47" s="154"/>
      <c r="H47" s="152"/>
      <c r="I47" s="153" t="s">
        <v>288</v>
      </c>
      <c r="J47" s="152"/>
      <c r="K47" s="157"/>
      <c r="L47" s="154" t="s">
        <v>309</v>
      </c>
      <c r="M47" s="152">
        <v>54684</v>
      </c>
      <c r="N47" s="157" t="s">
        <v>303</v>
      </c>
      <c r="O47" s="152">
        <f>H40+H41+O46-J47-M47</f>
        <v>97174.958817600971</v>
      </c>
      <c r="P47" s="152">
        <f t="shared" ref="P47:P49" si="22">P46+H47-J47-M47</f>
        <v>345051.14481760119</v>
      </c>
    </row>
    <row r="48" spans="1:16" x14ac:dyDescent="0.15">
      <c r="A48" s="154"/>
      <c r="B48" s="151"/>
      <c r="C48" s="152"/>
      <c r="D48" s="153"/>
      <c r="E48" s="154"/>
      <c r="F48" s="157"/>
      <c r="G48" s="154"/>
      <c r="H48" s="152"/>
      <c r="I48" s="153" t="s">
        <v>288</v>
      </c>
      <c r="J48" s="152"/>
      <c r="K48" s="150"/>
      <c r="L48" s="154" t="s">
        <v>309</v>
      </c>
      <c r="M48" s="152">
        <v>87225.610463347854</v>
      </c>
      <c r="N48" s="157" t="s">
        <v>303</v>
      </c>
      <c r="O48" s="152">
        <f t="shared" ref="O48:O49" si="23">+O47-J48-M48</f>
        <v>9949.3483542531176</v>
      </c>
      <c r="P48" s="152">
        <f t="shared" si="22"/>
        <v>257825.53435425332</v>
      </c>
    </row>
    <row r="49" spans="1:16" x14ac:dyDescent="0.15">
      <c r="A49" s="154"/>
      <c r="B49" s="151"/>
      <c r="C49" s="152"/>
      <c r="D49" s="153" t="s">
        <v>305</v>
      </c>
      <c r="E49" s="154" t="s">
        <v>72</v>
      </c>
      <c r="F49" s="157" t="s">
        <v>306</v>
      </c>
      <c r="G49" s="154"/>
      <c r="H49" s="152">
        <v>89897</v>
      </c>
      <c r="I49" s="153" t="s">
        <v>305</v>
      </c>
      <c r="J49" s="152"/>
      <c r="K49" s="150"/>
      <c r="L49" s="154"/>
      <c r="M49" s="152"/>
      <c r="N49" s="157"/>
      <c r="O49" s="152">
        <f t="shared" si="23"/>
        <v>9949.3483542531176</v>
      </c>
      <c r="P49" s="152">
        <f t="shared" si="22"/>
        <v>347722.53435425332</v>
      </c>
    </row>
    <row r="50" spans="1:16" x14ac:dyDescent="0.15">
      <c r="A50" s="154"/>
      <c r="B50" s="151"/>
      <c r="C50" s="152"/>
      <c r="D50" s="153" t="s">
        <v>305</v>
      </c>
      <c r="E50" s="154" t="s">
        <v>72</v>
      </c>
      <c r="F50" s="157" t="s">
        <v>300</v>
      </c>
      <c r="G50" s="154"/>
      <c r="H50" s="152">
        <v>7991</v>
      </c>
      <c r="I50" s="153" t="s">
        <v>305</v>
      </c>
      <c r="J50" s="152"/>
      <c r="K50" s="150"/>
      <c r="L50" s="154"/>
      <c r="M50" s="152"/>
      <c r="N50" s="157"/>
      <c r="O50" s="152">
        <f t="shared" si="6"/>
        <v>9949.3483542531176</v>
      </c>
      <c r="P50" s="152">
        <f t="shared" si="7"/>
        <v>355713.53435425332</v>
      </c>
    </row>
    <row r="51" spans="1:16" x14ac:dyDescent="0.15">
      <c r="A51" s="154"/>
      <c r="B51" s="151"/>
      <c r="C51" s="152"/>
      <c r="D51" s="153" t="s">
        <v>292</v>
      </c>
      <c r="E51" s="154" t="s">
        <v>72</v>
      </c>
      <c r="F51" s="157" t="s">
        <v>306</v>
      </c>
      <c r="G51" s="154"/>
      <c r="H51" s="152">
        <v>133786.245</v>
      </c>
      <c r="I51" s="153" t="s">
        <v>292</v>
      </c>
      <c r="J51" s="152"/>
      <c r="K51" s="150"/>
      <c r="L51" s="154" t="s">
        <v>309</v>
      </c>
      <c r="M51" s="152">
        <v>9949</v>
      </c>
      <c r="N51" s="157" t="s">
        <v>303</v>
      </c>
      <c r="O51" s="152">
        <f t="shared" ref="O51:O55" si="24">+O50-J51-M51</f>
        <v>0.34835425311757717</v>
      </c>
      <c r="P51" s="152">
        <f t="shared" ref="P51:P55" si="25">P50+H51-J51-M51</f>
        <v>479550.77935425332</v>
      </c>
    </row>
    <row r="52" spans="1:16" x14ac:dyDescent="0.15">
      <c r="A52" s="154"/>
      <c r="B52" s="151"/>
      <c r="C52" s="152"/>
      <c r="D52" s="153"/>
      <c r="E52" s="154"/>
      <c r="F52" s="157"/>
      <c r="G52" s="154"/>
      <c r="H52" s="152"/>
      <c r="I52" s="153" t="s">
        <v>292</v>
      </c>
      <c r="J52" s="152"/>
      <c r="K52" s="150"/>
      <c r="L52" s="154" t="s">
        <v>310</v>
      </c>
      <c r="M52" s="152">
        <v>5408</v>
      </c>
      <c r="N52" s="157" t="s">
        <v>304</v>
      </c>
      <c r="O52" s="152">
        <f>H42+H43+H45+O51-J52-M52</f>
        <v>190380.92635425314</v>
      </c>
      <c r="P52" s="152">
        <f t="shared" si="25"/>
        <v>474142.77935425332</v>
      </c>
    </row>
    <row r="53" spans="1:16" x14ac:dyDescent="0.15">
      <c r="A53" s="154"/>
      <c r="B53" s="151"/>
      <c r="C53" s="152"/>
      <c r="D53" s="153"/>
      <c r="E53" s="154"/>
      <c r="F53" s="157"/>
      <c r="G53" s="154"/>
      <c r="H53" s="152"/>
      <c r="I53" s="153" t="s">
        <v>295</v>
      </c>
      <c r="J53" s="152">
        <v>1549</v>
      </c>
      <c r="K53" s="157" t="s">
        <v>304</v>
      </c>
      <c r="L53" s="154"/>
      <c r="M53" s="152"/>
      <c r="N53" s="157"/>
      <c r="O53" s="152">
        <f t="shared" si="24"/>
        <v>188831.92635425314</v>
      </c>
      <c r="P53" s="152">
        <f t="shared" si="25"/>
        <v>472593.77935425332</v>
      </c>
    </row>
    <row r="54" spans="1:16" x14ac:dyDescent="0.15">
      <c r="A54" s="154"/>
      <c r="B54" s="151"/>
      <c r="C54" s="152"/>
      <c r="D54" s="153" t="s">
        <v>289</v>
      </c>
      <c r="E54" s="154" t="s">
        <v>72</v>
      </c>
      <c r="F54" s="157" t="s">
        <v>307</v>
      </c>
      <c r="G54" s="154"/>
      <c r="H54" s="152">
        <v>35957.408000000003</v>
      </c>
      <c r="I54" s="153" t="s">
        <v>289</v>
      </c>
      <c r="J54" s="152">
        <v>422</v>
      </c>
      <c r="K54" s="157" t="s">
        <v>304</v>
      </c>
      <c r="L54" s="154" t="s">
        <v>310</v>
      </c>
      <c r="M54" s="152">
        <v>48038.758592720267</v>
      </c>
      <c r="N54" s="157" t="s">
        <v>304</v>
      </c>
      <c r="O54" s="152">
        <f t="shared" si="24"/>
        <v>140371.16776153288</v>
      </c>
      <c r="P54" s="152">
        <f t="shared" si="25"/>
        <v>460090.42876153305</v>
      </c>
    </row>
    <row r="55" spans="1:16" x14ac:dyDescent="0.15">
      <c r="A55" s="154"/>
      <c r="B55" s="151"/>
      <c r="C55" s="152"/>
      <c r="D55" s="153"/>
      <c r="E55" s="154"/>
      <c r="F55" s="157"/>
      <c r="G55" s="154"/>
      <c r="H55" s="152"/>
      <c r="I55" s="153" t="s">
        <v>289</v>
      </c>
      <c r="J55" s="152"/>
      <c r="K55" s="150"/>
      <c r="L55" s="154" t="s">
        <v>310</v>
      </c>
      <c r="M55" s="152">
        <v>89276.65689952347</v>
      </c>
      <c r="N55" s="157" t="s">
        <v>304</v>
      </c>
      <c r="O55" s="152">
        <f t="shared" si="24"/>
        <v>51094.510862009411</v>
      </c>
      <c r="P55" s="152">
        <f t="shared" si="25"/>
        <v>370813.7718620096</v>
      </c>
    </row>
    <row r="56" spans="1:16" x14ac:dyDescent="0.15">
      <c r="A56" s="154"/>
      <c r="B56" s="151"/>
      <c r="C56" s="152"/>
      <c r="D56" s="153" t="s">
        <v>290</v>
      </c>
      <c r="E56" s="154" t="s">
        <v>72</v>
      </c>
      <c r="F56" s="157" t="s">
        <v>307</v>
      </c>
      <c r="G56" s="154"/>
      <c r="H56" s="152">
        <v>39944.832999999999</v>
      </c>
      <c r="I56" s="153" t="s">
        <v>290</v>
      </c>
      <c r="J56" s="152"/>
      <c r="K56" s="150"/>
      <c r="L56" s="154" t="s">
        <v>310</v>
      </c>
      <c r="M56" s="152">
        <v>49773</v>
      </c>
      <c r="N56" s="157" t="s">
        <v>304</v>
      </c>
      <c r="O56" s="152">
        <f t="shared" si="6"/>
        <v>1321.5108620094106</v>
      </c>
      <c r="P56" s="152">
        <f t="shared" si="7"/>
        <v>360985.60486200958</v>
      </c>
    </row>
    <row r="57" spans="1:16" x14ac:dyDescent="0.15">
      <c r="A57" s="154"/>
      <c r="B57" s="151"/>
      <c r="C57" s="152"/>
      <c r="D57" s="153" t="s">
        <v>291</v>
      </c>
      <c r="E57" s="154" t="s">
        <v>72</v>
      </c>
      <c r="F57" s="157" t="s">
        <v>308</v>
      </c>
      <c r="G57" s="154"/>
      <c r="H57" s="152">
        <v>75922.535999999993</v>
      </c>
      <c r="I57" s="153" t="s">
        <v>291</v>
      </c>
      <c r="J57" s="152">
        <v>1044</v>
      </c>
      <c r="K57" s="157" t="s">
        <v>304</v>
      </c>
      <c r="L57" s="154" t="s">
        <v>310</v>
      </c>
      <c r="M57" s="152">
        <v>278</v>
      </c>
      <c r="N57" s="157" t="s">
        <v>304</v>
      </c>
      <c r="O57" s="152">
        <f t="shared" si="6"/>
        <v>-0.48913799058937002</v>
      </c>
      <c r="P57" s="152">
        <f t="shared" si="7"/>
        <v>435586.1408620096</v>
      </c>
    </row>
    <row r="58" spans="1:16" x14ac:dyDescent="0.15">
      <c r="A58" s="154"/>
      <c r="B58" s="151"/>
      <c r="C58" s="152"/>
      <c r="D58" s="153"/>
      <c r="E58" s="154"/>
      <c r="F58" s="157"/>
      <c r="G58" s="154"/>
      <c r="H58" s="152"/>
      <c r="I58" s="153" t="s">
        <v>291</v>
      </c>
      <c r="J58" s="152"/>
      <c r="K58" s="150"/>
      <c r="L58" s="154" t="s">
        <v>310</v>
      </c>
      <c r="M58" s="152">
        <v>75238</v>
      </c>
      <c r="N58" s="157" t="s">
        <v>306</v>
      </c>
      <c r="O58" s="152">
        <f>H46+H49+O57-J58-M58</f>
        <v>66746.118862009433</v>
      </c>
      <c r="P58" s="152">
        <f t="shared" si="7"/>
        <v>360348.1408620096</v>
      </c>
    </row>
    <row r="59" spans="1:16" hidden="1" x14ac:dyDescent="0.15">
      <c r="A59" s="154"/>
      <c r="B59" s="151"/>
      <c r="C59" s="152"/>
      <c r="D59" s="153"/>
      <c r="E59" s="154"/>
      <c r="F59" s="157"/>
      <c r="G59" s="154"/>
      <c r="H59" s="152"/>
      <c r="I59" s="153"/>
      <c r="J59" s="152"/>
      <c r="K59" s="157"/>
      <c r="L59" s="154"/>
      <c r="M59" s="152"/>
      <c r="N59" s="157"/>
      <c r="O59" s="152">
        <f t="shared" si="6"/>
        <v>66746.118862009433</v>
      </c>
      <c r="P59" s="152">
        <f t="shared" si="7"/>
        <v>360348.1408620096</v>
      </c>
    </row>
    <row r="60" spans="1:16" hidden="1" x14ac:dyDescent="0.15">
      <c r="A60" s="154"/>
      <c r="B60" s="151"/>
      <c r="C60" s="152"/>
      <c r="D60" s="153"/>
      <c r="E60" s="154"/>
      <c r="F60" s="157"/>
      <c r="G60" s="154"/>
      <c r="H60" s="152"/>
      <c r="I60" s="153"/>
      <c r="J60" s="152"/>
      <c r="K60" s="157"/>
      <c r="L60" s="154"/>
      <c r="M60" s="152"/>
      <c r="N60" s="157"/>
      <c r="O60" s="152">
        <f t="shared" si="6"/>
        <v>66746.118862009433</v>
      </c>
      <c r="P60" s="152">
        <f t="shared" si="7"/>
        <v>360348.1408620096</v>
      </c>
    </row>
    <row r="61" spans="1:16" hidden="1" x14ac:dyDescent="0.15">
      <c r="A61" s="154"/>
      <c r="B61" s="151"/>
      <c r="C61" s="152"/>
      <c r="D61" s="153"/>
      <c r="E61" s="154"/>
      <c r="F61" s="157"/>
      <c r="G61" s="154"/>
      <c r="H61" s="152"/>
      <c r="I61" s="153"/>
      <c r="J61" s="152"/>
      <c r="K61" s="157"/>
      <c r="L61" s="154"/>
      <c r="M61" s="152"/>
      <c r="N61" s="157"/>
      <c r="O61" s="152">
        <f t="shared" si="6"/>
        <v>66746.118862009433</v>
      </c>
      <c r="P61" s="152">
        <f t="shared" si="7"/>
        <v>360348.1408620096</v>
      </c>
    </row>
    <row r="62" spans="1:16" hidden="1" x14ac:dyDescent="0.15">
      <c r="A62" s="154"/>
      <c r="B62" s="151"/>
      <c r="C62" s="152"/>
      <c r="D62" s="153"/>
      <c r="E62" s="154"/>
      <c r="F62" s="157"/>
      <c r="G62" s="154"/>
      <c r="H62" s="152"/>
      <c r="I62" s="153"/>
      <c r="J62" s="152"/>
      <c r="K62" s="154"/>
      <c r="L62" s="154"/>
      <c r="M62" s="152"/>
      <c r="N62" s="157"/>
      <c r="O62" s="152">
        <f t="shared" si="6"/>
        <v>66746.118862009433</v>
      </c>
      <c r="P62" s="152">
        <f t="shared" si="7"/>
        <v>360348.1408620096</v>
      </c>
    </row>
    <row r="63" spans="1:16" hidden="1" x14ac:dyDescent="0.15">
      <c r="A63" s="154"/>
      <c r="B63" s="151"/>
      <c r="C63" s="152"/>
      <c r="D63" s="153"/>
      <c r="E63" s="154"/>
      <c r="F63" s="157"/>
      <c r="G63" s="154"/>
      <c r="H63" s="152"/>
      <c r="I63" s="153"/>
      <c r="J63" s="152"/>
      <c r="K63" s="154"/>
      <c r="L63" s="154"/>
      <c r="M63" s="152"/>
      <c r="N63" s="157"/>
      <c r="O63" s="152">
        <f t="shared" si="6"/>
        <v>66746.118862009433</v>
      </c>
      <c r="P63" s="152">
        <f t="shared" si="7"/>
        <v>360348.1408620096</v>
      </c>
    </row>
    <row r="64" spans="1:16" hidden="1" x14ac:dyDescent="0.15">
      <c r="A64" s="154"/>
      <c r="B64" s="151"/>
      <c r="C64" s="152"/>
      <c r="D64" s="153"/>
      <c r="E64" s="154"/>
      <c r="F64" s="157"/>
      <c r="G64" s="154"/>
      <c r="H64" s="152"/>
      <c r="I64" s="153"/>
      <c r="J64" s="152"/>
      <c r="K64" s="154"/>
      <c r="L64" s="154"/>
      <c r="M64" s="152"/>
      <c r="N64" s="157"/>
      <c r="O64" s="152">
        <f t="shared" si="6"/>
        <v>66746.118862009433</v>
      </c>
      <c r="P64" s="152">
        <f t="shared" si="7"/>
        <v>360348.1408620096</v>
      </c>
    </row>
    <row r="65" spans="1:16" hidden="1" x14ac:dyDescent="0.15">
      <c r="A65" s="154"/>
      <c r="B65" s="151"/>
      <c r="C65" s="152"/>
      <c r="D65" s="153"/>
      <c r="E65" s="154"/>
      <c r="F65" s="157"/>
      <c r="G65" s="154"/>
      <c r="H65" s="152"/>
      <c r="I65" s="153"/>
      <c r="J65" s="152"/>
      <c r="K65" s="154"/>
      <c r="L65" s="154"/>
      <c r="M65" s="152"/>
      <c r="N65" s="157"/>
      <c r="O65" s="152">
        <f t="shared" si="6"/>
        <v>66746.118862009433</v>
      </c>
      <c r="P65" s="152">
        <f t="shared" si="7"/>
        <v>360348.1408620096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0"/>
      <c r="L66" s="154"/>
      <c r="M66" s="152"/>
      <c r="N66" s="157"/>
      <c r="O66" s="152">
        <f t="shared" si="6"/>
        <v>66746.118862009433</v>
      </c>
      <c r="P66" s="152">
        <f t="shared" si="7"/>
        <v>360348.1408620096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0"/>
      <c r="L67" s="154"/>
      <c r="M67" s="152"/>
      <c r="N67" s="157"/>
      <c r="O67" s="152">
        <f t="shared" si="6"/>
        <v>66746.118862009433</v>
      </c>
      <c r="P67" s="152">
        <f t="shared" si="7"/>
        <v>360348.1408620096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0"/>
      <c r="L68" s="154"/>
      <c r="M68" s="152"/>
      <c r="N68" s="157"/>
      <c r="O68" s="152">
        <f t="shared" si="6"/>
        <v>66746.118862009433</v>
      </c>
      <c r="P68" s="152">
        <f t="shared" si="7"/>
        <v>360348.1408620096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0"/>
      <c r="L69" s="154"/>
      <c r="M69" s="152"/>
      <c r="N69" s="157"/>
      <c r="O69" s="152">
        <f t="shared" si="6"/>
        <v>66746.118862009433</v>
      </c>
      <c r="P69" s="152">
        <f t="shared" si="7"/>
        <v>360348.1408620096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0"/>
      <c r="L70" s="154"/>
      <c r="M70" s="152"/>
      <c r="N70" s="157"/>
      <c r="O70" s="152">
        <f t="shared" si="6"/>
        <v>66746.118862009433</v>
      </c>
      <c r="P70" s="152">
        <f t="shared" si="7"/>
        <v>360348.1408620096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0"/>
      <c r="L71" s="154"/>
      <c r="M71" s="152"/>
      <c r="N71" s="157"/>
      <c r="O71" s="152">
        <f t="shared" si="6"/>
        <v>66746.118862009433</v>
      </c>
      <c r="P71" s="152">
        <f t="shared" si="7"/>
        <v>360348.1408620096</v>
      </c>
    </row>
    <row r="72" spans="1:16" hidden="1" x14ac:dyDescent="0.15">
      <c r="A72" s="154"/>
      <c r="B72" s="151"/>
      <c r="C72" s="152"/>
      <c r="D72" s="153"/>
      <c r="E72" s="154"/>
      <c r="F72" s="157"/>
      <c r="G72" s="151"/>
      <c r="H72" s="152"/>
      <c r="I72" s="153"/>
      <c r="J72" s="152"/>
      <c r="K72" s="157"/>
      <c r="L72" s="154"/>
      <c r="M72" s="152"/>
      <c r="N72" s="157"/>
      <c r="O72" s="152">
        <f t="shared" si="6"/>
        <v>66746.118862009433</v>
      </c>
      <c r="P72" s="152">
        <f t="shared" si="7"/>
        <v>360348.1408620096</v>
      </c>
    </row>
    <row r="73" spans="1:16" hidden="1" x14ac:dyDescent="0.15">
      <c r="A73" s="154"/>
      <c r="B73" s="151"/>
      <c r="C73" s="152"/>
      <c r="D73" s="153"/>
      <c r="E73" s="154"/>
      <c r="F73" s="157"/>
      <c r="G73" s="151"/>
      <c r="H73" s="152"/>
      <c r="I73" s="153"/>
      <c r="J73" s="152"/>
      <c r="K73" s="157"/>
      <c r="L73" s="154"/>
      <c r="M73" s="152"/>
      <c r="N73" s="157"/>
      <c r="O73" s="152">
        <f t="shared" si="6"/>
        <v>66746.118862009433</v>
      </c>
      <c r="P73" s="152">
        <f t="shared" si="7"/>
        <v>360348.1408620096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6"/>
        <v>66746.118862009433</v>
      </c>
      <c r="P74" s="152">
        <f t="shared" si="7"/>
        <v>360348.1408620096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9"/>
      <c r="L75" s="154"/>
      <c r="M75" s="152"/>
      <c r="N75" s="157"/>
      <c r="O75" s="152">
        <f t="shared" si="6"/>
        <v>66746.118862009433</v>
      </c>
      <c r="P75" s="152">
        <f t="shared" si="7"/>
        <v>360348.1408620096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9"/>
      <c r="L76" s="154"/>
      <c r="M76" s="152"/>
      <c r="N76" s="157"/>
      <c r="O76" s="152">
        <f t="shared" si="6"/>
        <v>66746.118862009433</v>
      </c>
      <c r="P76" s="152">
        <f t="shared" si="7"/>
        <v>360348.1408620096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9"/>
      <c r="L77" s="154"/>
      <c r="M77" s="152"/>
      <c r="N77" s="157"/>
      <c r="O77" s="152">
        <f t="shared" si="6"/>
        <v>66746.118862009433</v>
      </c>
      <c r="P77" s="152">
        <f t="shared" si="7"/>
        <v>360348.1408620096</v>
      </c>
    </row>
    <row r="78" spans="1:16" hidden="1" x14ac:dyDescent="0.15">
      <c r="A78" s="154"/>
      <c r="B78" s="151"/>
      <c r="C78" s="152"/>
      <c r="D78" s="153"/>
      <c r="E78" s="154"/>
      <c r="F78" s="157"/>
      <c r="G78" s="151"/>
      <c r="H78" s="152"/>
      <c r="I78" s="153"/>
      <c r="J78" s="152"/>
      <c r="K78" s="159"/>
      <c r="L78" s="154"/>
      <c r="M78" s="152"/>
      <c r="N78" s="157"/>
      <c r="O78" s="152">
        <f t="shared" si="6"/>
        <v>66746.118862009433</v>
      </c>
      <c r="P78" s="152">
        <f t="shared" si="7"/>
        <v>360348.1408620096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7"/>
      <c r="L79" s="154"/>
      <c r="M79" s="152"/>
      <c r="N79" s="157"/>
      <c r="O79" s="152">
        <f t="shared" si="6"/>
        <v>66746.118862009433</v>
      </c>
      <c r="P79" s="152">
        <f t="shared" si="7"/>
        <v>360348.1408620096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7"/>
      <c r="L80" s="154"/>
      <c r="M80" s="152"/>
      <c r="N80" s="157"/>
      <c r="O80" s="152">
        <f t="shared" si="6"/>
        <v>66746.118862009433</v>
      </c>
      <c r="P80" s="152">
        <f t="shared" si="7"/>
        <v>360348.1408620096</v>
      </c>
    </row>
    <row r="81" spans="1:16" hidden="1" x14ac:dyDescent="0.15">
      <c r="A81" s="154"/>
      <c r="B81" s="151"/>
      <c r="C81" s="152"/>
      <c r="D81" s="153"/>
      <c r="E81" s="154"/>
      <c r="F81" s="157"/>
      <c r="G81" s="151"/>
      <c r="H81" s="152"/>
      <c r="I81" s="153"/>
      <c r="J81" s="152"/>
      <c r="K81" s="157"/>
      <c r="L81" s="154"/>
      <c r="M81" s="152"/>
      <c r="N81" s="150"/>
      <c r="O81" s="152">
        <f t="shared" si="6"/>
        <v>66746.118862009433</v>
      </c>
      <c r="P81" s="152">
        <f t="shared" si="7"/>
        <v>360348.1408620096</v>
      </c>
    </row>
    <row r="82" spans="1:16" hidden="1" x14ac:dyDescent="0.15">
      <c r="A82" s="154"/>
      <c r="B82" s="151"/>
      <c r="C82" s="152"/>
      <c r="D82" s="153"/>
      <c r="E82" s="154"/>
      <c r="F82" s="157"/>
      <c r="G82" s="151"/>
      <c r="H82" s="152"/>
      <c r="I82" s="153"/>
      <c r="J82" s="152"/>
      <c r="K82" s="159"/>
      <c r="L82" s="154"/>
      <c r="M82" s="152"/>
      <c r="N82" s="157"/>
      <c r="O82" s="152">
        <f t="shared" si="6"/>
        <v>66746.118862009433</v>
      </c>
      <c r="P82" s="152">
        <f t="shared" si="7"/>
        <v>360348.1408620096</v>
      </c>
    </row>
    <row r="83" spans="1:16" hidden="1" x14ac:dyDescent="0.15">
      <c r="A83" s="154"/>
      <c r="B83" s="151"/>
      <c r="C83" s="152"/>
      <c r="D83" s="153"/>
      <c r="E83" s="154"/>
      <c r="F83" s="157"/>
      <c r="G83" s="151"/>
      <c r="H83" s="152"/>
      <c r="I83" s="153"/>
      <c r="J83" s="152"/>
      <c r="K83" s="159"/>
      <c r="L83" s="154"/>
      <c r="M83" s="152"/>
      <c r="N83" s="157"/>
      <c r="O83" s="152">
        <f t="shared" si="6"/>
        <v>66746.118862009433</v>
      </c>
      <c r="P83" s="152">
        <f t="shared" si="7"/>
        <v>360348.1408620096</v>
      </c>
    </row>
    <row r="84" spans="1:16" hidden="1" x14ac:dyDescent="0.15">
      <c r="A84" s="154"/>
      <c r="B84" s="151"/>
      <c r="C84" s="152"/>
      <c r="D84" s="153"/>
      <c r="E84" s="154"/>
      <c r="F84" s="157"/>
      <c r="G84" s="151"/>
      <c r="H84" s="152"/>
      <c r="I84" s="153"/>
      <c r="J84" s="152"/>
      <c r="K84" s="159"/>
      <c r="L84" s="154"/>
      <c r="M84" s="152"/>
      <c r="N84" s="157"/>
      <c r="O84" s="152">
        <f t="shared" si="6"/>
        <v>66746.118862009433</v>
      </c>
      <c r="P84" s="152">
        <f t="shared" si="7"/>
        <v>360348.1408620096</v>
      </c>
    </row>
    <row r="85" spans="1:16" hidden="1" x14ac:dyDescent="0.15">
      <c r="A85" s="154"/>
      <c r="B85" s="151"/>
      <c r="C85" s="152"/>
      <c r="D85" s="153"/>
      <c r="E85" s="154"/>
      <c r="F85" s="157"/>
      <c r="G85" s="151"/>
      <c r="H85" s="152"/>
      <c r="I85" s="153"/>
      <c r="J85" s="152"/>
      <c r="K85" s="159"/>
      <c r="L85" s="154"/>
      <c r="M85" s="152"/>
      <c r="N85" s="157"/>
      <c r="O85" s="152">
        <f t="shared" ref="O85:O148" si="26">+O84-J85-M85</f>
        <v>66746.118862009433</v>
      </c>
      <c r="P85" s="152">
        <f t="shared" ref="P85:P148" si="27">P84+H85-J85-M85</f>
        <v>360348.1408620096</v>
      </c>
    </row>
    <row r="86" spans="1:16" hidden="1" x14ac:dyDescent="0.15">
      <c r="A86" s="154"/>
      <c r="B86" s="151"/>
      <c r="C86" s="152"/>
      <c r="D86" s="153"/>
      <c r="E86" s="154"/>
      <c r="F86" s="157"/>
      <c r="G86" s="151"/>
      <c r="H86" s="152"/>
      <c r="I86" s="153"/>
      <c r="J86" s="152"/>
      <c r="K86" s="157"/>
      <c r="L86" s="154"/>
      <c r="M86" s="152"/>
      <c r="N86" s="157"/>
      <c r="O86" s="152">
        <f t="shared" si="26"/>
        <v>66746.118862009433</v>
      </c>
      <c r="P86" s="152">
        <f t="shared" si="27"/>
        <v>360348.1408620096</v>
      </c>
    </row>
    <row r="87" spans="1:16" hidden="1" x14ac:dyDescent="0.15">
      <c r="A87" s="154"/>
      <c r="B87" s="151"/>
      <c r="C87" s="152"/>
      <c r="D87" s="153"/>
      <c r="E87" s="154"/>
      <c r="F87" s="157"/>
      <c r="G87" s="151"/>
      <c r="H87" s="152"/>
      <c r="I87" s="153"/>
      <c r="J87" s="152"/>
      <c r="K87" s="157"/>
      <c r="L87" s="154"/>
      <c r="M87" s="152"/>
      <c r="N87" s="157"/>
      <c r="O87" s="152">
        <f t="shared" si="26"/>
        <v>66746.118862009433</v>
      </c>
      <c r="P87" s="152">
        <f t="shared" si="27"/>
        <v>360348.1408620096</v>
      </c>
    </row>
    <row r="88" spans="1:16" hidden="1" x14ac:dyDescent="0.15">
      <c r="A88" s="154"/>
      <c r="B88" s="151"/>
      <c r="C88" s="152"/>
      <c r="D88" s="153"/>
      <c r="E88" s="154"/>
      <c r="F88" s="160"/>
      <c r="G88" s="151"/>
      <c r="H88" s="152"/>
      <c r="I88" s="153"/>
      <c r="J88" s="152"/>
      <c r="K88" s="159"/>
      <c r="L88" s="154"/>
      <c r="M88" s="152"/>
      <c r="N88" s="157"/>
      <c r="O88" s="152">
        <f t="shared" si="26"/>
        <v>66746.118862009433</v>
      </c>
      <c r="P88" s="152">
        <f t="shared" si="27"/>
        <v>360348.1408620096</v>
      </c>
    </row>
    <row r="89" spans="1:16" hidden="1" x14ac:dyDescent="0.15">
      <c r="A89" s="154"/>
      <c r="B89" s="151"/>
      <c r="C89" s="152"/>
      <c r="D89" s="153"/>
      <c r="E89" s="154"/>
      <c r="F89" s="160"/>
      <c r="G89" s="151"/>
      <c r="H89" s="152"/>
      <c r="I89" s="153"/>
      <c r="J89" s="152"/>
      <c r="K89" s="159"/>
      <c r="L89" s="154"/>
      <c r="M89" s="152"/>
      <c r="N89" s="157"/>
      <c r="O89" s="152">
        <f t="shared" si="26"/>
        <v>66746.118862009433</v>
      </c>
      <c r="P89" s="152">
        <f t="shared" si="27"/>
        <v>360348.1408620096</v>
      </c>
    </row>
    <row r="90" spans="1:16" hidden="1" x14ac:dyDescent="0.15">
      <c r="A90" s="154"/>
      <c r="B90" s="151"/>
      <c r="C90" s="152"/>
      <c r="D90" s="153"/>
      <c r="E90" s="154"/>
      <c r="F90" s="160"/>
      <c r="G90" s="151"/>
      <c r="H90" s="152"/>
      <c r="I90" s="153"/>
      <c r="J90" s="152"/>
      <c r="K90" s="159"/>
      <c r="L90" s="154"/>
      <c r="M90" s="152"/>
      <c r="N90" s="157"/>
      <c r="O90" s="152">
        <f t="shared" si="26"/>
        <v>66746.118862009433</v>
      </c>
      <c r="P90" s="152">
        <f t="shared" si="27"/>
        <v>360348.1408620096</v>
      </c>
    </row>
    <row r="91" spans="1:16" hidden="1" x14ac:dyDescent="0.15">
      <c r="A91" s="154"/>
      <c r="B91" s="151"/>
      <c r="C91" s="152"/>
      <c r="D91" s="153"/>
      <c r="E91" s="154"/>
      <c r="F91" s="157"/>
      <c r="G91" s="151"/>
      <c r="H91" s="152"/>
      <c r="I91" s="153"/>
      <c r="J91" s="152"/>
      <c r="K91" s="159"/>
      <c r="L91" s="154"/>
      <c r="M91" s="152"/>
      <c r="N91" s="157"/>
      <c r="O91" s="152">
        <f t="shared" si="26"/>
        <v>66746.118862009433</v>
      </c>
      <c r="P91" s="152">
        <f t="shared" si="27"/>
        <v>360348.1408620096</v>
      </c>
    </row>
    <row r="92" spans="1:16" hidden="1" x14ac:dyDescent="0.15">
      <c r="A92" s="154"/>
      <c r="B92" s="151"/>
      <c r="C92" s="152"/>
      <c r="D92" s="153"/>
      <c r="E92" s="154"/>
      <c r="F92" s="157"/>
      <c r="G92" s="151"/>
      <c r="H92" s="152"/>
      <c r="I92" s="153"/>
      <c r="J92" s="152"/>
      <c r="K92" s="150"/>
      <c r="L92" s="154"/>
      <c r="M92" s="152"/>
      <c r="N92" s="157"/>
      <c r="O92" s="152">
        <f t="shared" si="26"/>
        <v>66746.118862009433</v>
      </c>
      <c r="P92" s="152">
        <f t="shared" si="27"/>
        <v>360348.1408620096</v>
      </c>
    </row>
    <row r="93" spans="1:16" hidden="1" x14ac:dyDescent="0.15">
      <c r="A93" s="154"/>
      <c r="B93" s="151"/>
      <c r="C93" s="152"/>
      <c r="D93" s="153"/>
      <c r="E93" s="154"/>
      <c r="F93" s="157"/>
      <c r="G93" s="151"/>
      <c r="H93" s="152"/>
      <c r="I93" s="153"/>
      <c r="J93" s="152"/>
      <c r="K93" s="157"/>
      <c r="L93" s="154"/>
      <c r="M93" s="152"/>
      <c r="N93" s="150"/>
      <c r="O93" s="152">
        <f t="shared" si="26"/>
        <v>66746.118862009433</v>
      </c>
      <c r="P93" s="152">
        <f t="shared" si="27"/>
        <v>360348.1408620096</v>
      </c>
    </row>
    <row r="94" spans="1:16" hidden="1" x14ac:dyDescent="0.15">
      <c r="A94" s="154"/>
      <c r="B94" s="151"/>
      <c r="C94" s="152"/>
      <c r="D94" s="153"/>
      <c r="E94" s="154"/>
      <c r="F94" s="160"/>
      <c r="G94" s="151"/>
      <c r="H94" s="152"/>
      <c r="I94" s="153"/>
      <c r="J94" s="152"/>
      <c r="K94" s="150"/>
      <c r="L94" s="154"/>
      <c r="M94" s="152"/>
      <c r="N94" s="157"/>
      <c r="O94" s="152">
        <f t="shared" si="26"/>
        <v>66746.118862009433</v>
      </c>
      <c r="P94" s="152">
        <f t="shared" si="27"/>
        <v>360348.1408620096</v>
      </c>
    </row>
    <row r="95" spans="1:16" hidden="1" x14ac:dyDescent="0.15">
      <c r="A95" s="154"/>
      <c r="B95" s="151"/>
      <c r="C95" s="152"/>
      <c r="D95" s="153"/>
      <c r="E95" s="154"/>
      <c r="F95" s="160"/>
      <c r="G95" s="151"/>
      <c r="H95" s="152"/>
      <c r="I95" s="153"/>
      <c r="J95" s="152"/>
      <c r="K95" s="150"/>
      <c r="L95" s="154"/>
      <c r="M95" s="152"/>
      <c r="N95" s="157"/>
      <c r="O95" s="152">
        <f t="shared" si="26"/>
        <v>66746.118862009433</v>
      </c>
      <c r="P95" s="152">
        <f t="shared" si="27"/>
        <v>360348.1408620096</v>
      </c>
    </row>
    <row r="96" spans="1:16" hidden="1" x14ac:dyDescent="0.15">
      <c r="A96" s="154"/>
      <c r="B96" s="151"/>
      <c r="C96" s="152"/>
      <c r="D96" s="153"/>
      <c r="E96" s="154"/>
      <c r="F96" s="157"/>
      <c r="G96" s="151"/>
      <c r="H96" s="152"/>
      <c r="I96" s="153"/>
      <c r="J96" s="152"/>
      <c r="K96" s="150"/>
      <c r="L96" s="154"/>
      <c r="M96" s="152"/>
      <c r="N96" s="157"/>
      <c r="O96" s="152">
        <f t="shared" si="26"/>
        <v>66746.118862009433</v>
      </c>
      <c r="P96" s="152">
        <f t="shared" si="27"/>
        <v>360348.1408620096</v>
      </c>
    </row>
    <row r="97" spans="1:16" hidden="1" x14ac:dyDescent="0.15">
      <c r="A97" s="154"/>
      <c r="B97" s="151"/>
      <c r="C97" s="152"/>
      <c r="D97" s="153"/>
      <c r="E97" s="154"/>
      <c r="F97" s="157"/>
      <c r="G97" s="151"/>
      <c r="H97" s="152"/>
      <c r="I97" s="153"/>
      <c r="J97" s="152"/>
      <c r="K97" s="150"/>
      <c r="L97" s="154"/>
      <c r="M97" s="152"/>
      <c r="N97" s="150"/>
      <c r="O97" s="152">
        <f t="shared" si="26"/>
        <v>66746.118862009433</v>
      </c>
      <c r="P97" s="152">
        <f t="shared" si="27"/>
        <v>360348.1408620096</v>
      </c>
    </row>
    <row r="98" spans="1:16" hidden="1" x14ac:dyDescent="0.15">
      <c r="A98" s="154"/>
      <c r="B98" s="151"/>
      <c r="C98" s="152"/>
      <c r="D98" s="158"/>
      <c r="E98" s="154"/>
      <c r="F98" s="157"/>
      <c r="G98" s="151"/>
      <c r="H98" s="152"/>
      <c r="I98" s="158"/>
      <c r="J98" s="152"/>
      <c r="K98" s="150"/>
      <c r="L98" s="154"/>
      <c r="M98" s="152"/>
      <c r="N98" s="157"/>
      <c r="O98" s="152">
        <f t="shared" si="26"/>
        <v>66746.118862009433</v>
      </c>
      <c r="P98" s="152">
        <f t="shared" si="27"/>
        <v>360348.1408620096</v>
      </c>
    </row>
    <row r="99" spans="1:16" hidden="1" x14ac:dyDescent="0.15">
      <c r="A99" s="154"/>
      <c r="B99" s="151"/>
      <c r="C99" s="152"/>
      <c r="D99" s="153"/>
      <c r="E99" s="154"/>
      <c r="F99" s="160"/>
      <c r="G99" s="151"/>
      <c r="H99" s="152"/>
      <c r="I99" s="153"/>
      <c r="J99" s="152"/>
      <c r="K99" s="150"/>
      <c r="L99" s="154"/>
      <c r="M99" s="152"/>
      <c r="N99" s="157"/>
      <c r="O99" s="152">
        <f t="shared" si="26"/>
        <v>66746.118862009433</v>
      </c>
      <c r="P99" s="152">
        <f t="shared" si="27"/>
        <v>360348.1408620096</v>
      </c>
    </row>
    <row r="100" spans="1:16" hidden="1" x14ac:dyDescent="0.15">
      <c r="A100" s="154"/>
      <c r="B100" s="151"/>
      <c r="C100" s="152"/>
      <c r="D100" s="153"/>
      <c r="E100" s="154"/>
      <c r="F100" s="160"/>
      <c r="G100" s="151"/>
      <c r="H100" s="152"/>
      <c r="I100" s="158"/>
      <c r="J100" s="152"/>
      <c r="K100" s="150"/>
      <c r="L100" s="154"/>
      <c r="M100" s="152"/>
      <c r="N100" s="157"/>
      <c r="O100" s="152">
        <f t="shared" si="26"/>
        <v>66746.118862009433</v>
      </c>
      <c r="P100" s="152">
        <f t="shared" si="27"/>
        <v>360348.1408620096</v>
      </c>
    </row>
    <row r="101" spans="1:16" hidden="1" x14ac:dyDescent="0.15">
      <c r="A101" s="154"/>
      <c r="B101" s="151"/>
      <c r="C101" s="152"/>
      <c r="D101" s="153"/>
      <c r="E101" s="154"/>
      <c r="F101" s="160"/>
      <c r="G101" s="151"/>
      <c r="H101" s="152"/>
      <c r="I101" s="158"/>
      <c r="J101" s="152"/>
      <c r="K101" s="150"/>
      <c r="L101" s="154"/>
      <c r="M101" s="152"/>
      <c r="N101" s="157"/>
      <c r="O101" s="152">
        <f t="shared" si="26"/>
        <v>66746.118862009433</v>
      </c>
      <c r="P101" s="152">
        <f t="shared" si="27"/>
        <v>360348.1408620096</v>
      </c>
    </row>
    <row r="102" spans="1:16" hidden="1" x14ac:dyDescent="0.15">
      <c r="A102" s="154"/>
      <c r="B102" s="151"/>
      <c r="C102" s="152"/>
      <c r="D102" s="153"/>
      <c r="E102" s="154"/>
      <c r="F102" s="160"/>
      <c r="G102" s="151"/>
      <c r="H102" s="152"/>
      <c r="I102" s="153"/>
      <c r="J102" s="152"/>
      <c r="K102" s="150"/>
      <c r="L102" s="154"/>
      <c r="M102" s="152"/>
      <c r="N102" s="157"/>
      <c r="O102" s="152">
        <f t="shared" si="26"/>
        <v>66746.118862009433</v>
      </c>
      <c r="P102" s="152">
        <f t="shared" si="27"/>
        <v>360348.1408620096</v>
      </c>
    </row>
    <row r="103" spans="1:16" hidden="1" x14ac:dyDescent="0.15">
      <c r="A103" s="154"/>
      <c r="B103" s="151"/>
      <c r="C103" s="152"/>
      <c r="D103" s="153"/>
      <c r="E103" s="154"/>
      <c r="F103" s="157"/>
      <c r="G103" s="151"/>
      <c r="H103" s="152"/>
      <c r="I103" s="153"/>
      <c r="J103" s="152"/>
      <c r="K103" s="150"/>
      <c r="L103" s="154"/>
      <c r="M103" s="152"/>
      <c r="N103" s="157"/>
      <c r="O103" s="152">
        <f t="shared" si="26"/>
        <v>66746.118862009433</v>
      </c>
      <c r="P103" s="152">
        <f t="shared" si="27"/>
        <v>360348.1408620096</v>
      </c>
    </row>
    <row r="104" spans="1:16" hidden="1" x14ac:dyDescent="0.15">
      <c r="A104" s="154"/>
      <c r="B104" s="151"/>
      <c r="C104" s="152"/>
      <c r="D104" s="153"/>
      <c r="E104" s="154"/>
      <c r="F104" s="157"/>
      <c r="G104" s="151"/>
      <c r="H104" s="152"/>
      <c r="I104" s="153"/>
      <c r="J104" s="152"/>
      <c r="K104" s="150"/>
      <c r="L104" s="154"/>
      <c r="M104" s="152"/>
      <c r="N104" s="157"/>
      <c r="O104" s="152">
        <f t="shared" si="26"/>
        <v>66746.118862009433</v>
      </c>
      <c r="P104" s="152">
        <f t="shared" si="27"/>
        <v>360348.1408620096</v>
      </c>
    </row>
    <row r="105" spans="1:16" hidden="1" x14ac:dyDescent="0.15">
      <c r="A105" s="154"/>
      <c r="B105" s="151"/>
      <c r="C105" s="152"/>
      <c r="D105" s="153"/>
      <c r="E105" s="154"/>
      <c r="F105" s="157"/>
      <c r="G105" s="151"/>
      <c r="H105" s="152"/>
      <c r="I105" s="153"/>
      <c r="J105" s="152"/>
      <c r="K105" s="150"/>
      <c r="L105" s="154"/>
      <c r="M105" s="152"/>
      <c r="N105" s="157"/>
      <c r="O105" s="152">
        <f t="shared" si="26"/>
        <v>66746.118862009433</v>
      </c>
      <c r="P105" s="152">
        <f t="shared" si="27"/>
        <v>360348.1408620096</v>
      </c>
    </row>
    <row r="106" spans="1:16" hidden="1" x14ac:dyDescent="0.15">
      <c r="A106" s="154"/>
      <c r="B106" s="151"/>
      <c r="C106" s="152"/>
      <c r="D106" s="153"/>
      <c r="E106" s="154"/>
      <c r="F106" s="160"/>
      <c r="G106" s="151"/>
      <c r="H106" s="152"/>
      <c r="I106" s="158"/>
      <c r="J106" s="152"/>
      <c r="K106" s="150"/>
      <c r="L106" s="154"/>
      <c r="M106" s="152"/>
      <c r="N106" s="157"/>
      <c r="O106" s="152">
        <f t="shared" si="26"/>
        <v>66746.118862009433</v>
      </c>
      <c r="P106" s="152">
        <f t="shared" si="27"/>
        <v>360348.1408620096</v>
      </c>
    </row>
    <row r="107" spans="1:16" hidden="1" x14ac:dyDescent="0.15">
      <c r="A107" s="154"/>
      <c r="B107" s="151"/>
      <c r="C107" s="152"/>
      <c r="D107" s="153"/>
      <c r="E107" s="154"/>
      <c r="F107" s="160"/>
      <c r="G107" s="151"/>
      <c r="H107" s="152"/>
      <c r="I107" s="153"/>
      <c r="J107" s="152"/>
      <c r="K107" s="150"/>
      <c r="L107" s="154"/>
      <c r="M107" s="152"/>
      <c r="N107" s="157"/>
      <c r="O107" s="152">
        <f t="shared" si="26"/>
        <v>66746.118862009433</v>
      </c>
      <c r="P107" s="152">
        <f t="shared" si="27"/>
        <v>360348.1408620096</v>
      </c>
    </row>
    <row r="108" spans="1:16" hidden="1" x14ac:dyDescent="0.15">
      <c r="A108" s="154"/>
      <c r="B108" s="151"/>
      <c r="C108" s="152"/>
      <c r="D108" s="153"/>
      <c r="E108" s="154"/>
      <c r="F108" s="160"/>
      <c r="G108" s="151"/>
      <c r="H108" s="152"/>
      <c r="I108" s="153"/>
      <c r="J108" s="152"/>
      <c r="K108" s="150"/>
      <c r="L108" s="154"/>
      <c r="M108" s="152"/>
      <c r="N108" s="157"/>
      <c r="O108" s="152">
        <f t="shared" si="26"/>
        <v>66746.118862009433</v>
      </c>
      <c r="P108" s="152">
        <f t="shared" si="27"/>
        <v>360348.1408620096</v>
      </c>
    </row>
    <row r="109" spans="1:16" hidden="1" x14ac:dyDescent="0.15">
      <c r="A109" s="154"/>
      <c r="B109" s="151"/>
      <c r="C109" s="152"/>
      <c r="D109" s="153"/>
      <c r="E109" s="154"/>
      <c r="F109" s="157"/>
      <c r="G109" s="151"/>
      <c r="H109" s="152"/>
      <c r="I109" s="153"/>
      <c r="J109" s="152"/>
      <c r="K109" s="150"/>
      <c r="L109" s="154"/>
      <c r="M109" s="152"/>
      <c r="N109" s="157"/>
      <c r="O109" s="152">
        <f t="shared" si="26"/>
        <v>66746.118862009433</v>
      </c>
      <c r="P109" s="152">
        <f t="shared" si="27"/>
        <v>360348.1408620096</v>
      </c>
    </row>
    <row r="110" spans="1:16" hidden="1" x14ac:dyDescent="0.15">
      <c r="A110" s="154"/>
      <c r="B110" s="151"/>
      <c r="C110" s="152"/>
      <c r="D110" s="153"/>
      <c r="E110" s="154"/>
      <c r="F110" s="157"/>
      <c r="G110" s="151"/>
      <c r="H110" s="152"/>
      <c r="I110" s="153"/>
      <c r="J110" s="152"/>
      <c r="K110" s="150"/>
      <c r="L110" s="154"/>
      <c r="M110" s="152"/>
      <c r="N110" s="150"/>
      <c r="O110" s="152">
        <f t="shared" si="26"/>
        <v>66746.118862009433</v>
      </c>
      <c r="P110" s="152">
        <f t="shared" si="27"/>
        <v>360348.1408620096</v>
      </c>
    </row>
    <row r="111" spans="1:16" hidden="1" x14ac:dyDescent="0.15">
      <c r="A111" s="154"/>
      <c r="B111" s="151"/>
      <c r="C111" s="152"/>
      <c r="D111" s="153"/>
      <c r="E111" s="154"/>
      <c r="F111" s="157"/>
      <c r="G111" s="151"/>
      <c r="H111" s="152"/>
      <c r="I111" s="153"/>
      <c r="J111" s="152"/>
      <c r="K111" s="150"/>
      <c r="L111" s="154"/>
      <c r="M111" s="152"/>
      <c r="N111" s="157"/>
      <c r="O111" s="152">
        <f t="shared" si="26"/>
        <v>66746.118862009433</v>
      </c>
      <c r="P111" s="152">
        <f t="shared" si="27"/>
        <v>360348.1408620096</v>
      </c>
    </row>
    <row r="112" spans="1:16" hidden="1" x14ac:dyDescent="0.15">
      <c r="A112" s="154"/>
      <c r="B112" s="151"/>
      <c r="C112" s="152"/>
      <c r="D112" s="153"/>
      <c r="E112" s="154"/>
      <c r="F112" s="160"/>
      <c r="G112" s="151"/>
      <c r="H112" s="152"/>
      <c r="I112" s="153"/>
      <c r="J112" s="152"/>
      <c r="K112" s="150"/>
      <c r="L112" s="154"/>
      <c r="M112" s="152"/>
      <c r="N112" s="157"/>
      <c r="O112" s="152">
        <f t="shared" si="26"/>
        <v>66746.118862009433</v>
      </c>
      <c r="P112" s="152">
        <f t="shared" si="27"/>
        <v>360348.1408620096</v>
      </c>
    </row>
    <row r="113" spans="1:16" hidden="1" x14ac:dyDescent="0.15">
      <c r="A113" s="154"/>
      <c r="B113" s="161"/>
      <c r="C113" s="152"/>
      <c r="D113" s="153"/>
      <c r="E113" s="154"/>
      <c r="F113" s="157"/>
      <c r="G113" s="151"/>
      <c r="H113" s="152"/>
      <c r="I113" s="153"/>
      <c r="J113" s="152"/>
      <c r="K113" s="150"/>
      <c r="L113" s="154"/>
      <c r="M113" s="152"/>
      <c r="N113" s="157"/>
      <c r="O113" s="152">
        <f t="shared" si="26"/>
        <v>66746.118862009433</v>
      </c>
      <c r="P113" s="152">
        <f t="shared" si="27"/>
        <v>360348.1408620096</v>
      </c>
    </row>
    <row r="114" spans="1:16" hidden="1" x14ac:dyDescent="0.15">
      <c r="A114" s="154"/>
      <c r="B114" s="161"/>
      <c r="C114" s="152"/>
      <c r="D114" s="153"/>
      <c r="E114" s="154"/>
      <c r="F114" s="157"/>
      <c r="G114" s="151"/>
      <c r="H114" s="152"/>
      <c r="I114" s="153"/>
      <c r="J114" s="152"/>
      <c r="K114" s="150"/>
      <c r="L114" s="154"/>
      <c r="M114" s="152"/>
      <c r="N114" s="157"/>
      <c r="O114" s="152">
        <f t="shared" si="26"/>
        <v>66746.118862009433</v>
      </c>
      <c r="P114" s="152">
        <f t="shared" si="27"/>
        <v>360348.1408620096</v>
      </c>
    </row>
    <row r="115" spans="1:16" hidden="1" x14ac:dyDescent="0.15">
      <c r="A115" s="154"/>
      <c r="B115" s="161"/>
      <c r="C115" s="152"/>
      <c r="D115" s="153"/>
      <c r="E115" s="154"/>
      <c r="F115" s="157"/>
      <c r="G115" s="151"/>
      <c r="H115" s="152"/>
      <c r="I115" s="153"/>
      <c r="J115" s="152"/>
      <c r="K115" s="150"/>
      <c r="L115" s="154"/>
      <c r="M115" s="152"/>
      <c r="N115" s="157"/>
      <c r="O115" s="152">
        <f t="shared" si="26"/>
        <v>66746.118862009433</v>
      </c>
      <c r="P115" s="152">
        <f t="shared" si="27"/>
        <v>360348.1408620096</v>
      </c>
    </row>
    <row r="116" spans="1:16" hidden="1" x14ac:dyDescent="0.15">
      <c r="A116" s="154"/>
      <c r="B116" s="163"/>
      <c r="C116" s="152"/>
      <c r="D116" s="158"/>
      <c r="E116" s="154"/>
      <c r="F116" s="157"/>
      <c r="G116" s="163"/>
      <c r="H116" s="152"/>
      <c r="I116" s="158"/>
      <c r="J116" s="152"/>
      <c r="K116" s="159"/>
      <c r="L116" s="154"/>
      <c r="M116" s="152"/>
      <c r="N116" s="157"/>
      <c r="O116" s="152">
        <f t="shared" si="26"/>
        <v>66746.118862009433</v>
      </c>
      <c r="P116" s="152">
        <f t="shared" si="27"/>
        <v>360348.1408620096</v>
      </c>
    </row>
    <row r="117" spans="1:16" hidden="1" x14ac:dyDescent="0.15">
      <c r="A117" s="154"/>
      <c r="B117" s="163"/>
      <c r="C117" s="152"/>
      <c r="D117" s="158"/>
      <c r="E117" s="154"/>
      <c r="F117" s="154"/>
      <c r="G117" s="163"/>
      <c r="H117" s="152"/>
      <c r="I117" s="158"/>
      <c r="J117" s="152"/>
      <c r="K117" s="150"/>
      <c r="L117" s="154"/>
      <c r="M117" s="152"/>
      <c r="N117" s="157"/>
      <c r="O117" s="152">
        <f t="shared" si="26"/>
        <v>66746.118862009433</v>
      </c>
      <c r="P117" s="152">
        <f t="shared" si="27"/>
        <v>360348.1408620096</v>
      </c>
    </row>
    <row r="118" spans="1:16" hidden="1" x14ac:dyDescent="0.15">
      <c r="A118" s="154"/>
      <c r="B118" s="163"/>
      <c r="C118" s="152"/>
      <c r="D118" s="158"/>
      <c r="E118" s="154"/>
      <c r="F118" s="154"/>
      <c r="G118" s="163"/>
      <c r="H118" s="152"/>
      <c r="I118" s="158"/>
      <c r="J118" s="152"/>
      <c r="K118" s="150"/>
      <c r="L118" s="154"/>
      <c r="M118" s="152"/>
      <c r="N118" s="157"/>
      <c r="O118" s="152">
        <f t="shared" si="26"/>
        <v>66746.118862009433</v>
      </c>
      <c r="P118" s="152">
        <f t="shared" si="27"/>
        <v>360348.1408620096</v>
      </c>
    </row>
    <row r="119" spans="1:16" hidden="1" x14ac:dyDescent="0.15">
      <c r="A119" s="154"/>
      <c r="B119" s="163"/>
      <c r="C119" s="152"/>
      <c r="D119" s="153"/>
      <c r="E119" s="154"/>
      <c r="F119" s="157"/>
      <c r="G119" s="163"/>
      <c r="H119" s="152"/>
      <c r="I119" s="158"/>
      <c r="J119" s="152"/>
      <c r="K119" s="150"/>
      <c r="L119" s="154"/>
      <c r="M119" s="152"/>
      <c r="N119" s="157"/>
      <c r="O119" s="152">
        <f t="shared" si="26"/>
        <v>66746.118862009433</v>
      </c>
      <c r="P119" s="152">
        <f t="shared" si="27"/>
        <v>360348.1408620096</v>
      </c>
    </row>
    <row r="120" spans="1:16" hidden="1" x14ac:dyDescent="0.15">
      <c r="A120" s="154"/>
      <c r="B120" s="163"/>
      <c r="C120" s="152"/>
      <c r="D120" s="153"/>
      <c r="E120" s="154"/>
      <c r="F120" s="157"/>
      <c r="G120" s="163"/>
      <c r="H120" s="152"/>
      <c r="I120" s="158"/>
      <c r="J120" s="152"/>
      <c r="K120" s="150"/>
      <c r="L120" s="154"/>
      <c r="M120" s="152"/>
      <c r="N120" s="157"/>
      <c r="O120" s="152">
        <f t="shared" si="26"/>
        <v>66746.118862009433</v>
      </c>
      <c r="P120" s="152">
        <f t="shared" si="27"/>
        <v>360348.1408620096</v>
      </c>
    </row>
    <row r="121" spans="1:16" hidden="1" x14ac:dyDescent="0.15">
      <c r="A121" s="164"/>
      <c r="B121" s="164"/>
      <c r="C121" s="152"/>
      <c r="D121" s="158"/>
      <c r="E121" s="154"/>
      <c r="F121" s="165"/>
      <c r="G121" s="166"/>
      <c r="H121" s="152"/>
      <c r="I121" s="158"/>
      <c r="J121" s="152"/>
      <c r="K121" s="150"/>
      <c r="L121" s="154"/>
      <c r="M121" s="152"/>
      <c r="N121" s="159"/>
      <c r="O121" s="152">
        <f t="shared" si="26"/>
        <v>66746.118862009433</v>
      </c>
      <c r="P121" s="152">
        <f t="shared" si="27"/>
        <v>360348.1408620096</v>
      </c>
    </row>
    <row r="122" spans="1:16" hidden="1" x14ac:dyDescent="0.15">
      <c r="A122" s="150"/>
      <c r="B122" s="161"/>
      <c r="C122" s="152"/>
      <c r="D122" s="153"/>
      <c r="E122" s="154"/>
      <c r="F122" s="157"/>
      <c r="G122" s="151"/>
      <c r="H122" s="152"/>
      <c r="I122" s="158"/>
      <c r="J122" s="152"/>
      <c r="K122" s="159"/>
      <c r="L122" s="154"/>
      <c r="M122" s="152"/>
      <c r="N122" s="159"/>
      <c r="O122" s="152">
        <f t="shared" si="26"/>
        <v>66746.118862009433</v>
      </c>
      <c r="P122" s="152">
        <f t="shared" si="27"/>
        <v>360348.1408620096</v>
      </c>
    </row>
    <row r="123" spans="1:16" hidden="1" x14ac:dyDescent="0.15">
      <c r="A123" s="150"/>
      <c r="B123" s="161"/>
      <c r="C123" s="152"/>
      <c r="D123" s="158"/>
      <c r="E123" s="154"/>
      <c r="F123" s="165"/>
      <c r="G123" s="151"/>
      <c r="H123" s="152"/>
      <c r="I123" s="158"/>
      <c r="J123" s="152"/>
      <c r="K123" s="159"/>
      <c r="L123" s="154"/>
      <c r="M123" s="152"/>
      <c r="N123" s="159"/>
      <c r="O123" s="152">
        <f t="shared" si="26"/>
        <v>66746.118862009433</v>
      </c>
      <c r="P123" s="152">
        <f t="shared" si="27"/>
        <v>360348.1408620096</v>
      </c>
    </row>
    <row r="124" spans="1:16" hidden="1" x14ac:dyDescent="0.15">
      <c r="A124" s="150"/>
      <c r="B124" s="161"/>
      <c r="C124" s="152"/>
      <c r="D124" s="158"/>
      <c r="E124" s="154"/>
      <c r="F124" s="165"/>
      <c r="G124" s="151"/>
      <c r="H124" s="152"/>
      <c r="I124" s="158"/>
      <c r="J124" s="152"/>
      <c r="K124" s="159"/>
      <c r="L124" s="154"/>
      <c r="M124" s="152"/>
      <c r="N124" s="159"/>
      <c r="O124" s="152">
        <f t="shared" si="26"/>
        <v>66746.118862009433</v>
      </c>
      <c r="P124" s="152">
        <f t="shared" si="27"/>
        <v>360348.1408620096</v>
      </c>
    </row>
    <row r="125" spans="1:16" hidden="1" x14ac:dyDescent="0.15">
      <c r="A125" s="150"/>
      <c r="B125" s="161"/>
      <c r="C125" s="152"/>
      <c r="D125" s="153"/>
      <c r="E125" s="154"/>
      <c r="F125" s="165"/>
      <c r="G125" s="151"/>
      <c r="H125" s="152"/>
      <c r="I125" s="158"/>
      <c r="J125" s="152"/>
      <c r="K125" s="159"/>
      <c r="L125" s="154"/>
      <c r="M125" s="152"/>
      <c r="N125" s="159"/>
      <c r="O125" s="152">
        <f t="shared" si="26"/>
        <v>66746.118862009433</v>
      </c>
      <c r="P125" s="152">
        <f t="shared" si="27"/>
        <v>360348.1408620096</v>
      </c>
    </row>
    <row r="126" spans="1:16" hidden="1" x14ac:dyDescent="0.15">
      <c r="A126" s="154"/>
      <c r="B126" s="154"/>
      <c r="C126" s="152"/>
      <c r="D126" s="153"/>
      <c r="E126" s="154"/>
      <c r="F126" s="165"/>
      <c r="G126" s="151"/>
      <c r="H126" s="152"/>
      <c r="I126" s="158"/>
      <c r="J126" s="152"/>
      <c r="K126" s="159"/>
      <c r="L126" s="154"/>
      <c r="M126" s="152"/>
      <c r="N126" s="159"/>
      <c r="O126" s="152">
        <f t="shared" si="26"/>
        <v>66746.118862009433</v>
      </c>
      <c r="P126" s="152">
        <f t="shared" si="27"/>
        <v>360348.1408620096</v>
      </c>
    </row>
    <row r="127" spans="1:16" hidden="1" x14ac:dyDescent="0.15">
      <c r="A127" s="154"/>
      <c r="B127" s="154"/>
      <c r="C127" s="152"/>
      <c r="D127" s="153"/>
      <c r="E127" s="154"/>
      <c r="F127" s="154"/>
      <c r="G127" s="163"/>
      <c r="H127" s="152"/>
      <c r="I127" s="158"/>
      <c r="J127" s="152"/>
      <c r="K127" s="154"/>
      <c r="L127" s="154"/>
      <c r="M127" s="152"/>
      <c r="N127" s="159"/>
      <c r="O127" s="152">
        <f t="shared" si="26"/>
        <v>66746.118862009433</v>
      </c>
      <c r="P127" s="152">
        <f t="shared" si="27"/>
        <v>360348.1408620096</v>
      </c>
    </row>
    <row r="128" spans="1:16" hidden="1" x14ac:dyDescent="0.15">
      <c r="A128" s="154"/>
      <c r="B128" s="154"/>
      <c r="C128" s="152"/>
      <c r="D128" s="153"/>
      <c r="E128" s="154"/>
      <c r="F128" s="154"/>
      <c r="G128" s="163"/>
      <c r="H128" s="152"/>
      <c r="I128" s="158"/>
      <c r="J128" s="152"/>
      <c r="K128" s="154"/>
      <c r="L128" s="154"/>
      <c r="M128" s="152"/>
      <c r="N128" s="159"/>
      <c r="O128" s="152">
        <f t="shared" si="26"/>
        <v>66746.118862009433</v>
      </c>
      <c r="P128" s="152">
        <f t="shared" si="27"/>
        <v>360348.1408620096</v>
      </c>
    </row>
    <row r="129" spans="1:16" hidden="1" x14ac:dyDescent="0.15">
      <c r="A129" s="154"/>
      <c r="B129" s="154"/>
      <c r="C129" s="152"/>
      <c r="D129" s="153"/>
      <c r="E129" s="154"/>
      <c r="F129" s="154"/>
      <c r="G129" s="163"/>
      <c r="H129" s="152"/>
      <c r="I129" s="153"/>
      <c r="J129" s="152"/>
      <c r="K129" s="154"/>
      <c r="L129" s="154"/>
      <c r="M129" s="152"/>
      <c r="N129" s="159"/>
      <c r="O129" s="152">
        <f t="shared" si="26"/>
        <v>66746.118862009433</v>
      </c>
      <c r="P129" s="152">
        <f t="shared" si="27"/>
        <v>360348.1408620096</v>
      </c>
    </row>
    <row r="130" spans="1:16" hidden="1" x14ac:dyDescent="0.15">
      <c r="A130" s="154"/>
      <c r="B130" s="154"/>
      <c r="C130" s="152"/>
      <c r="D130" s="158"/>
      <c r="E130" s="154"/>
      <c r="F130" s="165"/>
      <c r="G130" s="163"/>
      <c r="H130" s="152"/>
      <c r="I130" s="158"/>
      <c r="J130" s="152"/>
      <c r="K130" s="154"/>
      <c r="L130" s="154"/>
      <c r="M130" s="152"/>
      <c r="N130" s="154"/>
      <c r="O130" s="152">
        <f t="shared" si="26"/>
        <v>66746.118862009433</v>
      </c>
      <c r="P130" s="152">
        <f t="shared" si="27"/>
        <v>360348.1408620096</v>
      </c>
    </row>
    <row r="131" spans="1:16" hidden="1" x14ac:dyDescent="0.15">
      <c r="A131" s="154"/>
      <c r="B131" s="154"/>
      <c r="C131" s="152"/>
      <c r="D131" s="158"/>
      <c r="E131" s="154"/>
      <c r="F131" s="165"/>
      <c r="G131" s="163"/>
      <c r="H131" s="152"/>
      <c r="I131" s="158"/>
      <c r="J131" s="152"/>
      <c r="K131" s="154"/>
      <c r="L131" s="154"/>
      <c r="M131" s="152"/>
      <c r="N131" s="154"/>
      <c r="O131" s="152">
        <f t="shared" si="26"/>
        <v>66746.118862009433</v>
      </c>
      <c r="P131" s="152">
        <f t="shared" si="27"/>
        <v>360348.1408620096</v>
      </c>
    </row>
    <row r="132" spans="1:16" hidden="1" x14ac:dyDescent="0.15">
      <c r="A132" s="154"/>
      <c r="B132" s="154"/>
      <c r="C132" s="152"/>
      <c r="D132" s="153"/>
      <c r="E132" s="154"/>
      <c r="F132" s="154"/>
      <c r="G132" s="163"/>
      <c r="H132" s="152"/>
      <c r="I132" s="158"/>
      <c r="J132" s="152"/>
      <c r="K132" s="154"/>
      <c r="L132" s="154"/>
      <c r="M132" s="152"/>
      <c r="N132" s="154"/>
      <c r="O132" s="152">
        <f t="shared" si="26"/>
        <v>66746.118862009433</v>
      </c>
      <c r="P132" s="152">
        <f t="shared" si="27"/>
        <v>360348.1408620096</v>
      </c>
    </row>
    <row r="133" spans="1:16" hidden="1" x14ac:dyDescent="0.15">
      <c r="A133" s="154"/>
      <c r="B133" s="154"/>
      <c r="C133" s="152"/>
      <c r="D133" s="158"/>
      <c r="E133" s="154"/>
      <c r="F133" s="154"/>
      <c r="G133" s="163"/>
      <c r="H133" s="152"/>
      <c r="I133" s="158"/>
      <c r="J133" s="152"/>
      <c r="K133" s="159"/>
      <c r="L133" s="154"/>
      <c r="M133" s="152"/>
      <c r="N133" s="159"/>
      <c r="O133" s="152">
        <f t="shared" si="26"/>
        <v>66746.118862009433</v>
      </c>
      <c r="P133" s="152">
        <f t="shared" si="27"/>
        <v>360348.1408620096</v>
      </c>
    </row>
    <row r="134" spans="1:16" hidden="1" x14ac:dyDescent="0.15">
      <c r="A134" s="154"/>
      <c r="B134" s="154"/>
      <c r="C134" s="152"/>
      <c r="D134" s="158"/>
      <c r="E134" s="154"/>
      <c r="F134" s="154"/>
      <c r="G134" s="163"/>
      <c r="H134" s="152"/>
      <c r="I134" s="153"/>
      <c r="J134" s="152"/>
      <c r="K134" s="159"/>
      <c r="L134" s="154"/>
      <c r="M134" s="152"/>
      <c r="N134" s="159"/>
      <c r="O134" s="152">
        <f t="shared" si="26"/>
        <v>66746.118862009433</v>
      </c>
      <c r="P134" s="152">
        <f t="shared" si="27"/>
        <v>360348.1408620096</v>
      </c>
    </row>
    <row r="135" spans="1:16" hidden="1" x14ac:dyDescent="0.15">
      <c r="A135" s="154"/>
      <c r="B135" s="154"/>
      <c r="C135" s="152"/>
      <c r="D135" s="158"/>
      <c r="E135" s="154"/>
      <c r="F135" s="154"/>
      <c r="G135" s="163"/>
      <c r="H135" s="152"/>
      <c r="I135" s="153"/>
      <c r="J135" s="152"/>
      <c r="K135" s="159"/>
      <c r="L135" s="154"/>
      <c r="M135" s="152"/>
      <c r="N135" s="159"/>
      <c r="O135" s="152">
        <f t="shared" si="26"/>
        <v>66746.118862009433</v>
      </c>
      <c r="P135" s="152">
        <f t="shared" si="27"/>
        <v>360348.1408620096</v>
      </c>
    </row>
    <row r="136" spans="1:16" hidden="1" x14ac:dyDescent="0.15">
      <c r="A136" s="154"/>
      <c r="B136" s="154"/>
      <c r="C136" s="152"/>
      <c r="D136" s="158"/>
      <c r="E136" s="154"/>
      <c r="F136" s="154"/>
      <c r="G136" s="163"/>
      <c r="H136" s="152"/>
      <c r="I136" s="153"/>
      <c r="J136" s="152"/>
      <c r="K136" s="159"/>
      <c r="L136" s="154"/>
      <c r="M136" s="152"/>
      <c r="N136" s="159"/>
      <c r="O136" s="152">
        <f t="shared" si="26"/>
        <v>66746.118862009433</v>
      </c>
      <c r="P136" s="152">
        <f t="shared" si="27"/>
        <v>360348.1408620096</v>
      </c>
    </row>
    <row r="137" spans="1:16" hidden="1" x14ac:dyDescent="0.15">
      <c r="A137" s="154"/>
      <c r="B137" s="154"/>
      <c r="C137" s="152"/>
      <c r="D137" s="158"/>
      <c r="E137" s="154"/>
      <c r="F137" s="154"/>
      <c r="G137" s="163"/>
      <c r="H137" s="152"/>
      <c r="I137" s="158"/>
      <c r="J137" s="152"/>
      <c r="K137" s="154"/>
      <c r="L137" s="154"/>
      <c r="M137" s="152"/>
      <c r="N137" s="154"/>
      <c r="O137" s="152">
        <f t="shared" si="26"/>
        <v>66746.118862009433</v>
      </c>
      <c r="P137" s="152">
        <f t="shared" si="27"/>
        <v>360348.1408620096</v>
      </c>
    </row>
    <row r="138" spans="1:16" hidden="1" x14ac:dyDescent="0.15">
      <c r="A138" s="154"/>
      <c r="B138" s="154"/>
      <c r="C138" s="152"/>
      <c r="D138" s="153"/>
      <c r="E138" s="154"/>
      <c r="F138" s="154"/>
      <c r="G138" s="163"/>
      <c r="H138" s="152"/>
      <c r="I138" s="158"/>
      <c r="J138" s="152"/>
      <c r="K138" s="154"/>
      <c r="L138" s="154"/>
      <c r="M138" s="152"/>
      <c r="N138" s="154"/>
      <c r="O138" s="152">
        <f t="shared" si="26"/>
        <v>66746.118862009433</v>
      </c>
      <c r="P138" s="152">
        <f t="shared" si="27"/>
        <v>360348.1408620096</v>
      </c>
    </row>
    <row r="139" spans="1:16" hidden="1" x14ac:dyDescent="0.15">
      <c r="A139" s="154"/>
      <c r="B139" s="154"/>
      <c r="C139" s="152"/>
      <c r="D139" s="153"/>
      <c r="E139" s="154"/>
      <c r="F139" s="154"/>
      <c r="G139" s="163"/>
      <c r="H139" s="152"/>
      <c r="I139" s="158"/>
      <c r="J139" s="152"/>
      <c r="K139" s="154"/>
      <c r="L139" s="154"/>
      <c r="M139" s="152"/>
      <c r="N139" s="159"/>
      <c r="O139" s="152">
        <f t="shared" si="26"/>
        <v>66746.118862009433</v>
      </c>
      <c r="P139" s="152">
        <f t="shared" si="27"/>
        <v>360348.1408620096</v>
      </c>
    </row>
    <row r="140" spans="1:16" hidden="1" x14ac:dyDescent="0.15">
      <c r="A140" s="154"/>
      <c r="B140" s="154"/>
      <c r="C140" s="152"/>
      <c r="D140" s="153"/>
      <c r="E140" s="154"/>
      <c r="F140" s="154"/>
      <c r="G140" s="163"/>
      <c r="H140" s="152"/>
      <c r="I140" s="158"/>
      <c r="J140" s="152"/>
      <c r="K140" s="154"/>
      <c r="L140" s="154"/>
      <c r="M140" s="152"/>
      <c r="N140" s="154"/>
      <c r="O140" s="152">
        <f t="shared" si="26"/>
        <v>66746.118862009433</v>
      </c>
      <c r="P140" s="152">
        <f t="shared" si="27"/>
        <v>360348.1408620096</v>
      </c>
    </row>
    <row r="141" spans="1:16" s="167" customFormat="1" hidden="1" x14ac:dyDescent="0.15">
      <c r="A141" s="154"/>
      <c r="B141" s="154"/>
      <c r="C141" s="152"/>
      <c r="D141" s="153"/>
      <c r="E141" s="154"/>
      <c r="F141" s="154"/>
      <c r="G141" s="163"/>
      <c r="H141" s="152"/>
      <c r="I141" s="158"/>
      <c r="J141" s="152"/>
      <c r="K141" s="154"/>
      <c r="L141" s="154"/>
      <c r="M141" s="152"/>
      <c r="N141" s="154"/>
      <c r="O141" s="152">
        <f t="shared" si="26"/>
        <v>66746.118862009433</v>
      </c>
      <c r="P141" s="152">
        <f t="shared" si="27"/>
        <v>360348.1408620096</v>
      </c>
    </row>
    <row r="142" spans="1:16" s="167" customFormat="1" hidden="1" x14ac:dyDescent="0.15">
      <c r="A142" s="154"/>
      <c r="B142" s="154"/>
      <c r="C142" s="152"/>
      <c r="D142" s="158"/>
      <c r="E142" s="154"/>
      <c r="F142" s="154"/>
      <c r="G142" s="163"/>
      <c r="H142" s="152"/>
      <c r="I142" s="158"/>
      <c r="J142" s="152"/>
      <c r="K142" s="154"/>
      <c r="L142" s="154"/>
      <c r="M142" s="152"/>
      <c r="N142" s="154"/>
      <c r="O142" s="152">
        <f t="shared" si="26"/>
        <v>66746.118862009433</v>
      </c>
      <c r="P142" s="152">
        <f t="shared" si="27"/>
        <v>360348.1408620096</v>
      </c>
    </row>
    <row r="143" spans="1:16" s="167" customFormat="1" hidden="1" x14ac:dyDescent="0.15">
      <c r="A143" s="154"/>
      <c r="B143" s="151"/>
      <c r="C143" s="152"/>
      <c r="D143" s="153"/>
      <c r="E143" s="154"/>
      <c r="F143" s="154"/>
      <c r="G143" s="151"/>
      <c r="H143" s="152"/>
      <c r="I143" s="158"/>
      <c r="J143" s="152"/>
      <c r="K143" s="154"/>
      <c r="L143" s="154"/>
      <c r="M143" s="152"/>
      <c r="N143" s="154"/>
      <c r="O143" s="152">
        <f t="shared" si="26"/>
        <v>66746.118862009433</v>
      </c>
      <c r="P143" s="152">
        <f t="shared" si="27"/>
        <v>360348.1408620096</v>
      </c>
    </row>
    <row r="144" spans="1:16" s="167" customFormat="1" hidden="1" x14ac:dyDescent="0.15">
      <c r="A144" s="154"/>
      <c r="B144" s="151"/>
      <c r="C144" s="152"/>
      <c r="D144" s="153"/>
      <c r="E144" s="154"/>
      <c r="F144" s="150"/>
      <c r="G144" s="151"/>
      <c r="H144" s="152"/>
      <c r="I144" s="158"/>
      <c r="J144" s="152"/>
      <c r="K144" s="154"/>
      <c r="L144" s="154"/>
      <c r="M144" s="152"/>
      <c r="N144" s="154"/>
      <c r="O144" s="152">
        <f t="shared" si="26"/>
        <v>66746.118862009433</v>
      </c>
      <c r="P144" s="152">
        <f t="shared" si="27"/>
        <v>360348.1408620096</v>
      </c>
    </row>
    <row r="145" spans="1:16" s="167" customFormat="1" hidden="1" x14ac:dyDescent="0.15">
      <c r="A145" s="154"/>
      <c r="B145" s="151"/>
      <c r="C145" s="152"/>
      <c r="D145" s="153"/>
      <c r="E145" s="154"/>
      <c r="F145" s="150"/>
      <c r="G145" s="151"/>
      <c r="H145" s="152"/>
      <c r="I145" s="158"/>
      <c r="J145" s="152"/>
      <c r="K145" s="154"/>
      <c r="L145" s="154"/>
      <c r="M145" s="152"/>
      <c r="N145" s="154"/>
      <c r="O145" s="152">
        <f t="shared" si="26"/>
        <v>66746.118862009433</v>
      </c>
      <c r="P145" s="152">
        <f t="shared" si="27"/>
        <v>360348.1408620096</v>
      </c>
    </row>
    <row r="146" spans="1:16" s="167" customFormat="1" hidden="1" x14ac:dyDescent="0.15">
      <c r="A146" s="154"/>
      <c r="B146" s="151"/>
      <c r="C146" s="152"/>
      <c r="D146" s="153"/>
      <c r="E146" s="154"/>
      <c r="F146" s="150"/>
      <c r="G146" s="151"/>
      <c r="H146" s="152"/>
      <c r="I146" s="153"/>
      <c r="J146" s="152"/>
      <c r="K146" s="154"/>
      <c r="L146" s="154"/>
      <c r="M146" s="152"/>
      <c r="N146" s="154"/>
      <c r="O146" s="152">
        <f t="shared" si="26"/>
        <v>66746.118862009433</v>
      </c>
      <c r="P146" s="152">
        <f t="shared" si="27"/>
        <v>360348.1408620096</v>
      </c>
    </row>
    <row r="147" spans="1:16" s="167" customFormat="1" hidden="1" x14ac:dyDescent="0.15">
      <c r="A147" s="154"/>
      <c r="B147" s="151"/>
      <c r="C147" s="152"/>
      <c r="D147" s="153"/>
      <c r="E147" s="154"/>
      <c r="F147" s="150"/>
      <c r="G147" s="151"/>
      <c r="H147" s="152"/>
      <c r="I147" s="153"/>
      <c r="J147" s="152"/>
      <c r="K147" s="154"/>
      <c r="L147" s="154"/>
      <c r="M147" s="152"/>
      <c r="N147" s="154"/>
      <c r="O147" s="152">
        <f t="shared" si="26"/>
        <v>66746.118862009433</v>
      </c>
      <c r="P147" s="152">
        <f t="shared" si="27"/>
        <v>360348.1408620096</v>
      </c>
    </row>
    <row r="148" spans="1:16" s="167" customFormat="1" hidden="1" x14ac:dyDescent="0.15">
      <c r="A148" s="154"/>
      <c r="B148" s="151"/>
      <c r="C148" s="152"/>
      <c r="D148" s="158"/>
      <c r="E148" s="154"/>
      <c r="F148" s="150"/>
      <c r="G148" s="151"/>
      <c r="H148" s="152"/>
      <c r="I148" s="158"/>
      <c r="J148" s="152"/>
      <c r="K148" s="159"/>
      <c r="L148" s="154"/>
      <c r="M148" s="152"/>
      <c r="N148" s="154"/>
      <c r="O148" s="152">
        <f t="shared" si="26"/>
        <v>66746.118862009433</v>
      </c>
      <c r="P148" s="152">
        <f t="shared" si="27"/>
        <v>360348.1408620096</v>
      </c>
    </row>
    <row r="149" spans="1:16" s="167" customFormat="1" hidden="1" x14ac:dyDescent="0.15">
      <c r="A149" s="154"/>
      <c r="B149" s="154"/>
      <c r="C149" s="152"/>
      <c r="D149" s="158"/>
      <c r="E149" s="154"/>
      <c r="F149" s="157"/>
      <c r="G149" s="163"/>
      <c r="H149" s="152"/>
      <c r="I149" s="158"/>
      <c r="J149" s="152"/>
      <c r="K149" s="154"/>
      <c r="L149" s="154"/>
      <c r="M149" s="152"/>
      <c r="N149" s="154"/>
      <c r="O149" s="152">
        <f t="shared" ref="O149:O212" si="28">+O148-J149-M149</f>
        <v>66746.118862009433</v>
      </c>
      <c r="P149" s="152">
        <f t="shared" ref="P149:P212" si="29">P148+H149-J149-M149</f>
        <v>360348.1408620096</v>
      </c>
    </row>
    <row r="150" spans="1:16" s="167" customFormat="1" hidden="1" x14ac:dyDescent="0.15">
      <c r="A150" s="154"/>
      <c r="B150" s="154"/>
      <c r="C150" s="152"/>
      <c r="D150" s="153"/>
      <c r="E150" s="154"/>
      <c r="F150" s="150"/>
      <c r="G150" s="151"/>
      <c r="H150" s="152"/>
      <c r="I150" s="158"/>
      <c r="J150" s="152"/>
      <c r="K150" s="154"/>
      <c r="L150" s="154"/>
      <c r="M150" s="152"/>
      <c r="N150" s="154"/>
      <c r="O150" s="152">
        <f t="shared" si="28"/>
        <v>66746.118862009433</v>
      </c>
      <c r="P150" s="152">
        <f t="shared" si="29"/>
        <v>360348.1408620096</v>
      </c>
    </row>
    <row r="151" spans="1:16" s="167" customFormat="1" hidden="1" x14ac:dyDescent="0.15">
      <c r="A151" s="154"/>
      <c r="B151" s="154"/>
      <c r="C151" s="152"/>
      <c r="D151" s="158"/>
      <c r="E151" s="154"/>
      <c r="F151" s="154"/>
      <c r="G151" s="163"/>
      <c r="H151" s="152"/>
      <c r="I151" s="158"/>
      <c r="J151" s="152"/>
      <c r="K151" s="154"/>
      <c r="L151" s="154"/>
      <c r="M151" s="152"/>
      <c r="N151" s="154"/>
      <c r="O151" s="152">
        <f t="shared" si="28"/>
        <v>66746.118862009433</v>
      </c>
      <c r="P151" s="152">
        <f t="shared" si="29"/>
        <v>360348.1408620096</v>
      </c>
    </row>
    <row r="152" spans="1:16" s="167" customFormat="1" hidden="1" x14ac:dyDescent="0.15">
      <c r="A152" s="154"/>
      <c r="B152" s="154"/>
      <c r="C152" s="152"/>
      <c r="D152" s="158"/>
      <c r="E152" s="154"/>
      <c r="F152" s="157"/>
      <c r="G152" s="163"/>
      <c r="H152" s="152"/>
      <c r="I152" s="158"/>
      <c r="J152" s="152"/>
      <c r="K152" s="154"/>
      <c r="L152" s="154"/>
      <c r="M152" s="152"/>
      <c r="N152" s="154"/>
      <c r="O152" s="152">
        <f t="shared" si="28"/>
        <v>66746.118862009433</v>
      </c>
      <c r="P152" s="152">
        <f t="shared" si="29"/>
        <v>360348.1408620096</v>
      </c>
    </row>
    <row r="153" spans="1:16" s="167" customFormat="1" hidden="1" x14ac:dyDescent="0.15">
      <c r="A153" s="154"/>
      <c r="B153" s="154"/>
      <c r="C153" s="152"/>
      <c r="D153" s="158"/>
      <c r="E153" s="154"/>
      <c r="F153" s="154"/>
      <c r="G153" s="151"/>
      <c r="H153" s="152"/>
      <c r="I153" s="158"/>
      <c r="J153" s="152"/>
      <c r="K153" s="154"/>
      <c r="L153" s="154"/>
      <c r="M153" s="152"/>
      <c r="N153" s="154"/>
      <c r="O153" s="152">
        <f t="shared" si="28"/>
        <v>66746.118862009433</v>
      </c>
      <c r="P153" s="152">
        <f t="shared" si="29"/>
        <v>360348.1408620096</v>
      </c>
    </row>
    <row r="154" spans="1:16" s="167" customFormat="1" hidden="1" x14ac:dyDescent="0.15">
      <c r="A154" s="154"/>
      <c r="B154" s="154"/>
      <c r="C154" s="152"/>
      <c r="D154" s="153"/>
      <c r="E154" s="154"/>
      <c r="F154" s="154"/>
      <c r="G154" s="151"/>
      <c r="H154" s="152"/>
      <c r="I154" s="158"/>
      <c r="J154" s="152"/>
      <c r="K154" s="154"/>
      <c r="L154" s="154"/>
      <c r="M154" s="152"/>
      <c r="N154" s="154"/>
      <c r="O154" s="152">
        <f t="shared" si="28"/>
        <v>66746.118862009433</v>
      </c>
      <c r="P154" s="152">
        <f t="shared" si="29"/>
        <v>360348.1408620096</v>
      </c>
    </row>
    <row r="155" spans="1:16" s="167" customFormat="1" hidden="1" x14ac:dyDescent="0.15">
      <c r="A155" s="154"/>
      <c r="B155" s="154"/>
      <c r="C155" s="152"/>
      <c r="D155" s="158"/>
      <c r="E155" s="154"/>
      <c r="F155" s="157"/>
      <c r="G155" s="168"/>
      <c r="H155" s="152"/>
      <c r="I155" s="158"/>
      <c r="J155" s="152"/>
      <c r="K155" s="154"/>
      <c r="L155" s="154"/>
      <c r="M155" s="152"/>
      <c r="N155" s="154"/>
      <c r="O155" s="152">
        <f t="shared" si="28"/>
        <v>66746.118862009433</v>
      </c>
      <c r="P155" s="152">
        <f t="shared" si="29"/>
        <v>360348.1408620096</v>
      </c>
    </row>
    <row r="156" spans="1:16" s="167" customFormat="1" hidden="1" x14ac:dyDescent="0.15">
      <c r="A156" s="154"/>
      <c r="B156" s="154"/>
      <c r="C156" s="152"/>
      <c r="D156" s="153"/>
      <c r="E156" s="154"/>
      <c r="F156" s="154"/>
      <c r="G156" s="151"/>
      <c r="H156" s="152"/>
      <c r="I156" s="158"/>
      <c r="J156" s="152"/>
      <c r="K156" s="159"/>
      <c r="L156" s="154"/>
      <c r="M156" s="152"/>
      <c r="N156" s="154"/>
      <c r="O156" s="152">
        <f t="shared" si="28"/>
        <v>66746.118862009433</v>
      </c>
      <c r="P156" s="152">
        <f t="shared" si="29"/>
        <v>360348.1408620096</v>
      </c>
    </row>
    <row r="157" spans="1:16" s="167" customFormat="1" hidden="1" x14ac:dyDescent="0.15">
      <c r="A157" s="154"/>
      <c r="B157" s="154"/>
      <c r="C157" s="152"/>
      <c r="D157" s="158"/>
      <c r="E157" s="154"/>
      <c r="F157" s="154"/>
      <c r="G157" s="151"/>
      <c r="H157" s="152"/>
      <c r="I157" s="158"/>
      <c r="J157" s="152"/>
      <c r="K157" s="154"/>
      <c r="L157" s="154"/>
      <c r="M157" s="152"/>
      <c r="N157" s="154"/>
      <c r="O157" s="152">
        <f t="shared" si="28"/>
        <v>66746.118862009433</v>
      </c>
      <c r="P157" s="152">
        <f t="shared" si="29"/>
        <v>360348.1408620096</v>
      </c>
    </row>
    <row r="158" spans="1:16" s="167" customFormat="1" hidden="1" x14ac:dyDescent="0.15">
      <c r="A158" s="154"/>
      <c r="B158" s="154"/>
      <c r="C158" s="152"/>
      <c r="D158" s="158"/>
      <c r="E158" s="154"/>
      <c r="F158" s="154"/>
      <c r="G158" s="151"/>
      <c r="H158" s="152"/>
      <c r="I158" s="158"/>
      <c r="J158" s="152"/>
      <c r="K158" s="154"/>
      <c r="L158" s="154"/>
      <c r="M158" s="152"/>
      <c r="N158" s="154"/>
      <c r="O158" s="152">
        <f t="shared" si="28"/>
        <v>66746.118862009433</v>
      </c>
      <c r="P158" s="152">
        <f t="shared" si="29"/>
        <v>360348.1408620096</v>
      </c>
    </row>
    <row r="159" spans="1:16" s="167" customFormat="1" hidden="1" x14ac:dyDescent="0.15">
      <c r="A159" s="154"/>
      <c r="B159" s="154"/>
      <c r="C159" s="152"/>
      <c r="D159" s="153"/>
      <c r="E159" s="154"/>
      <c r="F159" s="154"/>
      <c r="G159" s="151"/>
      <c r="H159" s="152"/>
      <c r="I159" s="158"/>
      <c r="J159" s="152"/>
      <c r="K159" s="159"/>
      <c r="L159" s="154"/>
      <c r="M159" s="152"/>
      <c r="N159" s="154"/>
      <c r="O159" s="152">
        <f t="shared" si="28"/>
        <v>66746.118862009433</v>
      </c>
      <c r="P159" s="152">
        <f t="shared" si="29"/>
        <v>360348.1408620096</v>
      </c>
    </row>
    <row r="160" spans="1:16" s="167" customFormat="1" hidden="1" x14ac:dyDescent="0.15">
      <c r="A160" s="154"/>
      <c r="B160" s="154"/>
      <c r="C160" s="152"/>
      <c r="D160" s="158"/>
      <c r="E160" s="154"/>
      <c r="F160" s="157"/>
      <c r="G160" s="163"/>
      <c r="H160" s="152"/>
      <c r="I160" s="158"/>
      <c r="J160" s="152"/>
      <c r="K160" s="154"/>
      <c r="L160" s="154"/>
      <c r="M160" s="152"/>
      <c r="N160" s="154"/>
      <c r="O160" s="152">
        <f t="shared" si="28"/>
        <v>66746.118862009433</v>
      </c>
      <c r="P160" s="152">
        <f t="shared" si="29"/>
        <v>360348.1408620096</v>
      </c>
    </row>
    <row r="161" spans="1:16" s="167" customFormat="1" hidden="1" x14ac:dyDescent="0.15">
      <c r="A161" s="154"/>
      <c r="B161" s="154"/>
      <c r="C161" s="152"/>
      <c r="D161" s="158"/>
      <c r="E161" s="154"/>
      <c r="F161" s="154"/>
      <c r="G161" s="151"/>
      <c r="H161" s="152"/>
      <c r="I161" s="158"/>
      <c r="J161" s="152"/>
      <c r="K161" s="150"/>
      <c r="L161" s="154"/>
      <c r="M161" s="152"/>
      <c r="N161" s="154"/>
      <c r="O161" s="152">
        <f t="shared" si="28"/>
        <v>66746.118862009433</v>
      </c>
      <c r="P161" s="152">
        <f t="shared" si="29"/>
        <v>360348.1408620096</v>
      </c>
    </row>
    <row r="162" spans="1:16" s="167" customFormat="1" hidden="1" x14ac:dyDescent="0.15">
      <c r="A162" s="154"/>
      <c r="B162" s="154"/>
      <c r="C162" s="152"/>
      <c r="D162" s="158"/>
      <c r="E162" s="154"/>
      <c r="F162" s="154"/>
      <c r="G162" s="151"/>
      <c r="H162" s="152"/>
      <c r="I162" s="158"/>
      <c r="J162" s="152"/>
      <c r="K162" s="150"/>
      <c r="L162" s="154"/>
      <c r="M162" s="152"/>
      <c r="N162" s="154"/>
      <c r="O162" s="152">
        <f t="shared" si="28"/>
        <v>66746.118862009433</v>
      </c>
      <c r="P162" s="152">
        <f t="shared" si="29"/>
        <v>360348.1408620096</v>
      </c>
    </row>
    <row r="163" spans="1:16" s="167" customFormat="1" hidden="1" x14ac:dyDescent="0.15">
      <c r="A163" s="154"/>
      <c r="B163" s="154"/>
      <c r="C163" s="152"/>
      <c r="D163" s="158"/>
      <c r="E163" s="154"/>
      <c r="F163" s="154"/>
      <c r="G163" s="151"/>
      <c r="H163" s="152"/>
      <c r="I163" s="158"/>
      <c r="J163" s="152"/>
      <c r="K163" s="154"/>
      <c r="L163" s="154"/>
      <c r="M163" s="152"/>
      <c r="N163" s="154"/>
      <c r="O163" s="152">
        <f t="shared" si="28"/>
        <v>66746.118862009433</v>
      </c>
      <c r="P163" s="152">
        <f t="shared" si="29"/>
        <v>360348.1408620096</v>
      </c>
    </row>
    <row r="164" spans="1:16" s="167" customFormat="1" hidden="1" x14ac:dyDescent="0.15">
      <c r="A164" s="154"/>
      <c r="B164" s="154"/>
      <c r="C164" s="152"/>
      <c r="D164" s="158"/>
      <c r="E164" s="154"/>
      <c r="F164" s="150"/>
      <c r="G164" s="151"/>
      <c r="H164" s="152"/>
      <c r="I164" s="158"/>
      <c r="J164" s="152"/>
      <c r="K164" s="154"/>
      <c r="L164" s="154"/>
      <c r="M164" s="152"/>
      <c r="N164" s="154"/>
      <c r="O164" s="152">
        <f t="shared" si="28"/>
        <v>66746.118862009433</v>
      </c>
      <c r="P164" s="152">
        <f t="shared" si="29"/>
        <v>360348.1408620096</v>
      </c>
    </row>
    <row r="165" spans="1:16" s="167" customFormat="1" hidden="1" x14ac:dyDescent="0.15">
      <c r="A165" s="154"/>
      <c r="B165" s="154"/>
      <c r="C165" s="152"/>
      <c r="D165" s="153"/>
      <c r="E165" s="154"/>
      <c r="F165" s="150"/>
      <c r="G165" s="151"/>
      <c r="H165" s="152"/>
      <c r="I165" s="158"/>
      <c r="J165" s="152"/>
      <c r="K165" s="154"/>
      <c r="L165" s="154"/>
      <c r="M165" s="152"/>
      <c r="N165" s="154"/>
      <c r="O165" s="152">
        <f t="shared" si="28"/>
        <v>66746.118862009433</v>
      </c>
      <c r="P165" s="152">
        <f t="shared" si="29"/>
        <v>360348.1408620096</v>
      </c>
    </row>
    <row r="166" spans="1:16" s="167" customFormat="1" hidden="1" x14ac:dyDescent="0.15">
      <c r="A166" s="154"/>
      <c r="B166" s="154"/>
      <c r="C166" s="152"/>
      <c r="D166" s="158"/>
      <c r="E166" s="154"/>
      <c r="F166" s="157"/>
      <c r="G166" s="151"/>
      <c r="H166" s="152"/>
      <c r="I166" s="158"/>
      <c r="J166" s="152"/>
      <c r="K166" s="154"/>
      <c r="L166" s="154"/>
      <c r="M166" s="152"/>
      <c r="N166" s="154"/>
      <c r="O166" s="152">
        <f t="shared" si="28"/>
        <v>66746.118862009433</v>
      </c>
      <c r="P166" s="152">
        <f t="shared" si="29"/>
        <v>360348.1408620096</v>
      </c>
    </row>
    <row r="167" spans="1:16" s="167" customFormat="1" hidden="1" x14ac:dyDescent="0.15">
      <c r="A167" s="154"/>
      <c r="B167" s="154"/>
      <c r="C167" s="152"/>
      <c r="D167" s="158"/>
      <c r="E167" s="154"/>
      <c r="F167" s="154"/>
      <c r="G167" s="151"/>
      <c r="H167" s="152"/>
      <c r="I167" s="158"/>
      <c r="J167" s="152"/>
      <c r="K167" s="154"/>
      <c r="L167" s="154"/>
      <c r="M167" s="152"/>
      <c r="N167" s="154"/>
      <c r="O167" s="152">
        <f t="shared" si="28"/>
        <v>66746.118862009433</v>
      </c>
      <c r="P167" s="152">
        <f t="shared" si="29"/>
        <v>360348.1408620096</v>
      </c>
    </row>
    <row r="168" spans="1:16" s="167" customFormat="1" hidden="1" x14ac:dyDescent="0.15">
      <c r="A168" s="154"/>
      <c r="B168" s="154"/>
      <c r="C168" s="152"/>
      <c r="D168" s="153"/>
      <c r="E168" s="154"/>
      <c r="F168" s="154"/>
      <c r="G168" s="151"/>
      <c r="H168" s="152"/>
      <c r="I168" s="158"/>
      <c r="J168" s="152"/>
      <c r="K168" s="154"/>
      <c r="L168" s="154"/>
      <c r="M168" s="152"/>
      <c r="N168" s="154"/>
      <c r="O168" s="152">
        <f t="shared" si="28"/>
        <v>66746.118862009433</v>
      </c>
      <c r="P168" s="152">
        <f t="shared" si="29"/>
        <v>360348.1408620096</v>
      </c>
    </row>
    <row r="169" spans="1:16" s="167" customFormat="1" hidden="1" x14ac:dyDescent="0.15">
      <c r="A169" s="154"/>
      <c r="B169" s="154"/>
      <c r="C169" s="152"/>
      <c r="D169" s="153"/>
      <c r="E169" s="154"/>
      <c r="F169" s="157"/>
      <c r="G169" s="168"/>
      <c r="H169" s="152"/>
      <c r="I169" s="158"/>
      <c r="J169" s="152"/>
      <c r="K169" s="154"/>
      <c r="L169" s="154"/>
      <c r="M169" s="152"/>
      <c r="N169" s="154"/>
      <c r="O169" s="152">
        <f t="shared" si="28"/>
        <v>66746.118862009433</v>
      </c>
      <c r="P169" s="152">
        <f t="shared" si="29"/>
        <v>360348.1408620096</v>
      </c>
    </row>
    <row r="170" spans="1:16" s="167" customFormat="1" hidden="1" x14ac:dyDescent="0.15">
      <c r="A170" s="154"/>
      <c r="B170" s="154"/>
      <c r="C170" s="152"/>
      <c r="D170" s="153"/>
      <c r="E170" s="154"/>
      <c r="F170" s="157"/>
      <c r="G170" s="168"/>
      <c r="H170" s="152"/>
      <c r="I170" s="153"/>
      <c r="J170" s="152"/>
      <c r="K170" s="154"/>
      <c r="L170" s="154"/>
      <c r="M170" s="152"/>
      <c r="N170" s="154"/>
      <c r="O170" s="152">
        <f t="shared" si="28"/>
        <v>66746.118862009433</v>
      </c>
      <c r="P170" s="152">
        <f t="shared" si="29"/>
        <v>360348.1408620096</v>
      </c>
    </row>
    <row r="171" spans="1:16" hidden="1" x14ac:dyDescent="0.15">
      <c r="A171" s="154"/>
      <c r="B171" s="154"/>
      <c r="C171" s="152"/>
      <c r="D171" s="158"/>
      <c r="E171" s="154"/>
      <c r="F171" s="150"/>
      <c r="G171" s="151"/>
      <c r="H171" s="152"/>
      <c r="I171" s="158"/>
      <c r="J171" s="152"/>
      <c r="K171" s="154"/>
      <c r="L171" s="154"/>
      <c r="M171" s="152"/>
      <c r="N171" s="154"/>
      <c r="O171" s="152">
        <f t="shared" si="28"/>
        <v>66746.118862009433</v>
      </c>
      <c r="P171" s="152">
        <f t="shared" si="29"/>
        <v>360348.1408620096</v>
      </c>
    </row>
    <row r="172" spans="1:16" hidden="1" x14ac:dyDescent="0.15">
      <c r="A172" s="154"/>
      <c r="B172" s="154"/>
      <c r="C172" s="152"/>
      <c r="D172" s="158"/>
      <c r="E172" s="154"/>
      <c r="F172" s="150"/>
      <c r="G172" s="151"/>
      <c r="H172" s="152"/>
      <c r="I172" s="158"/>
      <c r="J172" s="152"/>
      <c r="K172" s="154"/>
      <c r="L172" s="154"/>
      <c r="M172" s="152"/>
      <c r="N172" s="154"/>
      <c r="O172" s="152">
        <f t="shared" si="28"/>
        <v>66746.118862009433</v>
      </c>
      <c r="P172" s="152">
        <f t="shared" si="29"/>
        <v>360348.1408620096</v>
      </c>
    </row>
    <row r="173" spans="1:16" hidden="1" x14ac:dyDescent="0.15">
      <c r="A173" s="154"/>
      <c r="B173" s="154"/>
      <c r="C173" s="152"/>
      <c r="D173" s="158"/>
      <c r="E173" s="154"/>
      <c r="F173" s="157"/>
      <c r="G173" s="151"/>
      <c r="H173" s="152"/>
      <c r="I173" s="158"/>
      <c r="J173" s="152"/>
      <c r="K173" s="154"/>
      <c r="L173" s="154"/>
      <c r="M173" s="152"/>
      <c r="N173" s="154"/>
      <c r="O173" s="152">
        <f t="shared" si="28"/>
        <v>66746.118862009433</v>
      </c>
      <c r="P173" s="152">
        <f t="shared" si="29"/>
        <v>360348.1408620096</v>
      </c>
    </row>
    <row r="174" spans="1:16" hidden="1" x14ac:dyDescent="0.15">
      <c r="A174" s="154"/>
      <c r="B174" s="154"/>
      <c r="C174" s="152"/>
      <c r="D174" s="153"/>
      <c r="E174" s="154"/>
      <c r="F174" s="154"/>
      <c r="G174" s="163"/>
      <c r="H174" s="152"/>
      <c r="I174" s="158"/>
      <c r="J174" s="152"/>
      <c r="K174" s="154"/>
      <c r="L174" s="154"/>
      <c r="M174" s="152"/>
      <c r="N174" s="154"/>
      <c r="O174" s="152">
        <f t="shared" si="28"/>
        <v>66746.118862009433</v>
      </c>
      <c r="P174" s="152">
        <f t="shared" si="29"/>
        <v>360348.1408620096</v>
      </c>
    </row>
    <row r="175" spans="1:16" hidden="1" x14ac:dyDescent="0.15">
      <c r="A175" s="154"/>
      <c r="B175" s="154"/>
      <c r="C175" s="152"/>
      <c r="D175" s="158"/>
      <c r="E175" s="154"/>
      <c r="F175" s="154"/>
      <c r="G175" s="163"/>
      <c r="H175" s="152"/>
      <c r="I175" s="158"/>
      <c r="J175" s="152"/>
      <c r="K175" s="154"/>
      <c r="L175" s="154"/>
      <c r="M175" s="152"/>
      <c r="N175" s="154"/>
      <c r="O175" s="152">
        <f t="shared" si="28"/>
        <v>66746.118862009433</v>
      </c>
      <c r="P175" s="152">
        <f t="shared" si="29"/>
        <v>360348.1408620096</v>
      </c>
    </row>
    <row r="176" spans="1:16" hidden="1" x14ac:dyDescent="0.15">
      <c r="A176" s="154"/>
      <c r="B176" s="154"/>
      <c r="C176" s="152"/>
      <c r="D176" s="153"/>
      <c r="E176" s="154"/>
      <c r="F176" s="157"/>
      <c r="G176" s="151"/>
      <c r="H176" s="152"/>
      <c r="I176" s="158"/>
      <c r="J176" s="152"/>
      <c r="K176" s="154"/>
      <c r="L176" s="154"/>
      <c r="M176" s="152"/>
      <c r="N176" s="154"/>
      <c r="O176" s="152">
        <f t="shared" si="28"/>
        <v>66746.118862009433</v>
      </c>
      <c r="P176" s="152">
        <f t="shared" si="29"/>
        <v>360348.1408620096</v>
      </c>
    </row>
    <row r="177" spans="1:16" hidden="1" x14ac:dyDescent="0.15">
      <c r="A177" s="154"/>
      <c r="B177" s="154"/>
      <c r="C177" s="152"/>
      <c r="D177" s="158"/>
      <c r="E177" s="154"/>
      <c r="F177" s="154"/>
      <c r="G177" s="163"/>
      <c r="H177" s="152"/>
      <c r="I177" s="158"/>
      <c r="J177" s="152"/>
      <c r="K177" s="164"/>
      <c r="L177" s="154"/>
      <c r="M177" s="152"/>
      <c r="N177" s="154"/>
      <c r="O177" s="152">
        <f t="shared" si="28"/>
        <v>66746.118862009433</v>
      </c>
      <c r="P177" s="152">
        <f t="shared" si="29"/>
        <v>360348.1408620096</v>
      </c>
    </row>
    <row r="178" spans="1:16" hidden="1" x14ac:dyDescent="0.15">
      <c r="A178" s="154"/>
      <c r="B178" s="154"/>
      <c r="C178" s="152"/>
      <c r="D178" s="153"/>
      <c r="E178" s="154"/>
      <c r="F178" s="154"/>
      <c r="G178" s="169"/>
      <c r="H178" s="152"/>
      <c r="I178" s="158"/>
      <c r="J178" s="152"/>
      <c r="K178" s="154"/>
      <c r="L178" s="154"/>
      <c r="M178" s="152"/>
      <c r="N178" s="154"/>
      <c r="O178" s="152">
        <f t="shared" si="28"/>
        <v>66746.118862009433</v>
      </c>
      <c r="P178" s="152">
        <f t="shared" si="29"/>
        <v>360348.1408620096</v>
      </c>
    </row>
    <row r="179" spans="1:16" hidden="1" x14ac:dyDescent="0.15">
      <c r="A179" s="154"/>
      <c r="B179" s="154"/>
      <c r="C179" s="152"/>
      <c r="D179" s="158"/>
      <c r="E179" s="154"/>
      <c r="F179" s="157"/>
      <c r="G179" s="168"/>
      <c r="H179" s="152"/>
      <c r="I179" s="158"/>
      <c r="J179" s="152"/>
      <c r="K179" s="154"/>
      <c r="L179" s="154"/>
      <c r="M179" s="152"/>
      <c r="N179" s="154"/>
      <c r="O179" s="152">
        <f t="shared" si="28"/>
        <v>66746.118862009433</v>
      </c>
      <c r="P179" s="152">
        <f t="shared" si="29"/>
        <v>360348.1408620096</v>
      </c>
    </row>
    <row r="180" spans="1:16" hidden="1" x14ac:dyDescent="0.15">
      <c r="A180" s="154"/>
      <c r="B180" s="154"/>
      <c r="C180" s="152"/>
      <c r="D180" s="158"/>
      <c r="E180" s="154"/>
      <c r="F180" s="154"/>
      <c r="G180" s="163"/>
      <c r="H180" s="152"/>
      <c r="I180" s="158"/>
      <c r="J180" s="152"/>
      <c r="K180" s="154"/>
      <c r="L180" s="154"/>
      <c r="M180" s="152"/>
      <c r="N180" s="154"/>
      <c r="O180" s="152">
        <f t="shared" si="28"/>
        <v>66746.118862009433</v>
      </c>
      <c r="P180" s="152">
        <f t="shared" si="29"/>
        <v>360348.1408620096</v>
      </c>
    </row>
    <row r="181" spans="1:16" hidden="1" x14ac:dyDescent="0.15">
      <c r="A181" s="154"/>
      <c r="B181" s="154"/>
      <c r="C181" s="152"/>
      <c r="D181" s="158"/>
      <c r="E181" s="154"/>
      <c r="F181" s="154"/>
      <c r="G181" s="163"/>
      <c r="H181" s="152"/>
      <c r="I181" s="158"/>
      <c r="J181" s="152"/>
      <c r="K181" s="154"/>
      <c r="L181" s="154"/>
      <c r="M181" s="152"/>
      <c r="N181" s="154"/>
      <c r="O181" s="152">
        <f t="shared" si="28"/>
        <v>66746.118862009433</v>
      </c>
      <c r="P181" s="152">
        <f t="shared" si="29"/>
        <v>360348.1408620096</v>
      </c>
    </row>
    <row r="182" spans="1:16" hidden="1" x14ac:dyDescent="0.15">
      <c r="A182" s="154"/>
      <c r="B182" s="154"/>
      <c r="C182" s="152"/>
      <c r="D182" s="158"/>
      <c r="E182" s="154"/>
      <c r="F182" s="157"/>
      <c r="G182" s="151"/>
      <c r="H182" s="152"/>
      <c r="I182" s="158"/>
      <c r="J182" s="152"/>
      <c r="K182" s="154"/>
      <c r="L182" s="154"/>
      <c r="M182" s="152"/>
      <c r="N182" s="154"/>
      <c r="O182" s="152">
        <f t="shared" si="28"/>
        <v>66746.118862009433</v>
      </c>
      <c r="P182" s="152">
        <f t="shared" si="29"/>
        <v>360348.1408620096</v>
      </c>
    </row>
    <row r="183" spans="1:16" hidden="1" x14ac:dyDescent="0.15">
      <c r="A183" s="154"/>
      <c r="B183" s="154"/>
      <c r="C183" s="152"/>
      <c r="D183" s="153"/>
      <c r="E183" s="154"/>
      <c r="F183" s="154"/>
      <c r="G183" s="163"/>
      <c r="H183" s="152"/>
      <c r="I183" s="158"/>
      <c r="J183" s="152"/>
      <c r="K183" s="154"/>
      <c r="L183" s="154"/>
      <c r="M183" s="152"/>
      <c r="N183" s="154"/>
      <c r="O183" s="152">
        <f t="shared" si="28"/>
        <v>66746.118862009433</v>
      </c>
      <c r="P183" s="152">
        <f t="shared" si="29"/>
        <v>360348.1408620096</v>
      </c>
    </row>
    <row r="184" spans="1:16" hidden="1" x14ac:dyDescent="0.15">
      <c r="A184" s="154"/>
      <c r="B184" s="154"/>
      <c r="C184" s="152"/>
      <c r="D184" s="158"/>
      <c r="E184" s="154"/>
      <c r="F184" s="154"/>
      <c r="G184" s="163"/>
      <c r="H184" s="152"/>
      <c r="I184" s="158"/>
      <c r="J184" s="152"/>
      <c r="K184" s="164"/>
      <c r="L184" s="154"/>
      <c r="M184" s="152"/>
      <c r="N184" s="154"/>
      <c r="O184" s="152">
        <f t="shared" si="28"/>
        <v>66746.118862009433</v>
      </c>
      <c r="P184" s="152">
        <f t="shared" si="29"/>
        <v>360348.1408620096</v>
      </c>
    </row>
    <row r="185" spans="1:16" hidden="1" x14ac:dyDescent="0.15">
      <c r="A185" s="154"/>
      <c r="B185" s="154"/>
      <c r="C185" s="152"/>
      <c r="D185" s="158"/>
      <c r="E185" s="154"/>
      <c r="F185" s="154"/>
      <c r="G185" s="163"/>
      <c r="H185" s="152"/>
      <c r="I185" s="158"/>
      <c r="J185" s="152"/>
      <c r="K185" s="164"/>
      <c r="L185" s="154"/>
      <c r="M185" s="152"/>
      <c r="N185" s="154"/>
      <c r="O185" s="152">
        <f t="shared" si="28"/>
        <v>66746.118862009433</v>
      </c>
      <c r="P185" s="152">
        <f t="shared" si="29"/>
        <v>360348.1408620096</v>
      </c>
    </row>
    <row r="186" spans="1:16" hidden="1" x14ac:dyDescent="0.15">
      <c r="A186" s="154"/>
      <c r="B186" s="154"/>
      <c r="C186" s="152"/>
      <c r="D186" s="153"/>
      <c r="E186" s="154"/>
      <c r="F186" s="150"/>
      <c r="G186" s="151"/>
      <c r="H186" s="152"/>
      <c r="I186" s="158"/>
      <c r="J186" s="152"/>
      <c r="K186" s="154"/>
      <c r="L186" s="154"/>
      <c r="M186" s="152"/>
      <c r="N186" s="154"/>
      <c r="O186" s="152">
        <f t="shared" si="28"/>
        <v>66746.118862009433</v>
      </c>
      <c r="P186" s="152">
        <f t="shared" si="29"/>
        <v>360348.1408620096</v>
      </c>
    </row>
    <row r="187" spans="1:16" hidden="1" x14ac:dyDescent="0.15">
      <c r="A187" s="154"/>
      <c r="B187" s="154"/>
      <c r="C187" s="152"/>
      <c r="D187" s="158"/>
      <c r="E187" s="154"/>
      <c r="F187" s="150"/>
      <c r="G187" s="151"/>
      <c r="H187" s="152"/>
      <c r="I187" s="158"/>
      <c r="J187" s="152"/>
      <c r="K187" s="154"/>
      <c r="L187" s="154"/>
      <c r="M187" s="152"/>
      <c r="N187" s="154"/>
      <c r="O187" s="152">
        <f t="shared" si="28"/>
        <v>66746.118862009433</v>
      </c>
      <c r="P187" s="152">
        <f t="shared" si="29"/>
        <v>360348.1408620096</v>
      </c>
    </row>
    <row r="188" spans="1:16" hidden="1" x14ac:dyDescent="0.15">
      <c r="A188" s="154"/>
      <c r="B188" s="154"/>
      <c r="C188" s="152"/>
      <c r="D188" s="158"/>
      <c r="E188" s="154"/>
      <c r="F188" s="150"/>
      <c r="G188" s="151"/>
      <c r="H188" s="152"/>
      <c r="I188" s="158"/>
      <c r="J188" s="152"/>
      <c r="K188" s="154"/>
      <c r="L188" s="154"/>
      <c r="M188" s="152"/>
      <c r="N188" s="154"/>
      <c r="O188" s="152">
        <f t="shared" si="28"/>
        <v>66746.118862009433</v>
      </c>
      <c r="P188" s="152">
        <f t="shared" si="29"/>
        <v>360348.1408620096</v>
      </c>
    </row>
    <row r="189" spans="1:16" hidden="1" x14ac:dyDescent="0.15">
      <c r="A189" s="154"/>
      <c r="B189" s="154"/>
      <c r="C189" s="152"/>
      <c r="D189" s="158"/>
      <c r="E189" s="154"/>
      <c r="F189" s="150"/>
      <c r="G189" s="151"/>
      <c r="H189" s="152"/>
      <c r="I189" s="158"/>
      <c r="J189" s="152"/>
      <c r="K189" s="154"/>
      <c r="L189" s="154"/>
      <c r="M189" s="152"/>
      <c r="N189" s="154"/>
      <c r="O189" s="152">
        <f t="shared" si="28"/>
        <v>66746.118862009433</v>
      </c>
      <c r="P189" s="152">
        <f t="shared" si="29"/>
        <v>360348.1408620096</v>
      </c>
    </row>
    <row r="190" spans="1:16" hidden="1" x14ac:dyDescent="0.15">
      <c r="A190" s="154"/>
      <c r="B190" s="154"/>
      <c r="C190" s="152"/>
      <c r="D190" s="158"/>
      <c r="E190" s="154"/>
      <c r="F190" s="150"/>
      <c r="G190" s="151"/>
      <c r="H190" s="152"/>
      <c r="I190" s="153"/>
      <c r="J190" s="152"/>
      <c r="K190" s="154"/>
      <c r="L190" s="154"/>
      <c r="M190" s="152"/>
      <c r="N190" s="154"/>
      <c r="O190" s="152">
        <f t="shared" si="28"/>
        <v>66746.118862009433</v>
      </c>
      <c r="P190" s="152">
        <f t="shared" si="29"/>
        <v>360348.1408620096</v>
      </c>
    </row>
    <row r="191" spans="1:16" hidden="1" x14ac:dyDescent="0.15">
      <c r="A191" s="154"/>
      <c r="B191" s="154"/>
      <c r="C191" s="152"/>
      <c r="D191" s="158"/>
      <c r="E191" s="154"/>
      <c r="F191" s="150"/>
      <c r="G191" s="151"/>
      <c r="H191" s="152"/>
      <c r="I191" s="158"/>
      <c r="J191" s="152"/>
      <c r="K191" s="154"/>
      <c r="L191" s="154"/>
      <c r="M191" s="152"/>
      <c r="N191" s="154"/>
      <c r="O191" s="152">
        <f t="shared" si="28"/>
        <v>66746.118862009433</v>
      </c>
      <c r="P191" s="152">
        <f t="shared" si="29"/>
        <v>360348.1408620096</v>
      </c>
    </row>
    <row r="192" spans="1:16" hidden="1" x14ac:dyDescent="0.15">
      <c r="A192" s="154"/>
      <c r="B192" s="154"/>
      <c r="C192" s="152"/>
      <c r="D192" s="158"/>
      <c r="E192" s="154"/>
      <c r="F192" s="170"/>
      <c r="G192" s="151"/>
      <c r="H192" s="152"/>
      <c r="I192" s="158"/>
      <c r="J192" s="152"/>
      <c r="K192" s="154"/>
      <c r="L192" s="154"/>
      <c r="M192" s="152"/>
      <c r="N192" s="154"/>
      <c r="O192" s="152">
        <f t="shared" si="28"/>
        <v>66746.118862009433</v>
      </c>
      <c r="P192" s="152">
        <f t="shared" si="29"/>
        <v>360348.1408620096</v>
      </c>
    </row>
    <row r="193" spans="1:16" hidden="1" x14ac:dyDescent="0.15">
      <c r="A193" s="154"/>
      <c r="B193" s="154"/>
      <c r="C193" s="152"/>
      <c r="D193" s="158"/>
      <c r="E193" s="154"/>
      <c r="F193" s="170"/>
      <c r="G193" s="151"/>
      <c r="H193" s="152"/>
      <c r="I193" s="153"/>
      <c r="J193" s="152"/>
      <c r="K193" s="154"/>
      <c r="L193" s="154"/>
      <c r="M193" s="152"/>
      <c r="N193" s="154"/>
      <c r="O193" s="152">
        <f t="shared" si="28"/>
        <v>66746.118862009433</v>
      </c>
      <c r="P193" s="152">
        <f t="shared" si="29"/>
        <v>360348.1408620096</v>
      </c>
    </row>
    <row r="194" spans="1:16" hidden="1" x14ac:dyDescent="0.15">
      <c r="A194" s="154"/>
      <c r="B194" s="154"/>
      <c r="C194" s="152"/>
      <c r="D194" s="158"/>
      <c r="E194" s="154"/>
      <c r="F194" s="150"/>
      <c r="G194" s="151"/>
      <c r="H194" s="152"/>
      <c r="I194" s="158"/>
      <c r="J194" s="152"/>
      <c r="K194" s="154"/>
      <c r="L194" s="154"/>
      <c r="M194" s="152"/>
      <c r="N194" s="154"/>
      <c r="O194" s="152">
        <f t="shared" si="28"/>
        <v>66746.118862009433</v>
      </c>
      <c r="P194" s="152">
        <f t="shared" si="29"/>
        <v>360348.1408620096</v>
      </c>
    </row>
    <row r="195" spans="1:16" hidden="1" x14ac:dyDescent="0.15">
      <c r="A195" s="154"/>
      <c r="B195" s="154"/>
      <c r="C195" s="152"/>
      <c r="D195" s="153"/>
      <c r="E195" s="154"/>
      <c r="F195" s="157"/>
      <c r="G195" s="168"/>
      <c r="H195" s="152"/>
      <c r="I195" s="158"/>
      <c r="J195" s="152"/>
      <c r="K195" s="154"/>
      <c r="L195" s="154"/>
      <c r="M195" s="152"/>
      <c r="N195" s="154"/>
      <c r="O195" s="152">
        <f t="shared" si="28"/>
        <v>66746.118862009433</v>
      </c>
      <c r="P195" s="152">
        <f t="shared" si="29"/>
        <v>360348.1408620096</v>
      </c>
    </row>
    <row r="196" spans="1:16" hidden="1" x14ac:dyDescent="0.15">
      <c r="A196" s="154"/>
      <c r="B196" s="154"/>
      <c r="C196" s="152"/>
      <c r="D196" s="158"/>
      <c r="E196" s="154"/>
      <c r="F196" s="157"/>
      <c r="G196" s="168"/>
      <c r="H196" s="152"/>
      <c r="I196" s="158"/>
      <c r="J196" s="152"/>
      <c r="K196" s="154"/>
      <c r="L196" s="154"/>
      <c r="M196" s="152"/>
      <c r="N196" s="154"/>
      <c r="O196" s="152">
        <f t="shared" si="28"/>
        <v>66746.118862009433</v>
      </c>
      <c r="P196" s="152">
        <f t="shared" si="29"/>
        <v>360348.1408620096</v>
      </c>
    </row>
    <row r="197" spans="1:16" hidden="1" x14ac:dyDescent="0.15">
      <c r="A197" s="154"/>
      <c r="B197" s="154"/>
      <c r="C197" s="152"/>
      <c r="D197" s="158"/>
      <c r="E197" s="154"/>
      <c r="F197" s="157"/>
      <c r="G197" s="168"/>
      <c r="H197" s="152"/>
      <c r="I197" s="158"/>
      <c r="J197" s="152"/>
      <c r="K197" s="154"/>
      <c r="L197" s="154"/>
      <c r="M197" s="152"/>
      <c r="N197" s="154"/>
      <c r="O197" s="152">
        <f t="shared" si="28"/>
        <v>66746.118862009433</v>
      </c>
      <c r="P197" s="152">
        <f t="shared" si="29"/>
        <v>360348.1408620096</v>
      </c>
    </row>
    <row r="198" spans="1:16" hidden="1" x14ac:dyDescent="0.15">
      <c r="A198" s="154"/>
      <c r="B198" s="154"/>
      <c r="C198" s="152"/>
      <c r="D198" s="158"/>
      <c r="E198" s="154"/>
      <c r="F198" s="157"/>
      <c r="G198" s="168"/>
      <c r="H198" s="152"/>
      <c r="I198" s="158"/>
      <c r="J198" s="152"/>
      <c r="K198" s="154"/>
      <c r="L198" s="154"/>
      <c r="M198" s="152"/>
      <c r="N198" s="154"/>
      <c r="O198" s="152">
        <f t="shared" si="28"/>
        <v>66746.118862009433</v>
      </c>
      <c r="P198" s="152">
        <f t="shared" si="29"/>
        <v>360348.1408620096</v>
      </c>
    </row>
    <row r="199" spans="1:16" hidden="1" x14ac:dyDescent="0.15">
      <c r="A199" s="154"/>
      <c r="B199" s="154"/>
      <c r="C199" s="152"/>
      <c r="D199" s="158"/>
      <c r="E199" s="154"/>
      <c r="F199" s="154"/>
      <c r="G199" s="163"/>
      <c r="H199" s="152"/>
      <c r="I199" s="158"/>
      <c r="J199" s="152"/>
      <c r="K199" s="150"/>
      <c r="L199" s="154"/>
      <c r="M199" s="152"/>
      <c r="N199" s="154"/>
      <c r="O199" s="152">
        <f t="shared" si="28"/>
        <v>66746.118862009433</v>
      </c>
      <c r="P199" s="152">
        <f t="shared" si="29"/>
        <v>360348.1408620096</v>
      </c>
    </row>
    <row r="200" spans="1:16" hidden="1" x14ac:dyDescent="0.15">
      <c r="A200" s="154"/>
      <c r="B200" s="154"/>
      <c r="C200" s="152"/>
      <c r="D200" s="158"/>
      <c r="E200" s="154"/>
      <c r="F200" s="170"/>
      <c r="G200" s="171"/>
      <c r="H200" s="152"/>
      <c r="I200" s="158"/>
      <c r="J200" s="152"/>
      <c r="K200" s="154"/>
      <c r="L200" s="154"/>
      <c r="M200" s="152"/>
      <c r="N200" s="154"/>
      <c r="O200" s="152">
        <f t="shared" si="28"/>
        <v>66746.118862009433</v>
      </c>
      <c r="P200" s="152">
        <f t="shared" si="29"/>
        <v>360348.1408620096</v>
      </c>
    </row>
    <row r="201" spans="1:16" hidden="1" x14ac:dyDescent="0.15">
      <c r="A201" s="154"/>
      <c r="B201" s="154"/>
      <c r="C201" s="152"/>
      <c r="D201" s="158"/>
      <c r="E201" s="154"/>
      <c r="F201" s="154"/>
      <c r="G201" s="163"/>
      <c r="H201" s="152"/>
      <c r="I201" s="158"/>
      <c r="J201" s="152"/>
      <c r="K201" s="154"/>
      <c r="L201" s="154"/>
      <c r="M201" s="152"/>
      <c r="N201" s="154"/>
      <c r="O201" s="152">
        <f t="shared" si="28"/>
        <v>66746.118862009433</v>
      </c>
      <c r="P201" s="152">
        <f t="shared" si="29"/>
        <v>360348.1408620096</v>
      </c>
    </row>
    <row r="202" spans="1:16" hidden="1" x14ac:dyDescent="0.15">
      <c r="A202" s="154"/>
      <c r="B202" s="154"/>
      <c r="C202" s="152"/>
      <c r="D202" s="158"/>
      <c r="E202" s="154"/>
      <c r="F202" s="154"/>
      <c r="G202" s="163"/>
      <c r="H202" s="152"/>
      <c r="I202" s="158"/>
      <c r="J202" s="152"/>
      <c r="K202" s="154"/>
      <c r="L202" s="154"/>
      <c r="M202" s="152"/>
      <c r="N202" s="154"/>
      <c r="O202" s="152">
        <f t="shared" si="28"/>
        <v>66746.118862009433</v>
      </c>
      <c r="P202" s="152">
        <f t="shared" si="29"/>
        <v>360348.1408620096</v>
      </c>
    </row>
    <row r="203" spans="1:16" hidden="1" x14ac:dyDescent="0.15">
      <c r="A203" s="154"/>
      <c r="B203" s="154"/>
      <c r="C203" s="152"/>
      <c r="D203" s="158"/>
      <c r="E203" s="154"/>
      <c r="F203" s="154"/>
      <c r="G203" s="163"/>
      <c r="H203" s="152"/>
      <c r="I203" s="158"/>
      <c r="J203" s="152"/>
      <c r="K203" s="154"/>
      <c r="L203" s="154"/>
      <c r="M203" s="152"/>
      <c r="N203" s="154"/>
      <c r="O203" s="152">
        <f t="shared" si="28"/>
        <v>66746.118862009433</v>
      </c>
      <c r="P203" s="152">
        <f t="shared" si="29"/>
        <v>360348.1408620096</v>
      </c>
    </row>
    <row r="204" spans="1:16" hidden="1" x14ac:dyDescent="0.15">
      <c r="A204" s="154"/>
      <c r="B204" s="154"/>
      <c r="C204" s="152"/>
      <c r="D204" s="158"/>
      <c r="E204" s="154"/>
      <c r="F204" s="157"/>
      <c r="G204" s="171"/>
      <c r="H204" s="152"/>
      <c r="I204" s="158"/>
      <c r="J204" s="152"/>
      <c r="K204" s="154"/>
      <c r="L204" s="154"/>
      <c r="M204" s="152"/>
      <c r="N204" s="154"/>
      <c r="O204" s="152">
        <f t="shared" si="28"/>
        <v>66746.118862009433</v>
      </c>
      <c r="P204" s="152">
        <f t="shared" si="29"/>
        <v>360348.1408620096</v>
      </c>
    </row>
    <row r="205" spans="1:16" hidden="1" x14ac:dyDescent="0.15">
      <c r="A205" s="154"/>
      <c r="B205" s="154"/>
      <c r="C205" s="152"/>
      <c r="D205" s="158"/>
      <c r="E205" s="154"/>
      <c r="F205" s="150"/>
      <c r="G205" s="151"/>
      <c r="H205" s="152"/>
      <c r="I205" s="158"/>
      <c r="J205" s="152"/>
      <c r="K205" s="150"/>
      <c r="L205" s="154"/>
      <c r="M205" s="152"/>
      <c r="N205" s="154"/>
      <c r="O205" s="152">
        <f t="shared" si="28"/>
        <v>66746.118862009433</v>
      </c>
      <c r="P205" s="152">
        <f t="shared" si="29"/>
        <v>360348.1408620096</v>
      </c>
    </row>
    <row r="206" spans="1:16" hidden="1" x14ac:dyDescent="0.15">
      <c r="A206" s="154"/>
      <c r="B206" s="154"/>
      <c r="C206" s="152"/>
      <c r="D206" s="158"/>
      <c r="E206" s="154"/>
      <c r="F206" s="150"/>
      <c r="G206" s="151"/>
      <c r="H206" s="152"/>
      <c r="I206" s="158"/>
      <c r="J206" s="152"/>
      <c r="K206" s="154"/>
      <c r="L206" s="154"/>
      <c r="M206" s="152"/>
      <c r="N206" s="150"/>
      <c r="O206" s="152">
        <f t="shared" si="28"/>
        <v>66746.118862009433</v>
      </c>
      <c r="P206" s="152">
        <f t="shared" si="29"/>
        <v>360348.1408620096</v>
      </c>
    </row>
    <row r="207" spans="1:16" hidden="1" x14ac:dyDescent="0.15">
      <c r="A207" s="154"/>
      <c r="B207" s="154"/>
      <c r="C207" s="152"/>
      <c r="D207" s="158"/>
      <c r="E207" s="154"/>
      <c r="F207" s="170"/>
      <c r="G207" s="171"/>
      <c r="H207" s="152"/>
      <c r="I207" s="158"/>
      <c r="J207" s="152"/>
      <c r="K207" s="154"/>
      <c r="L207" s="154"/>
      <c r="M207" s="152"/>
      <c r="N207" s="154"/>
      <c r="O207" s="152">
        <f t="shared" si="28"/>
        <v>66746.118862009433</v>
      </c>
      <c r="P207" s="152">
        <f t="shared" si="29"/>
        <v>360348.1408620096</v>
      </c>
    </row>
    <row r="208" spans="1:16" hidden="1" x14ac:dyDescent="0.15">
      <c r="A208" s="154"/>
      <c r="B208" s="154"/>
      <c r="C208" s="152"/>
      <c r="D208" s="158"/>
      <c r="E208" s="154"/>
      <c r="F208" s="159"/>
      <c r="G208" s="151"/>
      <c r="H208" s="152"/>
      <c r="I208" s="158"/>
      <c r="J208" s="152"/>
      <c r="K208" s="157"/>
      <c r="L208" s="154"/>
      <c r="M208" s="152"/>
      <c r="N208" s="154"/>
      <c r="O208" s="152">
        <f t="shared" si="28"/>
        <v>66746.118862009433</v>
      </c>
      <c r="P208" s="152">
        <f t="shared" si="29"/>
        <v>360348.1408620096</v>
      </c>
    </row>
    <row r="209" spans="1:16" hidden="1" x14ac:dyDescent="0.15">
      <c r="A209" s="154"/>
      <c r="B209" s="154"/>
      <c r="C209" s="152"/>
      <c r="D209" s="158"/>
      <c r="E209" s="154"/>
      <c r="F209" s="159"/>
      <c r="G209" s="151"/>
      <c r="H209" s="152"/>
      <c r="I209" s="158"/>
      <c r="J209" s="152"/>
      <c r="K209" s="157"/>
      <c r="L209" s="154"/>
      <c r="M209" s="152"/>
      <c r="N209" s="157"/>
      <c r="O209" s="152">
        <f t="shared" si="28"/>
        <v>66746.118862009433</v>
      </c>
      <c r="P209" s="152">
        <f t="shared" si="29"/>
        <v>360348.1408620096</v>
      </c>
    </row>
    <row r="210" spans="1:16" hidden="1" x14ac:dyDescent="0.15">
      <c r="A210" s="154"/>
      <c r="B210" s="154"/>
      <c r="C210" s="152"/>
      <c r="D210" s="158"/>
      <c r="E210" s="154"/>
      <c r="F210" s="159"/>
      <c r="G210" s="151"/>
      <c r="H210" s="152"/>
      <c r="I210" s="158"/>
      <c r="J210" s="152"/>
      <c r="K210" s="157"/>
      <c r="L210" s="154"/>
      <c r="M210" s="152"/>
      <c r="N210" s="157"/>
      <c r="O210" s="152">
        <f t="shared" si="28"/>
        <v>66746.118862009433</v>
      </c>
      <c r="P210" s="152">
        <f t="shared" si="29"/>
        <v>360348.1408620096</v>
      </c>
    </row>
    <row r="211" spans="1:16" hidden="1" x14ac:dyDescent="0.15">
      <c r="A211" s="154"/>
      <c r="B211" s="154"/>
      <c r="C211" s="152"/>
      <c r="D211" s="158"/>
      <c r="E211" s="154"/>
      <c r="F211" s="159"/>
      <c r="G211" s="151"/>
      <c r="H211" s="152"/>
      <c r="I211" s="158"/>
      <c r="J211" s="152"/>
      <c r="K211" s="154"/>
      <c r="L211" s="154"/>
      <c r="M211" s="152"/>
      <c r="N211" s="157"/>
      <c r="O211" s="152">
        <f t="shared" si="28"/>
        <v>66746.118862009433</v>
      </c>
      <c r="P211" s="152">
        <f t="shared" si="29"/>
        <v>360348.1408620096</v>
      </c>
    </row>
    <row r="212" spans="1:16" hidden="1" x14ac:dyDescent="0.15">
      <c r="A212" s="154"/>
      <c r="B212" s="154"/>
      <c r="C212" s="152"/>
      <c r="D212" s="158"/>
      <c r="E212" s="154"/>
      <c r="F212" s="170"/>
      <c r="G212" s="171"/>
      <c r="H212" s="152"/>
      <c r="I212" s="158"/>
      <c r="J212" s="152"/>
      <c r="K212" s="157"/>
      <c r="L212" s="154"/>
      <c r="M212" s="152"/>
      <c r="N212" s="157"/>
      <c r="O212" s="152">
        <f t="shared" si="28"/>
        <v>66746.118862009433</v>
      </c>
      <c r="P212" s="152">
        <f t="shared" si="29"/>
        <v>360348.1408620096</v>
      </c>
    </row>
    <row r="213" spans="1:16" hidden="1" x14ac:dyDescent="0.15">
      <c r="A213" s="154"/>
      <c r="B213" s="154"/>
      <c r="C213" s="152"/>
      <c r="D213" s="158"/>
      <c r="E213" s="154"/>
      <c r="F213" s="154"/>
      <c r="G213" s="163"/>
      <c r="H213" s="152"/>
      <c r="I213" s="158"/>
      <c r="J213" s="152"/>
      <c r="K213" s="150"/>
      <c r="L213" s="154"/>
      <c r="M213" s="152"/>
      <c r="N213" s="157"/>
      <c r="O213" s="152">
        <f t="shared" ref="O213:O236" si="30">+O212-J213-M213</f>
        <v>66746.118862009433</v>
      </c>
      <c r="P213" s="152">
        <f t="shared" ref="P213:P236" si="31">P212+H213-J213-M213</f>
        <v>360348.1408620096</v>
      </c>
    </row>
    <row r="214" spans="1:16" hidden="1" x14ac:dyDescent="0.15">
      <c r="A214" s="154"/>
      <c r="B214" s="154"/>
      <c r="C214" s="152"/>
      <c r="D214" s="158"/>
      <c r="E214" s="154"/>
      <c r="F214" s="154"/>
      <c r="G214" s="163"/>
      <c r="H214" s="152"/>
      <c r="I214" s="158"/>
      <c r="J214" s="152"/>
      <c r="K214" s="150"/>
      <c r="L214" s="154"/>
      <c r="M214" s="152"/>
      <c r="N214" s="157"/>
      <c r="O214" s="152">
        <f t="shared" si="30"/>
        <v>66746.118862009433</v>
      </c>
      <c r="P214" s="152">
        <f t="shared" si="31"/>
        <v>360348.1408620096</v>
      </c>
    </row>
    <row r="215" spans="1:16" hidden="1" x14ac:dyDescent="0.15">
      <c r="A215" s="154"/>
      <c r="B215" s="154"/>
      <c r="C215" s="152"/>
      <c r="D215" s="158"/>
      <c r="E215" s="154"/>
      <c r="F215" s="150"/>
      <c r="G215" s="171"/>
      <c r="H215" s="152"/>
      <c r="I215" s="158"/>
      <c r="J215" s="152"/>
      <c r="K215" s="157"/>
      <c r="L215" s="154"/>
      <c r="M215" s="152"/>
      <c r="N215" s="157"/>
      <c r="O215" s="152">
        <f t="shared" si="30"/>
        <v>66746.118862009433</v>
      </c>
      <c r="P215" s="152">
        <f t="shared" si="31"/>
        <v>360348.1408620096</v>
      </c>
    </row>
    <row r="216" spans="1:16" hidden="1" x14ac:dyDescent="0.15">
      <c r="A216" s="154"/>
      <c r="B216" s="154"/>
      <c r="C216" s="152"/>
      <c r="D216" s="158"/>
      <c r="E216" s="154"/>
      <c r="F216" s="150"/>
      <c r="G216" s="151"/>
      <c r="H216" s="152"/>
      <c r="I216" s="158"/>
      <c r="J216" s="152"/>
      <c r="K216" s="154"/>
      <c r="L216" s="154"/>
      <c r="M216" s="152"/>
      <c r="N216" s="157"/>
      <c r="O216" s="152">
        <f t="shared" si="30"/>
        <v>66746.118862009433</v>
      </c>
      <c r="P216" s="152">
        <f t="shared" si="31"/>
        <v>360348.1408620096</v>
      </c>
    </row>
    <row r="217" spans="1:16" hidden="1" x14ac:dyDescent="0.15">
      <c r="A217" s="154"/>
      <c r="B217" s="154"/>
      <c r="C217" s="152"/>
      <c r="D217" s="158"/>
      <c r="E217" s="154"/>
      <c r="F217" s="150"/>
      <c r="G217" s="151"/>
      <c r="H217" s="152"/>
      <c r="I217" s="158"/>
      <c r="J217" s="152"/>
      <c r="K217" s="154"/>
      <c r="L217" s="154"/>
      <c r="M217" s="152"/>
      <c r="N217" s="154"/>
      <c r="O217" s="152">
        <f t="shared" si="30"/>
        <v>66746.118862009433</v>
      </c>
      <c r="P217" s="152">
        <f t="shared" si="31"/>
        <v>360348.1408620096</v>
      </c>
    </row>
    <row r="218" spans="1:16" hidden="1" x14ac:dyDescent="0.15">
      <c r="A218" s="154"/>
      <c r="B218" s="154"/>
      <c r="C218" s="152"/>
      <c r="D218" s="158"/>
      <c r="E218" s="154"/>
      <c r="F218" s="170"/>
      <c r="G218" s="171"/>
      <c r="H218" s="152"/>
      <c r="I218" s="158"/>
      <c r="J218" s="152"/>
      <c r="K218" s="157"/>
      <c r="L218" s="154"/>
      <c r="M218" s="152"/>
      <c r="N218" s="157"/>
      <c r="O218" s="152">
        <f t="shared" si="30"/>
        <v>66746.118862009433</v>
      </c>
      <c r="P218" s="152">
        <f t="shared" si="31"/>
        <v>360348.1408620096</v>
      </c>
    </row>
    <row r="219" spans="1:16" hidden="1" x14ac:dyDescent="0.15">
      <c r="A219" s="154"/>
      <c r="B219" s="154"/>
      <c r="C219" s="152"/>
      <c r="D219" s="158"/>
      <c r="E219" s="154"/>
      <c r="F219" s="170"/>
      <c r="G219" s="168"/>
      <c r="H219" s="152"/>
      <c r="I219" s="158"/>
      <c r="J219" s="152"/>
      <c r="K219" s="157"/>
      <c r="L219" s="154"/>
      <c r="M219" s="152"/>
      <c r="N219" s="157"/>
      <c r="O219" s="152">
        <f t="shared" si="30"/>
        <v>66746.118862009433</v>
      </c>
      <c r="P219" s="152">
        <f t="shared" si="31"/>
        <v>360348.1408620096</v>
      </c>
    </row>
    <row r="220" spans="1:16" hidden="1" x14ac:dyDescent="0.15">
      <c r="A220" s="154"/>
      <c r="B220" s="154"/>
      <c r="C220" s="152"/>
      <c r="D220" s="158"/>
      <c r="E220" s="154"/>
      <c r="F220" s="170"/>
      <c r="G220" s="168"/>
      <c r="H220" s="152"/>
      <c r="I220" s="158"/>
      <c r="J220" s="152"/>
      <c r="K220" s="154"/>
      <c r="L220" s="154"/>
      <c r="M220" s="152"/>
      <c r="N220" s="157"/>
      <c r="O220" s="152">
        <f t="shared" si="30"/>
        <v>66746.118862009433</v>
      </c>
      <c r="P220" s="152">
        <f t="shared" si="31"/>
        <v>360348.1408620096</v>
      </c>
    </row>
    <row r="221" spans="1:16" hidden="1" x14ac:dyDescent="0.15">
      <c r="A221" s="154"/>
      <c r="B221" s="154"/>
      <c r="C221" s="152"/>
      <c r="D221" s="158"/>
      <c r="E221" s="154"/>
      <c r="F221" s="170"/>
      <c r="G221" s="171"/>
      <c r="H221" s="152"/>
      <c r="I221" s="158"/>
      <c r="J221" s="152"/>
      <c r="K221" s="157"/>
      <c r="L221" s="154"/>
      <c r="M221" s="152"/>
      <c r="N221" s="157"/>
      <c r="O221" s="152">
        <f t="shared" si="30"/>
        <v>66746.118862009433</v>
      </c>
      <c r="P221" s="152">
        <f t="shared" si="31"/>
        <v>360348.1408620096</v>
      </c>
    </row>
    <row r="222" spans="1:16" hidden="1" x14ac:dyDescent="0.15">
      <c r="A222" s="154"/>
      <c r="B222" s="154"/>
      <c r="C222" s="152"/>
      <c r="D222" s="158"/>
      <c r="E222" s="154"/>
      <c r="F222" s="154"/>
      <c r="G222" s="151"/>
      <c r="H222" s="152"/>
      <c r="I222" s="158"/>
      <c r="J222" s="152"/>
      <c r="K222" s="154"/>
      <c r="L222" s="154"/>
      <c r="M222" s="152"/>
      <c r="N222" s="157"/>
      <c r="O222" s="152">
        <f t="shared" si="30"/>
        <v>66746.118862009433</v>
      </c>
      <c r="P222" s="152">
        <f t="shared" si="31"/>
        <v>360348.1408620096</v>
      </c>
    </row>
    <row r="223" spans="1:16" hidden="1" x14ac:dyDescent="0.15">
      <c r="A223" s="154"/>
      <c r="B223" s="154"/>
      <c r="C223" s="152"/>
      <c r="D223" s="158"/>
      <c r="E223" s="154"/>
      <c r="F223" s="154"/>
      <c r="G223" s="151"/>
      <c r="H223" s="152"/>
      <c r="I223" s="158"/>
      <c r="J223" s="152"/>
      <c r="K223" s="154"/>
      <c r="L223" s="154"/>
      <c r="M223" s="152"/>
      <c r="N223" s="157"/>
      <c r="O223" s="152">
        <f t="shared" si="30"/>
        <v>66746.118862009433</v>
      </c>
      <c r="P223" s="152">
        <f t="shared" si="31"/>
        <v>360348.1408620096</v>
      </c>
    </row>
    <row r="224" spans="1:16" hidden="1" x14ac:dyDescent="0.15">
      <c r="A224" s="154"/>
      <c r="B224" s="154"/>
      <c r="C224" s="152"/>
      <c r="D224" s="158"/>
      <c r="E224" s="154"/>
      <c r="F224" s="170"/>
      <c r="G224" s="171"/>
      <c r="H224" s="152"/>
      <c r="I224" s="158"/>
      <c r="J224" s="152"/>
      <c r="K224" s="157"/>
      <c r="L224" s="154"/>
      <c r="M224" s="152"/>
      <c r="N224" s="157"/>
      <c r="O224" s="152">
        <f t="shared" si="30"/>
        <v>66746.118862009433</v>
      </c>
      <c r="P224" s="152">
        <f t="shared" si="31"/>
        <v>360348.1408620096</v>
      </c>
    </row>
    <row r="225" spans="1:16" hidden="1" x14ac:dyDescent="0.15">
      <c r="A225" s="154"/>
      <c r="B225" s="154"/>
      <c r="C225" s="152"/>
      <c r="D225" s="158"/>
      <c r="E225" s="154"/>
      <c r="F225" s="170"/>
      <c r="G225" s="151"/>
      <c r="H225" s="152"/>
      <c r="I225" s="158"/>
      <c r="J225" s="152"/>
      <c r="K225" s="154"/>
      <c r="L225" s="154"/>
      <c r="M225" s="152"/>
      <c r="N225" s="157"/>
      <c r="O225" s="152">
        <f t="shared" si="30"/>
        <v>66746.118862009433</v>
      </c>
      <c r="P225" s="152">
        <f t="shared" si="31"/>
        <v>360348.1408620096</v>
      </c>
    </row>
    <row r="226" spans="1:16" hidden="1" x14ac:dyDescent="0.15">
      <c r="A226" s="154"/>
      <c r="B226" s="154"/>
      <c r="C226" s="152"/>
      <c r="D226" s="158"/>
      <c r="E226" s="154"/>
      <c r="F226" s="170"/>
      <c r="G226" s="151"/>
      <c r="H226" s="152"/>
      <c r="I226" s="158"/>
      <c r="J226" s="152"/>
      <c r="K226" s="154"/>
      <c r="L226" s="154"/>
      <c r="M226" s="152"/>
      <c r="N226" s="157"/>
      <c r="O226" s="152">
        <f t="shared" si="30"/>
        <v>66746.118862009433</v>
      </c>
      <c r="P226" s="152">
        <f t="shared" si="31"/>
        <v>360348.1408620096</v>
      </c>
    </row>
    <row r="227" spans="1:16" hidden="1" x14ac:dyDescent="0.15">
      <c r="A227" s="154"/>
      <c r="B227" s="154"/>
      <c r="C227" s="152"/>
      <c r="D227" s="158"/>
      <c r="E227" s="154"/>
      <c r="F227" s="157"/>
      <c r="G227" s="171"/>
      <c r="H227" s="152"/>
      <c r="I227" s="158"/>
      <c r="J227" s="152"/>
      <c r="K227" s="157"/>
      <c r="L227" s="154"/>
      <c r="M227" s="152"/>
      <c r="N227" s="157"/>
      <c r="O227" s="152">
        <f t="shared" si="30"/>
        <v>66746.118862009433</v>
      </c>
      <c r="P227" s="152">
        <f t="shared" si="31"/>
        <v>360348.1408620096</v>
      </c>
    </row>
    <row r="228" spans="1:16" hidden="1" x14ac:dyDescent="0.15">
      <c r="A228" s="154"/>
      <c r="B228" s="154"/>
      <c r="C228" s="152"/>
      <c r="D228" s="158"/>
      <c r="E228" s="154"/>
      <c r="F228" s="157"/>
      <c r="G228" s="172"/>
      <c r="H228" s="152"/>
      <c r="I228" s="158"/>
      <c r="J228" s="152"/>
      <c r="K228" s="154"/>
      <c r="L228" s="154"/>
      <c r="M228" s="152"/>
      <c r="N228" s="157"/>
      <c r="O228" s="152">
        <f t="shared" si="30"/>
        <v>66746.118862009433</v>
      </c>
      <c r="P228" s="152">
        <f t="shared" si="31"/>
        <v>360348.1408620096</v>
      </c>
    </row>
    <row r="229" spans="1:16" hidden="1" x14ac:dyDescent="0.15">
      <c r="A229" s="154"/>
      <c r="B229" s="154"/>
      <c r="C229" s="152"/>
      <c r="D229" s="158"/>
      <c r="E229" s="154"/>
      <c r="F229" s="157"/>
      <c r="G229" s="172"/>
      <c r="H229" s="152"/>
      <c r="I229" s="158"/>
      <c r="J229" s="152"/>
      <c r="K229" s="157"/>
      <c r="L229" s="154"/>
      <c r="M229" s="152"/>
      <c r="N229" s="157"/>
      <c r="O229" s="152">
        <f t="shared" si="30"/>
        <v>66746.118862009433</v>
      </c>
      <c r="P229" s="152">
        <f t="shared" si="31"/>
        <v>360348.1408620096</v>
      </c>
    </row>
    <row r="230" spans="1:16" hidden="1" x14ac:dyDescent="0.15">
      <c r="A230" s="154"/>
      <c r="B230" s="154"/>
      <c r="C230" s="152"/>
      <c r="D230" s="158"/>
      <c r="E230" s="154"/>
      <c r="F230" s="157"/>
      <c r="G230" s="172"/>
      <c r="H230" s="152"/>
      <c r="I230" s="158"/>
      <c r="J230" s="152"/>
      <c r="K230" s="154"/>
      <c r="L230" s="154"/>
      <c r="M230" s="152"/>
      <c r="N230" s="157"/>
      <c r="O230" s="152">
        <f t="shared" si="30"/>
        <v>66746.118862009433</v>
      </c>
      <c r="P230" s="152">
        <f t="shared" si="31"/>
        <v>360348.1408620096</v>
      </c>
    </row>
    <row r="231" spans="1:16" hidden="1" x14ac:dyDescent="0.15">
      <c r="A231" s="154"/>
      <c r="B231" s="154"/>
      <c r="C231" s="152"/>
      <c r="D231" s="158"/>
      <c r="E231" s="154"/>
      <c r="F231" s="154"/>
      <c r="G231" s="151"/>
      <c r="H231" s="152"/>
      <c r="I231" s="158"/>
      <c r="J231" s="152"/>
      <c r="K231" s="154"/>
      <c r="L231" s="154"/>
      <c r="M231" s="152"/>
      <c r="N231" s="157"/>
      <c r="O231" s="152">
        <f t="shared" si="30"/>
        <v>66746.118862009433</v>
      </c>
      <c r="P231" s="152">
        <f t="shared" si="31"/>
        <v>360348.1408620096</v>
      </c>
    </row>
    <row r="232" spans="1:16" hidden="1" x14ac:dyDescent="0.15">
      <c r="A232" s="154"/>
      <c r="B232" s="154"/>
      <c r="C232" s="152"/>
      <c r="D232" s="158"/>
      <c r="E232" s="154"/>
      <c r="F232" s="157"/>
      <c r="G232" s="172"/>
      <c r="H232" s="152"/>
      <c r="I232" s="158"/>
      <c r="J232" s="152"/>
      <c r="K232" s="154"/>
      <c r="L232" s="154"/>
      <c r="M232" s="152"/>
      <c r="N232" s="154"/>
      <c r="O232" s="152">
        <f t="shared" si="30"/>
        <v>66746.118862009433</v>
      </c>
      <c r="P232" s="152">
        <f t="shared" si="31"/>
        <v>360348.1408620096</v>
      </c>
    </row>
    <row r="233" spans="1:16" hidden="1" x14ac:dyDescent="0.15">
      <c r="A233" s="154"/>
      <c r="B233" s="154"/>
      <c r="C233" s="152"/>
      <c r="D233" s="158"/>
      <c r="E233" s="154"/>
      <c r="F233" s="157"/>
      <c r="G233" s="172"/>
      <c r="H233" s="152"/>
      <c r="I233" s="158"/>
      <c r="J233" s="152"/>
      <c r="K233" s="154"/>
      <c r="L233" s="154"/>
      <c r="M233" s="152"/>
      <c r="N233" s="154"/>
      <c r="O233" s="152">
        <f t="shared" si="30"/>
        <v>66746.118862009433</v>
      </c>
      <c r="P233" s="152">
        <f t="shared" si="31"/>
        <v>360348.1408620096</v>
      </c>
    </row>
    <row r="234" spans="1:16" hidden="1" x14ac:dyDescent="0.15">
      <c r="A234" s="154"/>
      <c r="B234" s="154"/>
      <c r="C234" s="152"/>
      <c r="D234" s="158"/>
      <c r="E234" s="154"/>
      <c r="F234" s="157"/>
      <c r="G234" s="172"/>
      <c r="H234" s="152"/>
      <c r="I234" s="158"/>
      <c r="J234" s="152"/>
      <c r="K234" s="154"/>
      <c r="L234" s="154"/>
      <c r="M234" s="152"/>
      <c r="N234" s="154"/>
      <c r="O234" s="152">
        <f t="shared" si="30"/>
        <v>66746.118862009433</v>
      </c>
      <c r="P234" s="152">
        <f t="shared" si="31"/>
        <v>360348.1408620096</v>
      </c>
    </row>
    <row r="235" spans="1:16" hidden="1" x14ac:dyDescent="0.15">
      <c r="A235" s="154"/>
      <c r="B235" s="154"/>
      <c r="C235" s="152"/>
      <c r="D235" s="158"/>
      <c r="E235" s="154"/>
      <c r="F235" s="154"/>
      <c r="G235" s="163"/>
      <c r="H235" s="152"/>
      <c r="I235" s="158"/>
      <c r="J235" s="152"/>
      <c r="K235" s="154"/>
      <c r="L235" s="154"/>
      <c r="M235" s="152"/>
      <c r="N235" s="154"/>
      <c r="O235" s="152">
        <f t="shared" si="30"/>
        <v>66746.118862009433</v>
      </c>
      <c r="P235" s="152">
        <f t="shared" si="31"/>
        <v>360348.1408620096</v>
      </c>
    </row>
    <row r="236" spans="1:16" x14ac:dyDescent="0.15">
      <c r="A236" s="173"/>
      <c r="B236" s="173"/>
      <c r="C236" s="174"/>
      <c r="D236" s="175"/>
      <c r="E236" s="173"/>
      <c r="F236" s="173"/>
      <c r="G236" s="176"/>
      <c r="H236" s="174"/>
      <c r="I236" s="175"/>
      <c r="J236" s="174"/>
      <c r="K236" s="173"/>
      <c r="L236" s="173"/>
      <c r="M236" s="174"/>
      <c r="N236" s="173"/>
      <c r="O236" s="152">
        <f t="shared" si="30"/>
        <v>66746.118862009433</v>
      </c>
      <c r="P236" s="152">
        <f t="shared" si="31"/>
        <v>360348.1408620096</v>
      </c>
    </row>
    <row r="237" spans="1:16" x14ac:dyDescent="0.15">
      <c r="A237" s="177"/>
      <c r="B237" s="177"/>
      <c r="C237" s="178">
        <f>SUM(C7:C223)</f>
        <v>550072.81599999988</v>
      </c>
      <c r="D237" s="177"/>
      <c r="E237" s="177"/>
      <c r="F237" s="177"/>
      <c r="G237" s="177"/>
      <c r="H237" s="178">
        <f>SUM(H7:H235)</f>
        <v>1698698.6780000003</v>
      </c>
      <c r="I237" s="179"/>
      <c r="J237" s="178">
        <f>SUM(J7:J235)</f>
        <v>18376</v>
      </c>
      <c r="K237" s="177"/>
      <c r="L237" s="177"/>
      <c r="M237" s="178">
        <f>SUM(M9:M235)</f>
        <v>1870047.3531379905</v>
      </c>
      <c r="N237" s="177"/>
      <c r="O237" s="180"/>
      <c r="P237" s="181">
        <f>C237+H237-J237-M237</f>
        <v>360348.14086200949</v>
      </c>
    </row>
    <row r="238" spans="1:16" x14ac:dyDescent="0.15">
      <c r="A238" s="182"/>
      <c r="B238" s="465"/>
      <c r="C238" s="465"/>
      <c r="D238" s="465"/>
      <c r="E238" s="183"/>
      <c r="F238" s="472"/>
      <c r="G238" s="472"/>
      <c r="H238" s="185"/>
      <c r="I238" s="186"/>
      <c r="J238" s="187"/>
      <c r="K238" s="188"/>
      <c r="L238" s="189" t="s">
        <v>139</v>
      </c>
      <c r="M238" s="190">
        <f>+M237+J237</f>
        <v>1888423.3531379905</v>
      </c>
      <c r="N238" s="188"/>
      <c r="O238" s="191">
        <f>+O236</f>
        <v>66746.118862009433</v>
      </c>
      <c r="P238" s="192" t="s">
        <v>306</v>
      </c>
    </row>
    <row r="239" spans="1:16" s="167" customFormat="1" x14ac:dyDescent="0.15">
      <c r="A239" s="193" t="s">
        <v>258</v>
      </c>
      <c r="B239" s="470" t="s">
        <v>267</v>
      </c>
      <c r="C239" s="470"/>
      <c r="D239" s="470"/>
      <c r="E239" s="183" t="s">
        <v>55</v>
      </c>
      <c r="F239" s="472">
        <v>12490173.300000001</v>
      </c>
      <c r="G239" s="472"/>
      <c r="H239" s="185" t="s">
        <v>56</v>
      </c>
      <c r="I239" s="186">
        <v>40239</v>
      </c>
      <c r="J239" s="187" t="s">
        <v>71</v>
      </c>
      <c r="K239" s="210">
        <f>SUM(M10:M12)</f>
        <v>152500.83443171449</v>
      </c>
      <c r="L239" s="188"/>
      <c r="M239" s="190"/>
      <c r="N239" s="188"/>
      <c r="O239" s="191">
        <f>+H50</f>
        <v>7991</v>
      </c>
      <c r="P239" s="192" t="s">
        <v>300</v>
      </c>
    </row>
    <row r="240" spans="1:16" s="167" customFormat="1" x14ac:dyDescent="0.15">
      <c r="A240" s="193" t="s">
        <v>257</v>
      </c>
      <c r="B240" s="470" t="s">
        <v>316</v>
      </c>
      <c r="C240" s="470"/>
      <c r="D240" s="470"/>
      <c r="E240" s="183" t="s">
        <v>55</v>
      </c>
      <c r="F240" s="472">
        <v>56314417.939999998</v>
      </c>
      <c r="G240" s="472"/>
      <c r="H240" s="185" t="s">
        <v>56</v>
      </c>
      <c r="I240" s="186">
        <v>40239</v>
      </c>
      <c r="J240" s="187" t="s">
        <v>71</v>
      </c>
      <c r="K240" s="210">
        <f>SUM(M13:M17)</f>
        <v>243936.95518604887</v>
      </c>
      <c r="L240" s="188"/>
      <c r="M240" s="190"/>
      <c r="N240" s="188"/>
      <c r="O240" s="191">
        <f>+H51</f>
        <v>133786.245</v>
      </c>
      <c r="P240" s="192" t="s">
        <v>306</v>
      </c>
    </row>
    <row r="241" spans="1:16" s="167" customFormat="1" x14ac:dyDescent="0.15">
      <c r="A241" s="193" t="s">
        <v>313</v>
      </c>
      <c r="B241" s="470" t="s">
        <v>314</v>
      </c>
      <c r="C241" s="470"/>
      <c r="D241" s="470"/>
      <c r="E241" s="183" t="s">
        <v>55</v>
      </c>
      <c r="F241" s="472">
        <v>114145027</v>
      </c>
      <c r="G241" s="472"/>
      <c r="H241" s="185" t="s">
        <v>56</v>
      </c>
      <c r="I241" s="186">
        <v>40241</v>
      </c>
      <c r="J241" s="187" t="s">
        <v>71</v>
      </c>
      <c r="K241" s="210">
        <f>SUM(M18:M22)</f>
        <v>150714.06823481701</v>
      </c>
      <c r="L241" s="188"/>
      <c r="M241" s="190"/>
      <c r="N241" s="188"/>
      <c r="O241" s="191">
        <f>+H54+H56</f>
        <v>75902.241000000009</v>
      </c>
      <c r="P241" s="195" t="s">
        <v>307</v>
      </c>
    </row>
    <row r="242" spans="1:16" s="167" customFormat="1" ht="11.25" customHeight="1" x14ac:dyDescent="0.15">
      <c r="A242" s="193" t="s">
        <v>298</v>
      </c>
      <c r="B242" s="470" t="s">
        <v>317</v>
      </c>
      <c r="C242" s="470"/>
      <c r="D242" s="470"/>
      <c r="E242" s="183" t="s">
        <v>55</v>
      </c>
      <c r="F242" s="472">
        <v>25665495.969999999</v>
      </c>
      <c r="G242" s="472"/>
      <c r="H242" s="185" t="s">
        <v>56</v>
      </c>
      <c r="I242" s="186">
        <v>40242</v>
      </c>
      <c r="J242" s="187" t="s">
        <v>71</v>
      </c>
      <c r="K242" s="210">
        <f>SUM(M23:M24)</f>
        <v>73993</v>
      </c>
      <c r="L242" s="188"/>
      <c r="M242" s="190"/>
      <c r="N242" s="188"/>
      <c r="O242" s="191">
        <f>+H57</f>
        <v>75922.535999999993</v>
      </c>
      <c r="P242" s="195" t="s">
        <v>308</v>
      </c>
    </row>
    <row r="243" spans="1:16" s="167" customFormat="1" ht="11.25" customHeight="1" x14ac:dyDescent="0.15">
      <c r="A243" s="193" t="s">
        <v>299</v>
      </c>
      <c r="B243" s="470" t="s">
        <v>318</v>
      </c>
      <c r="C243" s="470"/>
      <c r="D243" s="470"/>
      <c r="E243" s="183" t="s">
        <v>55</v>
      </c>
      <c r="F243" s="472">
        <v>42108347.159999996</v>
      </c>
      <c r="G243" s="472"/>
      <c r="H243" s="185" t="s">
        <v>56</v>
      </c>
      <c r="I243" s="186">
        <v>40245</v>
      </c>
      <c r="J243" s="187" t="s">
        <v>71</v>
      </c>
      <c r="K243" s="210">
        <f>SUM(M25:M30)</f>
        <v>230303.62181891917</v>
      </c>
      <c r="L243" s="188"/>
      <c r="M243" s="190"/>
      <c r="N243" s="188"/>
      <c r="O243" s="191"/>
      <c r="P243" s="195"/>
    </row>
    <row r="244" spans="1:16" s="167" customFormat="1" ht="11.25" customHeight="1" x14ac:dyDescent="0.15">
      <c r="A244" s="193" t="s">
        <v>315</v>
      </c>
      <c r="B244" s="470" t="s">
        <v>319</v>
      </c>
      <c r="C244" s="470"/>
      <c r="D244" s="470"/>
      <c r="E244" s="183" t="s">
        <v>55</v>
      </c>
      <c r="F244" s="472">
        <v>21105693.98</v>
      </c>
      <c r="G244" s="472"/>
      <c r="H244" s="185" t="s">
        <v>56</v>
      </c>
      <c r="I244" s="186">
        <v>40248</v>
      </c>
      <c r="J244" s="187" t="s">
        <v>71</v>
      </c>
      <c r="K244" s="210">
        <f>SUM(M31:M34)</f>
        <v>203462.42684781508</v>
      </c>
      <c r="L244" s="188"/>
      <c r="M244" s="190"/>
      <c r="N244" s="188"/>
      <c r="O244" s="191"/>
      <c r="P244" s="195"/>
    </row>
    <row r="245" spans="1:16" s="167" customFormat="1" ht="11.25" customHeight="1" x14ac:dyDescent="0.15">
      <c r="A245" s="193" t="s">
        <v>300</v>
      </c>
      <c r="B245" s="470" t="s">
        <v>320</v>
      </c>
      <c r="C245" s="470"/>
      <c r="D245" s="470"/>
      <c r="E245" s="183" t="s">
        <v>55</v>
      </c>
      <c r="F245" s="472">
        <v>30078852.109999999</v>
      </c>
      <c r="G245" s="472"/>
      <c r="H245" s="185" t="s">
        <v>56</v>
      </c>
      <c r="I245" s="186">
        <v>40252</v>
      </c>
      <c r="J245" s="187" t="s">
        <v>71</v>
      </c>
      <c r="K245" s="210">
        <f>SUM(M35:M38)</f>
        <v>169028.90327486565</v>
      </c>
      <c r="L245" s="188"/>
      <c r="M245" s="190"/>
      <c r="N245" s="188"/>
      <c r="O245" s="191"/>
      <c r="P245" s="195"/>
    </row>
    <row r="246" spans="1:16" s="167" customFormat="1" ht="11.25" customHeight="1" x14ac:dyDescent="0.15">
      <c r="A246" s="193" t="s">
        <v>301</v>
      </c>
      <c r="B246" s="470" t="s">
        <v>321</v>
      </c>
      <c r="C246" s="470"/>
      <c r="D246" s="470"/>
      <c r="E246" s="183" t="s">
        <v>55</v>
      </c>
      <c r="F246" s="472">
        <v>44430858.630000003</v>
      </c>
      <c r="G246" s="472"/>
      <c r="H246" s="185" t="s">
        <v>56</v>
      </c>
      <c r="I246" s="186">
        <v>40259</v>
      </c>
      <c r="J246" s="187" t="s">
        <v>71</v>
      </c>
      <c r="K246" s="210">
        <f>SUM(M39:M43)</f>
        <v>191804.51738821861</v>
      </c>
      <c r="L246" s="188"/>
      <c r="M246" s="190"/>
      <c r="N246" s="188"/>
      <c r="O246" s="191"/>
      <c r="P246" s="195"/>
    </row>
    <row r="247" spans="1:16" s="167" customFormat="1" ht="11.25" customHeight="1" x14ac:dyDescent="0.15">
      <c r="A247" s="193" t="s">
        <v>302</v>
      </c>
      <c r="B247" s="470" t="s">
        <v>322</v>
      </c>
      <c r="C247" s="470"/>
      <c r="D247" s="470"/>
      <c r="E247" s="183" t="s">
        <v>55</v>
      </c>
      <c r="F247" s="472">
        <v>53749391.729999997</v>
      </c>
      <c r="G247" s="472"/>
      <c r="H247" s="185" t="s">
        <v>56</v>
      </c>
      <c r="I247" s="186">
        <v>40259</v>
      </c>
      <c r="J247" s="187" t="s">
        <v>71</v>
      </c>
      <c r="K247" s="210">
        <f>SUM(M44:M46)</f>
        <v>34432</v>
      </c>
      <c r="L247" s="188"/>
      <c r="M247" s="190"/>
      <c r="N247" s="188"/>
      <c r="O247" s="191"/>
      <c r="P247" s="195"/>
    </row>
    <row r="248" spans="1:16" s="167" customFormat="1" ht="11.25" customHeight="1" x14ac:dyDescent="0.15">
      <c r="A248" s="193" t="s">
        <v>303</v>
      </c>
      <c r="B248" s="470" t="s">
        <v>323</v>
      </c>
      <c r="C248" s="470"/>
      <c r="D248" s="470"/>
      <c r="E248" s="183" t="s">
        <v>55</v>
      </c>
      <c r="F248" s="472">
        <v>24346007.710000001</v>
      </c>
      <c r="G248" s="472"/>
      <c r="H248" s="185" t="s">
        <v>56</v>
      </c>
      <c r="I248" s="186">
        <v>40261</v>
      </c>
      <c r="J248" s="187" t="s">
        <v>71</v>
      </c>
      <c r="K248" s="210">
        <f>SUM(M47:M51)</f>
        <v>151858.61046334787</v>
      </c>
      <c r="L248" s="188"/>
      <c r="M248" s="190"/>
      <c r="N248" s="188"/>
      <c r="O248" s="191"/>
      <c r="P248" s="195"/>
    </row>
    <row r="249" spans="1:16" s="167" customFormat="1" ht="11.25" customHeight="1" x14ac:dyDescent="0.15">
      <c r="A249" s="193" t="s">
        <v>304</v>
      </c>
      <c r="B249" s="470" t="s">
        <v>312</v>
      </c>
      <c r="C249" s="470"/>
      <c r="D249" s="470"/>
      <c r="E249" s="183" t="s">
        <v>55</v>
      </c>
      <c r="F249" s="472">
        <v>84502608.620000005</v>
      </c>
      <c r="G249" s="472"/>
      <c r="H249" s="185" t="s">
        <v>56</v>
      </c>
      <c r="I249" s="186">
        <v>40263</v>
      </c>
      <c r="J249" s="187" t="s">
        <v>71</v>
      </c>
      <c r="K249" s="210">
        <f>SUM(M52:M57)</f>
        <v>192774.41549224374</v>
      </c>
      <c r="L249" s="188"/>
      <c r="M249" s="190"/>
      <c r="N249" s="188"/>
      <c r="O249" s="191"/>
      <c r="P249" s="195"/>
    </row>
    <row r="250" spans="1:16" s="167" customFormat="1" x14ac:dyDescent="0.15">
      <c r="A250" s="193" t="s">
        <v>306</v>
      </c>
      <c r="B250" s="470" t="s">
        <v>311</v>
      </c>
      <c r="C250" s="470"/>
      <c r="D250" s="470"/>
      <c r="E250" s="183" t="s">
        <v>55</v>
      </c>
      <c r="F250" s="472">
        <v>75598042.989999995</v>
      </c>
      <c r="G250" s="472"/>
      <c r="H250" s="185" t="s">
        <v>56</v>
      </c>
      <c r="I250" s="186">
        <v>40254</v>
      </c>
      <c r="J250" s="187" t="s">
        <v>71</v>
      </c>
      <c r="K250" s="210">
        <f>SUM(M58)</f>
        <v>75238</v>
      </c>
      <c r="L250" s="188"/>
      <c r="M250" s="190"/>
      <c r="N250" s="188"/>
      <c r="O250" s="206" t="s">
        <v>33</v>
      </c>
      <c r="P250" s="207">
        <f>SUM(O238:O248)</f>
        <v>360348.14086200937</v>
      </c>
    </row>
    <row r="251" spans="1:16" s="167" customFormat="1" ht="12" thickBot="1" x14ac:dyDescent="0.2">
      <c r="A251" s="193"/>
      <c r="B251" s="470"/>
      <c r="C251" s="470"/>
      <c r="D251" s="470"/>
      <c r="E251" s="183"/>
      <c r="F251" s="472"/>
      <c r="G251" s="472"/>
      <c r="H251" s="185"/>
      <c r="I251" s="186"/>
      <c r="J251" s="187"/>
      <c r="K251" s="211">
        <f>SUM(K239:K250)</f>
        <v>1870047.3531379907</v>
      </c>
      <c r="L251" s="188"/>
      <c r="M251" s="190"/>
      <c r="N251" s="188"/>
      <c r="O251" s="190"/>
      <c r="P251" s="197">
        <f>+P237-P250</f>
        <v>0</v>
      </c>
    </row>
    <row r="252" spans="1:16" s="167" customFormat="1" ht="12" thickTop="1" x14ac:dyDescent="0.15">
      <c r="A252" s="193"/>
      <c r="B252" s="470"/>
      <c r="C252" s="470"/>
      <c r="D252" s="470"/>
      <c r="E252" s="183"/>
      <c r="F252" s="472"/>
      <c r="G252" s="472"/>
      <c r="H252" s="185"/>
      <c r="I252" s="186"/>
      <c r="J252" s="187"/>
      <c r="K252" s="210"/>
      <c r="L252" s="188"/>
      <c r="M252" s="190"/>
      <c r="N252" s="188"/>
      <c r="O252" s="188"/>
      <c r="P252" s="198"/>
    </row>
    <row r="253" spans="1:16" x14ac:dyDescent="0.15">
      <c r="J253" s="132" t="s">
        <v>105</v>
      </c>
      <c r="K253" s="205">
        <f>SUM(K242:K248)+K239+K240</f>
        <v>1451320.8694109297</v>
      </c>
    </row>
    <row r="254" spans="1:16" x14ac:dyDescent="0.15">
      <c r="J254" s="132" t="s">
        <v>106</v>
      </c>
      <c r="K254" s="205">
        <f>+K249+K250+K241</f>
        <v>418726.48372706072</v>
      </c>
    </row>
    <row r="255" spans="1:16" ht="12" thickBot="1" x14ac:dyDescent="0.2">
      <c r="K255" s="212">
        <f>SUM(K253:K254)</f>
        <v>1870047.3531379905</v>
      </c>
    </row>
    <row r="256" spans="1:16" ht="12" thickTop="1" x14ac:dyDescent="0.15">
      <c r="K256" s="205"/>
    </row>
    <row r="257" spans="11:11" x14ac:dyDescent="0.15">
      <c r="K257" s="205"/>
    </row>
  </sheetData>
  <mergeCells count="36">
    <mergeCell ref="J3:L3"/>
    <mergeCell ref="A4:C4"/>
    <mergeCell ref="D4:H4"/>
    <mergeCell ref="I4:N4"/>
    <mergeCell ref="J5:K5"/>
    <mergeCell ref="L5:N5"/>
    <mergeCell ref="B238:D238"/>
    <mergeCell ref="F238:G238"/>
    <mergeCell ref="B239:D239"/>
    <mergeCell ref="F239:G239"/>
    <mergeCell ref="B240:D240"/>
    <mergeCell ref="F240:G240"/>
    <mergeCell ref="B241:D241"/>
    <mergeCell ref="F241:G241"/>
    <mergeCell ref="B242:D242"/>
    <mergeCell ref="F242:G242"/>
    <mergeCell ref="B243:D243"/>
    <mergeCell ref="F243:G243"/>
    <mergeCell ref="B244:D244"/>
    <mergeCell ref="F244:G244"/>
    <mergeCell ref="B245:D245"/>
    <mergeCell ref="F245:G245"/>
    <mergeCell ref="B246:D246"/>
    <mergeCell ref="F246:G246"/>
    <mergeCell ref="B247:D247"/>
    <mergeCell ref="F247:G247"/>
    <mergeCell ref="B248:D248"/>
    <mergeCell ref="F248:G248"/>
    <mergeCell ref="B250:D250"/>
    <mergeCell ref="F250:G250"/>
    <mergeCell ref="B251:D251"/>
    <mergeCell ref="F251:G251"/>
    <mergeCell ref="B252:D252"/>
    <mergeCell ref="F252:G252"/>
    <mergeCell ref="B249:D249"/>
    <mergeCell ref="F249:G249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zoomScale="115" zoomScaleNormal="115" workbookViewId="0">
      <pane ySplit="6" topLeftCell="A16" activePane="bottomLeft" state="frozen"/>
      <selection pane="bottomLeft" activeCell="P223" sqref="P223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227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211</v>
      </c>
      <c r="B7" s="146"/>
      <c r="C7" s="147">
        <v>170527.68699999995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170527.68699999995</v>
      </c>
      <c r="P7" s="147">
        <f>+C220</f>
        <v>615965.72899999993</v>
      </c>
    </row>
    <row r="8" spans="1:16" x14ac:dyDescent="0.15">
      <c r="A8" s="154" t="s">
        <v>213</v>
      </c>
      <c r="B8" s="151"/>
      <c r="C8" s="152">
        <v>293393.42499999999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170527.68699999995</v>
      </c>
      <c r="P8" s="152">
        <f t="shared" ref="P8" si="0">P7+H8-J8-M8</f>
        <v>615965.72899999993</v>
      </c>
    </row>
    <row r="9" spans="1:16" x14ac:dyDescent="0.15">
      <c r="A9" s="154" t="s">
        <v>215</v>
      </c>
      <c r="B9" s="151"/>
      <c r="C9" s="152">
        <v>152044.617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16" si="1">+O8-J9-M9</f>
        <v>170527.68699999995</v>
      </c>
      <c r="P9" s="152">
        <f t="shared" ref="P9:P16" si="2">P8+H9-J9-M9</f>
        <v>615965.72899999993</v>
      </c>
    </row>
    <row r="10" spans="1:16" x14ac:dyDescent="0.15">
      <c r="A10" s="154"/>
      <c r="B10" s="151"/>
      <c r="C10" s="152"/>
      <c r="D10" s="153" t="s">
        <v>228</v>
      </c>
      <c r="E10" s="154" t="s">
        <v>72</v>
      </c>
      <c r="F10" s="157" t="s">
        <v>249</v>
      </c>
      <c r="G10" s="154"/>
      <c r="H10" s="152">
        <v>36037.724999999999</v>
      </c>
      <c r="I10" s="153" t="s">
        <v>228</v>
      </c>
      <c r="J10" s="152"/>
      <c r="K10" s="150"/>
      <c r="L10" s="154" t="s">
        <v>268</v>
      </c>
      <c r="M10" s="152">
        <v>49185</v>
      </c>
      <c r="N10" s="150" t="s">
        <v>211</v>
      </c>
      <c r="O10" s="152">
        <f t="shared" si="1"/>
        <v>121342.68699999995</v>
      </c>
      <c r="P10" s="152">
        <f t="shared" si="2"/>
        <v>602818.45399999991</v>
      </c>
    </row>
    <row r="11" spans="1:16" x14ac:dyDescent="0.15">
      <c r="A11" s="154"/>
      <c r="B11" s="151"/>
      <c r="C11" s="152"/>
      <c r="D11" s="153"/>
      <c r="E11" s="154"/>
      <c r="F11" s="157"/>
      <c r="G11" s="154"/>
      <c r="H11" s="152"/>
      <c r="I11" s="153" t="s">
        <v>228</v>
      </c>
      <c r="J11" s="152"/>
      <c r="K11" s="150"/>
      <c r="L11" s="154" t="s">
        <v>268</v>
      </c>
      <c r="M11" s="152">
        <v>84434</v>
      </c>
      <c r="N11" s="150" t="s">
        <v>211</v>
      </c>
      <c r="O11" s="152">
        <f t="shared" si="1"/>
        <v>36908.686999999947</v>
      </c>
      <c r="P11" s="152">
        <f t="shared" si="2"/>
        <v>518384.45399999991</v>
      </c>
    </row>
    <row r="12" spans="1:16" x14ac:dyDescent="0.15">
      <c r="A12" s="154"/>
      <c r="B12" s="151"/>
      <c r="C12" s="152"/>
      <c r="D12" s="153" t="s">
        <v>229</v>
      </c>
      <c r="E12" s="154" t="s">
        <v>72</v>
      </c>
      <c r="F12" s="157" t="s">
        <v>249</v>
      </c>
      <c r="G12" s="154"/>
      <c r="H12" s="152">
        <v>76024.553</v>
      </c>
      <c r="I12" s="153" t="s">
        <v>229</v>
      </c>
      <c r="J12" s="152"/>
      <c r="K12" s="150"/>
      <c r="L12" s="154" t="s">
        <v>268</v>
      </c>
      <c r="M12" s="152">
        <v>36909</v>
      </c>
      <c r="N12" s="150" t="s">
        <v>211</v>
      </c>
      <c r="O12" s="152">
        <f t="shared" ref="O12:O15" si="3">+O11-J12-M12</f>
        <v>-0.31300000005285256</v>
      </c>
      <c r="P12" s="152">
        <f t="shared" ref="P12:P15" si="4">P11+H12-J12-M12</f>
        <v>557500.00699999987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229</v>
      </c>
      <c r="J13" s="152"/>
      <c r="K13" s="150"/>
      <c r="L13" s="154" t="s">
        <v>269</v>
      </c>
      <c r="M13" s="152">
        <v>16164</v>
      </c>
      <c r="N13" s="154" t="s">
        <v>213</v>
      </c>
      <c r="O13" s="152">
        <f>C8+O12-J13-M13</f>
        <v>277229.11199999996</v>
      </c>
      <c r="P13" s="152">
        <f t="shared" si="4"/>
        <v>541336.00699999987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3" t="s">
        <v>229</v>
      </c>
      <c r="J14" s="152"/>
      <c r="K14" s="150"/>
      <c r="L14" s="154" t="s">
        <v>269</v>
      </c>
      <c r="M14" s="152">
        <v>72274</v>
      </c>
      <c r="N14" s="154" t="s">
        <v>213</v>
      </c>
      <c r="O14" s="152">
        <f t="shared" si="3"/>
        <v>204955.11199999996</v>
      </c>
      <c r="P14" s="152">
        <f t="shared" si="4"/>
        <v>469062.00699999987</v>
      </c>
    </row>
    <row r="15" spans="1:16" x14ac:dyDescent="0.15">
      <c r="A15" s="154"/>
      <c r="B15" s="151"/>
      <c r="C15" s="152"/>
      <c r="D15" s="153" t="s">
        <v>230</v>
      </c>
      <c r="E15" s="154" t="s">
        <v>72</v>
      </c>
      <c r="F15" s="157" t="s">
        <v>249</v>
      </c>
      <c r="G15" s="154"/>
      <c r="H15" s="152">
        <v>76028.191000000006</v>
      </c>
      <c r="I15" s="153" t="s">
        <v>230</v>
      </c>
      <c r="J15" s="152"/>
      <c r="K15" s="150"/>
      <c r="L15" s="154" t="s">
        <v>269</v>
      </c>
      <c r="M15" s="152">
        <v>79168</v>
      </c>
      <c r="N15" s="154" t="s">
        <v>213</v>
      </c>
      <c r="O15" s="152">
        <f t="shared" si="3"/>
        <v>125787.11199999996</v>
      </c>
      <c r="P15" s="152">
        <f t="shared" si="4"/>
        <v>465922.19799999986</v>
      </c>
    </row>
    <row r="16" spans="1:16" x14ac:dyDescent="0.15">
      <c r="A16" s="154"/>
      <c r="B16" s="151"/>
      <c r="C16" s="152"/>
      <c r="D16" s="153" t="s">
        <v>231</v>
      </c>
      <c r="E16" s="154" t="s">
        <v>72</v>
      </c>
      <c r="F16" s="157" t="s">
        <v>249</v>
      </c>
      <c r="G16" s="154"/>
      <c r="H16" s="152">
        <v>76020.687000000005</v>
      </c>
      <c r="I16" s="153" t="s">
        <v>231</v>
      </c>
      <c r="J16" s="152"/>
      <c r="K16" s="150"/>
      <c r="L16" s="154" t="s">
        <v>269</v>
      </c>
      <c r="M16" s="152">
        <v>76905</v>
      </c>
      <c r="N16" s="154" t="s">
        <v>213</v>
      </c>
      <c r="O16" s="152">
        <f t="shared" si="1"/>
        <v>48882.111999999965</v>
      </c>
      <c r="P16" s="152">
        <f t="shared" si="2"/>
        <v>465037.88499999989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231</v>
      </c>
      <c r="J17" s="152"/>
      <c r="K17" s="150"/>
      <c r="L17" s="154" t="s">
        <v>269</v>
      </c>
      <c r="M17" s="152">
        <v>48882</v>
      </c>
      <c r="N17" s="154" t="s">
        <v>213</v>
      </c>
      <c r="O17" s="152">
        <f t="shared" ref="O17" si="5">+O16-J17-M17</f>
        <v>0.11199999996460974</v>
      </c>
      <c r="P17" s="152">
        <f t="shared" ref="P17:P18" si="6">P16+H17-J17-M17</f>
        <v>416155.88499999989</v>
      </c>
    </row>
    <row r="18" spans="1:16" x14ac:dyDescent="0.15">
      <c r="A18" s="154"/>
      <c r="B18" s="151"/>
      <c r="C18" s="152"/>
      <c r="D18" s="153"/>
      <c r="E18" s="154"/>
      <c r="F18" s="157"/>
      <c r="G18" s="154"/>
      <c r="H18" s="152"/>
      <c r="I18" s="153" t="s">
        <v>231</v>
      </c>
      <c r="J18" s="152"/>
      <c r="K18" s="150"/>
      <c r="L18" s="154" t="s">
        <v>268</v>
      </c>
      <c r="M18" s="152">
        <v>39148</v>
      </c>
      <c r="N18" s="154" t="s">
        <v>215</v>
      </c>
      <c r="O18" s="152">
        <f>C9+O17-J18-M18</f>
        <v>112896.72899999996</v>
      </c>
      <c r="P18" s="152">
        <f t="shared" si="6"/>
        <v>377007.88499999989</v>
      </c>
    </row>
    <row r="19" spans="1:16" x14ac:dyDescent="0.15">
      <c r="A19" s="154"/>
      <c r="B19" s="151"/>
      <c r="C19" s="152"/>
      <c r="D19" s="153" t="s">
        <v>248</v>
      </c>
      <c r="E19" s="154" t="s">
        <v>72</v>
      </c>
      <c r="F19" s="157" t="s">
        <v>250</v>
      </c>
      <c r="G19" s="154"/>
      <c r="H19" s="152">
        <v>39933.481</v>
      </c>
      <c r="I19" s="153" t="s">
        <v>248</v>
      </c>
      <c r="J19" s="152">
        <v>420</v>
      </c>
      <c r="K19" s="154" t="s">
        <v>215</v>
      </c>
      <c r="L19" s="154"/>
      <c r="M19" s="152"/>
      <c r="N19" s="154"/>
      <c r="O19" s="152">
        <f t="shared" ref="O19:O31" si="7">+O18-J19-M19</f>
        <v>112476.72899999996</v>
      </c>
      <c r="P19" s="152">
        <f t="shared" ref="P19:P31" si="8">P18+H19-J19-M19</f>
        <v>416521.36599999992</v>
      </c>
    </row>
    <row r="20" spans="1:16" x14ac:dyDescent="0.15">
      <c r="A20" s="154"/>
      <c r="B20" s="151"/>
      <c r="C20" s="152"/>
      <c r="D20" s="153" t="s">
        <v>232</v>
      </c>
      <c r="E20" s="154" t="s">
        <v>72</v>
      </c>
      <c r="F20" s="157" t="s">
        <v>250</v>
      </c>
      <c r="G20" s="154"/>
      <c r="H20" s="152">
        <v>94041.978000000003</v>
      </c>
      <c r="I20" s="153" t="s">
        <v>232</v>
      </c>
      <c r="J20" s="152"/>
      <c r="K20" s="150"/>
      <c r="L20" s="154" t="s">
        <v>268</v>
      </c>
      <c r="M20" s="152">
        <v>22958</v>
      </c>
      <c r="N20" s="154" t="s">
        <v>215</v>
      </c>
      <c r="O20" s="152">
        <f t="shared" si="7"/>
        <v>89518.728999999963</v>
      </c>
      <c r="P20" s="152">
        <f t="shared" si="8"/>
        <v>487605.34399999992</v>
      </c>
    </row>
    <row r="21" spans="1:16" x14ac:dyDescent="0.15">
      <c r="A21" s="154"/>
      <c r="B21" s="151"/>
      <c r="C21" s="152"/>
      <c r="D21" s="153" t="s">
        <v>233</v>
      </c>
      <c r="E21" s="154" t="s">
        <v>72</v>
      </c>
      <c r="F21" s="157" t="s">
        <v>250</v>
      </c>
      <c r="G21" s="154"/>
      <c r="H21" s="152">
        <v>120424</v>
      </c>
      <c r="I21" s="153" t="s">
        <v>233</v>
      </c>
      <c r="J21" s="152"/>
      <c r="K21" s="154"/>
      <c r="L21" s="154" t="s">
        <v>268</v>
      </c>
      <c r="M21" s="152">
        <v>88884</v>
      </c>
      <c r="N21" s="154" t="s">
        <v>215</v>
      </c>
      <c r="O21" s="152">
        <f t="shared" si="7"/>
        <v>634.72899999996298</v>
      </c>
      <c r="P21" s="152">
        <f t="shared" si="8"/>
        <v>519145.34399999992</v>
      </c>
    </row>
    <row r="22" spans="1:16" x14ac:dyDescent="0.15">
      <c r="A22" s="154"/>
      <c r="B22" s="151"/>
      <c r="C22" s="152"/>
      <c r="D22" s="153" t="s">
        <v>233</v>
      </c>
      <c r="E22" s="154" t="s">
        <v>72</v>
      </c>
      <c r="F22" s="157" t="s">
        <v>251</v>
      </c>
      <c r="G22" s="154"/>
      <c r="H22" s="152">
        <v>7612</v>
      </c>
      <c r="I22" s="153" t="s">
        <v>233</v>
      </c>
      <c r="J22" s="152"/>
      <c r="K22" s="154"/>
      <c r="L22" s="154"/>
      <c r="M22" s="152"/>
      <c r="N22" s="154"/>
      <c r="O22" s="152">
        <f t="shared" si="7"/>
        <v>634.72899999996298</v>
      </c>
      <c r="P22" s="152">
        <f t="shared" si="8"/>
        <v>526757.34399999992</v>
      </c>
    </row>
    <row r="23" spans="1:16" x14ac:dyDescent="0.15">
      <c r="A23" s="154"/>
      <c r="B23" s="151"/>
      <c r="C23" s="152"/>
      <c r="D23" s="158"/>
      <c r="E23" s="154"/>
      <c r="F23" s="157"/>
      <c r="G23" s="154"/>
      <c r="H23" s="152"/>
      <c r="I23" s="153" t="s">
        <v>234</v>
      </c>
      <c r="J23" s="152">
        <v>635</v>
      </c>
      <c r="K23" s="154" t="s">
        <v>215</v>
      </c>
      <c r="L23" s="154"/>
      <c r="M23" s="152"/>
      <c r="N23" s="154"/>
      <c r="O23" s="152">
        <f t="shared" si="7"/>
        <v>-0.27100000003702007</v>
      </c>
      <c r="P23" s="152">
        <f t="shared" si="8"/>
        <v>526122.34399999992</v>
      </c>
    </row>
    <row r="24" spans="1:16" x14ac:dyDescent="0.15">
      <c r="A24" s="154"/>
      <c r="B24" s="151"/>
      <c r="C24" s="152"/>
      <c r="D24" s="158"/>
      <c r="E24" s="154"/>
      <c r="F24" s="157"/>
      <c r="G24" s="154"/>
      <c r="H24" s="152"/>
      <c r="I24" s="153" t="s">
        <v>234</v>
      </c>
      <c r="J24" s="152">
        <v>1175</v>
      </c>
      <c r="K24" s="157" t="s">
        <v>249</v>
      </c>
      <c r="L24" s="154" t="s">
        <v>268</v>
      </c>
      <c r="M24" s="152">
        <v>74088</v>
      </c>
      <c r="N24" s="157" t="s">
        <v>249</v>
      </c>
      <c r="O24" s="152">
        <f>H10+H12+H15+H16+O23-J24-M24</f>
        <v>188847.88499999989</v>
      </c>
      <c r="P24" s="152">
        <f t="shared" si="8"/>
        <v>450859.34399999992</v>
      </c>
    </row>
    <row r="25" spans="1:16" x14ac:dyDescent="0.15">
      <c r="A25" s="154"/>
      <c r="B25" s="151"/>
      <c r="C25" s="152"/>
      <c r="D25" s="153" t="s">
        <v>235</v>
      </c>
      <c r="E25" s="154" t="s">
        <v>72</v>
      </c>
      <c r="F25" s="157" t="s">
        <v>251</v>
      </c>
      <c r="G25" s="154"/>
      <c r="H25" s="152">
        <v>55968.158000000003</v>
      </c>
      <c r="I25" s="153" t="s">
        <v>235</v>
      </c>
      <c r="J25" s="152">
        <v>640</v>
      </c>
      <c r="K25" s="157" t="s">
        <v>249</v>
      </c>
      <c r="L25" s="154" t="s">
        <v>268</v>
      </c>
      <c r="M25" s="152">
        <v>77289</v>
      </c>
      <c r="N25" s="157" t="s">
        <v>249</v>
      </c>
      <c r="O25" s="152">
        <f t="shared" si="7"/>
        <v>110918.88499999989</v>
      </c>
      <c r="P25" s="152">
        <f t="shared" si="8"/>
        <v>428898.50199999992</v>
      </c>
    </row>
    <row r="26" spans="1:16" x14ac:dyDescent="0.15">
      <c r="A26" s="154"/>
      <c r="B26" s="151"/>
      <c r="C26" s="152"/>
      <c r="D26" s="153" t="s">
        <v>236</v>
      </c>
      <c r="E26" s="154" t="s">
        <v>72</v>
      </c>
      <c r="F26" s="157" t="s">
        <v>251</v>
      </c>
      <c r="G26" s="154"/>
      <c r="H26" s="152">
        <v>35986.006999999998</v>
      </c>
      <c r="I26" s="153" t="s">
        <v>236</v>
      </c>
      <c r="J26" s="152"/>
      <c r="K26" s="150"/>
      <c r="L26" s="154" t="s">
        <v>268</v>
      </c>
      <c r="M26" s="152">
        <v>75155</v>
      </c>
      <c r="N26" s="157" t="s">
        <v>249</v>
      </c>
      <c r="O26" s="152">
        <f t="shared" si="7"/>
        <v>35763.884999999893</v>
      </c>
      <c r="P26" s="152">
        <f t="shared" si="8"/>
        <v>389729.5089999999</v>
      </c>
    </row>
    <row r="27" spans="1:16" x14ac:dyDescent="0.15">
      <c r="A27" s="154"/>
      <c r="B27" s="151"/>
      <c r="C27" s="152"/>
      <c r="D27" s="153" t="s">
        <v>236</v>
      </c>
      <c r="E27" s="154" t="s">
        <v>172</v>
      </c>
      <c r="F27" s="157" t="s">
        <v>207</v>
      </c>
      <c r="G27" s="154"/>
      <c r="H27" s="152">
        <v>39979.72</v>
      </c>
      <c r="I27" s="153" t="s">
        <v>236</v>
      </c>
      <c r="J27" s="152"/>
      <c r="K27" s="150"/>
      <c r="L27" s="154" t="s">
        <v>268</v>
      </c>
      <c r="M27" s="152">
        <v>35764</v>
      </c>
      <c r="N27" s="157" t="s">
        <v>249</v>
      </c>
      <c r="O27" s="152">
        <f t="shared" si="7"/>
        <v>-0.1150000001071021</v>
      </c>
      <c r="P27" s="152">
        <f t="shared" si="8"/>
        <v>393945.22899999993</v>
      </c>
    </row>
    <row r="28" spans="1:16" x14ac:dyDescent="0.15">
      <c r="A28" s="154"/>
      <c r="B28" s="151"/>
      <c r="C28" s="152"/>
      <c r="D28" s="153"/>
      <c r="E28" s="154"/>
      <c r="F28" s="157"/>
      <c r="G28" s="154"/>
      <c r="H28" s="152"/>
      <c r="I28" s="153" t="s">
        <v>236</v>
      </c>
      <c r="J28" s="152"/>
      <c r="K28" s="150"/>
      <c r="L28" s="154" t="s">
        <v>269</v>
      </c>
      <c r="M28" s="152">
        <v>50905</v>
      </c>
      <c r="N28" s="157" t="s">
        <v>250</v>
      </c>
      <c r="O28" s="152">
        <f>H19+H20+H21+O27-J28-M28</f>
        <v>203494.3439999999</v>
      </c>
      <c r="P28" s="152">
        <f t="shared" si="8"/>
        <v>343040.22899999993</v>
      </c>
    </row>
    <row r="29" spans="1:16" x14ac:dyDescent="0.15">
      <c r="A29" s="154"/>
      <c r="B29" s="151"/>
      <c r="C29" s="152"/>
      <c r="D29" s="153" t="s">
        <v>252</v>
      </c>
      <c r="E29" s="154" t="s">
        <v>72</v>
      </c>
      <c r="F29" s="157" t="s">
        <v>253</v>
      </c>
      <c r="G29" s="154"/>
      <c r="H29" s="152">
        <v>76130.399000000005</v>
      </c>
      <c r="I29" s="153" t="s">
        <v>252</v>
      </c>
      <c r="J29" s="152"/>
      <c r="K29" s="150"/>
      <c r="L29" s="154"/>
      <c r="M29" s="152"/>
      <c r="N29" s="154"/>
      <c r="O29" s="152">
        <f t="shared" si="7"/>
        <v>203494.3439999999</v>
      </c>
      <c r="P29" s="152">
        <f t="shared" si="8"/>
        <v>419170.62799999991</v>
      </c>
    </row>
    <row r="30" spans="1:16" x14ac:dyDescent="0.15">
      <c r="A30" s="154"/>
      <c r="B30" s="151"/>
      <c r="C30" s="152"/>
      <c r="D30" s="153" t="s">
        <v>237</v>
      </c>
      <c r="E30" s="154" t="s">
        <v>72</v>
      </c>
      <c r="F30" s="157" t="s">
        <v>253</v>
      </c>
      <c r="G30" s="154"/>
      <c r="H30" s="152">
        <v>112147.73699999999</v>
      </c>
      <c r="I30" s="153" t="s">
        <v>237</v>
      </c>
      <c r="J30" s="152"/>
      <c r="K30" s="150"/>
      <c r="L30" s="154" t="s">
        <v>269</v>
      </c>
      <c r="M30" s="152">
        <v>18922</v>
      </c>
      <c r="N30" s="157" t="s">
        <v>250</v>
      </c>
      <c r="O30" s="152">
        <f t="shared" si="7"/>
        <v>184572.3439999999</v>
      </c>
      <c r="P30" s="152">
        <f t="shared" si="8"/>
        <v>512396.36499999987</v>
      </c>
    </row>
    <row r="31" spans="1:16" x14ac:dyDescent="0.15">
      <c r="A31" s="154"/>
      <c r="B31" s="151"/>
      <c r="C31" s="152"/>
      <c r="D31" s="153" t="s">
        <v>238</v>
      </c>
      <c r="E31" s="154" t="s">
        <v>72</v>
      </c>
      <c r="F31" s="157" t="s">
        <v>253</v>
      </c>
      <c r="G31" s="154"/>
      <c r="H31" s="152">
        <v>40023.930999999997</v>
      </c>
      <c r="I31" s="153" t="s">
        <v>238</v>
      </c>
      <c r="J31" s="152"/>
      <c r="K31" s="150"/>
      <c r="L31" s="154" t="s">
        <v>269</v>
      </c>
      <c r="M31" s="152">
        <v>51988</v>
      </c>
      <c r="N31" s="157" t="s">
        <v>250</v>
      </c>
      <c r="O31" s="152">
        <f t="shared" si="7"/>
        <v>132584.3439999999</v>
      </c>
      <c r="P31" s="152">
        <f t="shared" si="8"/>
        <v>500432.29599999986</v>
      </c>
    </row>
    <row r="32" spans="1:16" x14ac:dyDescent="0.15">
      <c r="A32" s="154"/>
      <c r="B32" s="151"/>
      <c r="C32" s="152"/>
      <c r="D32" s="153"/>
      <c r="E32" s="154"/>
      <c r="F32" s="157"/>
      <c r="G32" s="154"/>
      <c r="H32" s="152"/>
      <c r="I32" s="153" t="s">
        <v>238</v>
      </c>
      <c r="J32" s="152"/>
      <c r="K32" s="157"/>
      <c r="L32" s="154" t="s">
        <v>269</v>
      </c>
      <c r="M32" s="152">
        <v>92165</v>
      </c>
      <c r="N32" s="157" t="s">
        <v>250</v>
      </c>
      <c r="O32" s="152">
        <f t="shared" ref="O32" si="9">+O31-J32-M32</f>
        <v>40419.343999999895</v>
      </c>
      <c r="P32" s="152">
        <f t="shared" ref="P32" si="10">P31+H32-J32-M32</f>
        <v>408267.29599999986</v>
      </c>
    </row>
    <row r="33" spans="1:16" x14ac:dyDescent="0.15">
      <c r="A33" s="154"/>
      <c r="B33" s="151"/>
      <c r="C33" s="152"/>
      <c r="D33" s="153" t="s">
        <v>239</v>
      </c>
      <c r="E33" s="154" t="s">
        <v>72</v>
      </c>
      <c r="F33" s="157" t="s">
        <v>253</v>
      </c>
      <c r="G33" s="154"/>
      <c r="H33" s="152">
        <v>36117</v>
      </c>
      <c r="I33" s="153" t="s">
        <v>239</v>
      </c>
      <c r="J33" s="152">
        <v>460</v>
      </c>
      <c r="K33" s="157" t="s">
        <v>250</v>
      </c>
      <c r="L33" s="154" t="s">
        <v>269</v>
      </c>
      <c r="M33" s="152">
        <v>39959</v>
      </c>
      <c r="N33" s="157" t="s">
        <v>250</v>
      </c>
      <c r="O33" s="152">
        <f t="shared" ref="O33:O36" si="11">+O32-J33-M33</f>
        <v>0.34399999989545904</v>
      </c>
      <c r="P33" s="152">
        <f t="shared" ref="P33:P36" si="12">P32+H33-J33-M33</f>
        <v>403965.29599999986</v>
      </c>
    </row>
    <row r="34" spans="1:16" x14ac:dyDescent="0.15">
      <c r="A34" s="154"/>
      <c r="B34" s="151"/>
      <c r="C34" s="152"/>
      <c r="D34" s="153"/>
      <c r="E34" s="154"/>
      <c r="F34" s="157"/>
      <c r="G34" s="154"/>
      <c r="H34" s="152"/>
      <c r="I34" s="153" t="s">
        <v>239</v>
      </c>
      <c r="J34" s="152"/>
      <c r="K34" s="157"/>
      <c r="L34" s="154" t="s">
        <v>268</v>
      </c>
      <c r="M34" s="152">
        <v>13200</v>
      </c>
      <c r="N34" s="157" t="s">
        <v>251</v>
      </c>
      <c r="O34" s="152">
        <f>H22+H25+H26+O33-J34-M34</f>
        <v>86366.508999999904</v>
      </c>
      <c r="P34" s="152">
        <f t="shared" si="12"/>
        <v>390765.29599999986</v>
      </c>
    </row>
    <row r="35" spans="1:16" x14ac:dyDescent="0.15">
      <c r="A35" s="154"/>
      <c r="B35" s="151"/>
      <c r="C35" s="152"/>
      <c r="D35" s="153" t="s">
        <v>239</v>
      </c>
      <c r="E35" s="154" t="s">
        <v>72</v>
      </c>
      <c r="F35" s="157" t="s">
        <v>254</v>
      </c>
      <c r="G35" s="154"/>
      <c r="H35" s="152">
        <v>77975</v>
      </c>
      <c r="I35" s="153" t="s">
        <v>239</v>
      </c>
      <c r="J35" s="152"/>
      <c r="K35" s="150"/>
      <c r="L35" s="154" t="s">
        <v>268</v>
      </c>
      <c r="M35" s="152">
        <v>77540</v>
      </c>
      <c r="N35" s="157" t="s">
        <v>251</v>
      </c>
      <c r="O35" s="152">
        <f t="shared" si="11"/>
        <v>8826.5089999999036</v>
      </c>
      <c r="P35" s="152">
        <f t="shared" si="12"/>
        <v>391200.29599999986</v>
      </c>
    </row>
    <row r="36" spans="1:16" x14ac:dyDescent="0.15">
      <c r="A36" s="154"/>
      <c r="B36" s="151"/>
      <c r="C36" s="152"/>
      <c r="D36" s="153" t="s">
        <v>240</v>
      </c>
      <c r="E36" s="154" t="s">
        <v>72</v>
      </c>
      <c r="F36" s="157" t="s">
        <v>254</v>
      </c>
      <c r="G36" s="154"/>
      <c r="H36" s="152">
        <v>112105.45299999999</v>
      </c>
      <c r="I36" s="153" t="s">
        <v>240</v>
      </c>
      <c r="J36" s="152"/>
      <c r="K36" s="150"/>
      <c r="L36" s="154" t="s">
        <v>268</v>
      </c>
      <c r="M36" s="152">
        <v>8827</v>
      </c>
      <c r="N36" s="157" t="s">
        <v>251</v>
      </c>
      <c r="O36" s="152">
        <f t="shared" si="11"/>
        <v>-0.49100000009639189</v>
      </c>
      <c r="P36" s="152">
        <f t="shared" si="12"/>
        <v>494478.74899999984</v>
      </c>
    </row>
    <row r="37" spans="1:16" x14ac:dyDescent="0.15">
      <c r="A37" s="154"/>
      <c r="B37" s="151"/>
      <c r="C37" s="152"/>
      <c r="D37" s="153"/>
      <c r="E37" s="154"/>
      <c r="F37" s="157"/>
      <c r="G37" s="154"/>
      <c r="H37" s="152"/>
      <c r="I37" s="153" t="s">
        <v>240</v>
      </c>
      <c r="J37" s="152"/>
      <c r="K37" s="150"/>
      <c r="L37" s="154" t="s">
        <v>269</v>
      </c>
      <c r="M37" s="152">
        <v>39979.72</v>
      </c>
      <c r="N37" s="157" t="s">
        <v>207</v>
      </c>
      <c r="O37" s="152">
        <f>H27+O36-J37-M37</f>
        <v>-0.49100000009639189</v>
      </c>
      <c r="P37" s="152">
        <f t="shared" ref="P37" si="13">P36+H37-J37-M37</f>
        <v>454499.02899999986</v>
      </c>
    </row>
    <row r="38" spans="1:16" x14ac:dyDescent="0.15">
      <c r="A38" s="154"/>
      <c r="B38" s="151"/>
      <c r="C38" s="152"/>
      <c r="D38" s="153"/>
      <c r="E38" s="154"/>
      <c r="F38" s="157"/>
      <c r="G38" s="154"/>
      <c r="H38" s="152"/>
      <c r="I38" s="153" t="s">
        <v>240</v>
      </c>
      <c r="J38" s="152"/>
      <c r="K38" s="150"/>
      <c r="L38" s="154" t="s">
        <v>268</v>
      </c>
      <c r="M38" s="152">
        <v>30037</v>
      </c>
      <c r="N38" s="157" t="s">
        <v>253</v>
      </c>
      <c r="O38" s="152">
        <f>H29+H30+H31+H33+O37-J38-M38</f>
        <v>234381.57599999988</v>
      </c>
      <c r="P38" s="152">
        <f t="shared" ref="P38" si="14">P37+H38-J38-M38</f>
        <v>424462.02899999986</v>
      </c>
    </row>
    <row r="39" spans="1:16" x14ac:dyDescent="0.15">
      <c r="A39" s="154"/>
      <c r="B39" s="151"/>
      <c r="C39" s="152"/>
      <c r="D39" s="153" t="s">
        <v>241</v>
      </c>
      <c r="E39" s="154" t="s">
        <v>72</v>
      </c>
      <c r="F39" s="157" t="s">
        <v>254</v>
      </c>
      <c r="G39" s="154"/>
      <c r="H39" s="152">
        <v>75995</v>
      </c>
      <c r="I39" s="153" t="s">
        <v>241</v>
      </c>
      <c r="J39" s="152"/>
      <c r="K39" s="150"/>
      <c r="L39" s="154" t="s">
        <v>268</v>
      </c>
      <c r="M39" s="152">
        <v>78227</v>
      </c>
      <c r="N39" s="157" t="s">
        <v>253</v>
      </c>
      <c r="O39" s="152">
        <f t="shared" ref="O39:O49" si="15">+O38-J39-M39</f>
        <v>156154.57599999988</v>
      </c>
      <c r="P39" s="152">
        <f t="shared" ref="P39:P49" si="16">P38+H39-J39-M39</f>
        <v>422230.02899999986</v>
      </c>
    </row>
    <row r="40" spans="1:16" x14ac:dyDescent="0.15">
      <c r="A40" s="154"/>
      <c r="B40" s="151"/>
      <c r="C40" s="152"/>
      <c r="D40" s="153"/>
      <c r="E40" s="154"/>
      <c r="F40" s="157"/>
      <c r="G40" s="154"/>
      <c r="H40" s="152"/>
      <c r="I40" s="153" t="s">
        <v>241</v>
      </c>
      <c r="J40" s="152"/>
      <c r="K40" s="150"/>
      <c r="L40" s="154"/>
      <c r="M40" s="152"/>
      <c r="N40" s="157"/>
      <c r="O40" s="152">
        <f t="shared" si="15"/>
        <v>156154.57599999988</v>
      </c>
      <c r="P40" s="152">
        <f t="shared" si="16"/>
        <v>422230.02899999986</v>
      </c>
    </row>
    <row r="41" spans="1:16" x14ac:dyDescent="0.15">
      <c r="A41" s="154"/>
      <c r="B41" s="151"/>
      <c r="C41" s="152"/>
      <c r="D41" s="153" t="s">
        <v>241</v>
      </c>
      <c r="E41" s="154" t="s">
        <v>72</v>
      </c>
      <c r="F41" s="157" t="s">
        <v>255</v>
      </c>
      <c r="G41" s="154"/>
      <c r="H41" s="152">
        <v>75839</v>
      </c>
      <c r="I41" s="153" t="s">
        <v>241</v>
      </c>
      <c r="J41" s="152"/>
      <c r="K41" s="150"/>
      <c r="L41" s="154" t="s">
        <v>268</v>
      </c>
      <c r="M41" s="152">
        <v>92645</v>
      </c>
      <c r="N41" s="157" t="s">
        <v>253</v>
      </c>
      <c r="O41" s="152">
        <f t="shared" si="15"/>
        <v>63509.575999999885</v>
      </c>
      <c r="P41" s="152">
        <f t="shared" si="16"/>
        <v>405424.02899999986</v>
      </c>
    </row>
    <row r="42" spans="1:16" x14ac:dyDescent="0.15">
      <c r="A42" s="154"/>
      <c r="B42" s="151"/>
      <c r="C42" s="152"/>
      <c r="D42" s="153" t="s">
        <v>242</v>
      </c>
      <c r="E42" s="154" t="s">
        <v>72</v>
      </c>
      <c r="F42" s="157" t="s">
        <v>258</v>
      </c>
      <c r="G42" s="154"/>
      <c r="H42" s="152">
        <v>107941.802</v>
      </c>
      <c r="I42" s="153" t="s">
        <v>242</v>
      </c>
      <c r="J42" s="152">
        <v>2140</v>
      </c>
      <c r="K42" s="157" t="s">
        <v>253</v>
      </c>
      <c r="L42" s="154" t="s">
        <v>268</v>
      </c>
      <c r="M42" s="152">
        <v>13085</v>
      </c>
      <c r="N42" s="157" t="s">
        <v>253</v>
      </c>
      <c r="O42" s="152">
        <f t="shared" si="15"/>
        <v>48284.575999999885</v>
      </c>
      <c r="P42" s="152">
        <f t="shared" si="16"/>
        <v>498140.83099999989</v>
      </c>
    </row>
    <row r="43" spans="1:16" x14ac:dyDescent="0.15">
      <c r="A43" s="154"/>
      <c r="B43" s="151"/>
      <c r="C43" s="152"/>
      <c r="D43" s="153" t="s">
        <v>243</v>
      </c>
      <c r="E43" s="154" t="s">
        <v>72</v>
      </c>
      <c r="F43" s="157" t="s">
        <v>258</v>
      </c>
      <c r="G43" s="154"/>
      <c r="H43" s="152">
        <v>75951.740000000005</v>
      </c>
      <c r="I43" s="153" t="s">
        <v>243</v>
      </c>
      <c r="J43" s="152">
        <v>542</v>
      </c>
      <c r="K43" s="157" t="s">
        <v>253</v>
      </c>
      <c r="L43" s="154" t="s">
        <v>268</v>
      </c>
      <c r="M43" s="152">
        <v>47743</v>
      </c>
      <c r="N43" s="157" t="s">
        <v>253</v>
      </c>
      <c r="O43" s="152">
        <f t="shared" ref="O43:O47" si="17">+O42-J43-M43</f>
        <v>-0.424000000115484</v>
      </c>
      <c r="P43" s="152">
        <f t="shared" ref="P43:P47" si="18">P42+H43-J43-M43</f>
        <v>525807.57099999988</v>
      </c>
    </row>
    <row r="44" spans="1:16" x14ac:dyDescent="0.15">
      <c r="A44" s="154"/>
      <c r="B44" s="151"/>
      <c r="C44" s="152"/>
      <c r="D44" s="153"/>
      <c r="E44" s="154"/>
      <c r="F44" s="157"/>
      <c r="G44" s="154"/>
      <c r="H44" s="152"/>
      <c r="I44" s="153" t="s">
        <v>243</v>
      </c>
      <c r="J44" s="152"/>
      <c r="K44" s="157"/>
      <c r="L44" s="154" t="s">
        <v>269</v>
      </c>
      <c r="M44" s="152">
        <v>37357</v>
      </c>
      <c r="N44" s="157" t="s">
        <v>254</v>
      </c>
      <c r="O44" s="152">
        <f>H35+H36+H39+O43-J44-M44</f>
        <v>228718.02899999986</v>
      </c>
      <c r="P44" s="152">
        <f t="shared" si="18"/>
        <v>488450.57099999988</v>
      </c>
    </row>
    <row r="45" spans="1:16" x14ac:dyDescent="0.15">
      <c r="A45" s="154"/>
      <c r="B45" s="151"/>
      <c r="C45" s="152"/>
      <c r="D45" s="153" t="s">
        <v>244</v>
      </c>
      <c r="E45" s="154" t="s">
        <v>72</v>
      </c>
      <c r="F45" s="157" t="s">
        <v>257</v>
      </c>
      <c r="G45" s="154"/>
      <c r="H45" s="152">
        <v>91992.091</v>
      </c>
      <c r="I45" s="153" t="s">
        <v>244</v>
      </c>
      <c r="J45" s="152"/>
      <c r="K45" s="154"/>
      <c r="L45" s="154" t="s">
        <v>269</v>
      </c>
      <c r="M45" s="152">
        <v>72251</v>
      </c>
      <c r="N45" s="157" t="s">
        <v>254</v>
      </c>
      <c r="O45" s="152">
        <f t="shared" si="17"/>
        <v>156467.02899999986</v>
      </c>
      <c r="P45" s="152">
        <f t="shared" si="18"/>
        <v>508191.66199999989</v>
      </c>
    </row>
    <row r="46" spans="1:16" x14ac:dyDescent="0.15">
      <c r="A46" s="154"/>
      <c r="B46" s="151"/>
      <c r="C46" s="152"/>
      <c r="D46" s="153"/>
      <c r="E46" s="154"/>
      <c r="F46" s="157"/>
      <c r="G46" s="154"/>
      <c r="H46" s="152"/>
      <c r="I46" s="153" t="s">
        <v>244</v>
      </c>
      <c r="J46" s="152"/>
      <c r="K46" s="154"/>
      <c r="L46" s="154"/>
      <c r="M46" s="152"/>
      <c r="N46" s="157"/>
      <c r="O46" s="152">
        <f t="shared" si="17"/>
        <v>156467.02899999986</v>
      </c>
      <c r="P46" s="152">
        <f t="shared" si="18"/>
        <v>508191.66199999989</v>
      </c>
    </row>
    <row r="47" spans="1:16" x14ac:dyDescent="0.15">
      <c r="A47" s="154"/>
      <c r="B47" s="151"/>
      <c r="C47" s="152"/>
      <c r="D47" s="153" t="s">
        <v>245</v>
      </c>
      <c r="E47" s="154" t="s">
        <v>72</v>
      </c>
      <c r="F47" s="157" t="s">
        <v>257</v>
      </c>
      <c r="G47" s="154"/>
      <c r="H47" s="152">
        <v>75969.584000000003</v>
      </c>
      <c r="I47" s="153" t="s">
        <v>245</v>
      </c>
      <c r="J47" s="152"/>
      <c r="K47" s="154"/>
      <c r="L47" s="154" t="s">
        <v>269</v>
      </c>
      <c r="M47" s="152">
        <v>77967</v>
      </c>
      <c r="N47" s="157" t="s">
        <v>254</v>
      </c>
      <c r="O47" s="152">
        <f t="shared" si="17"/>
        <v>78500.028999999864</v>
      </c>
      <c r="P47" s="152">
        <f t="shared" si="18"/>
        <v>506194.24599999993</v>
      </c>
    </row>
    <row r="48" spans="1:16" x14ac:dyDescent="0.15">
      <c r="A48" s="154"/>
      <c r="B48" s="151"/>
      <c r="C48" s="152"/>
      <c r="D48" s="153"/>
      <c r="E48" s="154"/>
      <c r="F48" s="157"/>
      <c r="G48" s="154"/>
      <c r="H48" s="152"/>
      <c r="I48" s="153" t="s">
        <v>245</v>
      </c>
      <c r="J48" s="152"/>
      <c r="K48" s="154"/>
      <c r="L48" s="154"/>
      <c r="M48" s="152"/>
      <c r="N48" s="157"/>
      <c r="O48" s="152">
        <f t="shared" si="15"/>
        <v>78500.028999999864</v>
      </c>
      <c r="P48" s="152">
        <f t="shared" si="16"/>
        <v>506194.24599999993</v>
      </c>
    </row>
    <row r="49" spans="1:16" x14ac:dyDescent="0.15">
      <c r="A49" s="154"/>
      <c r="B49" s="151"/>
      <c r="C49" s="152"/>
      <c r="D49" s="153" t="s">
        <v>246</v>
      </c>
      <c r="E49" s="154" t="s">
        <v>72</v>
      </c>
      <c r="F49" s="157" t="s">
        <v>257</v>
      </c>
      <c r="G49" s="151"/>
      <c r="H49" s="152">
        <v>75975.667000000001</v>
      </c>
      <c r="I49" s="153" t="s">
        <v>246</v>
      </c>
      <c r="J49" s="152"/>
      <c r="K49" s="150"/>
      <c r="L49" s="154" t="s">
        <v>269</v>
      </c>
      <c r="M49" s="152">
        <v>74706</v>
      </c>
      <c r="N49" s="157" t="s">
        <v>254</v>
      </c>
      <c r="O49" s="152">
        <f t="shared" si="15"/>
        <v>3794.028999999864</v>
      </c>
      <c r="P49" s="152">
        <f t="shared" si="16"/>
        <v>507463.91299999994</v>
      </c>
    </row>
    <row r="50" spans="1:16" x14ac:dyDescent="0.15">
      <c r="A50" s="154"/>
      <c r="B50" s="151"/>
      <c r="C50" s="152"/>
      <c r="D50" s="153"/>
      <c r="E50" s="154"/>
      <c r="F50" s="157"/>
      <c r="G50" s="151"/>
      <c r="H50" s="152"/>
      <c r="I50" s="153" t="s">
        <v>246</v>
      </c>
      <c r="J50" s="152"/>
      <c r="K50" s="150"/>
      <c r="L50" s="154" t="s">
        <v>269</v>
      </c>
      <c r="M50" s="152">
        <v>3794</v>
      </c>
      <c r="N50" s="157" t="s">
        <v>254</v>
      </c>
      <c r="O50" s="152">
        <f t="shared" ref="O50:O113" si="19">+O49-J50-M50</f>
        <v>2.8999999864026904E-2</v>
      </c>
      <c r="P50" s="152">
        <f t="shared" ref="P50:P113" si="20">P49+H50-J50-M50</f>
        <v>503669.91299999994</v>
      </c>
    </row>
    <row r="51" spans="1:16" x14ac:dyDescent="0.15">
      <c r="A51" s="154"/>
      <c r="B51" s="151"/>
      <c r="C51" s="152"/>
      <c r="D51" s="153"/>
      <c r="E51" s="154"/>
      <c r="F51" s="157"/>
      <c r="G51" s="151"/>
      <c r="H51" s="152"/>
      <c r="I51" s="153" t="s">
        <v>246</v>
      </c>
      <c r="J51" s="152"/>
      <c r="K51" s="150"/>
      <c r="L51" s="154" t="s">
        <v>268</v>
      </c>
      <c r="M51" s="152">
        <v>75839</v>
      </c>
      <c r="N51" s="157" t="s">
        <v>255</v>
      </c>
      <c r="O51" s="152">
        <f>H41+O50-J51-M51</f>
        <v>2.8999999864026904E-2</v>
      </c>
      <c r="P51" s="152">
        <f t="shared" si="20"/>
        <v>427830.91299999994</v>
      </c>
    </row>
    <row r="52" spans="1:16" x14ac:dyDescent="0.15">
      <c r="A52" s="154"/>
      <c r="B52" s="151"/>
      <c r="C52" s="152"/>
      <c r="D52" s="153"/>
      <c r="E52" s="154"/>
      <c r="F52" s="157"/>
      <c r="G52" s="151"/>
      <c r="H52" s="152"/>
      <c r="I52" s="153" t="s">
        <v>246</v>
      </c>
      <c r="J52" s="152"/>
      <c r="K52" s="150"/>
      <c r="L52" s="154" t="s">
        <v>268</v>
      </c>
      <c r="M52" s="152">
        <v>7954</v>
      </c>
      <c r="N52" s="157" t="s">
        <v>258</v>
      </c>
      <c r="O52" s="152">
        <f>H42+H43+O51-J52-M52</f>
        <v>175939.57099999988</v>
      </c>
      <c r="P52" s="152">
        <f t="shared" si="20"/>
        <v>419876.91299999994</v>
      </c>
    </row>
    <row r="53" spans="1:16" x14ac:dyDescent="0.15">
      <c r="A53" s="154"/>
      <c r="B53" s="151"/>
      <c r="C53" s="152"/>
      <c r="D53" s="153" t="s">
        <v>256</v>
      </c>
      <c r="E53" s="154" t="s">
        <v>72</v>
      </c>
      <c r="F53" s="157" t="s">
        <v>313</v>
      </c>
      <c r="G53" s="151"/>
      <c r="H53" s="152">
        <v>76026.163</v>
      </c>
      <c r="I53" s="153" t="s">
        <v>256</v>
      </c>
      <c r="J53" s="152"/>
      <c r="K53" s="150"/>
      <c r="L53" s="154"/>
      <c r="M53" s="152"/>
      <c r="N53" s="157"/>
      <c r="O53" s="152">
        <f t="shared" si="19"/>
        <v>175939.57099999988</v>
      </c>
      <c r="P53" s="152">
        <f t="shared" si="20"/>
        <v>495903.07599999994</v>
      </c>
    </row>
    <row r="54" spans="1:16" x14ac:dyDescent="0.15">
      <c r="A54" s="154"/>
      <c r="B54" s="151"/>
      <c r="C54" s="152"/>
      <c r="D54" s="153" t="s">
        <v>247</v>
      </c>
      <c r="E54" s="154" t="s">
        <v>72</v>
      </c>
      <c r="F54" s="157" t="s">
        <v>313</v>
      </c>
      <c r="G54" s="151"/>
      <c r="H54" s="152">
        <v>75923.740000000005</v>
      </c>
      <c r="I54" s="153" t="s">
        <v>247</v>
      </c>
      <c r="J54" s="152"/>
      <c r="K54" s="150"/>
      <c r="L54" s="154" t="s">
        <v>268</v>
      </c>
      <c r="M54" s="152">
        <v>21754</v>
      </c>
      <c r="N54" s="157" t="s">
        <v>258</v>
      </c>
      <c r="O54" s="152">
        <f t="shared" si="19"/>
        <v>154185.57099999988</v>
      </c>
      <c r="P54" s="152">
        <f t="shared" si="20"/>
        <v>550072.81599999999</v>
      </c>
    </row>
    <row r="55" spans="1:16" hidden="1" x14ac:dyDescent="0.15">
      <c r="A55" s="154"/>
      <c r="B55" s="151"/>
      <c r="C55" s="152"/>
      <c r="D55" s="153"/>
      <c r="E55" s="154"/>
      <c r="F55" s="157"/>
      <c r="G55" s="151"/>
      <c r="H55" s="152"/>
      <c r="I55" s="153"/>
      <c r="J55" s="152"/>
      <c r="K55" s="157"/>
      <c r="L55" s="154"/>
      <c r="M55" s="152"/>
      <c r="N55" s="157"/>
      <c r="O55" s="152">
        <f t="shared" si="19"/>
        <v>154185.57099999988</v>
      </c>
      <c r="P55" s="152">
        <f t="shared" si="20"/>
        <v>550072.81599999999</v>
      </c>
    </row>
    <row r="56" spans="1:16" hidden="1" x14ac:dyDescent="0.15">
      <c r="A56" s="154"/>
      <c r="B56" s="151"/>
      <c r="C56" s="152"/>
      <c r="D56" s="153"/>
      <c r="E56" s="154"/>
      <c r="F56" s="157"/>
      <c r="G56" s="151"/>
      <c r="H56" s="152"/>
      <c r="I56" s="153"/>
      <c r="J56" s="152"/>
      <c r="K56" s="157"/>
      <c r="L56" s="154"/>
      <c r="M56" s="152"/>
      <c r="N56" s="157"/>
      <c r="O56" s="152">
        <f t="shared" si="19"/>
        <v>154185.57099999988</v>
      </c>
      <c r="P56" s="152">
        <f t="shared" si="20"/>
        <v>550072.81599999999</v>
      </c>
    </row>
    <row r="57" spans="1:16" hidden="1" x14ac:dyDescent="0.15">
      <c r="A57" s="154"/>
      <c r="B57" s="151"/>
      <c r="C57" s="152"/>
      <c r="D57" s="153"/>
      <c r="E57" s="154"/>
      <c r="F57" s="157"/>
      <c r="G57" s="151"/>
      <c r="H57" s="152"/>
      <c r="I57" s="153"/>
      <c r="J57" s="152"/>
      <c r="K57" s="159"/>
      <c r="L57" s="154"/>
      <c r="M57" s="152"/>
      <c r="N57" s="157"/>
      <c r="O57" s="152">
        <f t="shared" si="19"/>
        <v>154185.57099999988</v>
      </c>
      <c r="P57" s="152">
        <f t="shared" si="20"/>
        <v>550072.81599999999</v>
      </c>
    </row>
    <row r="58" spans="1:16" hidden="1" x14ac:dyDescent="0.15">
      <c r="A58" s="154"/>
      <c r="B58" s="151"/>
      <c r="C58" s="152"/>
      <c r="D58" s="153"/>
      <c r="E58" s="154"/>
      <c r="F58" s="157"/>
      <c r="G58" s="151"/>
      <c r="H58" s="152"/>
      <c r="I58" s="153"/>
      <c r="J58" s="152"/>
      <c r="K58" s="159"/>
      <c r="L58" s="154"/>
      <c r="M58" s="152"/>
      <c r="N58" s="157"/>
      <c r="O58" s="152">
        <f t="shared" si="19"/>
        <v>154185.57099999988</v>
      </c>
      <c r="P58" s="152">
        <f t="shared" si="20"/>
        <v>550072.81599999999</v>
      </c>
    </row>
    <row r="59" spans="1:16" hidden="1" x14ac:dyDescent="0.15">
      <c r="A59" s="154"/>
      <c r="B59" s="151"/>
      <c r="C59" s="152"/>
      <c r="D59" s="153"/>
      <c r="E59" s="154"/>
      <c r="F59" s="157"/>
      <c r="G59" s="151"/>
      <c r="H59" s="152"/>
      <c r="I59" s="153"/>
      <c r="J59" s="152"/>
      <c r="K59" s="159"/>
      <c r="L59" s="154"/>
      <c r="M59" s="152"/>
      <c r="N59" s="157"/>
      <c r="O59" s="152">
        <f t="shared" si="19"/>
        <v>154185.57099999988</v>
      </c>
      <c r="P59" s="152">
        <f t="shared" si="20"/>
        <v>550072.81599999999</v>
      </c>
    </row>
    <row r="60" spans="1:16" hidden="1" x14ac:dyDescent="0.15">
      <c r="A60" s="154"/>
      <c r="B60" s="151"/>
      <c r="C60" s="152"/>
      <c r="D60" s="153"/>
      <c r="E60" s="154"/>
      <c r="F60" s="157"/>
      <c r="G60" s="151"/>
      <c r="H60" s="152"/>
      <c r="I60" s="153"/>
      <c r="J60" s="152"/>
      <c r="K60" s="159"/>
      <c r="L60" s="154"/>
      <c r="M60" s="152"/>
      <c r="N60" s="157"/>
      <c r="O60" s="152">
        <f t="shared" si="19"/>
        <v>154185.57099999988</v>
      </c>
      <c r="P60" s="152">
        <f t="shared" si="20"/>
        <v>550072.81599999999</v>
      </c>
    </row>
    <row r="61" spans="1:16" hidden="1" x14ac:dyDescent="0.15">
      <c r="A61" s="154"/>
      <c r="B61" s="151"/>
      <c r="C61" s="152"/>
      <c r="D61" s="153"/>
      <c r="E61" s="154"/>
      <c r="F61" s="157"/>
      <c r="G61" s="151"/>
      <c r="H61" s="152"/>
      <c r="I61" s="153"/>
      <c r="J61" s="152"/>
      <c r="K61" s="159"/>
      <c r="L61" s="154"/>
      <c r="M61" s="152"/>
      <c r="N61" s="157"/>
      <c r="O61" s="152">
        <f t="shared" si="19"/>
        <v>154185.57099999988</v>
      </c>
      <c r="P61" s="152">
        <f t="shared" si="20"/>
        <v>550072.81599999999</v>
      </c>
    </row>
    <row r="62" spans="1:16" hidden="1" x14ac:dyDescent="0.15">
      <c r="A62" s="154"/>
      <c r="B62" s="151"/>
      <c r="C62" s="152"/>
      <c r="D62" s="153"/>
      <c r="E62" s="154"/>
      <c r="F62" s="157"/>
      <c r="G62" s="151"/>
      <c r="H62" s="152"/>
      <c r="I62" s="153"/>
      <c r="J62" s="152"/>
      <c r="K62" s="157"/>
      <c r="L62" s="154"/>
      <c r="M62" s="152"/>
      <c r="N62" s="157"/>
      <c r="O62" s="152">
        <f t="shared" si="19"/>
        <v>154185.57099999988</v>
      </c>
      <c r="P62" s="152">
        <f t="shared" si="20"/>
        <v>550072.81599999999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7"/>
      <c r="L63" s="154"/>
      <c r="M63" s="152"/>
      <c r="N63" s="157"/>
      <c r="O63" s="152">
        <f t="shared" si="19"/>
        <v>154185.57099999988</v>
      </c>
      <c r="P63" s="152">
        <f t="shared" si="20"/>
        <v>550072.81599999999</v>
      </c>
    </row>
    <row r="64" spans="1:16" hidden="1" x14ac:dyDescent="0.15">
      <c r="A64" s="154"/>
      <c r="B64" s="151"/>
      <c r="C64" s="152"/>
      <c r="D64" s="153"/>
      <c r="E64" s="154"/>
      <c r="F64" s="157"/>
      <c r="G64" s="151"/>
      <c r="H64" s="152"/>
      <c r="I64" s="153"/>
      <c r="J64" s="152"/>
      <c r="K64" s="157"/>
      <c r="L64" s="154"/>
      <c r="M64" s="152"/>
      <c r="N64" s="150"/>
      <c r="O64" s="152">
        <f t="shared" si="19"/>
        <v>154185.57099999988</v>
      </c>
      <c r="P64" s="152">
        <f t="shared" si="20"/>
        <v>550072.81599999999</v>
      </c>
    </row>
    <row r="65" spans="1:16" hidden="1" x14ac:dyDescent="0.15">
      <c r="A65" s="154"/>
      <c r="B65" s="151"/>
      <c r="C65" s="152"/>
      <c r="D65" s="153"/>
      <c r="E65" s="154"/>
      <c r="F65" s="157"/>
      <c r="G65" s="151"/>
      <c r="H65" s="152"/>
      <c r="I65" s="153"/>
      <c r="J65" s="152"/>
      <c r="K65" s="159"/>
      <c r="L65" s="154"/>
      <c r="M65" s="152"/>
      <c r="N65" s="157"/>
      <c r="O65" s="152">
        <f t="shared" si="19"/>
        <v>154185.57099999988</v>
      </c>
      <c r="P65" s="152">
        <f t="shared" si="20"/>
        <v>550072.81599999999</v>
      </c>
    </row>
    <row r="66" spans="1:16" hidden="1" x14ac:dyDescent="0.15">
      <c r="A66" s="154"/>
      <c r="B66" s="151"/>
      <c r="C66" s="152"/>
      <c r="D66" s="153"/>
      <c r="E66" s="154"/>
      <c r="F66" s="157"/>
      <c r="G66" s="151"/>
      <c r="H66" s="152"/>
      <c r="I66" s="153"/>
      <c r="J66" s="152"/>
      <c r="K66" s="159"/>
      <c r="L66" s="154"/>
      <c r="M66" s="152"/>
      <c r="N66" s="157"/>
      <c r="O66" s="152">
        <f t="shared" si="19"/>
        <v>154185.57099999988</v>
      </c>
      <c r="P66" s="152">
        <f t="shared" si="20"/>
        <v>550072.81599999999</v>
      </c>
    </row>
    <row r="67" spans="1:16" hidden="1" x14ac:dyDescent="0.15">
      <c r="A67" s="154"/>
      <c r="B67" s="151"/>
      <c r="C67" s="152"/>
      <c r="D67" s="153"/>
      <c r="E67" s="154"/>
      <c r="F67" s="157"/>
      <c r="G67" s="151"/>
      <c r="H67" s="152"/>
      <c r="I67" s="153"/>
      <c r="J67" s="152"/>
      <c r="K67" s="159"/>
      <c r="L67" s="154"/>
      <c r="M67" s="152"/>
      <c r="N67" s="157"/>
      <c r="O67" s="152">
        <f t="shared" si="19"/>
        <v>154185.57099999988</v>
      </c>
      <c r="P67" s="152">
        <f t="shared" si="20"/>
        <v>550072.81599999999</v>
      </c>
    </row>
    <row r="68" spans="1:16" hidden="1" x14ac:dyDescent="0.15">
      <c r="A68" s="154"/>
      <c r="B68" s="151"/>
      <c r="C68" s="152"/>
      <c r="D68" s="153"/>
      <c r="E68" s="154"/>
      <c r="F68" s="157"/>
      <c r="G68" s="151"/>
      <c r="H68" s="152"/>
      <c r="I68" s="153"/>
      <c r="J68" s="152"/>
      <c r="K68" s="159"/>
      <c r="L68" s="154"/>
      <c r="M68" s="152"/>
      <c r="N68" s="157"/>
      <c r="O68" s="152">
        <f t="shared" si="19"/>
        <v>154185.57099999988</v>
      </c>
      <c r="P68" s="152">
        <f t="shared" si="20"/>
        <v>550072.81599999999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7"/>
      <c r="L69" s="154"/>
      <c r="M69" s="152"/>
      <c r="N69" s="157"/>
      <c r="O69" s="152">
        <f t="shared" si="19"/>
        <v>154185.57099999988</v>
      </c>
      <c r="P69" s="152">
        <f t="shared" si="20"/>
        <v>550072.81599999999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7"/>
      <c r="L70" s="154"/>
      <c r="M70" s="152"/>
      <c r="N70" s="157"/>
      <c r="O70" s="152">
        <f t="shared" si="19"/>
        <v>154185.57099999988</v>
      </c>
      <c r="P70" s="152">
        <f t="shared" si="20"/>
        <v>550072.81599999999</v>
      </c>
    </row>
    <row r="71" spans="1:16" hidden="1" x14ac:dyDescent="0.15">
      <c r="A71" s="154"/>
      <c r="B71" s="151"/>
      <c r="C71" s="152"/>
      <c r="D71" s="153"/>
      <c r="E71" s="154"/>
      <c r="F71" s="160"/>
      <c r="G71" s="151"/>
      <c r="H71" s="152"/>
      <c r="I71" s="153"/>
      <c r="J71" s="152"/>
      <c r="K71" s="159"/>
      <c r="L71" s="154"/>
      <c r="M71" s="152"/>
      <c r="N71" s="157"/>
      <c r="O71" s="152">
        <f t="shared" si="19"/>
        <v>154185.57099999988</v>
      </c>
      <c r="P71" s="152">
        <f t="shared" si="20"/>
        <v>550072.81599999999</v>
      </c>
    </row>
    <row r="72" spans="1:16" hidden="1" x14ac:dyDescent="0.15">
      <c r="A72" s="154"/>
      <c r="B72" s="151"/>
      <c r="C72" s="152"/>
      <c r="D72" s="153"/>
      <c r="E72" s="154"/>
      <c r="F72" s="160"/>
      <c r="G72" s="151"/>
      <c r="H72" s="152"/>
      <c r="I72" s="153"/>
      <c r="J72" s="152"/>
      <c r="K72" s="159"/>
      <c r="L72" s="154"/>
      <c r="M72" s="152"/>
      <c r="N72" s="157"/>
      <c r="O72" s="152">
        <f t="shared" si="19"/>
        <v>154185.57099999988</v>
      </c>
      <c r="P72" s="152">
        <f t="shared" si="20"/>
        <v>550072.81599999999</v>
      </c>
    </row>
    <row r="73" spans="1:16" hidden="1" x14ac:dyDescent="0.15">
      <c r="A73" s="154"/>
      <c r="B73" s="151"/>
      <c r="C73" s="152"/>
      <c r="D73" s="153"/>
      <c r="E73" s="154"/>
      <c r="F73" s="160"/>
      <c r="G73" s="151"/>
      <c r="H73" s="152"/>
      <c r="I73" s="153"/>
      <c r="J73" s="152"/>
      <c r="K73" s="159"/>
      <c r="L73" s="154"/>
      <c r="M73" s="152"/>
      <c r="N73" s="157"/>
      <c r="O73" s="152">
        <f t="shared" si="19"/>
        <v>154185.57099999988</v>
      </c>
      <c r="P73" s="152">
        <f t="shared" si="20"/>
        <v>550072.81599999999</v>
      </c>
    </row>
    <row r="74" spans="1:16" hidden="1" x14ac:dyDescent="0.15">
      <c r="A74" s="154"/>
      <c r="B74" s="151"/>
      <c r="C74" s="152"/>
      <c r="D74" s="153"/>
      <c r="E74" s="154"/>
      <c r="F74" s="157"/>
      <c r="G74" s="151"/>
      <c r="H74" s="152"/>
      <c r="I74" s="153"/>
      <c r="J74" s="152"/>
      <c r="K74" s="159"/>
      <c r="L74" s="154"/>
      <c r="M74" s="152"/>
      <c r="N74" s="157"/>
      <c r="O74" s="152">
        <f t="shared" si="19"/>
        <v>154185.57099999988</v>
      </c>
      <c r="P74" s="152">
        <f t="shared" si="20"/>
        <v>550072.81599999999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0"/>
      <c r="L75" s="154"/>
      <c r="M75" s="152"/>
      <c r="N75" s="157"/>
      <c r="O75" s="152">
        <f t="shared" si="19"/>
        <v>154185.57099999988</v>
      </c>
      <c r="P75" s="152">
        <f t="shared" si="20"/>
        <v>550072.81599999999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7"/>
      <c r="L76" s="154"/>
      <c r="M76" s="152"/>
      <c r="N76" s="150"/>
      <c r="O76" s="152">
        <f t="shared" si="19"/>
        <v>154185.57099999988</v>
      </c>
      <c r="P76" s="152">
        <f t="shared" si="20"/>
        <v>550072.81599999999</v>
      </c>
    </row>
    <row r="77" spans="1:16" hidden="1" x14ac:dyDescent="0.15">
      <c r="A77" s="154"/>
      <c r="B77" s="151"/>
      <c r="C77" s="152"/>
      <c r="D77" s="153"/>
      <c r="E77" s="154"/>
      <c r="F77" s="160"/>
      <c r="G77" s="151"/>
      <c r="H77" s="152"/>
      <c r="I77" s="153"/>
      <c r="J77" s="152"/>
      <c r="K77" s="150"/>
      <c r="L77" s="154"/>
      <c r="M77" s="152"/>
      <c r="N77" s="157"/>
      <c r="O77" s="152">
        <f t="shared" si="19"/>
        <v>154185.57099999988</v>
      </c>
      <c r="P77" s="152">
        <f t="shared" si="20"/>
        <v>550072.81599999999</v>
      </c>
    </row>
    <row r="78" spans="1:16" hidden="1" x14ac:dyDescent="0.15">
      <c r="A78" s="154"/>
      <c r="B78" s="151"/>
      <c r="C78" s="152"/>
      <c r="D78" s="153"/>
      <c r="E78" s="154"/>
      <c r="F78" s="160"/>
      <c r="G78" s="151"/>
      <c r="H78" s="152"/>
      <c r="I78" s="153"/>
      <c r="J78" s="152"/>
      <c r="K78" s="150"/>
      <c r="L78" s="154"/>
      <c r="M78" s="152"/>
      <c r="N78" s="157"/>
      <c r="O78" s="152">
        <f t="shared" si="19"/>
        <v>154185.57099999988</v>
      </c>
      <c r="P78" s="152">
        <f t="shared" si="20"/>
        <v>550072.81599999999</v>
      </c>
    </row>
    <row r="79" spans="1:16" hidden="1" x14ac:dyDescent="0.15">
      <c r="A79" s="154"/>
      <c r="B79" s="151"/>
      <c r="C79" s="152"/>
      <c r="D79" s="153"/>
      <c r="E79" s="154"/>
      <c r="F79" s="157"/>
      <c r="G79" s="151"/>
      <c r="H79" s="152"/>
      <c r="I79" s="153"/>
      <c r="J79" s="152"/>
      <c r="K79" s="150"/>
      <c r="L79" s="154"/>
      <c r="M79" s="152"/>
      <c r="N79" s="157"/>
      <c r="O79" s="152">
        <f t="shared" si="19"/>
        <v>154185.57099999988</v>
      </c>
      <c r="P79" s="152">
        <f t="shared" si="20"/>
        <v>550072.81599999999</v>
      </c>
    </row>
    <row r="80" spans="1:16" hidden="1" x14ac:dyDescent="0.15">
      <c r="A80" s="154"/>
      <c r="B80" s="151"/>
      <c r="C80" s="152"/>
      <c r="D80" s="153"/>
      <c r="E80" s="154"/>
      <c r="F80" s="157"/>
      <c r="G80" s="151"/>
      <c r="H80" s="152"/>
      <c r="I80" s="153"/>
      <c r="J80" s="152"/>
      <c r="K80" s="150"/>
      <c r="L80" s="154"/>
      <c r="M80" s="152"/>
      <c r="N80" s="150"/>
      <c r="O80" s="152">
        <f t="shared" si="19"/>
        <v>154185.57099999988</v>
      </c>
      <c r="P80" s="152">
        <f t="shared" si="20"/>
        <v>550072.81599999999</v>
      </c>
    </row>
    <row r="81" spans="1:16" hidden="1" x14ac:dyDescent="0.15">
      <c r="A81" s="154"/>
      <c r="B81" s="151"/>
      <c r="C81" s="152"/>
      <c r="D81" s="158"/>
      <c r="E81" s="154"/>
      <c r="F81" s="157"/>
      <c r="G81" s="151"/>
      <c r="H81" s="152"/>
      <c r="I81" s="158"/>
      <c r="J81" s="152"/>
      <c r="K81" s="150"/>
      <c r="L81" s="154"/>
      <c r="M81" s="152"/>
      <c r="N81" s="157"/>
      <c r="O81" s="152">
        <f t="shared" si="19"/>
        <v>154185.57099999988</v>
      </c>
      <c r="P81" s="152">
        <f t="shared" si="20"/>
        <v>550072.81599999999</v>
      </c>
    </row>
    <row r="82" spans="1:16" hidden="1" x14ac:dyDescent="0.15">
      <c r="A82" s="154"/>
      <c r="B82" s="151"/>
      <c r="C82" s="152"/>
      <c r="D82" s="153"/>
      <c r="E82" s="154"/>
      <c r="F82" s="160"/>
      <c r="G82" s="151"/>
      <c r="H82" s="152"/>
      <c r="I82" s="153"/>
      <c r="J82" s="152"/>
      <c r="K82" s="150"/>
      <c r="L82" s="154"/>
      <c r="M82" s="152"/>
      <c r="N82" s="157"/>
      <c r="O82" s="152">
        <f t="shared" si="19"/>
        <v>154185.57099999988</v>
      </c>
      <c r="P82" s="152">
        <f t="shared" si="20"/>
        <v>550072.81599999999</v>
      </c>
    </row>
    <row r="83" spans="1:16" hidden="1" x14ac:dyDescent="0.15">
      <c r="A83" s="154"/>
      <c r="B83" s="151"/>
      <c r="C83" s="152"/>
      <c r="D83" s="153"/>
      <c r="E83" s="154"/>
      <c r="F83" s="160"/>
      <c r="G83" s="151"/>
      <c r="H83" s="152"/>
      <c r="I83" s="158"/>
      <c r="J83" s="152"/>
      <c r="K83" s="150"/>
      <c r="L83" s="154"/>
      <c r="M83" s="152"/>
      <c r="N83" s="157"/>
      <c r="O83" s="152">
        <f t="shared" si="19"/>
        <v>154185.57099999988</v>
      </c>
      <c r="P83" s="152">
        <f t="shared" si="20"/>
        <v>550072.81599999999</v>
      </c>
    </row>
    <row r="84" spans="1:16" hidden="1" x14ac:dyDescent="0.15">
      <c r="A84" s="154"/>
      <c r="B84" s="151"/>
      <c r="C84" s="152"/>
      <c r="D84" s="153"/>
      <c r="E84" s="154"/>
      <c r="F84" s="160"/>
      <c r="G84" s="151"/>
      <c r="H84" s="152"/>
      <c r="I84" s="158"/>
      <c r="J84" s="152"/>
      <c r="K84" s="150"/>
      <c r="L84" s="154"/>
      <c r="M84" s="152"/>
      <c r="N84" s="157"/>
      <c r="O84" s="152">
        <f t="shared" si="19"/>
        <v>154185.57099999988</v>
      </c>
      <c r="P84" s="152">
        <f t="shared" si="20"/>
        <v>550072.81599999999</v>
      </c>
    </row>
    <row r="85" spans="1:16" hidden="1" x14ac:dyDescent="0.15">
      <c r="A85" s="154"/>
      <c r="B85" s="151"/>
      <c r="C85" s="152"/>
      <c r="D85" s="153"/>
      <c r="E85" s="154"/>
      <c r="F85" s="160"/>
      <c r="G85" s="151"/>
      <c r="H85" s="152"/>
      <c r="I85" s="153"/>
      <c r="J85" s="152"/>
      <c r="K85" s="150"/>
      <c r="L85" s="154"/>
      <c r="M85" s="152"/>
      <c r="N85" s="157"/>
      <c r="O85" s="152">
        <f t="shared" si="19"/>
        <v>154185.57099999988</v>
      </c>
      <c r="P85" s="152">
        <f t="shared" si="20"/>
        <v>550072.81599999999</v>
      </c>
    </row>
    <row r="86" spans="1:16" hidden="1" x14ac:dyDescent="0.15">
      <c r="A86" s="154"/>
      <c r="B86" s="151"/>
      <c r="C86" s="152"/>
      <c r="D86" s="153"/>
      <c r="E86" s="154"/>
      <c r="F86" s="157"/>
      <c r="G86" s="151"/>
      <c r="H86" s="152"/>
      <c r="I86" s="153"/>
      <c r="J86" s="152"/>
      <c r="K86" s="150"/>
      <c r="L86" s="154"/>
      <c r="M86" s="152"/>
      <c r="N86" s="157"/>
      <c r="O86" s="152">
        <f t="shared" si="19"/>
        <v>154185.57099999988</v>
      </c>
      <c r="P86" s="152">
        <f t="shared" si="20"/>
        <v>550072.81599999999</v>
      </c>
    </row>
    <row r="87" spans="1:16" hidden="1" x14ac:dyDescent="0.15">
      <c r="A87" s="154"/>
      <c r="B87" s="151"/>
      <c r="C87" s="152"/>
      <c r="D87" s="153"/>
      <c r="E87" s="154"/>
      <c r="F87" s="157"/>
      <c r="G87" s="151"/>
      <c r="H87" s="152"/>
      <c r="I87" s="153"/>
      <c r="J87" s="152"/>
      <c r="K87" s="150"/>
      <c r="L87" s="154"/>
      <c r="M87" s="152"/>
      <c r="N87" s="157"/>
      <c r="O87" s="152">
        <f t="shared" si="19"/>
        <v>154185.57099999988</v>
      </c>
      <c r="P87" s="152">
        <f t="shared" si="20"/>
        <v>550072.81599999999</v>
      </c>
    </row>
    <row r="88" spans="1:16" hidden="1" x14ac:dyDescent="0.15">
      <c r="A88" s="154"/>
      <c r="B88" s="151"/>
      <c r="C88" s="152"/>
      <c r="D88" s="153"/>
      <c r="E88" s="154"/>
      <c r="F88" s="157"/>
      <c r="G88" s="151"/>
      <c r="H88" s="152"/>
      <c r="I88" s="153"/>
      <c r="J88" s="152"/>
      <c r="K88" s="150"/>
      <c r="L88" s="154"/>
      <c r="M88" s="152"/>
      <c r="N88" s="157"/>
      <c r="O88" s="152">
        <f t="shared" si="19"/>
        <v>154185.57099999988</v>
      </c>
      <c r="P88" s="152">
        <f t="shared" si="20"/>
        <v>550072.81599999999</v>
      </c>
    </row>
    <row r="89" spans="1:16" hidden="1" x14ac:dyDescent="0.15">
      <c r="A89" s="154"/>
      <c r="B89" s="151"/>
      <c r="C89" s="152"/>
      <c r="D89" s="153"/>
      <c r="E89" s="154"/>
      <c r="F89" s="160"/>
      <c r="G89" s="151"/>
      <c r="H89" s="152"/>
      <c r="I89" s="158"/>
      <c r="J89" s="152"/>
      <c r="K89" s="150"/>
      <c r="L89" s="154"/>
      <c r="M89" s="152"/>
      <c r="N89" s="157"/>
      <c r="O89" s="152">
        <f t="shared" si="19"/>
        <v>154185.57099999988</v>
      </c>
      <c r="P89" s="152">
        <f t="shared" si="20"/>
        <v>550072.81599999999</v>
      </c>
    </row>
    <row r="90" spans="1:16" hidden="1" x14ac:dyDescent="0.15">
      <c r="A90" s="154"/>
      <c r="B90" s="151"/>
      <c r="C90" s="152"/>
      <c r="D90" s="153"/>
      <c r="E90" s="154"/>
      <c r="F90" s="160"/>
      <c r="G90" s="151"/>
      <c r="H90" s="152"/>
      <c r="I90" s="153"/>
      <c r="J90" s="152"/>
      <c r="K90" s="150"/>
      <c r="L90" s="154"/>
      <c r="M90" s="152"/>
      <c r="N90" s="157"/>
      <c r="O90" s="152">
        <f t="shared" si="19"/>
        <v>154185.57099999988</v>
      </c>
      <c r="P90" s="152">
        <f t="shared" si="20"/>
        <v>550072.81599999999</v>
      </c>
    </row>
    <row r="91" spans="1:16" hidden="1" x14ac:dyDescent="0.15">
      <c r="A91" s="154"/>
      <c r="B91" s="151"/>
      <c r="C91" s="152"/>
      <c r="D91" s="153"/>
      <c r="E91" s="154"/>
      <c r="F91" s="160"/>
      <c r="G91" s="151"/>
      <c r="H91" s="152"/>
      <c r="I91" s="153"/>
      <c r="J91" s="152"/>
      <c r="K91" s="150"/>
      <c r="L91" s="154"/>
      <c r="M91" s="152"/>
      <c r="N91" s="157"/>
      <c r="O91" s="152">
        <f t="shared" si="19"/>
        <v>154185.57099999988</v>
      </c>
      <c r="P91" s="152">
        <f t="shared" si="20"/>
        <v>550072.81599999999</v>
      </c>
    </row>
    <row r="92" spans="1:16" hidden="1" x14ac:dyDescent="0.15">
      <c r="A92" s="154"/>
      <c r="B92" s="151"/>
      <c r="C92" s="152"/>
      <c r="D92" s="153"/>
      <c r="E92" s="154"/>
      <c r="F92" s="157"/>
      <c r="G92" s="151"/>
      <c r="H92" s="152"/>
      <c r="I92" s="153"/>
      <c r="J92" s="152"/>
      <c r="K92" s="150"/>
      <c r="L92" s="154"/>
      <c r="M92" s="152"/>
      <c r="N92" s="157"/>
      <c r="O92" s="152">
        <f t="shared" si="19"/>
        <v>154185.57099999988</v>
      </c>
      <c r="P92" s="152">
        <f t="shared" si="20"/>
        <v>550072.81599999999</v>
      </c>
    </row>
    <row r="93" spans="1:16" hidden="1" x14ac:dyDescent="0.15">
      <c r="A93" s="154"/>
      <c r="B93" s="151"/>
      <c r="C93" s="152"/>
      <c r="D93" s="153"/>
      <c r="E93" s="154"/>
      <c r="F93" s="157"/>
      <c r="G93" s="151"/>
      <c r="H93" s="152"/>
      <c r="I93" s="153"/>
      <c r="J93" s="152"/>
      <c r="K93" s="150"/>
      <c r="L93" s="154"/>
      <c r="M93" s="152"/>
      <c r="N93" s="150"/>
      <c r="O93" s="152">
        <f t="shared" si="19"/>
        <v>154185.57099999988</v>
      </c>
      <c r="P93" s="152">
        <f t="shared" si="20"/>
        <v>550072.81599999999</v>
      </c>
    </row>
    <row r="94" spans="1:16" hidden="1" x14ac:dyDescent="0.15">
      <c r="A94" s="154"/>
      <c r="B94" s="151"/>
      <c r="C94" s="152"/>
      <c r="D94" s="153"/>
      <c r="E94" s="154"/>
      <c r="F94" s="157"/>
      <c r="G94" s="151"/>
      <c r="H94" s="152"/>
      <c r="I94" s="153"/>
      <c r="J94" s="152"/>
      <c r="K94" s="150"/>
      <c r="L94" s="154"/>
      <c r="M94" s="152"/>
      <c r="N94" s="157"/>
      <c r="O94" s="152">
        <f t="shared" si="19"/>
        <v>154185.57099999988</v>
      </c>
      <c r="P94" s="152">
        <f t="shared" si="20"/>
        <v>550072.81599999999</v>
      </c>
    </row>
    <row r="95" spans="1:16" hidden="1" x14ac:dyDescent="0.15">
      <c r="A95" s="154"/>
      <c r="B95" s="151"/>
      <c r="C95" s="152"/>
      <c r="D95" s="153"/>
      <c r="E95" s="154"/>
      <c r="F95" s="160"/>
      <c r="G95" s="151"/>
      <c r="H95" s="152"/>
      <c r="I95" s="153"/>
      <c r="J95" s="152"/>
      <c r="K95" s="150"/>
      <c r="L95" s="154"/>
      <c r="M95" s="152"/>
      <c r="N95" s="157"/>
      <c r="O95" s="152">
        <f t="shared" si="19"/>
        <v>154185.57099999988</v>
      </c>
      <c r="P95" s="152">
        <f t="shared" si="20"/>
        <v>550072.81599999999</v>
      </c>
    </row>
    <row r="96" spans="1:16" hidden="1" x14ac:dyDescent="0.15">
      <c r="A96" s="154"/>
      <c r="B96" s="161"/>
      <c r="C96" s="152"/>
      <c r="D96" s="153"/>
      <c r="E96" s="154"/>
      <c r="F96" s="157"/>
      <c r="G96" s="151"/>
      <c r="H96" s="152"/>
      <c r="I96" s="153"/>
      <c r="J96" s="152"/>
      <c r="K96" s="150"/>
      <c r="L96" s="154"/>
      <c r="M96" s="152"/>
      <c r="N96" s="157"/>
      <c r="O96" s="152">
        <f t="shared" si="19"/>
        <v>154185.57099999988</v>
      </c>
      <c r="P96" s="152">
        <f t="shared" si="20"/>
        <v>550072.81599999999</v>
      </c>
    </row>
    <row r="97" spans="1:16" hidden="1" x14ac:dyDescent="0.15">
      <c r="A97" s="154"/>
      <c r="B97" s="161"/>
      <c r="C97" s="152"/>
      <c r="D97" s="153"/>
      <c r="E97" s="154"/>
      <c r="F97" s="157"/>
      <c r="G97" s="151"/>
      <c r="H97" s="152"/>
      <c r="I97" s="153"/>
      <c r="J97" s="152"/>
      <c r="K97" s="150"/>
      <c r="L97" s="154"/>
      <c r="M97" s="152"/>
      <c r="N97" s="157"/>
      <c r="O97" s="152">
        <f t="shared" si="19"/>
        <v>154185.57099999988</v>
      </c>
      <c r="P97" s="152">
        <f t="shared" si="20"/>
        <v>550072.81599999999</v>
      </c>
    </row>
    <row r="98" spans="1:16" hidden="1" x14ac:dyDescent="0.15">
      <c r="A98" s="154"/>
      <c r="B98" s="161"/>
      <c r="C98" s="152"/>
      <c r="D98" s="153"/>
      <c r="E98" s="154"/>
      <c r="F98" s="157"/>
      <c r="G98" s="151"/>
      <c r="H98" s="152"/>
      <c r="I98" s="153"/>
      <c r="J98" s="152"/>
      <c r="K98" s="150"/>
      <c r="L98" s="154"/>
      <c r="M98" s="152"/>
      <c r="N98" s="157"/>
      <c r="O98" s="152">
        <f t="shared" si="19"/>
        <v>154185.57099999988</v>
      </c>
      <c r="P98" s="152">
        <f t="shared" si="20"/>
        <v>550072.81599999999</v>
      </c>
    </row>
    <row r="99" spans="1:16" hidden="1" x14ac:dyDescent="0.15">
      <c r="A99" s="154"/>
      <c r="B99" s="163"/>
      <c r="C99" s="152"/>
      <c r="D99" s="158"/>
      <c r="E99" s="154"/>
      <c r="F99" s="157"/>
      <c r="G99" s="163"/>
      <c r="H99" s="152"/>
      <c r="I99" s="158"/>
      <c r="J99" s="152"/>
      <c r="K99" s="159"/>
      <c r="L99" s="154"/>
      <c r="M99" s="152"/>
      <c r="N99" s="157"/>
      <c r="O99" s="152">
        <f t="shared" si="19"/>
        <v>154185.57099999988</v>
      </c>
      <c r="P99" s="152">
        <f t="shared" si="20"/>
        <v>550072.81599999999</v>
      </c>
    </row>
    <row r="100" spans="1:16" hidden="1" x14ac:dyDescent="0.15">
      <c r="A100" s="154"/>
      <c r="B100" s="163"/>
      <c r="C100" s="152"/>
      <c r="D100" s="158"/>
      <c r="E100" s="154"/>
      <c r="F100" s="154"/>
      <c r="G100" s="163"/>
      <c r="H100" s="152"/>
      <c r="I100" s="158"/>
      <c r="J100" s="152"/>
      <c r="K100" s="150"/>
      <c r="L100" s="154"/>
      <c r="M100" s="152"/>
      <c r="N100" s="157"/>
      <c r="O100" s="152">
        <f t="shared" si="19"/>
        <v>154185.57099999988</v>
      </c>
      <c r="P100" s="152">
        <f t="shared" si="20"/>
        <v>550072.81599999999</v>
      </c>
    </row>
    <row r="101" spans="1:16" hidden="1" x14ac:dyDescent="0.15">
      <c r="A101" s="154"/>
      <c r="B101" s="163"/>
      <c r="C101" s="152"/>
      <c r="D101" s="158"/>
      <c r="E101" s="154"/>
      <c r="F101" s="154"/>
      <c r="G101" s="163"/>
      <c r="H101" s="152"/>
      <c r="I101" s="158"/>
      <c r="J101" s="152"/>
      <c r="K101" s="150"/>
      <c r="L101" s="154"/>
      <c r="M101" s="152"/>
      <c r="N101" s="157"/>
      <c r="O101" s="152">
        <f t="shared" si="19"/>
        <v>154185.57099999988</v>
      </c>
      <c r="P101" s="152">
        <f t="shared" si="20"/>
        <v>550072.81599999999</v>
      </c>
    </row>
    <row r="102" spans="1:16" hidden="1" x14ac:dyDescent="0.15">
      <c r="A102" s="154"/>
      <c r="B102" s="163"/>
      <c r="C102" s="152"/>
      <c r="D102" s="153"/>
      <c r="E102" s="154"/>
      <c r="F102" s="157"/>
      <c r="G102" s="163"/>
      <c r="H102" s="152"/>
      <c r="I102" s="158"/>
      <c r="J102" s="152"/>
      <c r="K102" s="150"/>
      <c r="L102" s="154"/>
      <c r="M102" s="152"/>
      <c r="N102" s="157"/>
      <c r="O102" s="152">
        <f t="shared" si="19"/>
        <v>154185.57099999988</v>
      </c>
      <c r="P102" s="152">
        <f t="shared" si="20"/>
        <v>550072.81599999999</v>
      </c>
    </row>
    <row r="103" spans="1:16" hidden="1" x14ac:dyDescent="0.15">
      <c r="A103" s="154"/>
      <c r="B103" s="163"/>
      <c r="C103" s="152"/>
      <c r="D103" s="153"/>
      <c r="E103" s="154"/>
      <c r="F103" s="157"/>
      <c r="G103" s="163"/>
      <c r="H103" s="152"/>
      <c r="I103" s="158"/>
      <c r="J103" s="152"/>
      <c r="K103" s="150"/>
      <c r="L103" s="154"/>
      <c r="M103" s="152"/>
      <c r="N103" s="157"/>
      <c r="O103" s="152">
        <f t="shared" si="19"/>
        <v>154185.57099999988</v>
      </c>
      <c r="P103" s="152">
        <f t="shared" si="20"/>
        <v>550072.81599999999</v>
      </c>
    </row>
    <row r="104" spans="1:16" hidden="1" x14ac:dyDescent="0.15">
      <c r="A104" s="164"/>
      <c r="B104" s="164"/>
      <c r="C104" s="152"/>
      <c r="D104" s="158"/>
      <c r="E104" s="154"/>
      <c r="F104" s="165"/>
      <c r="G104" s="166"/>
      <c r="H104" s="152"/>
      <c r="I104" s="158"/>
      <c r="J104" s="152"/>
      <c r="K104" s="150"/>
      <c r="L104" s="154"/>
      <c r="M104" s="152"/>
      <c r="N104" s="159"/>
      <c r="O104" s="152">
        <f t="shared" si="19"/>
        <v>154185.57099999988</v>
      </c>
      <c r="P104" s="152">
        <f t="shared" si="20"/>
        <v>550072.81599999999</v>
      </c>
    </row>
    <row r="105" spans="1:16" hidden="1" x14ac:dyDescent="0.15">
      <c r="A105" s="150"/>
      <c r="B105" s="161"/>
      <c r="C105" s="152"/>
      <c r="D105" s="153"/>
      <c r="E105" s="154"/>
      <c r="F105" s="157"/>
      <c r="G105" s="151"/>
      <c r="H105" s="152"/>
      <c r="I105" s="158"/>
      <c r="J105" s="152"/>
      <c r="K105" s="159"/>
      <c r="L105" s="154"/>
      <c r="M105" s="152"/>
      <c r="N105" s="159"/>
      <c r="O105" s="152">
        <f t="shared" si="19"/>
        <v>154185.57099999988</v>
      </c>
      <c r="P105" s="152">
        <f t="shared" si="20"/>
        <v>550072.81599999999</v>
      </c>
    </row>
    <row r="106" spans="1:16" hidden="1" x14ac:dyDescent="0.15">
      <c r="A106" s="150"/>
      <c r="B106" s="161"/>
      <c r="C106" s="152"/>
      <c r="D106" s="158"/>
      <c r="E106" s="154"/>
      <c r="F106" s="165"/>
      <c r="G106" s="151"/>
      <c r="H106" s="152"/>
      <c r="I106" s="158"/>
      <c r="J106" s="152"/>
      <c r="K106" s="159"/>
      <c r="L106" s="154"/>
      <c r="M106" s="152"/>
      <c r="N106" s="159"/>
      <c r="O106" s="152">
        <f t="shared" si="19"/>
        <v>154185.57099999988</v>
      </c>
      <c r="P106" s="152">
        <f t="shared" si="20"/>
        <v>550072.81599999999</v>
      </c>
    </row>
    <row r="107" spans="1:16" hidden="1" x14ac:dyDescent="0.15">
      <c r="A107" s="150"/>
      <c r="B107" s="161"/>
      <c r="C107" s="152"/>
      <c r="D107" s="158"/>
      <c r="E107" s="154"/>
      <c r="F107" s="165"/>
      <c r="G107" s="151"/>
      <c r="H107" s="152"/>
      <c r="I107" s="158"/>
      <c r="J107" s="152"/>
      <c r="K107" s="159"/>
      <c r="L107" s="154"/>
      <c r="M107" s="152"/>
      <c r="N107" s="159"/>
      <c r="O107" s="152">
        <f t="shared" si="19"/>
        <v>154185.57099999988</v>
      </c>
      <c r="P107" s="152">
        <f t="shared" si="20"/>
        <v>550072.81599999999</v>
      </c>
    </row>
    <row r="108" spans="1:16" hidden="1" x14ac:dyDescent="0.15">
      <c r="A108" s="150"/>
      <c r="B108" s="161"/>
      <c r="C108" s="152"/>
      <c r="D108" s="153"/>
      <c r="E108" s="154"/>
      <c r="F108" s="165"/>
      <c r="G108" s="151"/>
      <c r="H108" s="152"/>
      <c r="I108" s="158"/>
      <c r="J108" s="152"/>
      <c r="K108" s="159"/>
      <c r="L108" s="154"/>
      <c r="M108" s="152"/>
      <c r="N108" s="159"/>
      <c r="O108" s="152">
        <f t="shared" si="19"/>
        <v>154185.57099999988</v>
      </c>
      <c r="P108" s="152">
        <f t="shared" si="20"/>
        <v>550072.81599999999</v>
      </c>
    </row>
    <row r="109" spans="1:16" hidden="1" x14ac:dyDescent="0.15">
      <c r="A109" s="154"/>
      <c r="B109" s="154"/>
      <c r="C109" s="152"/>
      <c r="D109" s="153"/>
      <c r="E109" s="154"/>
      <c r="F109" s="165"/>
      <c r="G109" s="151"/>
      <c r="H109" s="152"/>
      <c r="I109" s="158"/>
      <c r="J109" s="152"/>
      <c r="K109" s="159"/>
      <c r="L109" s="154"/>
      <c r="M109" s="152"/>
      <c r="N109" s="159"/>
      <c r="O109" s="152">
        <f t="shared" si="19"/>
        <v>154185.57099999988</v>
      </c>
      <c r="P109" s="152">
        <f t="shared" si="20"/>
        <v>550072.81599999999</v>
      </c>
    </row>
    <row r="110" spans="1:16" hidden="1" x14ac:dyDescent="0.15">
      <c r="A110" s="154"/>
      <c r="B110" s="154"/>
      <c r="C110" s="152"/>
      <c r="D110" s="153"/>
      <c r="E110" s="154"/>
      <c r="F110" s="154"/>
      <c r="G110" s="163"/>
      <c r="H110" s="152"/>
      <c r="I110" s="158"/>
      <c r="J110" s="152"/>
      <c r="K110" s="154"/>
      <c r="L110" s="154"/>
      <c r="M110" s="152"/>
      <c r="N110" s="159"/>
      <c r="O110" s="152">
        <f t="shared" si="19"/>
        <v>154185.57099999988</v>
      </c>
      <c r="P110" s="152">
        <f t="shared" si="20"/>
        <v>550072.81599999999</v>
      </c>
    </row>
    <row r="111" spans="1:16" hidden="1" x14ac:dyDescent="0.15">
      <c r="A111" s="154"/>
      <c r="B111" s="154"/>
      <c r="C111" s="152"/>
      <c r="D111" s="153"/>
      <c r="E111" s="154"/>
      <c r="F111" s="154"/>
      <c r="G111" s="163"/>
      <c r="H111" s="152"/>
      <c r="I111" s="158"/>
      <c r="J111" s="152"/>
      <c r="K111" s="154"/>
      <c r="L111" s="154"/>
      <c r="M111" s="152"/>
      <c r="N111" s="159"/>
      <c r="O111" s="152">
        <f t="shared" si="19"/>
        <v>154185.57099999988</v>
      </c>
      <c r="P111" s="152">
        <f t="shared" si="20"/>
        <v>550072.81599999999</v>
      </c>
    </row>
    <row r="112" spans="1:16" hidden="1" x14ac:dyDescent="0.15">
      <c r="A112" s="154"/>
      <c r="B112" s="154"/>
      <c r="C112" s="152"/>
      <c r="D112" s="153"/>
      <c r="E112" s="154"/>
      <c r="F112" s="154"/>
      <c r="G112" s="163"/>
      <c r="H112" s="152"/>
      <c r="I112" s="153"/>
      <c r="J112" s="152"/>
      <c r="K112" s="154"/>
      <c r="L112" s="154"/>
      <c r="M112" s="152"/>
      <c r="N112" s="159"/>
      <c r="O112" s="152">
        <f t="shared" si="19"/>
        <v>154185.57099999988</v>
      </c>
      <c r="P112" s="152">
        <f t="shared" si="20"/>
        <v>550072.81599999999</v>
      </c>
    </row>
    <row r="113" spans="1:16" hidden="1" x14ac:dyDescent="0.15">
      <c r="A113" s="154"/>
      <c r="B113" s="154"/>
      <c r="C113" s="152"/>
      <c r="D113" s="158"/>
      <c r="E113" s="154"/>
      <c r="F113" s="165"/>
      <c r="G113" s="163"/>
      <c r="H113" s="152"/>
      <c r="I113" s="158"/>
      <c r="J113" s="152"/>
      <c r="K113" s="154"/>
      <c r="L113" s="154"/>
      <c r="M113" s="152"/>
      <c r="N113" s="154"/>
      <c r="O113" s="152">
        <f t="shared" si="19"/>
        <v>154185.57099999988</v>
      </c>
      <c r="P113" s="152">
        <f t="shared" si="20"/>
        <v>550072.81599999999</v>
      </c>
    </row>
    <row r="114" spans="1:16" hidden="1" x14ac:dyDescent="0.15">
      <c r="A114" s="154"/>
      <c r="B114" s="154"/>
      <c r="C114" s="152"/>
      <c r="D114" s="158"/>
      <c r="E114" s="154"/>
      <c r="F114" s="165"/>
      <c r="G114" s="163"/>
      <c r="H114" s="152"/>
      <c r="I114" s="158"/>
      <c r="J114" s="152"/>
      <c r="K114" s="154"/>
      <c r="L114" s="154"/>
      <c r="M114" s="152"/>
      <c r="N114" s="154"/>
      <c r="O114" s="152">
        <f t="shared" ref="O114:O177" si="21">+O113-J114-M114</f>
        <v>154185.57099999988</v>
      </c>
      <c r="P114" s="152">
        <f t="shared" ref="P114:P177" si="22">P113+H114-J114-M114</f>
        <v>550072.81599999999</v>
      </c>
    </row>
    <row r="115" spans="1:16" hidden="1" x14ac:dyDescent="0.15">
      <c r="A115" s="154"/>
      <c r="B115" s="154"/>
      <c r="C115" s="152"/>
      <c r="D115" s="153"/>
      <c r="E115" s="154"/>
      <c r="F115" s="154"/>
      <c r="G115" s="163"/>
      <c r="H115" s="152"/>
      <c r="I115" s="158"/>
      <c r="J115" s="152"/>
      <c r="K115" s="154"/>
      <c r="L115" s="154"/>
      <c r="M115" s="152"/>
      <c r="N115" s="154"/>
      <c r="O115" s="152">
        <f t="shared" si="21"/>
        <v>154185.57099999988</v>
      </c>
      <c r="P115" s="152">
        <f t="shared" si="22"/>
        <v>550072.81599999999</v>
      </c>
    </row>
    <row r="116" spans="1:16" hidden="1" x14ac:dyDescent="0.15">
      <c r="A116" s="154"/>
      <c r="B116" s="154"/>
      <c r="C116" s="152"/>
      <c r="D116" s="158"/>
      <c r="E116" s="154"/>
      <c r="F116" s="154"/>
      <c r="G116" s="163"/>
      <c r="H116" s="152"/>
      <c r="I116" s="158"/>
      <c r="J116" s="152"/>
      <c r="K116" s="159"/>
      <c r="L116" s="154"/>
      <c r="M116" s="152"/>
      <c r="N116" s="159"/>
      <c r="O116" s="152">
        <f t="shared" si="21"/>
        <v>154185.57099999988</v>
      </c>
      <c r="P116" s="152">
        <f t="shared" si="22"/>
        <v>550072.81599999999</v>
      </c>
    </row>
    <row r="117" spans="1:16" hidden="1" x14ac:dyDescent="0.15">
      <c r="A117" s="154"/>
      <c r="B117" s="154"/>
      <c r="C117" s="152"/>
      <c r="D117" s="158"/>
      <c r="E117" s="154"/>
      <c r="F117" s="154"/>
      <c r="G117" s="163"/>
      <c r="H117" s="152"/>
      <c r="I117" s="153"/>
      <c r="J117" s="152"/>
      <c r="K117" s="159"/>
      <c r="L117" s="154"/>
      <c r="M117" s="152"/>
      <c r="N117" s="159"/>
      <c r="O117" s="152">
        <f t="shared" si="21"/>
        <v>154185.57099999988</v>
      </c>
      <c r="P117" s="152">
        <f t="shared" si="22"/>
        <v>550072.81599999999</v>
      </c>
    </row>
    <row r="118" spans="1:16" hidden="1" x14ac:dyDescent="0.15">
      <c r="A118" s="154"/>
      <c r="B118" s="154"/>
      <c r="C118" s="152"/>
      <c r="D118" s="158"/>
      <c r="E118" s="154"/>
      <c r="F118" s="154"/>
      <c r="G118" s="163"/>
      <c r="H118" s="152"/>
      <c r="I118" s="153"/>
      <c r="J118" s="152"/>
      <c r="K118" s="159"/>
      <c r="L118" s="154"/>
      <c r="M118" s="152"/>
      <c r="N118" s="159"/>
      <c r="O118" s="152">
        <f t="shared" si="21"/>
        <v>154185.57099999988</v>
      </c>
      <c r="P118" s="152">
        <f t="shared" si="22"/>
        <v>550072.81599999999</v>
      </c>
    </row>
    <row r="119" spans="1:16" hidden="1" x14ac:dyDescent="0.15">
      <c r="A119" s="154"/>
      <c r="B119" s="154"/>
      <c r="C119" s="152"/>
      <c r="D119" s="158"/>
      <c r="E119" s="154"/>
      <c r="F119" s="154"/>
      <c r="G119" s="163"/>
      <c r="H119" s="152"/>
      <c r="I119" s="153"/>
      <c r="J119" s="152"/>
      <c r="K119" s="159"/>
      <c r="L119" s="154"/>
      <c r="M119" s="152"/>
      <c r="N119" s="159"/>
      <c r="O119" s="152">
        <f t="shared" si="21"/>
        <v>154185.57099999988</v>
      </c>
      <c r="P119" s="152">
        <f t="shared" si="22"/>
        <v>550072.81599999999</v>
      </c>
    </row>
    <row r="120" spans="1:16" hidden="1" x14ac:dyDescent="0.15">
      <c r="A120" s="154"/>
      <c r="B120" s="154"/>
      <c r="C120" s="152"/>
      <c r="D120" s="158"/>
      <c r="E120" s="154"/>
      <c r="F120" s="154"/>
      <c r="G120" s="163"/>
      <c r="H120" s="152"/>
      <c r="I120" s="158"/>
      <c r="J120" s="152"/>
      <c r="K120" s="154"/>
      <c r="L120" s="154"/>
      <c r="M120" s="152"/>
      <c r="N120" s="154"/>
      <c r="O120" s="152">
        <f t="shared" si="21"/>
        <v>154185.57099999988</v>
      </c>
      <c r="P120" s="152">
        <f t="shared" si="22"/>
        <v>550072.81599999999</v>
      </c>
    </row>
    <row r="121" spans="1:16" hidden="1" x14ac:dyDescent="0.15">
      <c r="A121" s="154"/>
      <c r="B121" s="154"/>
      <c r="C121" s="152"/>
      <c r="D121" s="153"/>
      <c r="E121" s="154"/>
      <c r="F121" s="154"/>
      <c r="G121" s="163"/>
      <c r="H121" s="152"/>
      <c r="I121" s="158"/>
      <c r="J121" s="152"/>
      <c r="K121" s="154"/>
      <c r="L121" s="154"/>
      <c r="M121" s="152"/>
      <c r="N121" s="154"/>
      <c r="O121" s="152">
        <f t="shared" si="21"/>
        <v>154185.57099999988</v>
      </c>
      <c r="P121" s="152">
        <f t="shared" si="22"/>
        <v>550072.81599999999</v>
      </c>
    </row>
    <row r="122" spans="1:16" hidden="1" x14ac:dyDescent="0.15">
      <c r="A122" s="154"/>
      <c r="B122" s="154"/>
      <c r="C122" s="152"/>
      <c r="D122" s="153"/>
      <c r="E122" s="154"/>
      <c r="F122" s="154"/>
      <c r="G122" s="163"/>
      <c r="H122" s="152"/>
      <c r="I122" s="158"/>
      <c r="J122" s="152"/>
      <c r="K122" s="154"/>
      <c r="L122" s="154"/>
      <c r="M122" s="152"/>
      <c r="N122" s="159"/>
      <c r="O122" s="152">
        <f t="shared" si="21"/>
        <v>154185.57099999988</v>
      </c>
      <c r="P122" s="152">
        <f t="shared" si="22"/>
        <v>550072.81599999999</v>
      </c>
    </row>
    <row r="123" spans="1:16" hidden="1" x14ac:dyDescent="0.15">
      <c r="A123" s="154"/>
      <c r="B123" s="154"/>
      <c r="C123" s="152"/>
      <c r="D123" s="153"/>
      <c r="E123" s="154"/>
      <c r="F123" s="154"/>
      <c r="G123" s="163"/>
      <c r="H123" s="152"/>
      <c r="I123" s="158"/>
      <c r="J123" s="152"/>
      <c r="K123" s="154"/>
      <c r="L123" s="154"/>
      <c r="M123" s="152"/>
      <c r="N123" s="154"/>
      <c r="O123" s="152">
        <f t="shared" si="21"/>
        <v>154185.57099999988</v>
      </c>
      <c r="P123" s="152">
        <f t="shared" si="22"/>
        <v>550072.81599999999</v>
      </c>
    </row>
    <row r="124" spans="1:16" s="167" customFormat="1" hidden="1" x14ac:dyDescent="0.15">
      <c r="A124" s="154"/>
      <c r="B124" s="154"/>
      <c r="C124" s="152"/>
      <c r="D124" s="153"/>
      <c r="E124" s="154"/>
      <c r="F124" s="154"/>
      <c r="G124" s="163"/>
      <c r="H124" s="152"/>
      <c r="I124" s="158"/>
      <c r="J124" s="152"/>
      <c r="K124" s="154"/>
      <c r="L124" s="154"/>
      <c r="M124" s="152"/>
      <c r="N124" s="154"/>
      <c r="O124" s="152">
        <f t="shared" si="21"/>
        <v>154185.57099999988</v>
      </c>
      <c r="P124" s="152">
        <f t="shared" si="22"/>
        <v>550072.81599999999</v>
      </c>
    </row>
    <row r="125" spans="1:16" s="167" customFormat="1" hidden="1" x14ac:dyDescent="0.15">
      <c r="A125" s="154"/>
      <c r="B125" s="154"/>
      <c r="C125" s="152"/>
      <c r="D125" s="158"/>
      <c r="E125" s="154"/>
      <c r="F125" s="154"/>
      <c r="G125" s="163"/>
      <c r="H125" s="152"/>
      <c r="I125" s="158"/>
      <c r="J125" s="152"/>
      <c r="K125" s="154"/>
      <c r="L125" s="154"/>
      <c r="M125" s="152"/>
      <c r="N125" s="154"/>
      <c r="O125" s="152">
        <f t="shared" si="21"/>
        <v>154185.57099999988</v>
      </c>
      <c r="P125" s="152">
        <f t="shared" si="22"/>
        <v>550072.81599999999</v>
      </c>
    </row>
    <row r="126" spans="1:16" s="167" customFormat="1" hidden="1" x14ac:dyDescent="0.15">
      <c r="A126" s="154"/>
      <c r="B126" s="151"/>
      <c r="C126" s="152"/>
      <c r="D126" s="153"/>
      <c r="E126" s="154"/>
      <c r="F126" s="154"/>
      <c r="G126" s="151"/>
      <c r="H126" s="152"/>
      <c r="I126" s="158"/>
      <c r="J126" s="152"/>
      <c r="K126" s="154"/>
      <c r="L126" s="154"/>
      <c r="M126" s="152"/>
      <c r="N126" s="154"/>
      <c r="O126" s="152">
        <f t="shared" si="21"/>
        <v>154185.57099999988</v>
      </c>
      <c r="P126" s="152">
        <f t="shared" si="22"/>
        <v>550072.81599999999</v>
      </c>
    </row>
    <row r="127" spans="1:16" s="167" customFormat="1" hidden="1" x14ac:dyDescent="0.15">
      <c r="A127" s="154"/>
      <c r="B127" s="151"/>
      <c r="C127" s="152"/>
      <c r="D127" s="153"/>
      <c r="E127" s="154"/>
      <c r="F127" s="150"/>
      <c r="G127" s="151"/>
      <c r="H127" s="152"/>
      <c r="I127" s="158"/>
      <c r="J127" s="152"/>
      <c r="K127" s="154"/>
      <c r="L127" s="154"/>
      <c r="M127" s="152"/>
      <c r="N127" s="154"/>
      <c r="O127" s="152">
        <f t="shared" si="21"/>
        <v>154185.57099999988</v>
      </c>
      <c r="P127" s="152">
        <f t="shared" si="22"/>
        <v>550072.81599999999</v>
      </c>
    </row>
    <row r="128" spans="1:16" s="167" customFormat="1" hidden="1" x14ac:dyDescent="0.15">
      <c r="A128" s="154"/>
      <c r="B128" s="151"/>
      <c r="C128" s="152"/>
      <c r="D128" s="153"/>
      <c r="E128" s="154"/>
      <c r="F128" s="150"/>
      <c r="G128" s="151"/>
      <c r="H128" s="152"/>
      <c r="I128" s="158"/>
      <c r="J128" s="152"/>
      <c r="K128" s="154"/>
      <c r="L128" s="154"/>
      <c r="M128" s="152"/>
      <c r="N128" s="154"/>
      <c r="O128" s="152">
        <f t="shared" si="21"/>
        <v>154185.57099999988</v>
      </c>
      <c r="P128" s="152">
        <f t="shared" si="22"/>
        <v>550072.81599999999</v>
      </c>
    </row>
    <row r="129" spans="1:16" s="167" customFormat="1" hidden="1" x14ac:dyDescent="0.15">
      <c r="A129" s="154"/>
      <c r="B129" s="151"/>
      <c r="C129" s="152"/>
      <c r="D129" s="153"/>
      <c r="E129" s="154"/>
      <c r="F129" s="150"/>
      <c r="G129" s="151"/>
      <c r="H129" s="152"/>
      <c r="I129" s="153"/>
      <c r="J129" s="152"/>
      <c r="K129" s="154"/>
      <c r="L129" s="154"/>
      <c r="M129" s="152"/>
      <c r="N129" s="154"/>
      <c r="O129" s="152">
        <f t="shared" si="21"/>
        <v>154185.57099999988</v>
      </c>
      <c r="P129" s="152">
        <f t="shared" si="22"/>
        <v>550072.81599999999</v>
      </c>
    </row>
    <row r="130" spans="1:16" s="167" customFormat="1" hidden="1" x14ac:dyDescent="0.15">
      <c r="A130" s="154"/>
      <c r="B130" s="151"/>
      <c r="C130" s="152"/>
      <c r="D130" s="153"/>
      <c r="E130" s="154"/>
      <c r="F130" s="150"/>
      <c r="G130" s="151"/>
      <c r="H130" s="152"/>
      <c r="I130" s="153"/>
      <c r="J130" s="152"/>
      <c r="K130" s="154"/>
      <c r="L130" s="154"/>
      <c r="M130" s="152"/>
      <c r="N130" s="154"/>
      <c r="O130" s="152">
        <f t="shared" si="21"/>
        <v>154185.57099999988</v>
      </c>
      <c r="P130" s="152">
        <f t="shared" si="22"/>
        <v>550072.81599999999</v>
      </c>
    </row>
    <row r="131" spans="1:16" s="167" customFormat="1" hidden="1" x14ac:dyDescent="0.15">
      <c r="A131" s="154"/>
      <c r="B131" s="151"/>
      <c r="C131" s="152"/>
      <c r="D131" s="158"/>
      <c r="E131" s="154"/>
      <c r="F131" s="150"/>
      <c r="G131" s="151"/>
      <c r="H131" s="152"/>
      <c r="I131" s="158"/>
      <c r="J131" s="152"/>
      <c r="K131" s="159"/>
      <c r="L131" s="154"/>
      <c r="M131" s="152"/>
      <c r="N131" s="154"/>
      <c r="O131" s="152">
        <f t="shared" si="21"/>
        <v>154185.57099999988</v>
      </c>
      <c r="P131" s="152">
        <f t="shared" si="22"/>
        <v>550072.81599999999</v>
      </c>
    </row>
    <row r="132" spans="1:16" s="167" customFormat="1" hidden="1" x14ac:dyDescent="0.15">
      <c r="A132" s="154"/>
      <c r="B132" s="154"/>
      <c r="C132" s="152"/>
      <c r="D132" s="158"/>
      <c r="E132" s="154"/>
      <c r="F132" s="157"/>
      <c r="G132" s="163"/>
      <c r="H132" s="152"/>
      <c r="I132" s="158"/>
      <c r="J132" s="152"/>
      <c r="K132" s="154"/>
      <c r="L132" s="154"/>
      <c r="M132" s="152"/>
      <c r="N132" s="154"/>
      <c r="O132" s="152">
        <f t="shared" si="21"/>
        <v>154185.57099999988</v>
      </c>
      <c r="P132" s="152">
        <f t="shared" si="22"/>
        <v>550072.81599999999</v>
      </c>
    </row>
    <row r="133" spans="1:16" s="167" customFormat="1" hidden="1" x14ac:dyDescent="0.15">
      <c r="A133" s="154"/>
      <c r="B133" s="154"/>
      <c r="C133" s="152"/>
      <c r="D133" s="153"/>
      <c r="E133" s="154"/>
      <c r="F133" s="150"/>
      <c r="G133" s="151"/>
      <c r="H133" s="152"/>
      <c r="I133" s="158"/>
      <c r="J133" s="152"/>
      <c r="K133" s="154"/>
      <c r="L133" s="154"/>
      <c r="M133" s="152"/>
      <c r="N133" s="154"/>
      <c r="O133" s="152">
        <f t="shared" si="21"/>
        <v>154185.57099999988</v>
      </c>
      <c r="P133" s="152">
        <f t="shared" si="22"/>
        <v>550072.81599999999</v>
      </c>
    </row>
    <row r="134" spans="1:16" s="167" customFormat="1" hidden="1" x14ac:dyDescent="0.15">
      <c r="A134" s="154"/>
      <c r="B134" s="154"/>
      <c r="C134" s="152"/>
      <c r="D134" s="158"/>
      <c r="E134" s="154"/>
      <c r="F134" s="154"/>
      <c r="G134" s="163"/>
      <c r="H134" s="152"/>
      <c r="I134" s="158"/>
      <c r="J134" s="152"/>
      <c r="K134" s="154"/>
      <c r="L134" s="154"/>
      <c r="M134" s="152"/>
      <c r="N134" s="154"/>
      <c r="O134" s="152">
        <f t="shared" si="21"/>
        <v>154185.57099999988</v>
      </c>
      <c r="P134" s="152">
        <f t="shared" si="22"/>
        <v>550072.81599999999</v>
      </c>
    </row>
    <row r="135" spans="1:16" s="167" customFormat="1" hidden="1" x14ac:dyDescent="0.15">
      <c r="A135" s="154"/>
      <c r="B135" s="154"/>
      <c r="C135" s="152"/>
      <c r="D135" s="158"/>
      <c r="E135" s="154"/>
      <c r="F135" s="157"/>
      <c r="G135" s="163"/>
      <c r="H135" s="152"/>
      <c r="I135" s="158"/>
      <c r="J135" s="152"/>
      <c r="K135" s="154"/>
      <c r="L135" s="154"/>
      <c r="M135" s="152"/>
      <c r="N135" s="154"/>
      <c r="O135" s="152">
        <f t="shared" si="21"/>
        <v>154185.57099999988</v>
      </c>
      <c r="P135" s="152">
        <f t="shared" si="22"/>
        <v>550072.81599999999</v>
      </c>
    </row>
    <row r="136" spans="1:16" s="167" customFormat="1" hidden="1" x14ac:dyDescent="0.15">
      <c r="A136" s="154"/>
      <c r="B136" s="154"/>
      <c r="C136" s="152"/>
      <c r="D136" s="158"/>
      <c r="E136" s="154"/>
      <c r="F136" s="154"/>
      <c r="G136" s="151"/>
      <c r="H136" s="152"/>
      <c r="I136" s="158"/>
      <c r="J136" s="152"/>
      <c r="K136" s="154"/>
      <c r="L136" s="154"/>
      <c r="M136" s="152"/>
      <c r="N136" s="154"/>
      <c r="O136" s="152">
        <f t="shared" si="21"/>
        <v>154185.57099999988</v>
      </c>
      <c r="P136" s="152">
        <f t="shared" si="22"/>
        <v>550072.81599999999</v>
      </c>
    </row>
    <row r="137" spans="1:16" s="167" customFormat="1" hidden="1" x14ac:dyDescent="0.15">
      <c r="A137" s="154"/>
      <c r="B137" s="154"/>
      <c r="C137" s="152"/>
      <c r="D137" s="153"/>
      <c r="E137" s="154"/>
      <c r="F137" s="154"/>
      <c r="G137" s="151"/>
      <c r="H137" s="152"/>
      <c r="I137" s="158"/>
      <c r="J137" s="152"/>
      <c r="K137" s="154"/>
      <c r="L137" s="154"/>
      <c r="M137" s="152"/>
      <c r="N137" s="154"/>
      <c r="O137" s="152">
        <f t="shared" si="21"/>
        <v>154185.57099999988</v>
      </c>
      <c r="P137" s="152">
        <f t="shared" si="22"/>
        <v>550072.81599999999</v>
      </c>
    </row>
    <row r="138" spans="1:16" s="167" customFormat="1" hidden="1" x14ac:dyDescent="0.15">
      <c r="A138" s="154"/>
      <c r="B138" s="154"/>
      <c r="C138" s="152"/>
      <c r="D138" s="158"/>
      <c r="E138" s="154"/>
      <c r="F138" s="157"/>
      <c r="G138" s="168"/>
      <c r="H138" s="152"/>
      <c r="I138" s="158"/>
      <c r="J138" s="152"/>
      <c r="K138" s="154"/>
      <c r="L138" s="154"/>
      <c r="M138" s="152"/>
      <c r="N138" s="154"/>
      <c r="O138" s="152">
        <f t="shared" si="21"/>
        <v>154185.57099999988</v>
      </c>
      <c r="P138" s="152">
        <f t="shared" si="22"/>
        <v>550072.81599999999</v>
      </c>
    </row>
    <row r="139" spans="1:16" s="167" customFormat="1" hidden="1" x14ac:dyDescent="0.15">
      <c r="A139" s="154"/>
      <c r="B139" s="154"/>
      <c r="C139" s="152"/>
      <c r="D139" s="153"/>
      <c r="E139" s="154"/>
      <c r="F139" s="154"/>
      <c r="G139" s="151"/>
      <c r="H139" s="152"/>
      <c r="I139" s="158"/>
      <c r="J139" s="152"/>
      <c r="K139" s="159"/>
      <c r="L139" s="154"/>
      <c r="M139" s="152"/>
      <c r="N139" s="154"/>
      <c r="O139" s="152">
        <f t="shared" si="21"/>
        <v>154185.57099999988</v>
      </c>
      <c r="P139" s="152">
        <f t="shared" si="22"/>
        <v>550072.81599999999</v>
      </c>
    </row>
    <row r="140" spans="1:16" s="167" customFormat="1" hidden="1" x14ac:dyDescent="0.15">
      <c r="A140" s="154"/>
      <c r="B140" s="154"/>
      <c r="C140" s="152"/>
      <c r="D140" s="158"/>
      <c r="E140" s="154"/>
      <c r="F140" s="154"/>
      <c r="G140" s="151"/>
      <c r="H140" s="152"/>
      <c r="I140" s="158"/>
      <c r="J140" s="152"/>
      <c r="K140" s="154"/>
      <c r="L140" s="154"/>
      <c r="M140" s="152"/>
      <c r="N140" s="154"/>
      <c r="O140" s="152">
        <f t="shared" si="21"/>
        <v>154185.57099999988</v>
      </c>
      <c r="P140" s="152">
        <f t="shared" si="22"/>
        <v>550072.81599999999</v>
      </c>
    </row>
    <row r="141" spans="1:16" s="167" customFormat="1" hidden="1" x14ac:dyDescent="0.15">
      <c r="A141" s="154"/>
      <c r="B141" s="154"/>
      <c r="C141" s="152"/>
      <c r="D141" s="158"/>
      <c r="E141" s="154"/>
      <c r="F141" s="154"/>
      <c r="G141" s="151"/>
      <c r="H141" s="152"/>
      <c r="I141" s="158"/>
      <c r="J141" s="152"/>
      <c r="K141" s="154"/>
      <c r="L141" s="154"/>
      <c r="M141" s="152"/>
      <c r="N141" s="154"/>
      <c r="O141" s="152">
        <f t="shared" si="21"/>
        <v>154185.57099999988</v>
      </c>
      <c r="P141" s="152">
        <f t="shared" si="22"/>
        <v>550072.81599999999</v>
      </c>
    </row>
    <row r="142" spans="1:16" s="167" customFormat="1" hidden="1" x14ac:dyDescent="0.15">
      <c r="A142" s="154"/>
      <c r="B142" s="154"/>
      <c r="C142" s="152"/>
      <c r="D142" s="153"/>
      <c r="E142" s="154"/>
      <c r="F142" s="154"/>
      <c r="G142" s="151"/>
      <c r="H142" s="152"/>
      <c r="I142" s="158"/>
      <c r="J142" s="152"/>
      <c r="K142" s="159"/>
      <c r="L142" s="154"/>
      <c r="M142" s="152"/>
      <c r="N142" s="154"/>
      <c r="O142" s="152">
        <f t="shared" si="21"/>
        <v>154185.57099999988</v>
      </c>
      <c r="P142" s="152">
        <f t="shared" si="22"/>
        <v>550072.81599999999</v>
      </c>
    </row>
    <row r="143" spans="1:16" s="167" customFormat="1" hidden="1" x14ac:dyDescent="0.15">
      <c r="A143" s="154"/>
      <c r="B143" s="154"/>
      <c r="C143" s="152"/>
      <c r="D143" s="158"/>
      <c r="E143" s="154"/>
      <c r="F143" s="157"/>
      <c r="G143" s="163"/>
      <c r="H143" s="152"/>
      <c r="I143" s="158"/>
      <c r="J143" s="152"/>
      <c r="K143" s="154"/>
      <c r="L143" s="154"/>
      <c r="M143" s="152"/>
      <c r="N143" s="154"/>
      <c r="O143" s="152">
        <f t="shared" si="21"/>
        <v>154185.57099999988</v>
      </c>
      <c r="P143" s="152">
        <f t="shared" si="22"/>
        <v>550072.81599999999</v>
      </c>
    </row>
    <row r="144" spans="1:16" s="167" customFormat="1" hidden="1" x14ac:dyDescent="0.15">
      <c r="A144" s="154"/>
      <c r="B144" s="154"/>
      <c r="C144" s="152"/>
      <c r="D144" s="158"/>
      <c r="E144" s="154"/>
      <c r="F144" s="154"/>
      <c r="G144" s="151"/>
      <c r="H144" s="152"/>
      <c r="I144" s="158"/>
      <c r="J144" s="152"/>
      <c r="K144" s="150"/>
      <c r="L144" s="154"/>
      <c r="M144" s="152"/>
      <c r="N144" s="154"/>
      <c r="O144" s="152">
        <f t="shared" si="21"/>
        <v>154185.57099999988</v>
      </c>
      <c r="P144" s="152">
        <f t="shared" si="22"/>
        <v>550072.81599999999</v>
      </c>
    </row>
    <row r="145" spans="1:16" s="167" customFormat="1" hidden="1" x14ac:dyDescent="0.15">
      <c r="A145" s="154"/>
      <c r="B145" s="154"/>
      <c r="C145" s="152"/>
      <c r="D145" s="158"/>
      <c r="E145" s="154"/>
      <c r="F145" s="154"/>
      <c r="G145" s="151"/>
      <c r="H145" s="152"/>
      <c r="I145" s="158"/>
      <c r="J145" s="152"/>
      <c r="K145" s="150"/>
      <c r="L145" s="154"/>
      <c r="M145" s="152"/>
      <c r="N145" s="154"/>
      <c r="O145" s="152">
        <f t="shared" si="21"/>
        <v>154185.57099999988</v>
      </c>
      <c r="P145" s="152">
        <f t="shared" si="22"/>
        <v>550072.81599999999</v>
      </c>
    </row>
    <row r="146" spans="1:16" s="167" customFormat="1" hidden="1" x14ac:dyDescent="0.15">
      <c r="A146" s="154"/>
      <c r="B146" s="154"/>
      <c r="C146" s="152"/>
      <c r="D146" s="158"/>
      <c r="E146" s="154"/>
      <c r="F146" s="154"/>
      <c r="G146" s="151"/>
      <c r="H146" s="152"/>
      <c r="I146" s="158"/>
      <c r="J146" s="152"/>
      <c r="K146" s="154"/>
      <c r="L146" s="154"/>
      <c r="M146" s="152"/>
      <c r="N146" s="154"/>
      <c r="O146" s="152">
        <f t="shared" si="21"/>
        <v>154185.57099999988</v>
      </c>
      <c r="P146" s="152">
        <f t="shared" si="22"/>
        <v>550072.81599999999</v>
      </c>
    </row>
    <row r="147" spans="1:16" s="167" customFormat="1" hidden="1" x14ac:dyDescent="0.15">
      <c r="A147" s="154"/>
      <c r="B147" s="154"/>
      <c r="C147" s="152"/>
      <c r="D147" s="158"/>
      <c r="E147" s="154"/>
      <c r="F147" s="150"/>
      <c r="G147" s="151"/>
      <c r="H147" s="152"/>
      <c r="I147" s="158"/>
      <c r="J147" s="152"/>
      <c r="K147" s="154"/>
      <c r="L147" s="154"/>
      <c r="M147" s="152"/>
      <c r="N147" s="154"/>
      <c r="O147" s="152">
        <f t="shared" si="21"/>
        <v>154185.57099999988</v>
      </c>
      <c r="P147" s="152">
        <f t="shared" si="22"/>
        <v>550072.81599999999</v>
      </c>
    </row>
    <row r="148" spans="1:16" s="167" customFormat="1" hidden="1" x14ac:dyDescent="0.15">
      <c r="A148" s="154"/>
      <c r="B148" s="154"/>
      <c r="C148" s="152"/>
      <c r="D148" s="153"/>
      <c r="E148" s="154"/>
      <c r="F148" s="150"/>
      <c r="G148" s="151"/>
      <c r="H148" s="152"/>
      <c r="I148" s="158"/>
      <c r="J148" s="152"/>
      <c r="K148" s="154"/>
      <c r="L148" s="154"/>
      <c r="M148" s="152"/>
      <c r="N148" s="154"/>
      <c r="O148" s="152">
        <f t="shared" si="21"/>
        <v>154185.57099999988</v>
      </c>
      <c r="P148" s="152">
        <f t="shared" si="22"/>
        <v>550072.81599999999</v>
      </c>
    </row>
    <row r="149" spans="1:16" s="167" customFormat="1" hidden="1" x14ac:dyDescent="0.15">
      <c r="A149" s="154"/>
      <c r="B149" s="154"/>
      <c r="C149" s="152"/>
      <c r="D149" s="158"/>
      <c r="E149" s="154"/>
      <c r="F149" s="157"/>
      <c r="G149" s="151"/>
      <c r="H149" s="152"/>
      <c r="I149" s="158"/>
      <c r="J149" s="152"/>
      <c r="K149" s="154"/>
      <c r="L149" s="154"/>
      <c r="M149" s="152"/>
      <c r="N149" s="154"/>
      <c r="O149" s="152">
        <f t="shared" si="21"/>
        <v>154185.57099999988</v>
      </c>
      <c r="P149" s="152">
        <f t="shared" si="22"/>
        <v>550072.81599999999</v>
      </c>
    </row>
    <row r="150" spans="1:16" s="167" customFormat="1" hidden="1" x14ac:dyDescent="0.15">
      <c r="A150" s="154"/>
      <c r="B150" s="154"/>
      <c r="C150" s="152"/>
      <c r="D150" s="158"/>
      <c r="E150" s="154"/>
      <c r="F150" s="154"/>
      <c r="G150" s="151"/>
      <c r="H150" s="152"/>
      <c r="I150" s="158"/>
      <c r="J150" s="152"/>
      <c r="K150" s="154"/>
      <c r="L150" s="154"/>
      <c r="M150" s="152"/>
      <c r="N150" s="154"/>
      <c r="O150" s="152">
        <f t="shared" si="21"/>
        <v>154185.57099999988</v>
      </c>
      <c r="P150" s="152">
        <f t="shared" si="22"/>
        <v>550072.81599999999</v>
      </c>
    </row>
    <row r="151" spans="1:16" s="167" customFormat="1" hidden="1" x14ac:dyDescent="0.15">
      <c r="A151" s="154"/>
      <c r="B151" s="154"/>
      <c r="C151" s="152"/>
      <c r="D151" s="153"/>
      <c r="E151" s="154"/>
      <c r="F151" s="154"/>
      <c r="G151" s="151"/>
      <c r="H151" s="152"/>
      <c r="I151" s="158"/>
      <c r="J151" s="152"/>
      <c r="K151" s="154"/>
      <c r="L151" s="154"/>
      <c r="M151" s="152"/>
      <c r="N151" s="154"/>
      <c r="O151" s="152">
        <f t="shared" si="21"/>
        <v>154185.57099999988</v>
      </c>
      <c r="P151" s="152">
        <f t="shared" si="22"/>
        <v>550072.81599999999</v>
      </c>
    </row>
    <row r="152" spans="1:16" s="167" customFormat="1" hidden="1" x14ac:dyDescent="0.15">
      <c r="A152" s="154"/>
      <c r="B152" s="154"/>
      <c r="C152" s="152"/>
      <c r="D152" s="153"/>
      <c r="E152" s="154"/>
      <c r="F152" s="157"/>
      <c r="G152" s="168"/>
      <c r="H152" s="152"/>
      <c r="I152" s="158"/>
      <c r="J152" s="152"/>
      <c r="K152" s="154"/>
      <c r="L152" s="154"/>
      <c r="M152" s="152"/>
      <c r="N152" s="154"/>
      <c r="O152" s="152">
        <f t="shared" si="21"/>
        <v>154185.57099999988</v>
      </c>
      <c r="P152" s="152">
        <f t="shared" si="22"/>
        <v>550072.81599999999</v>
      </c>
    </row>
    <row r="153" spans="1:16" s="167" customFormat="1" hidden="1" x14ac:dyDescent="0.15">
      <c r="A153" s="154"/>
      <c r="B153" s="154"/>
      <c r="C153" s="152"/>
      <c r="D153" s="153"/>
      <c r="E153" s="154"/>
      <c r="F153" s="157"/>
      <c r="G153" s="168"/>
      <c r="H153" s="152"/>
      <c r="I153" s="153"/>
      <c r="J153" s="152"/>
      <c r="K153" s="154"/>
      <c r="L153" s="154"/>
      <c r="M153" s="152"/>
      <c r="N153" s="154"/>
      <c r="O153" s="152">
        <f t="shared" si="21"/>
        <v>154185.57099999988</v>
      </c>
      <c r="P153" s="152">
        <f t="shared" si="22"/>
        <v>550072.81599999999</v>
      </c>
    </row>
    <row r="154" spans="1:16" hidden="1" x14ac:dyDescent="0.15">
      <c r="A154" s="154"/>
      <c r="B154" s="154"/>
      <c r="C154" s="152"/>
      <c r="D154" s="158"/>
      <c r="E154" s="154"/>
      <c r="F154" s="150"/>
      <c r="G154" s="151"/>
      <c r="H154" s="152"/>
      <c r="I154" s="158"/>
      <c r="J154" s="152"/>
      <c r="K154" s="154"/>
      <c r="L154" s="154"/>
      <c r="M154" s="152"/>
      <c r="N154" s="154"/>
      <c r="O154" s="152">
        <f t="shared" si="21"/>
        <v>154185.57099999988</v>
      </c>
      <c r="P154" s="152">
        <f t="shared" si="22"/>
        <v>550072.81599999999</v>
      </c>
    </row>
    <row r="155" spans="1:16" hidden="1" x14ac:dyDescent="0.15">
      <c r="A155" s="154"/>
      <c r="B155" s="154"/>
      <c r="C155" s="152"/>
      <c r="D155" s="158"/>
      <c r="E155" s="154"/>
      <c r="F155" s="150"/>
      <c r="G155" s="151"/>
      <c r="H155" s="152"/>
      <c r="I155" s="158"/>
      <c r="J155" s="152"/>
      <c r="K155" s="154"/>
      <c r="L155" s="154"/>
      <c r="M155" s="152"/>
      <c r="N155" s="154"/>
      <c r="O155" s="152">
        <f t="shared" si="21"/>
        <v>154185.57099999988</v>
      </c>
      <c r="P155" s="152">
        <f t="shared" si="22"/>
        <v>550072.81599999999</v>
      </c>
    </row>
    <row r="156" spans="1:16" hidden="1" x14ac:dyDescent="0.15">
      <c r="A156" s="154"/>
      <c r="B156" s="154"/>
      <c r="C156" s="152"/>
      <c r="D156" s="158"/>
      <c r="E156" s="154"/>
      <c r="F156" s="157"/>
      <c r="G156" s="151"/>
      <c r="H156" s="152"/>
      <c r="I156" s="158"/>
      <c r="J156" s="152"/>
      <c r="K156" s="154"/>
      <c r="L156" s="154"/>
      <c r="M156" s="152"/>
      <c r="N156" s="154"/>
      <c r="O156" s="152">
        <f t="shared" si="21"/>
        <v>154185.57099999988</v>
      </c>
      <c r="P156" s="152">
        <f t="shared" si="22"/>
        <v>550072.81599999999</v>
      </c>
    </row>
    <row r="157" spans="1:16" hidden="1" x14ac:dyDescent="0.15">
      <c r="A157" s="154"/>
      <c r="B157" s="154"/>
      <c r="C157" s="152"/>
      <c r="D157" s="153"/>
      <c r="E157" s="154"/>
      <c r="F157" s="154"/>
      <c r="G157" s="163"/>
      <c r="H157" s="152"/>
      <c r="I157" s="158"/>
      <c r="J157" s="152"/>
      <c r="K157" s="154"/>
      <c r="L157" s="154"/>
      <c r="M157" s="152"/>
      <c r="N157" s="154"/>
      <c r="O157" s="152">
        <f t="shared" si="21"/>
        <v>154185.57099999988</v>
      </c>
      <c r="P157" s="152">
        <f t="shared" si="22"/>
        <v>550072.81599999999</v>
      </c>
    </row>
    <row r="158" spans="1:16" hidden="1" x14ac:dyDescent="0.15">
      <c r="A158" s="154"/>
      <c r="B158" s="154"/>
      <c r="C158" s="152"/>
      <c r="D158" s="158"/>
      <c r="E158" s="154"/>
      <c r="F158" s="154"/>
      <c r="G158" s="163"/>
      <c r="H158" s="152"/>
      <c r="I158" s="158"/>
      <c r="J158" s="152"/>
      <c r="K158" s="154"/>
      <c r="L158" s="154"/>
      <c r="M158" s="152"/>
      <c r="N158" s="154"/>
      <c r="O158" s="152">
        <f t="shared" si="21"/>
        <v>154185.57099999988</v>
      </c>
      <c r="P158" s="152">
        <f t="shared" si="22"/>
        <v>550072.81599999999</v>
      </c>
    </row>
    <row r="159" spans="1:16" hidden="1" x14ac:dyDescent="0.15">
      <c r="A159" s="154"/>
      <c r="B159" s="154"/>
      <c r="C159" s="152"/>
      <c r="D159" s="153"/>
      <c r="E159" s="154"/>
      <c r="F159" s="157"/>
      <c r="G159" s="151"/>
      <c r="H159" s="152"/>
      <c r="I159" s="158"/>
      <c r="J159" s="152"/>
      <c r="K159" s="154"/>
      <c r="L159" s="154"/>
      <c r="M159" s="152"/>
      <c r="N159" s="154"/>
      <c r="O159" s="152">
        <f t="shared" si="21"/>
        <v>154185.57099999988</v>
      </c>
      <c r="P159" s="152">
        <f t="shared" si="22"/>
        <v>550072.81599999999</v>
      </c>
    </row>
    <row r="160" spans="1:16" hidden="1" x14ac:dyDescent="0.15">
      <c r="A160" s="154"/>
      <c r="B160" s="154"/>
      <c r="C160" s="152"/>
      <c r="D160" s="158"/>
      <c r="E160" s="154"/>
      <c r="F160" s="154"/>
      <c r="G160" s="163"/>
      <c r="H160" s="152"/>
      <c r="I160" s="158"/>
      <c r="J160" s="152"/>
      <c r="K160" s="164"/>
      <c r="L160" s="154"/>
      <c r="M160" s="152"/>
      <c r="N160" s="154"/>
      <c r="O160" s="152">
        <f t="shared" si="21"/>
        <v>154185.57099999988</v>
      </c>
      <c r="P160" s="152">
        <f t="shared" si="22"/>
        <v>550072.81599999999</v>
      </c>
    </row>
    <row r="161" spans="1:16" hidden="1" x14ac:dyDescent="0.15">
      <c r="A161" s="154"/>
      <c r="B161" s="154"/>
      <c r="C161" s="152"/>
      <c r="D161" s="153"/>
      <c r="E161" s="154"/>
      <c r="F161" s="154"/>
      <c r="G161" s="169"/>
      <c r="H161" s="152"/>
      <c r="I161" s="158"/>
      <c r="J161" s="152"/>
      <c r="K161" s="154"/>
      <c r="L161" s="154"/>
      <c r="M161" s="152"/>
      <c r="N161" s="154"/>
      <c r="O161" s="152">
        <f t="shared" si="21"/>
        <v>154185.57099999988</v>
      </c>
      <c r="P161" s="152">
        <f t="shared" si="22"/>
        <v>550072.81599999999</v>
      </c>
    </row>
    <row r="162" spans="1:16" hidden="1" x14ac:dyDescent="0.15">
      <c r="A162" s="154"/>
      <c r="B162" s="154"/>
      <c r="C162" s="152"/>
      <c r="D162" s="158"/>
      <c r="E162" s="154"/>
      <c r="F162" s="157"/>
      <c r="G162" s="168"/>
      <c r="H162" s="152"/>
      <c r="I162" s="158"/>
      <c r="J162" s="152"/>
      <c r="K162" s="154"/>
      <c r="L162" s="154"/>
      <c r="M162" s="152"/>
      <c r="N162" s="154"/>
      <c r="O162" s="152">
        <f t="shared" si="21"/>
        <v>154185.57099999988</v>
      </c>
      <c r="P162" s="152">
        <f t="shared" si="22"/>
        <v>550072.81599999999</v>
      </c>
    </row>
    <row r="163" spans="1:16" hidden="1" x14ac:dyDescent="0.15">
      <c r="A163" s="154"/>
      <c r="B163" s="154"/>
      <c r="C163" s="152"/>
      <c r="D163" s="158"/>
      <c r="E163" s="154"/>
      <c r="F163" s="154"/>
      <c r="G163" s="163"/>
      <c r="H163" s="152"/>
      <c r="I163" s="158"/>
      <c r="J163" s="152"/>
      <c r="K163" s="154"/>
      <c r="L163" s="154"/>
      <c r="M163" s="152"/>
      <c r="N163" s="154"/>
      <c r="O163" s="152">
        <f t="shared" si="21"/>
        <v>154185.57099999988</v>
      </c>
      <c r="P163" s="152">
        <f t="shared" si="22"/>
        <v>550072.81599999999</v>
      </c>
    </row>
    <row r="164" spans="1:16" hidden="1" x14ac:dyDescent="0.15">
      <c r="A164" s="154"/>
      <c r="B164" s="154"/>
      <c r="C164" s="152"/>
      <c r="D164" s="158"/>
      <c r="E164" s="154"/>
      <c r="F164" s="154"/>
      <c r="G164" s="163"/>
      <c r="H164" s="152"/>
      <c r="I164" s="158"/>
      <c r="J164" s="152"/>
      <c r="K164" s="154"/>
      <c r="L164" s="154"/>
      <c r="M164" s="152"/>
      <c r="N164" s="154"/>
      <c r="O164" s="152">
        <f t="shared" si="21"/>
        <v>154185.57099999988</v>
      </c>
      <c r="P164" s="152">
        <f t="shared" si="22"/>
        <v>550072.81599999999</v>
      </c>
    </row>
    <row r="165" spans="1:16" hidden="1" x14ac:dyDescent="0.15">
      <c r="A165" s="154"/>
      <c r="B165" s="154"/>
      <c r="C165" s="152"/>
      <c r="D165" s="158"/>
      <c r="E165" s="154"/>
      <c r="F165" s="157"/>
      <c r="G165" s="151"/>
      <c r="H165" s="152"/>
      <c r="I165" s="158"/>
      <c r="J165" s="152"/>
      <c r="K165" s="154"/>
      <c r="L165" s="154"/>
      <c r="M165" s="152"/>
      <c r="N165" s="154"/>
      <c r="O165" s="152">
        <f t="shared" si="21"/>
        <v>154185.57099999988</v>
      </c>
      <c r="P165" s="152">
        <f t="shared" si="22"/>
        <v>550072.81599999999</v>
      </c>
    </row>
    <row r="166" spans="1:16" hidden="1" x14ac:dyDescent="0.15">
      <c r="A166" s="154"/>
      <c r="B166" s="154"/>
      <c r="C166" s="152"/>
      <c r="D166" s="153"/>
      <c r="E166" s="154"/>
      <c r="F166" s="154"/>
      <c r="G166" s="163"/>
      <c r="H166" s="152"/>
      <c r="I166" s="158"/>
      <c r="J166" s="152"/>
      <c r="K166" s="154"/>
      <c r="L166" s="154"/>
      <c r="M166" s="152"/>
      <c r="N166" s="154"/>
      <c r="O166" s="152">
        <f t="shared" si="21"/>
        <v>154185.57099999988</v>
      </c>
      <c r="P166" s="152">
        <f t="shared" si="22"/>
        <v>550072.81599999999</v>
      </c>
    </row>
    <row r="167" spans="1:16" hidden="1" x14ac:dyDescent="0.15">
      <c r="A167" s="154"/>
      <c r="B167" s="154"/>
      <c r="C167" s="152"/>
      <c r="D167" s="158"/>
      <c r="E167" s="154"/>
      <c r="F167" s="154"/>
      <c r="G167" s="163"/>
      <c r="H167" s="152"/>
      <c r="I167" s="158"/>
      <c r="J167" s="152"/>
      <c r="K167" s="164"/>
      <c r="L167" s="154"/>
      <c r="M167" s="152"/>
      <c r="N167" s="154"/>
      <c r="O167" s="152">
        <f t="shared" si="21"/>
        <v>154185.57099999988</v>
      </c>
      <c r="P167" s="152">
        <f t="shared" si="22"/>
        <v>550072.81599999999</v>
      </c>
    </row>
    <row r="168" spans="1:16" hidden="1" x14ac:dyDescent="0.15">
      <c r="A168" s="154"/>
      <c r="B168" s="154"/>
      <c r="C168" s="152"/>
      <c r="D168" s="158"/>
      <c r="E168" s="154"/>
      <c r="F168" s="154"/>
      <c r="G168" s="163"/>
      <c r="H168" s="152"/>
      <c r="I168" s="158"/>
      <c r="J168" s="152"/>
      <c r="K168" s="164"/>
      <c r="L168" s="154"/>
      <c r="M168" s="152"/>
      <c r="N168" s="154"/>
      <c r="O168" s="152">
        <f t="shared" si="21"/>
        <v>154185.57099999988</v>
      </c>
      <c r="P168" s="152">
        <f t="shared" si="22"/>
        <v>550072.81599999999</v>
      </c>
    </row>
    <row r="169" spans="1:16" hidden="1" x14ac:dyDescent="0.15">
      <c r="A169" s="154"/>
      <c r="B169" s="154"/>
      <c r="C169" s="152"/>
      <c r="D169" s="153"/>
      <c r="E169" s="154"/>
      <c r="F169" s="150"/>
      <c r="G169" s="151"/>
      <c r="H169" s="152"/>
      <c r="I169" s="158"/>
      <c r="J169" s="152"/>
      <c r="K169" s="154"/>
      <c r="L169" s="154"/>
      <c r="M169" s="152"/>
      <c r="N169" s="154"/>
      <c r="O169" s="152">
        <f t="shared" si="21"/>
        <v>154185.57099999988</v>
      </c>
      <c r="P169" s="152">
        <f t="shared" si="22"/>
        <v>550072.81599999999</v>
      </c>
    </row>
    <row r="170" spans="1:16" hidden="1" x14ac:dyDescent="0.15">
      <c r="A170" s="154"/>
      <c r="B170" s="154"/>
      <c r="C170" s="152"/>
      <c r="D170" s="158"/>
      <c r="E170" s="154"/>
      <c r="F170" s="150"/>
      <c r="G170" s="151"/>
      <c r="H170" s="152"/>
      <c r="I170" s="158"/>
      <c r="J170" s="152"/>
      <c r="K170" s="154"/>
      <c r="L170" s="154"/>
      <c r="M170" s="152"/>
      <c r="N170" s="154"/>
      <c r="O170" s="152">
        <f t="shared" si="21"/>
        <v>154185.57099999988</v>
      </c>
      <c r="P170" s="152">
        <f t="shared" si="22"/>
        <v>550072.81599999999</v>
      </c>
    </row>
    <row r="171" spans="1:16" hidden="1" x14ac:dyDescent="0.15">
      <c r="A171" s="154"/>
      <c r="B171" s="154"/>
      <c r="C171" s="152"/>
      <c r="D171" s="158"/>
      <c r="E171" s="154"/>
      <c r="F171" s="150"/>
      <c r="G171" s="151"/>
      <c r="H171" s="152"/>
      <c r="I171" s="158"/>
      <c r="J171" s="152"/>
      <c r="K171" s="154"/>
      <c r="L171" s="154"/>
      <c r="M171" s="152"/>
      <c r="N171" s="154"/>
      <c r="O171" s="152">
        <f t="shared" si="21"/>
        <v>154185.57099999988</v>
      </c>
      <c r="P171" s="152">
        <f t="shared" si="22"/>
        <v>550072.81599999999</v>
      </c>
    </row>
    <row r="172" spans="1:16" hidden="1" x14ac:dyDescent="0.15">
      <c r="A172" s="154"/>
      <c r="B172" s="154"/>
      <c r="C172" s="152"/>
      <c r="D172" s="158"/>
      <c r="E172" s="154"/>
      <c r="F172" s="150"/>
      <c r="G172" s="151"/>
      <c r="H172" s="152"/>
      <c r="I172" s="158"/>
      <c r="J172" s="152"/>
      <c r="K172" s="154"/>
      <c r="L172" s="154"/>
      <c r="M172" s="152"/>
      <c r="N172" s="154"/>
      <c r="O172" s="152">
        <f t="shared" si="21"/>
        <v>154185.57099999988</v>
      </c>
      <c r="P172" s="152">
        <f t="shared" si="22"/>
        <v>550072.81599999999</v>
      </c>
    </row>
    <row r="173" spans="1:16" hidden="1" x14ac:dyDescent="0.15">
      <c r="A173" s="154"/>
      <c r="B173" s="154"/>
      <c r="C173" s="152"/>
      <c r="D173" s="158"/>
      <c r="E173" s="154"/>
      <c r="F173" s="150"/>
      <c r="G173" s="151"/>
      <c r="H173" s="152"/>
      <c r="I173" s="153"/>
      <c r="J173" s="152"/>
      <c r="K173" s="154"/>
      <c r="L173" s="154"/>
      <c r="M173" s="152"/>
      <c r="N173" s="154"/>
      <c r="O173" s="152">
        <f t="shared" si="21"/>
        <v>154185.57099999988</v>
      </c>
      <c r="P173" s="152">
        <f t="shared" si="22"/>
        <v>550072.81599999999</v>
      </c>
    </row>
    <row r="174" spans="1:16" hidden="1" x14ac:dyDescent="0.15">
      <c r="A174" s="154"/>
      <c r="B174" s="154"/>
      <c r="C174" s="152"/>
      <c r="D174" s="158"/>
      <c r="E174" s="154"/>
      <c r="F174" s="150"/>
      <c r="G174" s="151"/>
      <c r="H174" s="152"/>
      <c r="I174" s="158"/>
      <c r="J174" s="152"/>
      <c r="K174" s="154"/>
      <c r="L174" s="154"/>
      <c r="M174" s="152"/>
      <c r="N174" s="154"/>
      <c r="O174" s="152">
        <f t="shared" si="21"/>
        <v>154185.57099999988</v>
      </c>
      <c r="P174" s="152">
        <f t="shared" si="22"/>
        <v>550072.81599999999</v>
      </c>
    </row>
    <row r="175" spans="1:16" hidden="1" x14ac:dyDescent="0.15">
      <c r="A175" s="154"/>
      <c r="B175" s="154"/>
      <c r="C175" s="152"/>
      <c r="D175" s="158"/>
      <c r="E175" s="154"/>
      <c r="F175" s="170"/>
      <c r="G175" s="151"/>
      <c r="H175" s="152"/>
      <c r="I175" s="158"/>
      <c r="J175" s="152"/>
      <c r="K175" s="154"/>
      <c r="L175" s="154"/>
      <c r="M175" s="152"/>
      <c r="N175" s="154"/>
      <c r="O175" s="152">
        <f t="shared" si="21"/>
        <v>154185.57099999988</v>
      </c>
      <c r="P175" s="152">
        <f t="shared" si="22"/>
        <v>550072.81599999999</v>
      </c>
    </row>
    <row r="176" spans="1:16" hidden="1" x14ac:dyDescent="0.15">
      <c r="A176" s="154"/>
      <c r="B176" s="154"/>
      <c r="C176" s="152"/>
      <c r="D176" s="158"/>
      <c r="E176" s="154"/>
      <c r="F176" s="170"/>
      <c r="G176" s="151"/>
      <c r="H176" s="152"/>
      <c r="I176" s="153"/>
      <c r="J176" s="152"/>
      <c r="K176" s="154"/>
      <c r="L176" s="154"/>
      <c r="M176" s="152"/>
      <c r="N176" s="154"/>
      <c r="O176" s="152">
        <f t="shared" si="21"/>
        <v>154185.57099999988</v>
      </c>
      <c r="P176" s="152">
        <f t="shared" si="22"/>
        <v>550072.81599999999</v>
      </c>
    </row>
    <row r="177" spans="1:16" hidden="1" x14ac:dyDescent="0.15">
      <c r="A177" s="154"/>
      <c r="B177" s="154"/>
      <c r="C177" s="152"/>
      <c r="D177" s="158"/>
      <c r="E177" s="154"/>
      <c r="F177" s="150"/>
      <c r="G177" s="151"/>
      <c r="H177" s="152"/>
      <c r="I177" s="158"/>
      <c r="J177" s="152"/>
      <c r="K177" s="154"/>
      <c r="L177" s="154"/>
      <c r="M177" s="152"/>
      <c r="N177" s="154"/>
      <c r="O177" s="152">
        <f t="shared" si="21"/>
        <v>154185.57099999988</v>
      </c>
      <c r="P177" s="152">
        <f t="shared" si="22"/>
        <v>550072.81599999999</v>
      </c>
    </row>
    <row r="178" spans="1:16" hidden="1" x14ac:dyDescent="0.15">
      <c r="A178" s="154"/>
      <c r="B178" s="154"/>
      <c r="C178" s="152"/>
      <c r="D178" s="153"/>
      <c r="E178" s="154"/>
      <c r="F178" s="157"/>
      <c r="G178" s="168"/>
      <c r="H178" s="152"/>
      <c r="I178" s="158"/>
      <c r="J178" s="152"/>
      <c r="K178" s="154"/>
      <c r="L178" s="154"/>
      <c r="M178" s="152"/>
      <c r="N178" s="154"/>
      <c r="O178" s="152">
        <f t="shared" ref="O178:O219" si="23">+O177-J178-M178</f>
        <v>154185.57099999988</v>
      </c>
      <c r="P178" s="152">
        <f t="shared" ref="P178:P219" si="24">P177+H178-J178-M178</f>
        <v>550072.81599999999</v>
      </c>
    </row>
    <row r="179" spans="1:16" hidden="1" x14ac:dyDescent="0.15">
      <c r="A179" s="154"/>
      <c r="B179" s="154"/>
      <c r="C179" s="152"/>
      <c r="D179" s="158"/>
      <c r="E179" s="154"/>
      <c r="F179" s="157"/>
      <c r="G179" s="168"/>
      <c r="H179" s="152"/>
      <c r="I179" s="158"/>
      <c r="J179" s="152"/>
      <c r="K179" s="154"/>
      <c r="L179" s="154"/>
      <c r="M179" s="152"/>
      <c r="N179" s="154"/>
      <c r="O179" s="152">
        <f t="shared" si="23"/>
        <v>154185.57099999988</v>
      </c>
      <c r="P179" s="152">
        <f t="shared" si="24"/>
        <v>550072.81599999999</v>
      </c>
    </row>
    <row r="180" spans="1:16" hidden="1" x14ac:dyDescent="0.15">
      <c r="A180" s="154"/>
      <c r="B180" s="154"/>
      <c r="C180" s="152"/>
      <c r="D180" s="158"/>
      <c r="E180" s="154"/>
      <c r="F180" s="157"/>
      <c r="G180" s="168"/>
      <c r="H180" s="152"/>
      <c r="I180" s="158"/>
      <c r="J180" s="152"/>
      <c r="K180" s="154"/>
      <c r="L180" s="154"/>
      <c r="M180" s="152"/>
      <c r="N180" s="154"/>
      <c r="O180" s="152">
        <f t="shared" si="23"/>
        <v>154185.57099999988</v>
      </c>
      <c r="P180" s="152">
        <f t="shared" si="24"/>
        <v>550072.81599999999</v>
      </c>
    </row>
    <row r="181" spans="1:16" hidden="1" x14ac:dyDescent="0.15">
      <c r="A181" s="154"/>
      <c r="B181" s="154"/>
      <c r="C181" s="152"/>
      <c r="D181" s="158"/>
      <c r="E181" s="154"/>
      <c r="F181" s="157"/>
      <c r="G181" s="168"/>
      <c r="H181" s="152"/>
      <c r="I181" s="158"/>
      <c r="J181" s="152"/>
      <c r="K181" s="154"/>
      <c r="L181" s="154"/>
      <c r="M181" s="152"/>
      <c r="N181" s="154"/>
      <c r="O181" s="152">
        <f t="shared" si="23"/>
        <v>154185.57099999988</v>
      </c>
      <c r="P181" s="152">
        <f t="shared" si="24"/>
        <v>550072.81599999999</v>
      </c>
    </row>
    <row r="182" spans="1:16" hidden="1" x14ac:dyDescent="0.15">
      <c r="A182" s="154"/>
      <c r="B182" s="154"/>
      <c r="C182" s="152"/>
      <c r="D182" s="158"/>
      <c r="E182" s="154"/>
      <c r="F182" s="154"/>
      <c r="G182" s="163"/>
      <c r="H182" s="152"/>
      <c r="I182" s="158"/>
      <c r="J182" s="152"/>
      <c r="K182" s="150"/>
      <c r="L182" s="154"/>
      <c r="M182" s="152"/>
      <c r="N182" s="154"/>
      <c r="O182" s="152">
        <f t="shared" si="23"/>
        <v>154185.57099999988</v>
      </c>
      <c r="P182" s="152">
        <f t="shared" si="24"/>
        <v>550072.81599999999</v>
      </c>
    </row>
    <row r="183" spans="1:16" hidden="1" x14ac:dyDescent="0.15">
      <c r="A183" s="154"/>
      <c r="B183" s="154"/>
      <c r="C183" s="152"/>
      <c r="D183" s="158"/>
      <c r="E183" s="154"/>
      <c r="F183" s="170"/>
      <c r="G183" s="171"/>
      <c r="H183" s="152"/>
      <c r="I183" s="158"/>
      <c r="J183" s="152"/>
      <c r="K183" s="154"/>
      <c r="L183" s="154"/>
      <c r="M183" s="152"/>
      <c r="N183" s="154"/>
      <c r="O183" s="152">
        <f t="shared" si="23"/>
        <v>154185.57099999988</v>
      </c>
      <c r="P183" s="152">
        <f t="shared" si="24"/>
        <v>550072.81599999999</v>
      </c>
    </row>
    <row r="184" spans="1:16" hidden="1" x14ac:dyDescent="0.15">
      <c r="A184" s="154"/>
      <c r="B184" s="154"/>
      <c r="C184" s="152"/>
      <c r="D184" s="158"/>
      <c r="E184" s="154"/>
      <c r="F184" s="154"/>
      <c r="G184" s="163"/>
      <c r="H184" s="152"/>
      <c r="I184" s="158"/>
      <c r="J184" s="152"/>
      <c r="K184" s="154"/>
      <c r="L184" s="154"/>
      <c r="M184" s="152"/>
      <c r="N184" s="154"/>
      <c r="O184" s="152">
        <f t="shared" si="23"/>
        <v>154185.57099999988</v>
      </c>
      <c r="P184" s="152">
        <f t="shared" si="24"/>
        <v>550072.81599999999</v>
      </c>
    </row>
    <row r="185" spans="1:16" hidden="1" x14ac:dyDescent="0.15">
      <c r="A185" s="154"/>
      <c r="B185" s="154"/>
      <c r="C185" s="152"/>
      <c r="D185" s="158"/>
      <c r="E185" s="154"/>
      <c r="F185" s="154"/>
      <c r="G185" s="163"/>
      <c r="H185" s="152"/>
      <c r="I185" s="158"/>
      <c r="J185" s="152"/>
      <c r="K185" s="154"/>
      <c r="L185" s="154"/>
      <c r="M185" s="152"/>
      <c r="N185" s="154"/>
      <c r="O185" s="152">
        <f t="shared" si="23"/>
        <v>154185.57099999988</v>
      </c>
      <c r="P185" s="152">
        <f t="shared" si="24"/>
        <v>550072.81599999999</v>
      </c>
    </row>
    <row r="186" spans="1:16" hidden="1" x14ac:dyDescent="0.15">
      <c r="A186" s="154"/>
      <c r="B186" s="154"/>
      <c r="C186" s="152"/>
      <c r="D186" s="158"/>
      <c r="E186" s="154"/>
      <c r="F186" s="154"/>
      <c r="G186" s="163"/>
      <c r="H186" s="152"/>
      <c r="I186" s="158"/>
      <c r="J186" s="152"/>
      <c r="K186" s="154"/>
      <c r="L186" s="154"/>
      <c r="M186" s="152"/>
      <c r="N186" s="154"/>
      <c r="O186" s="152">
        <f t="shared" si="23"/>
        <v>154185.57099999988</v>
      </c>
      <c r="P186" s="152">
        <f t="shared" si="24"/>
        <v>550072.81599999999</v>
      </c>
    </row>
    <row r="187" spans="1:16" hidden="1" x14ac:dyDescent="0.15">
      <c r="A187" s="154"/>
      <c r="B187" s="154"/>
      <c r="C187" s="152"/>
      <c r="D187" s="158"/>
      <c r="E187" s="154"/>
      <c r="F187" s="157"/>
      <c r="G187" s="171"/>
      <c r="H187" s="152"/>
      <c r="I187" s="158"/>
      <c r="J187" s="152"/>
      <c r="K187" s="154"/>
      <c r="L187" s="154"/>
      <c r="M187" s="152"/>
      <c r="N187" s="154"/>
      <c r="O187" s="152">
        <f t="shared" si="23"/>
        <v>154185.57099999988</v>
      </c>
      <c r="P187" s="152">
        <f t="shared" si="24"/>
        <v>550072.81599999999</v>
      </c>
    </row>
    <row r="188" spans="1:16" hidden="1" x14ac:dyDescent="0.15">
      <c r="A188" s="154"/>
      <c r="B188" s="154"/>
      <c r="C188" s="152"/>
      <c r="D188" s="158"/>
      <c r="E188" s="154"/>
      <c r="F188" s="150"/>
      <c r="G188" s="151"/>
      <c r="H188" s="152"/>
      <c r="I188" s="158"/>
      <c r="J188" s="152"/>
      <c r="K188" s="150"/>
      <c r="L188" s="154"/>
      <c r="M188" s="152"/>
      <c r="N188" s="154"/>
      <c r="O188" s="152">
        <f t="shared" si="23"/>
        <v>154185.57099999988</v>
      </c>
      <c r="P188" s="152">
        <f t="shared" si="24"/>
        <v>550072.81599999999</v>
      </c>
    </row>
    <row r="189" spans="1:16" hidden="1" x14ac:dyDescent="0.15">
      <c r="A189" s="154"/>
      <c r="B189" s="154"/>
      <c r="C189" s="152"/>
      <c r="D189" s="158"/>
      <c r="E189" s="154"/>
      <c r="F189" s="150"/>
      <c r="G189" s="151"/>
      <c r="H189" s="152"/>
      <c r="I189" s="158"/>
      <c r="J189" s="152"/>
      <c r="K189" s="154"/>
      <c r="L189" s="154"/>
      <c r="M189" s="152"/>
      <c r="N189" s="150"/>
      <c r="O189" s="152">
        <f t="shared" si="23"/>
        <v>154185.57099999988</v>
      </c>
      <c r="P189" s="152">
        <f t="shared" si="24"/>
        <v>550072.81599999999</v>
      </c>
    </row>
    <row r="190" spans="1:16" hidden="1" x14ac:dyDescent="0.15">
      <c r="A190" s="154"/>
      <c r="B190" s="154"/>
      <c r="C190" s="152"/>
      <c r="D190" s="158"/>
      <c r="E190" s="154"/>
      <c r="F190" s="170"/>
      <c r="G190" s="171"/>
      <c r="H190" s="152"/>
      <c r="I190" s="158"/>
      <c r="J190" s="152"/>
      <c r="K190" s="154"/>
      <c r="L190" s="154"/>
      <c r="M190" s="152"/>
      <c r="N190" s="154"/>
      <c r="O190" s="152">
        <f t="shared" si="23"/>
        <v>154185.57099999988</v>
      </c>
      <c r="P190" s="152">
        <f t="shared" si="24"/>
        <v>550072.81599999999</v>
      </c>
    </row>
    <row r="191" spans="1:16" hidden="1" x14ac:dyDescent="0.15">
      <c r="A191" s="154"/>
      <c r="B191" s="154"/>
      <c r="C191" s="152"/>
      <c r="D191" s="158"/>
      <c r="E191" s="154"/>
      <c r="F191" s="159"/>
      <c r="G191" s="151"/>
      <c r="H191" s="152"/>
      <c r="I191" s="158"/>
      <c r="J191" s="152"/>
      <c r="K191" s="157"/>
      <c r="L191" s="154"/>
      <c r="M191" s="152"/>
      <c r="N191" s="154"/>
      <c r="O191" s="152">
        <f t="shared" si="23"/>
        <v>154185.57099999988</v>
      </c>
      <c r="P191" s="152">
        <f t="shared" si="24"/>
        <v>550072.81599999999</v>
      </c>
    </row>
    <row r="192" spans="1:16" hidden="1" x14ac:dyDescent="0.15">
      <c r="A192" s="154"/>
      <c r="B192" s="154"/>
      <c r="C192" s="152"/>
      <c r="D192" s="158"/>
      <c r="E192" s="154"/>
      <c r="F192" s="159"/>
      <c r="G192" s="151"/>
      <c r="H192" s="152"/>
      <c r="I192" s="158"/>
      <c r="J192" s="152"/>
      <c r="K192" s="157"/>
      <c r="L192" s="154"/>
      <c r="M192" s="152"/>
      <c r="N192" s="157"/>
      <c r="O192" s="152">
        <f t="shared" si="23"/>
        <v>154185.57099999988</v>
      </c>
      <c r="P192" s="152">
        <f t="shared" si="24"/>
        <v>550072.81599999999</v>
      </c>
    </row>
    <row r="193" spans="1:16" hidden="1" x14ac:dyDescent="0.15">
      <c r="A193" s="154"/>
      <c r="B193" s="154"/>
      <c r="C193" s="152"/>
      <c r="D193" s="158"/>
      <c r="E193" s="154"/>
      <c r="F193" s="159"/>
      <c r="G193" s="151"/>
      <c r="H193" s="152"/>
      <c r="I193" s="158"/>
      <c r="J193" s="152"/>
      <c r="K193" s="157"/>
      <c r="L193" s="154"/>
      <c r="M193" s="152"/>
      <c r="N193" s="157"/>
      <c r="O193" s="152">
        <f t="shared" si="23"/>
        <v>154185.57099999988</v>
      </c>
      <c r="P193" s="152">
        <f t="shared" si="24"/>
        <v>550072.81599999999</v>
      </c>
    </row>
    <row r="194" spans="1:16" hidden="1" x14ac:dyDescent="0.15">
      <c r="A194" s="154"/>
      <c r="B194" s="154"/>
      <c r="C194" s="152"/>
      <c r="D194" s="158"/>
      <c r="E194" s="154"/>
      <c r="F194" s="159"/>
      <c r="G194" s="151"/>
      <c r="H194" s="152"/>
      <c r="I194" s="158"/>
      <c r="J194" s="152"/>
      <c r="K194" s="154"/>
      <c r="L194" s="154"/>
      <c r="M194" s="152"/>
      <c r="N194" s="157"/>
      <c r="O194" s="152">
        <f t="shared" si="23"/>
        <v>154185.57099999988</v>
      </c>
      <c r="P194" s="152">
        <f t="shared" si="24"/>
        <v>550072.81599999999</v>
      </c>
    </row>
    <row r="195" spans="1:16" hidden="1" x14ac:dyDescent="0.15">
      <c r="A195" s="154"/>
      <c r="B195" s="154"/>
      <c r="C195" s="152"/>
      <c r="D195" s="158"/>
      <c r="E195" s="154"/>
      <c r="F195" s="170"/>
      <c r="G195" s="171"/>
      <c r="H195" s="152"/>
      <c r="I195" s="158"/>
      <c r="J195" s="152"/>
      <c r="K195" s="157"/>
      <c r="L195" s="154"/>
      <c r="M195" s="152"/>
      <c r="N195" s="157"/>
      <c r="O195" s="152">
        <f t="shared" si="23"/>
        <v>154185.57099999988</v>
      </c>
      <c r="P195" s="152">
        <f t="shared" si="24"/>
        <v>550072.81599999999</v>
      </c>
    </row>
    <row r="196" spans="1:16" hidden="1" x14ac:dyDescent="0.15">
      <c r="A196" s="154"/>
      <c r="B196" s="154"/>
      <c r="C196" s="152"/>
      <c r="D196" s="158"/>
      <c r="E196" s="154"/>
      <c r="F196" s="154"/>
      <c r="G196" s="163"/>
      <c r="H196" s="152"/>
      <c r="I196" s="158"/>
      <c r="J196" s="152"/>
      <c r="K196" s="150"/>
      <c r="L196" s="154"/>
      <c r="M196" s="152"/>
      <c r="N196" s="157"/>
      <c r="O196" s="152">
        <f t="shared" si="23"/>
        <v>154185.57099999988</v>
      </c>
      <c r="P196" s="152">
        <f t="shared" si="24"/>
        <v>550072.81599999999</v>
      </c>
    </row>
    <row r="197" spans="1:16" hidden="1" x14ac:dyDescent="0.15">
      <c r="A197" s="154"/>
      <c r="B197" s="154"/>
      <c r="C197" s="152"/>
      <c r="D197" s="158"/>
      <c r="E197" s="154"/>
      <c r="F197" s="154"/>
      <c r="G197" s="163"/>
      <c r="H197" s="152"/>
      <c r="I197" s="158"/>
      <c r="J197" s="152"/>
      <c r="K197" s="150"/>
      <c r="L197" s="154"/>
      <c r="M197" s="152"/>
      <c r="N197" s="157"/>
      <c r="O197" s="152">
        <f t="shared" si="23"/>
        <v>154185.57099999988</v>
      </c>
      <c r="P197" s="152">
        <f t="shared" si="24"/>
        <v>550072.81599999999</v>
      </c>
    </row>
    <row r="198" spans="1:16" hidden="1" x14ac:dyDescent="0.15">
      <c r="A198" s="154"/>
      <c r="B198" s="154"/>
      <c r="C198" s="152"/>
      <c r="D198" s="158"/>
      <c r="E198" s="154"/>
      <c r="F198" s="150"/>
      <c r="G198" s="171"/>
      <c r="H198" s="152"/>
      <c r="I198" s="158"/>
      <c r="J198" s="152"/>
      <c r="K198" s="157"/>
      <c r="L198" s="154"/>
      <c r="M198" s="152"/>
      <c r="N198" s="157"/>
      <c r="O198" s="152">
        <f t="shared" si="23"/>
        <v>154185.57099999988</v>
      </c>
      <c r="P198" s="152">
        <f t="shared" si="24"/>
        <v>550072.81599999999</v>
      </c>
    </row>
    <row r="199" spans="1:16" hidden="1" x14ac:dyDescent="0.15">
      <c r="A199" s="154"/>
      <c r="B199" s="154"/>
      <c r="C199" s="152"/>
      <c r="D199" s="158"/>
      <c r="E199" s="154"/>
      <c r="F199" s="150"/>
      <c r="G199" s="151"/>
      <c r="H199" s="152"/>
      <c r="I199" s="158"/>
      <c r="J199" s="152"/>
      <c r="K199" s="154"/>
      <c r="L199" s="154"/>
      <c r="M199" s="152"/>
      <c r="N199" s="157"/>
      <c r="O199" s="152">
        <f t="shared" si="23"/>
        <v>154185.57099999988</v>
      </c>
      <c r="P199" s="152">
        <f t="shared" si="24"/>
        <v>550072.81599999999</v>
      </c>
    </row>
    <row r="200" spans="1:16" hidden="1" x14ac:dyDescent="0.15">
      <c r="A200" s="154"/>
      <c r="B200" s="154"/>
      <c r="C200" s="152"/>
      <c r="D200" s="158"/>
      <c r="E200" s="154"/>
      <c r="F200" s="150"/>
      <c r="G200" s="151"/>
      <c r="H200" s="152"/>
      <c r="I200" s="158"/>
      <c r="J200" s="152"/>
      <c r="K200" s="154"/>
      <c r="L200" s="154"/>
      <c r="M200" s="152"/>
      <c r="N200" s="154"/>
      <c r="O200" s="152">
        <f t="shared" si="23"/>
        <v>154185.57099999988</v>
      </c>
      <c r="P200" s="152">
        <f t="shared" si="24"/>
        <v>550072.81599999999</v>
      </c>
    </row>
    <row r="201" spans="1:16" hidden="1" x14ac:dyDescent="0.15">
      <c r="A201" s="154"/>
      <c r="B201" s="154"/>
      <c r="C201" s="152"/>
      <c r="D201" s="158"/>
      <c r="E201" s="154"/>
      <c r="F201" s="170"/>
      <c r="G201" s="171"/>
      <c r="H201" s="152"/>
      <c r="I201" s="158"/>
      <c r="J201" s="152"/>
      <c r="K201" s="157"/>
      <c r="L201" s="154"/>
      <c r="M201" s="152"/>
      <c r="N201" s="157"/>
      <c r="O201" s="152">
        <f t="shared" si="23"/>
        <v>154185.57099999988</v>
      </c>
      <c r="P201" s="152">
        <f t="shared" si="24"/>
        <v>550072.81599999999</v>
      </c>
    </row>
    <row r="202" spans="1:16" hidden="1" x14ac:dyDescent="0.15">
      <c r="A202" s="154"/>
      <c r="B202" s="154"/>
      <c r="C202" s="152"/>
      <c r="D202" s="158"/>
      <c r="E202" s="154"/>
      <c r="F202" s="170"/>
      <c r="G202" s="168"/>
      <c r="H202" s="152"/>
      <c r="I202" s="158"/>
      <c r="J202" s="152"/>
      <c r="K202" s="157"/>
      <c r="L202" s="154"/>
      <c r="M202" s="152"/>
      <c r="N202" s="157"/>
      <c r="O202" s="152">
        <f t="shared" si="23"/>
        <v>154185.57099999988</v>
      </c>
      <c r="P202" s="152">
        <f t="shared" si="24"/>
        <v>550072.81599999999</v>
      </c>
    </row>
    <row r="203" spans="1:16" hidden="1" x14ac:dyDescent="0.15">
      <c r="A203" s="154"/>
      <c r="B203" s="154"/>
      <c r="C203" s="152"/>
      <c r="D203" s="158"/>
      <c r="E203" s="154"/>
      <c r="F203" s="170"/>
      <c r="G203" s="168"/>
      <c r="H203" s="152"/>
      <c r="I203" s="158"/>
      <c r="J203" s="152"/>
      <c r="K203" s="154"/>
      <c r="L203" s="154"/>
      <c r="M203" s="152"/>
      <c r="N203" s="157"/>
      <c r="O203" s="152">
        <f t="shared" si="23"/>
        <v>154185.57099999988</v>
      </c>
      <c r="P203" s="152">
        <f t="shared" si="24"/>
        <v>550072.81599999999</v>
      </c>
    </row>
    <row r="204" spans="1:16" hidden="1" x14ac:dyDescent="0.15">
      <c r="A204" s="154"/>
      <c r="B204" s="154"/>
      <c r="C204" s="152"/>
      <c r="D204" s="158"/>
      <c r="E204" s="154"/>
      <c r="F204" s="170"/>
      <c r="G204" s="171"/>
      <c r="H204" s="152"/>
      <c r="I204" s="158"/>
      <c r="J204" s="152"/>
      <c r="K204" s="157"/>
      <c r="L204" s="154"/>
      <c r="M204" s="152"/>
      <c r="N204" s="157"/>
      <c r="O204" s="152">
        <f t="shared" si="23"/>
        <v>154185.57099999988</v>
      </c>
      <c r="P204" s="152">
        <f t="shared" si="24"/>
        <v>550072.81599999999</v>
      </c>
    </row>
    <row r="205" spans="1:16" hidden="1" x14ac:dyDescent="0.15">
      <c r="A205" s="154"/>
      <c r="B205" s="154"/>
      <c r="C205" s="152"/>
      <c r="D205" s="158"/>
      <c r="E205" s="154"/>
      <c r="F205" s="154"/>
      <c r="G205" s="151"/>
      <c r="H205" s="152"/>
      <c r="I205" s="158"/>
      <c r="J205" s="152"/>
      <c r="K205" s="154"/>
      <c r="L205" s="154"/>
      <c r="M205" s="152"/>
      <c r="N205" s="157"/>
      <c r="O205" s="152">
        <f t="shared" si="23"/>
        <v>154185.57099999988</v>
      </c>
      <c r="P205" s="152">
        <f t="shared" si="24"/>
        <v>550072.81599999999</v>
      </c>
    </row>
    <row r="206" spans="1:16" hidden="1" x14ac:dyDescent="0.15">
      <c r="A206" s="154"/>
      <c r="B206" s="154"/>
      <c r="C206" s="152"/>
      <c r="D206" s="158"/>
      <c r="E206" s="154"/>
      <c r="F206" s="154"/>
      <c r="G206" s="151"/>
      <c r="H206" s="152"/>
      <c r="I206" s="158"/>
      <c r="J206" s="152"/>
      <c r="K206" s="154"/>
      <c r="L206" s="154"/>
      <c r="M206" s="152"/>
      <c r="N206" s="157"/>
      <c r="O206" s="152">
        <f t="shared" si="23"/>
        <v>154185.57099999988</v>
      </c>
      <c r="P206" s="152">
        <f t="shared" si="24"/>
        <v>550072.81599999999</v>
      </c>
    </row>
    <row r="207" spans="1:16" hidden="1" x14ac:dyDescent="0.15">
      <c r="A207" s="154"/>
      <c r="B207" s="154"/>
      <c r="C207" s="152"/>
      <c r="D207" s="158"/>
      <c r="E207" s="154"/>
      <c r="F207" s="170"/>
      <c r="G207" s="171"/>
      <c r="H207" s="152"/>
      <c r="I207" s="158"/>
      <c r="J207" s="152"/>
      <c r="K207" s="157"/>
      <c r="L207" s="154"/>
      <c r="M207" s="152"/>
      <c r="N207" s="157"/>
      <c r="O207" s="152">
        <f t="shared" si="23"/>
        <v>154185.57099999988</v>
      </c>
      <c r="P207" s="152">
        <f t="shared" si="24"/>
        <v>550072.81599999999</v>
      </c>
    </row>
    <row r="208" spans="1:16" hidden="1" x14ac:dyDescent="0.15">
      <c r="A208" s="154"/>
      <c r="B208" s="154"/>
      <c r="C208" s="152"/>
      <c r="D208" s="158"/>
      <c r="E208" s="154"/>
      <c r="F208" s="170"/>
      <c r="G208" s="151"/>
      <c r="H208" s="152"/>
      <c r="I208" s="158"/>
      <c r="J208" s="152"/>
      <c r="K208" s="154"/>
      <c r="L208" s="154"/>
      <c r="M208" s="152"/>
      <c r="N208" s="157"/>
      <c r="O208" s="152">
        <f t="shared" si="23"/>
        <v>154185.57099999988</v>
      </c>
      <c r="P208" s="152">
        <f t="shared" si="24"/>
        <v>550072.81599999999</v>
      </c>
    </row>
    <row r="209" spans="1:16" hidden="1" x14ac:dyDescent="0.15">
      <c r="A209" s="154"/>
      <c r="B209" s="154"/>
      <c r="C209" s="152"/>
      <c r="D209" s="158"/>
      <c r="E209" s="154"/>
      <c r="F209" s="170"/>
      <c r="G209" s="151"/>
      <c r="H209" s="152"/>
      <c r="I209" s="158"/>
      <c r="J209" s="152"/>
      <c r="K209" s="154"/>
      <c r="L209" s="154"/>
      <c r="M209" s="152"/>
      <c r="N209" s="157"/>
      <c r="O209" s="152">
        <f t="shared" si="23"/>
        <v>154185.57099999988</v>
      </c>
      <c r="P209" s="152">
        <f t="shared" si="24"/>
        <v>550072.81599999999</v>
      </c>
    </row>
    <row r="210" spans="1:16" hidden="1" x14ac:dyDescent="0.15">
      <c r="A210" s="154"/>
      <c r="B210" s="154"/>
      <c r="C210" s="152"/>
      <c r="D210" s="158"/>
      <c r="E210" s="154"/>
      <c r="F210" s="157"/>
      <c r="G210" s="171"/>
      <c r="H210" s="152"/>
      <c r="I210" s="158"/>
      <c r="J210" s="152"/>
      <c r="K210" s="157"/>
      <c r="L210" s="154"/>
      <c r="M210" s="152"/>
      <c r="N210" s="157"/>
      <c r="O210" s="152">
        <f t="shared" si="23"/>
        <v>154185.57099999988</v>
      </c>
      <c r="P210" s="152">
        <f t="shared" si="24"/>
        <v>550072.81599999999</v>
      </c>
    </row>
    <row r="211" spans="1:16" hidden="1" x14ac:dyDescent="0.15">
      <c r="A211" s="154"/>
      <c r="B211" s="154"/>
      <c r="C211" s="152"/>
      <c r="D211" s="158"/>
      <c r="E211" s="154"/>
      <c r="F211" s="157"/>
      <c r="G211" s="172"/>
      <c r="H211" s="152"/>
      <c r="I211" s="158"/>
      <c r="J211" s="152"/>
      <c r="K211" s="154"/>
      <c r="L211" s="154"/>
      <c r="M211" s="152"/>
      <c r="N211" s="157"/>
      <c r="O211" s="152">
        <f t="shared" si="23"/>
        <v>154185.57099999988</v>
      </c>
      <c r="P211" s="152">
        <f t="shared" si="24"/>
        <v>550072.81599999999</v>
      </c>
    </row>
    <row r="212" spans="1:16" hidden="1" x14ac:dyDescent="0.15">
      <c r="A212" s="154"/>
      <c r="B212" s="154"/>
      <c r="C212" s="152"/>
      <c r="D212" s="158"/>
      <c r="E212" s="154"/>
      <c r="F212" s="157"/>
      <c r="G212" s="172"/>
      <c r="H212" s="152"/>
      <c r="I212" s="158"/>
      <c r="J212" s="152"/>
      <c r="K212" s="157"/>
      <c r="L212" s="154"/>
      <c r="M212" s="152"/>
      <c r="N212" s="157"/>
      <c r="O212" s="152">
        <f t="shared" si="23"/>
        <v>154185.57099999988</v>
      </c>
      <c r="P212" s="152">
        <f t="shared" si="24"/>
        <v>550072.81599999999</v>
      </c>
    </row>
    <row r="213" spans="1:16" hidden="1" x14ac:dyDescent="0.15">
      <c r="A213" s="154"/>
      <c r="B213" s="154"/>
      <c r="C213" s="152"/>
      <c r="D213" s="158"/>
      <c r="E213" s="154"/>
      <c r="F213" s="157"/>
      <c r="G213" s="172"/>
      <c r="H213" s="152"/>
      <c r="I213" s="158"/>
      <c r="J213" s="152"/>
      <c r="K213" s="154"/>
      <c r="L213" s="154"/>
      <c r="M213" s="152"/>
      <c r="N213" s="157"/>
      <c r="O213" s="152">
        <f t="shared" si="23"/>
        <v>154185.57099999988</v>
      </c>
      <c r="P213" s="152">
        <f t="shared" si="24"/>
        <v>550072.81599999999</v>
      </c>
    </row>
    <row r="214" spans="1:16" hidden="1" x14ac:dyDescent="0.15">
      <c r="A214" s="154"/>
      <c r="B214" s="154"/>
      <c r="C214" s="152"/>
      <c r="D214" s="158"/>
      <c r="E214" s="154"/>
      <c r="F214" s="154"/>
      <c r="G214" s="151"/>
      <c r="H214" s="152"/>
      <c r="I214" s="158"/>
      <c r="J214" s="152"/>
      <c r="K214" s="154"/>
      <c r="L214" s="154"/>
      <c r="M214" s="152"/>
      <c r="N214" s="157"/>
      <c r="O214" s="152">
        <f t="shared" si="23"/>
        <v>154185.57099999988</v>
      </c>
      <c r="P214" s="152">
        <f t="shared" si="24"/>
        <v>550072.81599999999</v>
      </c>
    </row>
    <row r="215" spans="1:16" hidden="1" x14ac:dyDescent="0.15">
      <c r="A215" s="154"/>
      <c r="B215" s="154"/>
      <c r="C215" s="152"/>
      <c r="D215" s="158"/>
      <c r="E215" s="154"/>
      <c r="F215" s="157"/>
      <c r="G215" s="172"/>
      <c r="H215" s="152"/>
      <c r="I215" s="158"/>
      <c r="J215" s="152"/>
      <c r="K215" s="154"/>
      <c r="L215" s="154"/>
      <c r="M215" s="152"/>
      <c r="N215" s="154"/>
      <c r="O215" s="152">
        <f t="shared" si="23"/>
        <v>154185.57099999988</v>
      </c>
      <c r="P215" s="152">
        <f t="shared" si="24"/>
        <v>550072.81599999999</v>
      </c>
    </row>
    <row r="216" spans="1:16" hidden="1" x14ac:dyDescent="0.15">
      <c r="A216" s="154"/>
      <c r="B216" s="154"/>
      <c r="C216" s="152"/>
      <c r="D216" s="158"/>
      <c r="E216" s="154"/>
      <c r="F216" s="157"/>
      <c r="G216" s="172"/>
      <c r="H216" s="152"/>
      <c r="I216" s="158"/>
      <c r="J216" s="152"/>
      <c r="K216" s="154"/>
      <c r="L216" s="154"/>
      <c r="M216" s="152"/>
      <c r="N216" s="154"/>
      <c r="O216" s="152">
        <f t="shared" si="23"/>
        <v>154185.57099999988</v>
      </c>
      <c r="P216" s="152">
        <f t="shared" si="24"/>
        <v>550072.81599999999</v>
      </c>
    </row>
    <row r="217" spans="1:16" hidden="1" x14ac:dyDescent="0.15">
      <c r="A217" s="154"/>
      <c r="B217" s="154"/>
      <c r="C217" s="152"/>
      <c r="D217" s="158"/>
      <c r="E217" s="154"/>
      <c r="F217" s="157"/>
      <c r="G217" s="172"/>
      <c r="H217" s="152"/>
      <c r="I217" s="158"/>
      <c r="J217" s="152"/>
      <c r="K217" s="154"/>
      <c r="L217" s="154"/>
      <c r="M217" s="152"/>
      <c r="N217" s="154"/>
      <c r="O217" s="152">
        <f t="shared" si="23"/>
        <v>154185.57099999988</v>
      </c>
      <c r="P217" s="152">
        <f t="shared" si="24"/>
        <v>550072.81599999999</v>
      </c>
    </row>
    <row r="218" spans="1:16" hidden="1" x14ac:dyDescent="0.15">
      <c r="A218" s="154"/>
      <c r="B218" s="154"/>
      <c r="C218" s="152"/>
      <c r="D218" s="158"/>
      <c r="E218" s="154"/>
      <c r="F218" s="154"/>
      <c r="G218" s="163"/>
      <c r="H218" s="152"/>
      <c r="I218" s="158"/>
      <c r="J218" s="152"/>
      <c r="K218" s="154"/>
      <c r="L218" s="154"/>
      <c r="M218" s="152"/>
      <c r="N218" s="154"/>
      <c r="O218" s="152">
        <f t="shared" si="23"/>
        <v>154185.57099999988</v>
      </c>
      <c r="P218" s="152">
        <f t="shared" si="24"/>
        <v>550072.81599999999</v>
      </c>
    </row>
    <row r="219" spans="1:16" x14ac:dyDescent="0.15">
      <c r="A219" s="173"/>
      <c r="B219" s="173"/>
      <c r="C219" s="174"/>
      <c r="D219" s="175"/>
      <c r="E219" s="173"/>
      <c r="F219" s="173"/>
      <c r="G219" s="176"/>
      <c r="H219" s="174"/>
      <c r="I219" s="175"/>
      <c r="J219" s="174"/>
      <c r="K219" s="173"/>
      <c r="L219" s="173"/>
      <c r="M219" s="174"/>
      <c r="N219" s="173"/>
      <c r="O219" s="152">
        <f t="shared" si="23"/>
        <v>154185.57099999988</v>
      </c>
      <c r="P219" s="152">
        <f t="shared" si="24"/>
        <v>550072.81599999999</v>
      </c>
    </row>
    <row r="220" spans="1:16" x14ac:dyDescent="0.15">
      <c r="A220" s="177"/>
      <c r="B220" s="177"/>
      <c r="C220" s="178">
        <f>SUM(C7:C206)</f>
        <v>615965.72899999993</v>
      </c>
      <c r="D220" s="177"/>
      <c r="E220" s="177"/>
      <c r="F220" s="177"/>
      <c r="G220" s="177"/>
      <c r="H220" s="178">
        <f>SUM(H7:H218)</f>
        <v>1844170.8069999998</v>
      </c>
      <c r="I220" s="179"/>
      <c r="J220" s="178">
        <f>SUM(J7:J218)</f>
        <v>6012</v>
      </c>
      <c r="K220" s="177"/>
      <c r="L220" s="177"/>
      <c r="M220" s="178">
        <f>SUM(M9:M218)</f>
        <v>1904051.72</v>
      </c>
      <c r="N220" s="177"/>
      <c r="O220" s="180"/>
      <c r="P220" s="181">
        <f>C220+H220-J220-M220</f>
        <v>550072.81599999988</v>
      </c>
    </row>
    <row r="221" spans="1:16" x14ac:dyDescent="0.15">
      <c r="A221" s="182"/>
      <c r="B221" s="465"/>
      <c r="C221" s="465"/>
      <c r="D221" s="465"/>
      <c r="E221" s="183"/>
      <c r="F221" s="472"/>
      <c r="G221" s="472"/>
      <c r="H221" s="185"/>
      <c r="I221" s="186"/>
      <c r="J221" s="187"/>
      <c r="K221" s="188"/>
      <c r="L221" s="189" t="s">
        <v>139</v>
      </c>
      <c r="M221" s="190">
        <f>+M220+J220</f>
        <v>1910063.72</v>
      </c>
      <c r="N221" s="188"/>
      <c r="O221" s="191">
        <f>+O219</f>
        <v>154185.57099999988</v>
      </c>
      <c r="P221" s="192" t="s">
        <v>258</v>
      </c>
    </row>
    <row r="222" spans="1:16" s="167" customFormat="1" x14ac:dyDescent="0.15">
      <c r="A222" s="193" t="s">
        <v>211</v>
      </c>
      <c r="B222" s="470" t="s">
        <v>224</v>
      </c>
      <c r="C222" s="470"/>
      <c r="D222" s="470"/>
      <c r="E222" s="183" t="s">
        <v>55</v>
      </c>
      <c r="F222" s="472">
        <v>25529453.960000001</v>
      </c>
      <c r="G222" s="472"/>
      <c r="H222" s="185" t="s">
        <v>56</v>
      </c>
      <c r="I222" s="186">
        <v>40206</v>
      </c>
      <c r="J222" s="187" t="s">
        <v>71</v>
      </c>
      <c r="K222" s="210">
        <f>SUM(M10:M12)</f>
        <v>170528</v>
      </c>
      <c r="L222" s="188"/>
      <c r="M222" s="190"/>
      <c r="N222" s="188"/>
      <c r="O222" s="191">
        <f>+H45+H47+H49</f>
        <v>243937.342</v>
      </c>
      <c r="P222" s="192" t="s">
        <v>257</v>
      </c>
    </row>
    <row r="223" spans="1:16" s="167" customFormat="1" x14ac:dyDescent="0.15">
      <c r="A223" s="193" t="s">
        <v>213</v>
      </c>
      <c r="B223" s="470" t="s">
        <v>259</v>
      </c>
      <c r="C223" s="470"/>
      <c r="D223" s="470"/>
      <c r="E223" s="183" t="s">
        <v>55</v>
      </c>
      <c r="F223" s="472">
        <v>144333736.77000001</v>
      </c>
      <c r="G223" s="472"/>
      <c r="H223" s="185" t="s">
        <v>56</v>
      </c>
      <c r="I223" s="186">
        <v>40210</v>
      </c>
      <c r="J223" s="187" t="s">
        <v>71</v>
      </c>
      <c r="K223" s="210">
        <f>SUM(M13:M17)</f>
        <v>293393</v>
      </c>
      <c r="L223" s="188"/>
      <c r="M223" s="190"/>
      <c r="N223" s="188"/>
      <c r="O223" s="191">
        <f>+H53+H54</f>
        <v>151949.90299999999</v>
      </c>
      <c r="P223" s="192" t="s">
        <v>313</v>
      </c>
    </row>
    <row r="224" spans="1:16" s="167" customFormat="1" x14ac:dyDescent="0.15">
      <c r="A224" s="193" t="s">
        <v>215</v>
      </c>
      <c r="B224" s="470" t="s">
        <v>262</v>
      </c>
      <c r="C224" s="470"/>
      <c r="D224" s="470"/>
      <c r="E224" s="183" t="s">
        <v>55</v>
      </c>
      <c r="F224" s="472">
        <v>25745820.890000001</v>
      </c>
      <c r="G224" s="472"/>
      <c r="H224" s="185" t="s">
        <v>56</v>
      </c>
      <c r="I224" s="186">
        <v>40213</v>
      </c>
      <c r="J224" s="187" t="s">
        <v>71</v>
      </c>
      <c r="K224" s="210">
        <f>SUM(M18:M23)</f>
        <v>150990</v>
      </c>
      <c r="L224" s="188"/>
      <c r="M224" s="190"/>
      <c r="N224" s="188"/>
      <c r="O224" s="191"/>
      <c r="P224" s="195"/>
    </row>
    <row r="225" spans="1:16" s="167" customFormat="1" ht="11.25" customHeight="1" x14ac:dyDescent="0.15">
      <c r="A225" s="193" t="s">
        <v>249</v>
      </c>
      <c r="B225" s="470" t="s">
        <v>263</v>
      </c>
      <c r="C225" s="470"/>
      <c r="D225" s="470"/>
      <c r="E225" s="183" t="s">
        <v>55</v>
      </c>
      <c r="F225" s="472">
        <v>17539364.460000001</v>
      </c>
      <c r="G225" s="472"/>
      <c r="H225" s="185" t="s">
        <v>56</v>
      </c>
      <c r="I225" s="186">
        <v>40217</v>
      </c>
      <c r="J225" s="187" t="s">
        <v>71</v>
      </c>
      <c r="K225" s="210">
        <f>SUM(M24:M27)</f>
        <v>262296</v>
      </c>
      <c r="L225" s="188"/>
      <c r="M225" s="190"/>
      <c r="N225" s="188"/>
      <c r="O225" s="191"/>
      <c r="P225" s="195"/>
    </row>
    <row r="226" spans="1:16" s="167" customFormat="1" ht="11.25" customHeight="1" x14ac:dyDescent="0.15">
      <c r="A226" s="193" t="s">
        <v>250</v>
      </c>
      <c r="B226" s="470" t="s">
        <v>260</v>
      </c>
      <c r="C226" s="470"/>
      <c r="D226" s="470"/>
      <c r="E226" s="183" t="s">
        <v>55</v>
      </c>
      <c r="F226" s="472">
        <v>93391786.969999999</v>
      </c>
      <c r="G226" s="472"/>
      <c r="H226" s="185" t="s">
        <v>56</v>
      </c>
      <c r="I226" s="186">
        <v>40220</v>
      </c>
      <c r="J226" s="187" t="s">
        <v>71</v>
      </c>
      <c r="K226" s="210">
        <f>SUM(M28:M33)</f>
        <v>253939</v>
      </c>
      <c r="L226" s="188"/>
      <c r="M226" s="190"/>
      <c r="N226" s="188"/>
      <c r="O226" s="191"/>
      <c r="P226" s="195"/>
    </row>
    <row r="227" spans="1:16" s="167" customFormat="1" ht="11.25" customHeight="1" x14ac:dyDescent="0.15">
      <c r="A227" s="193" t="s">
        <v>251</v>
      </c>
      <c r="B227" s="470" t="s">
        <v>264</v>
      </c>
      <c r="C227" s="470"/>
      <c r="D227" s="470"/>
      <c r="E227" s="183" t="s">
        <v>55</v>
      </c>
      <c r="F227" s="472">
        <v>55084434.740000002</v>
      </c>
      <c r="G227" s="472"/>
      <c r="H227" s="185" t="s">
        <v>56</v>
      </c>
      <c r="I227" s="186">
        <v>40224</v>
      </c>
      <c r="J227" s="187" t="s">
        <v>71</v>
      </c>
      <c r="K227" s="210">
        <f>SUM(M34:M36)</f>
        <v>99567</v>
      </c>
      <c r="L227" s="188"/>
      <c r="M227" s="190"/>
      <c r="N227" s="188"/>
      <c r="O227" s="191"/>
      <c r="P227" s="195"/>
    </row>
    <row r="228" spans="1:16" s="167" customFormat="1" ht="11.25" customHeight="1" x14ac:dyDescent="0.15">
      <c r="A228" s="193" t="s">
        <v>207</v>
      </c>
      <c r="B228" s="470" t="s">
        <v>221</v>
      </c>
      <c r="C228" s="470"/>
      <c r="D228" s="470"/>
      <c r="E228" s="183" t="s">
        <v>55</v>
      </c>
      <c r="F228" s="472">
        <v>93108729.469999999</v>
      </c>
      <c r="G228" s="472"/>
      <c r="H228" s="185" t="s">
        <v>56</v>
      </c>
      <c r="I228" s="186">
        <v>40197</v>
      </c>
      <c r="J228" s="187" t="s">
        <v>71</v>
      </c>
      <c r="K228" s="210">
        <f>SUM(M37)</f>
        <v>39979.72</v>
      </c>
      <c r="L228" s="188"/>
      <c r="M228" s="190"/>
      <c r="N228" s="188"/>
      <c r="O228" s="191"/>
      <c r="P228" s="195"/>
    </row>
    <row r="229" spans="1:16" s="167" customFormat="1" ht="11.25" customHeight="1" x14ac:dyDescent="0.15">
      <c r="A229" s="193" t="s">
        <v>253</v>
      </c>
      <c r="B229" s="470" t="s">
        <v>265</v>
      </c>
      <c r="C229" s="470"/>
      <c r="D229" s="470"/>
      <c r="E229" s="183" t="s">
        <v>55</v>
      </c>
      <c r="F229" s="472">
        <v>14573717.91</v>
      </c>
      <c r="G229" s="472"/>
      <c r="H229" s="185" t="s">
        <v>56</v>
      </c>
      <c r="I229" s="186">
        <v>40227</v>
      </c>
      <c r="J229" s="187" t="s">
        <v>71</v>
      </c>
      <c r="K229" s="210">
        <f>SUM(M38:M43)</f>
        <v>261737</v>
      </c>
      <c r="L229" s="188"/>
      <c r="M229" s="190"/>
      <c r="N229" s="188"/>
      <c r="O229" s="191"/>
      <c r="P229" s="195"/>
    </row>
    <row r="230" spans="1:16" s="167" customFormat="1" ht="11.25" customHeight="1" x14ac:dyDescent="0.15">
      <c r="A230" s="193" t="s">
        <v>254</v>
      </c>
      <c r="B230" s="470" t="s">
        <v>261</v>
      </c>
      <c r="C230" s="470"/>
      <c r="D230" s="470"/>
      <c r="E230" s="183" t="s">
        <v>55</v>
      </c>
      <c r="F230" s="472">
        <v>89971819.829999998</v>
      </c>
      <c r="G230" s="472"/>
      <c r="H230" s="185" t="s">
        <v>56</v>
      </c>
      <c r="I230" s="186">
        <v>40232</v>
      </c>
      <c r="J230" s="187" t="s">
        <v>71</v>
      </c>
      <c r="K230" s="210">
        <f>SUM(M44:M50)</f>
        <v>266075</v>
      </c>
      <c r="L230" s="188"/>
      <c r="M230" s="190"/>
      <c r="N230" s="188"/>
      <c r="O230" s="191"/>
      <c r="P230" s="195"/>
    </row>
    <row r="231" spans="1:16" s="167" customFormat="1" ht="11.25" customHeight="1" x14ac:dyDescent="0.15">
      <c r="A231" s="193" t="s">
        <v>255</v>
      </c>
      <c r="B231" s="470" t="s">
        <v>266</v>
      </c>
      <c r="C231" s="470"/>
      <c r="D231" s="470"/>
      <c r="E231" s="183" t="s">
        <v>55</v>
      </c>
      <c r="F231" s="472">
        <v>14206478.25</v>
      </c>
      <c r="G231" s="472"/>
      <c r="H231" s="185" t="s">
        <v>56</v>
      </c>
      <c r="I231" s="186">
        <v>40232</v>
      </c>
      <c r="J231" s="187" t="s">
        <v>71</v>
      </c>
      <c r="K231" s="210">
        <f>SUM(M51)</f>
        <v>75839</v>
      </c>
      <c r="L231" s="188"/>
      <c r="M231" s="190"/>
      <c r="N231" s="188"/>
      <c r="O231" s="191"/>
      <c r="P231" s="195"/>
    </row>
    <row r="232" spans="1:16" s="167" customFormat="1" x14ac:dyDescent="0.15">
      <c r="A232" s="193" t="s">
        <v>258</v>
      </c>
      <c r="B232" s="470" t="s">
        <v>267</v>
      </c>
      <c r="C232" s="470"/>
      <c r="D232" s="470"/>
      <c r="E232" s="183" t="s">
        <v>55</v>
      </c>
      <c r="F232" s="472">
        <v>12490173.300000001</v>
      </c>
      <c r="G232" s="472"/>
      <c r="H232" s="185" t="s">
        <v>56</v>
      </c>
      <c r="I232" s="186">
        <v>40239</v>
      </c>
      <c r="J232" s="187" t="s">
        <v>71</v>
      </c>
      <c r="K232" s="210">
        <f>SUM(M52:M54)</f>
        <v>29708</v>
      </c>
      <c r="L232" s="188"/>
      <c r="M232" s="190"/>
      <c r="N232" s="188"/>
      <c r="O232" s="206" t="s">
        <v>33</v>
      </c>
      <c r="P232" s="207">
        <f>SUM(O221:O231)</f>
        <v>550072.81599999988</v>
      </c>
    </row>
    <row r="233" spans="1:16" s="167" customFormat="1" ht="12" thickBot="1" x14ac:dyDescent="0.2">
      <c r="A233" s="193"/>
      <c r="B233" s="470"/>
      <c r="C233" s="470"/>
      <c r="D233" s="470"/>
      <c r="E233" s="183"/>
      <c r="F233" s="472"/>
      <c r="G233" s="472"/>
      <c r="H233" s="185"/>
      <c r="I233" s="186"/>
      <c r="J233" s="187"/>
      <c r="K233" s="211">
        <f>SUM(K222:K232)</f>
        <v>1904051.72</v>
      </c>
      <c r="L233" s="188"/>
      <c r="M233" s="190"/>
      <c r="N233" s="188"/>
      <c r="O233" s="190"/>
      <c r="P233" s="197">
        <f>+P220-P232</f>
        <v>0</v>
      </c>
    </row>
    <row r="234" spans="1:16" s="167" customFormat="1" ht="12" thickTop="1" x14ac:dyDescent="0.15">
      <c r="A234" s="193"/>
      <c r="B234" s="470"/>
      <c r="C234" s="470"/>
      <c r="D234" s="470"/>
      <c r="E234" s="183"/>
      <c r="F234" s="472"/>
      <c r="G234" s="472"/>
      <c r="H234" s="185"/>
      <c r="I234" s="186"/>
      <c r="J234" s="187"/>
      <c r="K234" s="210"/>
      <c r="L234" s="188"/>
      <c r="M234" s="190"/>
      <c r="N234" s="188"/>
      <c r="O234" s="188"/>
      <c r="P234" s="198"/>
    </row>
    <row r="235" spans="1:16" x14ac:dyDescent="0.15">
      <c r="J235" s="132" t="s">
        <v>105</v>
      </c>
      <c r="K235" s="205">
        <v>1050665</v>
      </c>
    </row>
    <row r="236" spans="1:16" x14ac:dyDescent="0.15">
      <c r="J236" s="132" t="s">
        <v>106</v>
      </c>
      <c r="K236" s="205">
        <v>853386.72</v>
      </c>
    </row>
    <row r="237" spans="1:16" ht="12" thickBot="1" x14ac:dyDescent="0.2">
      <c r="K237" s="212">
        <f>SUM(K235:K236)</f>
        <v>1904051.72</v>
      </c>
    </row>
    <row r="238" spans="1:16" ht="12" thickTop="1" x14ac:dyDescent="0.15">
      <c r="K238" s="205"/>
    </row>
    <row r="239" spans="1:16" x14ac:dyDescent="0.15">
      <c r="K239" s="205"/>
    </row>
  </sheetData>
  <sortState ref="A243:P253">
    <sortCondition ref="J243:J253"/>
  </sortState>
  <mergeCells count="34">
    <mergeCell ref="B234:D234"/>
    <mergeCell ref="F234:G234"/>
    <mergeCell ref="B223:D223"/>
    <mergeCell ref="B227:D227"/>
    <mergeCell ref="B230:D230"/>
    <mergeCell ref="B232:D232"/>
    <mergeCell ref="B231:D231"/>
    <mergeCell ref="F231:G231"/>
    <mergeCell ref="B229:D229"/>
    <mergeCell ref="F229:G229"/>
    <mergeCell ref="F230:G230"/>
    <mergeCell ref="F232:G232"/>
    <mergeCell ref="B233:D233"/>
    <mergeCell ref="F233:G233"/>
    <mergeCell ref="B225:D225"/>
    <mergeCell ref="F225:G225"/>
    <mergeCell ref="B226:D226"/>
    <mergeCell ref="F226:G226"/>
    <mergeCell ref="F227:G227"/>
    <mergeCell ref="B228:D228"/>
    <mergeCell ref="F228:G228"/>
    <mergeCell ref="B224:D224"/>
    <mergeCell ref="F224:G224"/>
    <mergeCell ref="J3:L3"/>
    <mergeCell ref="A4:C4"/>
    <mergeCell ref="D4:H4"/>
    <mergeCell ref="I4:N4"/>
    <mergeCell ref="J5:K5"/>
    <mergeCell ref="L5:N5"/>
    <mergeCell ref="B221:D221"/>
    <mergeCell ref="F221:G221"/>
    <mergeCell ref="B222:D222"/>
    <mergeCell ref="F222:G222"/>
    <mergeCell ref="F223:G223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opLeftCell="E1" zoomScale="115" zoomScaleNormal="115" workbookViewId="0">
      <pane ySplit="6" topLeftCell="A40" activePane="bottomLeft" state="frozen"/>
      <selection pane="bottomLeft" activeCell="G49" sqref="G49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175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154</v>
      </c>
      <c r="B7" s="146"/>
      <c r="C7" s="147">
        <v>294925.25099999993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294925.25099999993</v>
      </c>
      <c r="P7" s="147">
        <f>+C203</f>
        <v>370872.69799999992</v>
      </c>
    </row>
    <row r="8" spans="1:16" x14ac:dyDescent="0.15">
      <c r="A8" s="154" t="s">
        <v>155</v>
      </c>
      <c r="B8" s="151"/>
      <c r="C8" s="152">
        <v>75947.447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294925.25099999993</v>
      </c>
      <c r="P8" s="152">
        <f t="shared" ref="P8:P9" si="0">P7+H8-J8-M8</f>
        <v>370872.69799999992</v>
      </c>
    </row>
    <row r="9" spans="1:16" x14ac:dyDescent="0.15">
      <c r="A9" s="154"/>
      <c r="B9" s="151"/>
      <c r="C9" s="152"/>
      <c r="D9" s="154" t="s">
        <v>178</v>
      </c>
      <c r="E9" s="154" t="s">
        <v>72</v>
      </c>
      <c r="F9" s="154" t="s">
        <v>155</v>
      </c>
      <c r="G9" s="154"/>
      <c r="H9" s="152">
        <v>132013.19</v>
      </c>
      <c r="I9" s="154" t="s">
        <v>178</v>
      </c>
      <c r="J9" s="152"/>
      <c r="K9" s="154"/>
      <c r="L9" s="154"/>
      <c r="M9" s="152"/>
      <c r="N9" s="154"/>
      <c r="O9" s="152">
        <f t="shared" ref="O9" si="1">+O8-J9-M9</f>
        <v>294925.25099999993</v>
      </c>
      <c r="P9" s="152">
        <f t="shared" si="0"/>
        <v>502885.88799999992</v>
      </c>
    </row>
    <row r="10" spans="1:16" x14ac:dyDescent="0.15">
      <c r="A10" s="154"/>
      <c r="B10" s="151"/>
      <c r="C10" s="152"/>
      <c r="D10" s="153" t="s">
        <v>176</v>
      </c>
      <c r="E10" s="154" t="s">
        <v>72</v>
      </c>
      <c r="F10" s="157" t="s">
        <v>155</v>
      </c>
      <c r="G10" s="154"/>
      <c r="H10" s="152">
        <v>32540</v>
      </c>
      <c r="I10" s="153" t="s">
        <v>176</v>
      </c>
      <c r="J10" s="152"/>
      <c r="K10" s="150"/>
      <c r="L10" s="154" t="s">
        <v>225</v>
      </c>
      <c r="M10" s="152">
        <v>8964</v>
      </c>
      <c r="N10" s="150" t="s">
        <v>154</v>
      </c>
      <c r="O10" s="152">
        <f t="shared" ref="O10:O83" si="2">+O9-J10-M10</f>
        <v>285961.25099999993</v>
      </c>
      <c r="P10" s="152">
        <f t="shared" ref="P10:P83" si="3">P9+H10-J10-M10</f>
        <v>526461.88799999992</v>
      </c>
    </row>
    <row r="11" spans="1:16" x14ac:dyDescent="0.15">
      <c r="A11" s="154"/>
      <c r="B11" s="151"/>
      <c r="C11" s="152"/>
      <c r="D11" s="153" t="s">
        <v>176</v>
      </c>
      <c r="E11" s="154" t="s">
        <v>72</v>
      </c>
      <c r="F11" s="157" t="s">
        <v>200</v>
      </c>
      <c r="G11" s="154"/>
      <c r="H11" s="152">
        <v>75377</v>
      </c>
      <c r="I11" s="153" t="s">
        <v>176</v>
      </c>
      <c r="J11" s="152"/>
      <c r="K11" s="150"/>
      <c r="L11" s="154"/>
      <c r="M11" s="152"/>
      <c r="N11" s="150"/>
      <c r="O11" s="152">
        <f t="shared" si="2"/>
        <v>285961.25099999993</v>
      </c>
      <c r="P11" s="152">
        <f t="shared" si="3"/>
        <v>601838.88799999992</v>
      </c>
    </row>
    <row r="12" spans="1:16" x14ac:dyDescent="0.15">
      <c r="A12" s="154"/>
      <c r="B12" s="151"/>
      <c r="C12" s="152"/>
      <c r="D12" s="153" t="s">
        <v>177</v>
      </c>
      <c r="E12" s="154" t="s">
        <v>72</v>
      </c>
      <c r="F12" s="157" t="s">
        <v>200</v>
      </c>
      <c r="G12" s="154"/>
      <c r="H12" s="152">
        <v>55983.370999999999</v>
      </c>
      <c r="I12" s="153" t="s">
        <v>177</v>
      </c>
      <c r="J12" s="152">
        <v>764</v>
      </c>
      <c r="K12" s="150" t="s">
        <v>154</v>
      </c>
      <c r="L12" s="154" t="s">
        <v>225</v>
      </c>
      <c r="M12" s="152">
        <v>46136</v>
      </c>
      <c r="N12" s="150" t="s">
        <v>154</v>
      </c>
      <c r="O12" s="152">
        <f t="shared" si="2"/>
        <v>239061.25099999993</v>
      </c>
      <c r="P12" s="152">
        <f t="shared" si="3"/>
        <v>610922.25899999996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3" t="s">
        <v>177</v>
      </c>
      <c r="J13" s="152"/>
      <c r="K13" s="150"/>
      <c r="L13" s="154" t="s">
        <v>225</v>
      </c>
      <c r="M13" s="152">
        <v>86422</v>
      </c>
      <c r="N13" s="150" t="s">
        <v>154</v>
      </c>
      <c r="O13" s="152">
        <f t="shared" si="2"/>
        <v>152639.25099999993</v>
      </c>
      <c r="P13" s="152">
        <f t="shared" si="3"/>
        <v>524500.25899999996</v>
      </c>
    </row>
    <row r="14" spans="1:16" x14ac:dyDescent="0.15">
      <c r="A14" s="154"/>
      <c r="B14" s="151"/>
      <c r="C14" s="152"/>
      <c r="D14" s="153" t="s">
        <v>179</v>
      </c>
      <c r="E14" s="154" t="s">
        <v>72</v>
      </c>
      <c r="F14" s="157" t="s">
        <v>200</v>
      </c>
      <c r="G14" s="154"/>
      <c r="H14" s="152">
        <v>35975</v>
      </c>
      <c r="I14" s="153" t="s">
        <v>179</v>
      </c>
      <c r="J14" s="152"/>
      <c r="K14" s="150"/>
      <c r="L14" s="154" t="s">
        <v>225</v>
      </c>
      <c r="M14" s="152">
        <v>46403</v>
      </c>
      <c r="N14" s="154" t="s">
        <v>154</v>
      </c>
      <c r="O14" s="152">
        <f t="shared" si="2"/>
        <v>106236.25099999993</v>
      </c>
      <c r="P14" s="152">
        <f t="shared" si="3"/>
        <v>514072.25899999996</v>
      </c>
    </row>
    <row r="15" spans="1:16" x14ac:dyDescent="0.15">
      <c r="A15" s="154"/>
      <c r="B15" s="151"/>
      <c r="C15" s="152"/>
      <c r="D15" s="153" t="s">
        <v>179</v>
      </c>
      <c r="E15" s="154" t="s">
        <v>72</v>
      </c>
      <c r="F15" s="157" t="s">
        <v>201</v>
      </c>
      <c r="G15" s="154"/>
      <c r="H15" s="152">
        <v>39947</v>
      </c>
      <c r="I15" s="153" t="s">
        <v>179</v>
      </c>
      <c r="J15" s="152"/>
      <c r="K15" s="150"/>
      <c r="L15" s="154" t="s">
        <v>225</v>
      </c>
      <c r="M15" s="152">
        <v>74968</v>
      </c>
      <c r="N15" s="150" t="s">
        <v>154</v>
      </c>
      <c r="O15" s="152">
        <f t="shared" si="2"/>
        <v>31268.250999999931</v>
      </c>
      <c r="P15" s="152">
        <f t="shared" si="3"/>
        <v>479051.25899999996</v>
      </c>
    </row>
    <row r="16" spans="1:16" x14ac:dyDescent="0.15">
      <c r="A16" s="154"/>
      <c r="B16" s="151"/>
      <c r="C16" s="152"/>
      <c r="D16" s="153" t="s">
        <v>180</v>
      </c>
      <c r="E16" s="154" t="s">
        <v>72</v>
      </c>
      <c r="F16" s="157" t="s">
        <v>201</v>
      </c>
      <c r="G16" s="154"/>
      <c r="H16" s="152">
        <v>91920.918000000005</v>
      </c>
      <c r="I16" s="153" t="s">
        <v>180</v>
      </c>
      <c r="J16" s="152">
        <v>2141</v>
      </c>
      <c r="K16" s="150" t="s">
        <v>154</v>
      </c>
      <c r="L16" s="154" t="s">
        <v>225</v>
      </c>
      <c r="M16" s="152">
        <v>29127</v>
      </c>
      <c r="N16" s="154" t="s">
        <v>154</v>
      </c>
      <c r="O16" s="152">
        <f t="shared" ref="O16:O20" si="4">+O15-J16-M16</f>
        <v>0.25099999993108213</v>
      </c>
      <c r="P16" s="152">
        <f t="shared" ref="P16:P20" si="5">P15+H16-J16-M16</f>
        <v>539704.17699999991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3" t="s">
        <v>180</v>
      </c>
      <c r="J17" s="152"/>
      <c r="K17" s="150"/>
      <c r="L17" s="154" t="s">
        <v>226</v>
      </c>
      <c r="M17" s="152">
        <v>49847</v>
      </c>
      <c r="N17" s="154" t="s">
        <v>155</v>
      </c>
      <c r="O17" s="152">
        <f>C8+H9+H10+O16-J17-M17</f>
        <v>190653.88799999992</v>
      </c>
      <c r="P17" s="152">
        <f t="shared" si="5"/>
        <v>489857.17699999991</v>
      </c>
    </row>
    <row r="18" spans="1:16" x14ac:dyDescent="0.15">
      <c r="A18" s="154"/>
      <c r="B18" s="151"/>
      <c r="C18" s="152"/>
      <c r="D18" s="153" t="s">
        <v>181</v>
      </c>
      <c r="E18" s="154" t="s">
        <v>72</v>
      </c>
      <c r="F18" s="157" t="s">
        <v>201</v>
      </c>
      <c r="G18" s="154"/>
      <c r="H18" s="152">
        <v>76018.25</v>
      </c>
      <c r="I18" s="153" t="s">
        <v>181</v>
      </c>
      <c r="J18" s="152"/>
      <c r="K18" s="154"/>
      <c r="L18" s="154" t="s">
        <v>226</v>
      </c>
      <c r="M18" s="152">
        <v>76370</v>
      </c>
      <c r="N18" s="154" t="s">
        <v>155</v>
      </c>
      <c r="O18" s="152">
        <f t="shared" si="4"/>
        <v>114283.88799999992</v>
      </c>
      <c r="P18" s="152">
        <f t="shared" si="5"/>
        <v>489505.42699999991</v>
      </c>
    </row>
    <row r="19" spans="1:16" x14ac:dyDescent="0.15">
      <c r="A19" s="154"/>
      <c r="B19" s="151"/>
      <c r="C19" s="152"/>
      <c r="D19" s="158"/>
      <c r="E19" s="154"/>
      <c r="F19" s="157"/>
      <c r="G19" s="154"/>
      <c r="H19" s="152"/>
      <c r="I19" s="153" t="s">
        <v>181</v>
      </c>
      <c r="J19" s="152"/>
      <c r="K19" s="150"/>
      <c r="L19" s="154" t="s">
        <v>226</v>
      </c>
      <c r="M19" s="152">
        <v>86421</v>
      </c>
      <c r="N19" s="154" t="s">
        <v>155</v>
      </c>
      <c r="O19" s="152">
        <f t="shared" si="4"/>
        <v>27862.887999999919</v>
      </c>
      <c r="P19" s="152">
        <f t="shared" si="5"/>
        <v>403084.42699999991</v>
      </c>
    </row>
    <row r="20" spans="1:16" x14ac:dyDescent="0.15">
      <c r="A20" s="154"/>
      <c r="B20" s="151"/>
      <c r="C20" s="152"/>
      <c r="D20" s="153" t="s">
        <v>202</v>
      </c>
      <c r="E20" s="154" t="s">
        <v>72</v>
      </c>
      <c r="F20" s="157" t="s">
        <v>203</v>
      </c>
      <c r="G20" s="154"/>
      <c r="H20" s="152">
        <v>52018.862000000001</v>
      </c>
      <c r="I20" s="153" t="s">
        <v>202</v>
      </c>
      <c r="J20" s="152"/>
      <c r="K20" s="150"/>
      <c r="L20" s="154"/>
      <c r="M20" s="152"/>
      <c r="N20" s="154"/>
      <c r="O20" s="152">
        <f t="shared" si="4"/>
        <v>27862.887999999919</v>
      </c>
      <c r="P20" s="152">
        <f t="shared" si="5"/>
        <v>455103.28899999993</v>
      </c>
    </row>
    <row r="21" spans="1:16" x14ac:dyDescent="0.15">
      <c r="A21" s="154"/>
      <c r="B21" s="151"/>
      <c r="C21" s="152"/>
      <c r="D21" s="153" t="s">
        <v>182</v>
      </c>
      <c r="E21" s="154" t="s">
        <v>72</v>
      </c>
      <c r="F21" s="157" t="s">
        <v>203</v>
      </c>
      <c r="G21" s="154"/>
      <c r="H21" s="152">
        <v>76013</v>
      </c>
      <c r="I21" s="153" t="s">
        <v>182</v>
      </c>
      <c r="J21" s="152"/>
      <c r="K21" s="150"/>
      <c r="L21" s="154" t="s">
        <v>226</v>
      </c>
      <c r="M21" s="152">
        <v>20088</v>
      </c>
      <c r="N21" s="154" t="s">
        <v>155</v>
      </c>
      <c r="O21" s="152">
        <f t="shared" si="2"/>
        <v>7774.887999999919</v>
      </c>
      <c r="P21" s="152">
        <f t="shared" si="3"/>
        <v>511028.28899999987</v>
      </c>
    </row>
    <row r="22" spans="1:16" x14ac:dyDescent="0.15">
      <c r="A22" s="154"/>
      <c r="B22" s="151"/>
      <c r="C22" s="152"/>
      <c r="D22" s="153" t="s">
        <v>204</v>
      </c>
      <c r="E22" s="154" t="s">
        <v>72</v>
      </c>
      <c r="F22" s="157" t="s">
        <v>205</v>
      </c>
      <c r="G22" s="154"/>
      <c r="H22" s="152">
        <v>75961.467999999993</v>
      </c>
      <c r="I22" s="153" t="s">
        <v>204</v>
      </c>
      <c r="J22" s="152"/>
      <c r="K22" s="150"/>
      <c r="L22" s="154"/>
      <c r="M22" s="152"/>
      <c r="N22" s="154"/>
      <c r="O22" s="152">
        <f t="shared" si="2"/>
        <v>7774.887999999919</v>
      </c>
      <c r="P22" s="152">
        <f t="shared" si="3"/>
        <v>586989.75699999987</v>
      </c>
    </row>
    <row r="23" spans="1:16" x14ac:dyDescent="0.15">
      <c r="A23" s="154"/>
      <c r="B23" s="151"/>
      <c r="C23" s="152"/>
      <c r="D23" s="153" t="s">
        <v>183</v>
      </c>
      <c r="E23" s="154" t="s">
        <v>72</v>
      </c>
      <c r="F23" s="157" t="s">
        <v>205</v>
      </c>
      <c r="G23" s="154"/>
      <c r="H23" s="152">
        <v>75927.998000000007</v>
      </c>
      <c r="I23" s="153" t="s">
        <v>183</v>
      </c>
      <c r="J23" s="152"/>
      <c r="K23" s="150"/>
      <c r="L23" s="154" t="s">
        <v>226</v>
      </c>
      <c r="M23" s="152">
        <v>7775</v>
      </c>
      <c r="N23" s="154" t="s">
        <v>155</v>
      </c>
      <c r="O23" s="152">
        <f t="shared" ref="O23" si="6">+O22-J23-M23</f>
        <v>-0.11200000008102506</v>
      </c>
      <c r="P23" s="152">
        <f t="shared" ref="P23" si="7">P22+H23-J23-M23</f>
        <v>655142.75499999989</v>
      </c>
    </row>
    <row r="24" spans="1:16" x14ac:dyDescent="0.15">
      <c r="A24" s="154"/>
      <c r="B24" s="151"/>
      <c r="C24" s="152"/>
      <c r="D24" s="153"/>
      <c r="E24" s="154"/>
      <c r="F24" s="157"/>
      <c r="G24" s="154"/>
      <c r="H24" s="152"/>
      <c r="I24" s="153" t="s">
        <v>183</v>
      </c>
      <c r="J24" s="152"/>
      <c r="K24" s="150"/>
      <c r="L24" s="154" t="s">
        <v>225</v>
      </c>
      <c r="M24" s="152">
        <v>81421</v>
      </c>
      <c r="N24" s="157" t="s">
        <v>200</v>
      </c>
      <c r="O24" s="152">
        <f>H11+H12+H14+O23-J24-M24</f>
        <v>85914.258999999904</v>
      </c>
      <c r="P24" s="152">
        <f t="shared" ref="P24:P25" si="8">P23+H24-J24-M24</f>
        <v>573721.75499999989</v>
      </c>
    </row>
    <row r="25" spans="1:16" x14ac:dyDescent="0.15">
      <c r="A25" s="154"/>
      <c r="B25" s="151"/>
      <c r="C25" s="152"/>
      <c r="D25" s="153" t="s">
        <v>184</v>
      </c>
      <c r="E25" s="154" t="s">
        <v>72</v>
      </c>
      <c r="F25" s="157" t="s">
        <v>205</v>
      </c>
      <c r="G25" s="154"/>
      <c r="H25" s="152">
        <v>75953.763000000006</v>
      </c>
      <c r="I25" s="153" t="s">
        <v>184</v>
      </c>
      <c r="J25" s="152">
        <v>240</v>
      </c>
      <c r="K25" s="157" t="s">
        <v>200</v>
      </c>
      <c r="L25" s="154" t="s">
        <v>225</v>
      </c>
      <c r="M25" s="152">
        <v>73556</v>
      </c>
      <c r="N25" s="157" t="s">
        <v>200</v>
      </c>
      <c r="O25" s="152">
        <f t="shared" ref="O25" si="9">+O24-J25-M25</f>
        <v>12118.258999999904</v>
      </c>
      <c r="P25" s="152">
        <f t="shared" si="8"/>
        <v>575879.51799999992</v>
      </c>
    </row>
    <row r="26" spans="1:16" x14ac:dyDescent="0.15">
      <c r="A26" s="154"/>
      <c r="B26" s="151"/>
      <c r="C26" s="152"/>
      <c r="D26" s="153" t="s">
        <v>185</v>
      </c>
      <c r="E26" s="154" t="s">
        <v>72</v>
      </c>
      <c r="F26" s="157" t="s">
        <v>207</v>
      </c>
      <c r="G26" s="154"/>
      <c r="H26" s="152">
        <v>75948.898000000001</v>
      </c>
      <c r="I26" s="153" t="s">
        <v>185</v>
      </c>
      <c r="J26" s="152">
        <v>320</v>
      </c>
      <c r="K26" s="157" t="s">
        <v>200</v>
      </c>
      <c r="L26" s="154" t="s">
        <v>225</v>
      </c>
      <c r="M26" s="152">
        <v>11798</v>
      </c>
      <c r="N26" s="157" t="s">
        <v>200</v>
      </c>
      <c r="O26" s="152">
        <f t="shared" ref="O26:O34" si="10">+O25-J26-M26</f>
        <v>0.25899999990360811</v>
      </c>
      <c r="P26" s="152">
        <f t="shared" ref="P26:P34" si="11">P25+H26-J26-M26</f>
        <v>639710.41599999997</v>
      </c>
    </row>
    <row r="27" spans="1:16" x14ac:dyDescent="0.15">
      <c r="A27" s="154"/>
      <c r="B27" s="151"/>
      <c r="C27" s="152"/>
      <c r="D27" s="153"/>
      <c r="E27" s="154"/>
      <c r="F27" s="157"/>
      <c r="G27" s="154"/>
      <c r="H27" s="152"/>
      <c r="I27" s="153" t="s">
        <v>185</v>
      </c>
      <c r="J27" s="152"/>
      <c r="K27" s="150"/>
      <c r="L27" s="154" t="s">
        <v>225</v>
      </c>
      <c r="M27" s="152">
        <v>64492</v>
      </c>
      <c r="N27" s="157" t="s">
        <v>201</v>
      </c>
      <c r="O27" s="152">
        <f>H15+H16+H18+O26-J27-M27</f>
        <v>143394.42699999991</v>
      </c>
      <c r="P27" s="152">
        <f t="shared" si="11"/>
        <v>575218.41599999997</v>
      </c>
    </row>
    <row r="28" spans="1:16" x14ac:dyDescent="0.15">
      <c r="A28" s="154"/>
      <c r="B28" s="151"/>
      <c r="C28" s="152"/>
      <c r="D28" s="153" t="s">
        <v>186</v>
      </c>
      <c r="E28" s="154" t="s">
        <v>72</v>
      </c>
      <c r="F28" s="157" t="s">
        <v>207</v>
      </c>
      <c r="G28" s="154"/>
      <c r="H28" s="152">
        <v>39966.743999999999</v>
      </c>
      <c r="I28" s="153" t="s">
        <v>186</v>
      </c>
      <c r="J28" s="152"/>
      <c r="K28" s="150"/>
      <c r="L28" s="154" t="s">
        <v>225</v>
      </c>
      <c r="M28" s="152">
        <v>79603</v>
      </c>
      <c r="N28" s="157" t="s">
        <v>201</v>
      </c>
      <c r="O28" s="152">
        <f t="shared" si="10"/>
        <v>63791.426999999909</v>
      </c>
      <c r="P28" s="152">
        <f t="shared" si="11"/>
        <v>535582.15999999992</v>
      </c>
    </row>
    <row r="29" spans="1:16" x14ac:dyDescent="0.15">
      <c r="A29" s="154"/>
      <c r="B29" s="151"/>
      <c r="C29" s="152"/>
      <c r="D29" s="153"/>
      <c r="E29" s="154"/>
      <c r="F29" s="157"/>
      <c r="G29" s="154"/>
      <c r="H29" s="152"/>
      <c r="I29" s="153" t="s">
        <v>186</v>
      </c>
      <c r="J29" s="152"/>
      <c r="K29" s="150"/>
      <c r="L29" s="154" t="s">
        <v>225</v>
      </c>
      <c r="M29" s="152">
        <v>63791</v>
      </c>
      <c r="N29" s="157" t="s">
        <v>201</v>
      </c>
      <c r="O29" s="152">
        <f t="shared" ref="O29:O32" si="12">+O28-J29-M29</f>
        <v>0.42699999990873039</v>
      </c>
      <c r="P29" s="152">
        <f t="shared" ref="P29:P32" si="13">P28+H29-J29-M29</f>
        <v>471791.15999999992</v>
      </c>
    </row>
    <row r="30" spans="1:16" x14ac:dyDescent="0.15">
      <c r="A30" s="154"/>
      <c r="B30" s="151"/>
      <c r="C30" s="152"/>
      <c r="D30" s="153"/>
      <c r="E30" s="154"/>
      <c r="F30" s="157"/>
      <c r="G30" s="154"/>
      <c r="H30" s="152"/>
      <c r="I30" s="153" t="s">
        <v>186</v>
      </c>
      <c r="J30" s="152"/>
      <c r="K30" s="150"/>
      <c r="L30" s="154" t="s">
        <v>225</v>
      </c>
      <c r="M30" s="152">
        <v>24055</v>
      </c>
      <c r="N30" s="157" t="s">
        <v>203</v>
      </c>
      <c r="O30" s="152">
        <f>H20+H21+O29-J30-M30</f>
        <v>103977.2889999999</v>
      </c>
      <c r="P30" s="152">
        <f t="shared" si="13"/>
        <v>447736.15999999992</v>
      </c>
    </row>
    <row r="31" spans="1:16" x14ac:dyDescent="0.15">
      <c r="A31" s="154"/>
      <c r="B31" s="151"/>
      <c r="C31" s="152"/>
      <c r="D31" s="153" t="s">
        <v>206</v>
      </c>
      <c r="E31" s="154" t="s">
        <v>72</v>
      </c>
      <c r="F31" s="157" t="s">
        <v>207</v>
      </c>
      <c r="G31" s="154"/>
      <c r="H31" s="152">
        <v>39945.654000000002</v>
      </c>
      <c r="I31" s="153" t="s">
        <v>206</v>
      </c>
      <c r="J31" s="152"/>
      <c r="K31" s="150"/>
      <c r="L31" s="154"/>
      <c r="M31" s="152"/>
      <c r="N31" s="154"/>
      <c r="O31" s="152">
        <f t="shared" si="12"/>
        <v>103977.2889999999</v>
      </c>
      <c r="P31" s="152">
        <f t="shared" si="13"/>
        <v>487681.8139999999</v>
      </c>
    </row>
    <row r="32" spans="1:16" x14ac:dyDescent="0.15">
      <c r="A32" s="154"/>
      <c r="B32" s="151"/>
      <c r="C32" s="152"/>
      <c r="D32" s="153" t="s">
        <v>187</v>
      </c>
      <c r="E32" s="154" t="s">
        <v>72</v>
      </c>
      <c r="F32" s="157" t="s">
        <v>209</v>
      </c>
      <c r="G32" s="154"/>
      <c r="H32" s="152">
        <v>75904.288</v>
      </c>
      <c r="I32" s="153" t="s">
        <v>187</v>
      </c>
      <c r="J32" s="152"/>
      <c r="K32" s="154"/>
      <c r="L32" s="154" t="s">
        <v>225</v>
      </c>
      <c r="M32" s="152">
        <v>18524</v>
      </c>
      <c r="N32" s="157" t="s">
        <v>203</v>
      </c>
      <c r="O32" s="152">
        <f t="shared" si="12"/>
        <v>85453.288999999902</v>
      </c>
      <c r="P32" s="152">
        <f t="shared" si="13"/>
        <v>545062.10199999996</v>
      </c>
    </row>
    <row r="33" spans="1:16" x14ac:dyDescent="0.15">
      <c r="A33" s="154"/>
      <c r="B33" s="151"/>
      <c r="C33" s="152"/>
      <c r="D33" s="153" t="s">
        <v>208</v>
      </c>
      <c r="E33" s="154" t="s">
        <v>72</v>
      </c>
      <c r="F33" s="157" t="s">
        <v>209</v>
      </c>
      <c r="G33" s="154"/>
      <c r="H33" s="152">
        <v>75964.717000000004</v>
      </c>
      <c r="I33" s="153" t="s">
        <v>208</v>
      </c>
      <c r="J33" s="152"/>
      <c r="K33" s="154"/>
      <c r="L33" s="154"/>
      <c r="M33" s="152"/>
      <c r="N33" s="150"/>
      <c r="O33" s="152">
        <f t="shared" si="10"/>
        <v>85453.288999999902</v>
      </c>
      <c r="P33" s="152">
        <f t="shared" si="11"/>
        <v>621026.8189999999</v>
      </c>
    </row>
    <row r="34" spans="1:16" x14ac:dyDescent="0.15">
      <c r="A34" s="154"/>
      <c r="B34" s="151"/>
      <c r="C34" s="152"/>
      <c r="D34" s="153" t="s">
        <v>188</v>
      </c>
      <c r="E34" s="154" t="s">
        <v>72</v>
      </c>
      <c r="F34" s="157" t="s">
        <v>209</v>
      </c>
      <c r="G34" s="154"/>
      <c r="H34" s="152">
        <v>35993.915000000001</v>
      </c>
      <c r="I34" s="153" t="s">
        <v>188</v>
      </c>
      <c r="J34" s="152"/>
      <c r="K34" s="154"/>
      <c r="L34" s="154" t="s">
        <v>225</v>
      </c>
      <c r="M34" s="152">
        <v>48107</v>
      </c>
      <c r="N34" s="157" t="s">
        <v>203</v>
      </c>
      <c r="O34" s="152">
        <f t="shared" si="10"/>
        <v>37346.288999999902</v>
      </c>
      <c r="P34" s="152">
        <f t="shared" si="11"/>
        <v>608913.73399999994</v>
      </c>
    </row>
    <row r="35" spans="1:16" x14ac:dyDescent="0.15">
      <c r="A35" s="154"/>
      <c r="B35" s="151"/>
      <c r="C35" s="152"/>
      <c r="D35" s="153"/>
      <c r="E35" s="154"/>
      <c r="F35" s="157"/>
      <c r="G35" s="151"/>
      <c r="H35" s="152"/>
      <c r="I35" s="153" t="s">
        <v>188</v>
      </c>
      <c r="J35" s="152"/>
      <c r="K35" s="150"/>
      <c r="L35" s="154" t="s">
        <v>225</v>
      </c>
      <c r="M35" s="152">
        <v>37346</v>
      </c>
      <c r="N35" s="157" t="s">
        <v>203</v>
      </c>
      <c r="O35" s="152">
        <f t="shared" ref="O35:O37" si="14">+O34-J35-M35</f>
        <v>0.28899999990244396</v>
      </c>
      <c r="P35" s="152">
        <f t="shared" ref="P35:P37" si="15">P34+H35-J35-M35</f>
        <v>571567.73399999994</v>
      </c>
    </row>
    <row r="36" spans="1:16" x14ac:dyDescent="0.15">
      <c r="A36" s="154"/>
      <c r="B36" s="151"/>
      <c r="C36" s="152"/>
      <c r="D36" s="153"/>
      <c r="E36" s="154"/>
      <c r="F36" s="157"/>
      <c r="G36" s="151"/>
      <c r="H36" s="152"/>
      <c r="I36" s="153" t="s">
        <v>188</v>
      </c>
      <c r="J36" s="152"/>
      <c r="K36" s="150"/>
      <c r="L36" s="154" t="s">
        <v>226</v>
      </c>
      <c r="M36" s="152">
        <v>53019</v>
      </c>
      <c r="N36" s="157" t="s">
        <v>205</v>
      </c>
      <c r="O36" s="152">
        <f>H22+H23+H25+O35-J36-M36</f>
        <v>174824.51799999992</v>
      </c>
      <c r="P36" s="152">
        <f t="shared" si="15"/>
        <v>518548.73399999994</v>
      </c>
    </row>
    <row r="37" spans="1:16" x14ac:dyDescent="0.15">
      <c r="A37" s="154"/>
      <c r="B37" s="151"/>
      <c r="C37" s="152"/>
      <c r="D37" s="153" t="s">
        <v>189</v>
      </c>
      <c r="E37" s="154" t="s">
        <v>72</v>
      </c>
      <c r="F37" s="157" t="s">
        <v>209</v>
      </c>
      <c r="G37" s="151"/>
      <c r="H37" s="152">
        <v>39971</v>
      </c>
      <c r="I37" s="153" t="s">
        <v>189</v>
      </c>
      <c r="J37" s="152"/>
      <c r="K37" s="150"/>
      <c r="L37" s="154" t="s">
        <v>226</v>
      </c>
      <c r="M37" s="152">
        <v>48165</v>
      </c>
      <c r="N37" s="157" t="s">
        <v>205</v>
      </c>
      <c r="O37" s="152">
        <f t="shared" si="14"/>
        <v>126659.51799999992</v>
      </c>
      <c r="P37" s="152">
        <f t="shared" si="15"/>
        <v>510354.73399999994</v>
      </c>
    </row>
    <row r="38" spans="1:16" x14ac:dyDescent="0.15">
      <c r="A38" s="154"/>
      <c r="B38" s="151"/>
      <c r="C38" s="152"/>
      <c r="D38" s="153" t="s">
        <v>189</v>
      </c>
      <c r="E38" s="154" t="s">
        <v>72</v>
      </c>
      <c r="F38" s="157" t="s">
        <v>210</v>
      </c>
      <c r="G38" s="151"/>
      <c r="H38" s="152">
        <v>36010</v>
      </c>
      <c r="I38" s="153" t="s">
        <v>189</v>
      </c>
      <c r="J38" s="152"/>
      <c r="K38" s="157"/>
      <c r="L38" s="154" t="s">
        <v>226</v>
      </c>
      <c r="M38" s="152">
        <v>79438</v>
      </c>
      <c r="N38" s="157" t="s">
        <v>205</v>
      </c>
      <c r="O38" s="152">
        <f t="shared" si="2"/>
        <v>47221.517999999924</v>
      </c>
      <c r="P38" s="152">
        <f t="shared" si="3"/>
        <v>466926.73399999994</v>
      </c>
    </row>
    <row r="39" spans="1:16" x14ac:dyDescent="0.15">
      <c r="A39" s="154"/>
      <c r="B39" s="151"/>
      <c r="C39" s="152"/>
      <c r="D39" s="153" t="s">
        <v>190</v>
      </c>
      <c r="E39" s="154" t="s">
        <v>72</v>
      </c>
      <c r="F39" s="157" t="s">
        <v>210</v>
      </c>
      <c r="G39" s="151"/>
      <c r="H39" s="152">
        <v>75969.982999999993</v>
      </c>
      <c r="I39" s="153" t="s">
        <v>190</v>
      </c>
      <c r="J39" s="152">
        <v>310</v>
      </c>
      <c r="K39" s="157" t="s">
        <v>205</v>
      </c>
      <c r="L39" s="154" t="s">
        <v>226</v>
      </c>
      <c r="M39" s="152">
        <v>46912</v>
      </c>
      <c r="N39" s="157" t="s">
        <v>205</v>
      </c>
      <c r="O39" s="152">
        <f t="shared" ref="O39:O42" si="16">+O38-J39-M39</f>
        <v>-0.48200000007636845</v>
      </c>
      <c r="P39" s="152">
        <f t="shared" ref="P39:P42" si="17">P38+H39-J39-M39</f>
        <v>495674.71699999995</v>
      </c>
    </row>
    <row r="40" spans="1:16" x14ac:dyDescent="0.15">
      <c r="A40" s="154"/>
      <c r="B40" s="151"/>
      <c r="C40" s="152"/>
      <c r="D40" s="153"/>
      <c r="E40" s="154"/>
      <c r="F40" s="157"/>
      <c r="G40" s="151"/>
      <c r="H40" s="152"/>
      <c r="I40" s="153" t="s">
        <v>190</v>
      </c>
      <c r="J40" s="152"/>
      <c r="K40" s="159"/>
      <c r="L40" s="154" t="s">
        <v>225</v>
      </c>
      <c r="M40" s="152">
        <v>32820</v>
      </c>
      <c r="N40" s="157" t="s">
        <v>207</v>
      </c>
      <c r="O40" s="152">
        <f>H26+H28+H31+O39-J40-M40</f>
        <v>123040.81399999993</v>
      </c>
      <c r="P40" s="152">
        <f t="shared" si="17"/>
        <v>462854.71699999995</v>
      </c>
    </row>
    <row r="41" spans="1:16" x14ac:dyDescent="0.15">
      <c r="A41" s="154"/>
      <c r="B41" s="151"/>
      <c r="C41" s="152"/>
      <c r="D41" s="153"/>
      <c r="E41" s="154"/>
      <c r="F41" s="157"/>
      <c r="G41" s="151"/>
      <c r="H41" s="152"/>
      <c r="I41" s="153" t="s">
        <v>190</v>
      </c>
      <c r="J41" s="152"/>
      <c r="K41" s="159"/>
      <c r="L41" s="154" t="s">
        <v>225</v>
      </c>
      <c r="M41" s="152">
        <v>696</v>
      </c>
      <c r="N41" s="157" t="s">
        <v>207</v>
      </c>
      <c r="O41" s="152">
        <f t="shared" si="16"/>
        <v>122344.81399999993</v>
      </c>
      <c r="P41" s="152">
        <f t="shared" si="17"/>
        <v>462158.71699999995</v>
      </c>
    </row>
    <row r="42" spans="1:16" x14ac:dyDescent="0.15">
      <c r="A42" s="154"/>
      <c r="B42" s="151"/>
      <c r="C42" s="152"/>
      <c r="D42" s="153" t="s">
        <v>191</v>
      </c>
      <c r="E42" s="154" t="s">
        <v>72</v>
      </c>
      <c r="F42" s="157" t="s">
        <v>210</v>
      </c>
      <c r="G42" s="151"/>
      <c r="H42" s="152">
        <v>76143.188999999998</v>
      </c>
      <c r="I42" s="153" t="s">
        <v>191</v>
      </c>
      <c r="J42" s="152"/>
      <c r="K42" s="159"/>
      <c r="L42" s="154" t="s">
        <v>225</v>
      </c>
      <c r="M42" s="152">
        <v>79075</v>
      </c>
      <c r="N42" s="157" t="s">
        <v>207</v>
      </c>
      <c r="O42" s="152">
        <f t="shared" si="16"/>
        <v>43269.813999999926</v>
      </c>
      <c r="P42" s="152">
        <f t="shared" si="17"/>
        <v>459226.90599999996</v>
      </c>
    </row>
    <row r="43" spans="1:16" x14ac:dyDescent="0.15">
      <c r="A43" s="154"/>
      <c r="B43" s="151"/>
      <c r="C43" s="152"/>
      <c r="D43" s="153"/>
      <c r="E43" s="154"/>
      <c r="F43" s="157"/>
      <c r="G43" s="151"/>
      <c r="H43" s="152"/>
      <c r="I43" s="153" t="s">
        <v>191</v>
      </c>
      <c r="J43" s="152"/>
      <c r="K43" s="159"/>
      <c r="L43" s="154" t="s">
        <v>225</v>
      </c>
      <c r="M43" s="152">
        <v>43270</v>
      </c>
      <c r="N43" s="157" t="s">
        <v>207</v>
      </c>
      <c r="O43" s="152">
        <f t="shared" ref="O43:O46" si="18">+O42-J43-M43</f>
        <v>-0.18600000007427298</v>
      </c>
      <c r="P43" s="152">
        <f t="shared" ref="P43:P46" si="19">P42+H43-J43-M43</f>
        <v>415956.90599999996</v>
      </c>
    </row>
    <row r="44" spans="1:16" x14ac:dyDescent="0.15">
      <c r="A44" s="154"/>
      <c r="B44" s="151"/>
      <c r="C44" s="152"/>
      <c r="D44" s="153"/>
      <c r="E44" s="154"/>
      <c r="F44" s="157"/>
      <c r="G44" s="151"/>
      <c r="H44" s="152"/>
      <c r="I44" s="153" t="s">
        <v>191</v>
      </c>
      <c r="J44" s="152"/>
      <c r="K44" s="159"/>
      <c r="L44" s="154" t="s">
        <v>225</v>
      </c>
      <c r="M44" s="152">
        <v>45450</v>
      </c>
      <c r="N44" s="157" t="s">
        <v>209</v>
      </c>
      <c r="O44" s="152">
        <f>H32+H33+H34+H37+O43-J44-M44</f>
        <v>182383.73399999994</v>
      </c>
      <c r="P44" s="152">
        <f t="shared" si="19"/>
        <v>370506.90599999996</v>
      </c>
    </row>
    <row r="45" spans="1:16" x14ac:dyDescent="0.15">
      <c r="A45" s="154"/>
      <c r="B45" s="151"/>
      <c r="C45" s="152"/>
      <c r="D45" s="153"/>
      <c r="E45" s="154"/>
      <c r="F45" s="157"/>
      <c r="G45" s="151"/>
      <c r="H45" s="152"/>
      <c r="I45" s="153" t="s">
        <v>198</v>
      </c>
      <c r="J45" s="152">
        <v>617</v>
      </c>
      <c r="K45" s="157" t="s">
        <v>209</v>
      </c>
      <c r="L45" s="154"/>
      <c r="M45" s="152"/>
      <c r="N45" s="157"/>
      <c r="O45" s="152">
        <f t="shared" si="18"/>
        <v>181766.73399999994</v>
      </c>
      <c r="P45" s="152">
        <f t="shared" si="19"/>
        <v>369889.90599999996</v>
      </c>
    </row>
    <row r="46" spans="1:16" x14ac:dyDescent="0.15">
      <c r="A46" s="154"/>
      <c r="B46" s="151"/>
      <c r="C46" s="152"/>
      <c r="D46" s="153" t="s">
        <v>192</v>
      </c>
      <c r="E46" s="154" t="s">
        <v>72</v>
      </c>
      <c r="F46" s="157" t="s">
        <v>211</v>
      </c>
      <c r="G46" s="151"/>
      <c r="H46" s="152">
        <v>75956.596999999994</v>
      </c>
      <c r="I46" s="153" t="s">
        <v>192</v>
      </c>
      <c r="J46" s="152">
        <v>796</v>
      </c>
      <c r="K46" s="157" t="s">
        <v>209</v>
      </c>
      <c r="L46" s="154" t="s">
        <v>225</v>
      </c>
      <c r="M46" s="152">
        <v>21954</v>
      </c>
      <c r="N46" s="157" t="s">
        <v>209</v>
      </c>
      <c r="O46" s="152">
        <f t="shared" si="18"/>
        <v>159016.73399999994</v>
      </c>
      <c r="P46" s="152">
        <f t="shared" si="19"/>
        <v>423096.50299999997</v>
      </c>
    </row>
    <row r="47" spans="1:16" x14ac:dyDescent="0.15">
      <c r="A47" s="154"/>
      <c r="B47" s="151"/>
      <c r="C47" s="152"/>
      <c r="D47" s="153" t="s">
        <v>199</v>
      </c>
      <c r="E47" s="154" t="s">
        <v>72</v>
      </c>
      <c r="F47" s="157" t="s">
        <v>211</v>
      </c>
      <c r="G47" s="151"/>
      <c r="H47" s="152">
        <v>161927.18400000001</v>
      </c>
      <c r="I47" s="153" t="s">
        <v>199</v>
      </c>
      <c r="J47" s="152">
        <v>180</v>
      </c>
      <c r="K47" s="157" t="s">
        <v>209</v>
      </c>
      <c r="L47" s="154"/>
      <c r="M47" s="152"/>
      <c r="N47" s="150"/>
      <c r="O47" s="152">
        <f t="shared" si="2"/>
        <v>158836.73399999994</v>
      </c>
      <c r="P47" s="152">
        <f t="shared" si="3"/>
        <v>584843.68699999992</v>
      </c>
    </row>
    <row r="48" spans="1:16" x14ac:dyDescent="0.15">
      <c r="A48" s="154"/>
      <c r="B48" s="151"/>
      <c r="C48" s="152"/>
      <c r="D48" s="153" t="s">
        <v>193</v>
      </c>
      <c r="E48" s="154" t="s">
        <v>72</v>
      </c>
      <c r="F48" s="157" t="s">
        <v>211</v>
      </c>
      <c r="G48" s="151"/>
      <c r="H48" s="152">
        <v>10698</v>
      </c>
      <c r="I48" s="153" t="s">
        <v>193</v>
      </c>
      <c r="J48" s="152"/>
      <c r="K48" s="159"/>
      <c r="L48" s="154" t="s">
        <v>225</v>
      </c>
      <c r="M48" s="152">
        <v>88565</v>
      </c>
      <c r="N48" s="157" t="s">
        <v>209</v>
      </c>
      <c r="O48" s="152">
        <f t="shared" si="2"/>
        <v>70271.733999999939</v>
      </c>
      <c r="P48" s="152">
        <f t="shared" si="3"/>
        <v>506976.68699999992</v>
      </c>
    </row>
    <row r="49" spans="1:16" x14ac:dyDescent="0.15">
      <c r="A49" s="154"/>
      <c r="B49" s="151"/>
      <c r="C49" s="152"/>
      <c r="D49" s="153" t="s">
        <v>193</v>
      </c>
      <c r="E49" s="154" t="s">
        <v>72</v>
      </c>
      <c r="F49" s="157" t="s">
        <v>213</v>
      </c>
      <c r="G49" s="151"/>
      <c r="H49" s="152">
        <v>29231</v>
      </c>
      <c r="I49" s="153" t="s">
        <v>193</v>
      </c>
      <c r="J49" s="152"/>
      <c r="K49" s="159"/>
      <c r="L49" s="154"/>
      <c r="M49" s="152"/>
      <c r="N49" s="157"/>
      <c r="O49" s="152">
        <f t="shared" ref="O49:O52" si="20">+O48-J49-M49</f>
        <v>70271.733999999939</v>
      </c>
      <c r="P49" s="152">
        <f t="shared" ref="P49:P52" si="21">P48+H49-J49-M49</f>
        <v>536207.68699999992</v>
      </c>
    </row>
    <row r="50" spans="1:16" x14ac:dyDescent="0.15">
      <c r="A50" s="154"/>
      <c r="B50" s="151"/>
      <c r="C50" s="152"/>
      <c r="D50" s="153" t="s">
        <v>194</v>
      </c>
      <c r="E50" s="154" t="s">
        <v>72</v>
      </c>
      <c r="F50" s="157" t="s">
        <v>213</v>
      </c>
      <c r="G50" s="151"/>
      <c r="H50" s="152">
        <v>35941.601999999999</v>
      </c>
      <c r="I50" s="153" t="s">
        <v>194</v>
      </c>
      <c r="J50" s="152"/>
      <c r="K50" s="159"/>
      <c r="L50" s="154" t="s">
        <v>225</v>
      </c>
      <c r="M50" s="152">
        <v>70272</v>
      </c>
      <c r="N50" s="157" t="s">
        <v>209</v>
      </c>
      <c r="O50" s="152">
        <f t="shared" si="20"/>
        <v>-0.26600000006146729</v>
      </c>
      <c r="P50" s="152">
        <f t="shared" si="21"/>
        <v>501877.28899999987</v>
      </c>
    </row>
    <row r="51" spans="1:16" x14ac:dyDescent="0.15">
      <c r="A51" s="154"/>
      <c r="B51" s="151"/>
      <c r="C51" s="152"/>
      <c r="D51" s="153"/>
      <c r="E51" s="154"/>
      <c r="F51" s="157"/>
      <c r="G51" s="151"/>
      <c r="H51" s="152"/>
      <c r="I51" s="153" t="s">
        <v>194</v>
      </c>
      <c r="J51" s="152"/>
      <c r="K51" s="159"/>
      <c r="L51" s="154" t="s">
        <v>226</v>
      </c>
      <c r="M51" s="152">
        <v>3810</v>
      </c>
      <c r="N51" s="157" t="s">
        <v>210</v>
      </c>
      <c r="O51" s="152">
        <f>H38+H39+H42+O50-J51-M51</f>
        <v>184312.90599999993</v>
      </c>
      <c r="P51" s="152">
        <f t="shared" si="21"/>
        <v>498067.28899999987</v>
      </c>
    </row>
    <row r="52" spans="1:16" x14ac:dyDescent="0.15">
      <c r="A52" s="154"/>
      <c r="B52" s="151"/>
      <c r="C52" s="152"/>
      <c r="D52" s="153" t="s">
        <v>195</v>
      </c>
      <c r="E52" s="154" t="s">
        <v>72</v>
      </c>
      <c r="F52" s="157" t="s">
        <v>213</v>
      </c>
      <c r="G52" s="151"/>
      <c r="H52" s="152">
        <v>76030.010999999999</v>
      </c>
      <c r="I52" s="153" t="s">
        <v>195</v>
      </c>
      <c r="J52" s="152">
        <v>368</v>
      </c>
      <c r="K52" s="157" t="s">
        <v>210</v>
      </c>
      <c r="L52" s="154" t="s">
        <v>226</v>
      </c>
      <c r="M52" s="152">
        <v>74941</v>
      </c>
      <c r="N52" s="157" t="s">
        <v>210</v>
      </c>
      <c r="O52" s="152">
        <f t="shared" si="20"/>
        <v>109003.90599999993</v>
      </c>
      <c r="P52" s="152">
        <f t="shared" si="21"/>
        <v>498788.29999999981</v>
      </c>
    </row>
    <row r="53" spans="1:16" x14ac:dyDescent="0.15">
      <c r="A53" s="154"/>
      <c r="B53" s="151"/>
      <c r="C53" s="152"/>
      <c r="D53" s="153" t="s">
        <v>196</v>
      </c>
      <c r="E53" s="154" t="s">
        <v>72</v>
      </c>
      <c r="F53" s="157" t="s">
        <v>213</v>
      </c>
      <c r="G53" s="151"/>
      <c r="H53" s="152">
        <v>76170.736999999994</v>
      </c>
      <c r="I53" s="153" t="s">
        <v>196</v>
      </c>
      <c r="J53" s="152"/>
      <c r="K53" s="157"/>
      <c r="L53" s="154" t="s">
        <v>226</v>
      </c>
      <c r="M53" s="152">
        <v>76824</v>
      </c>
      <c r="N53" s="157" t="s">
        <v>210</v>
      </c>
      <c r="O53" s="152">
        <f t="shared" si="2"/>
        <v>32179.90599999993</v>
      </c>
      <c r="P53" s="152">
        <f t="shared" si="3"/>
        <v>498135.03699999978</v>
      </c>
    </row>
    <row r="54" spans="1:16" x14ac:dyDescent="0.15">
      <c r="A54" s="154"/>
      <c r="B54" s="151"/>
      <c r="C54" s="152"/>
      <c r="D54" s="153"/>
      <c r="E54" s="154"/>
      <c r="F54" s="160"/>
      <c r="G54" s="151"/>
      <c r="H54" s="152"/>
      <c r="I54" s="153" t="s">
        <v>196</v>
      </c>
      <c r="J54" s="152"/>
      <c r="K54" s="159"/>
      <c r="L54" s="154" t="s">
        <v>226</v>
      </c>
      <c r="M54" s="152">
        <v>32180</v>
      </c>
      <c r="N54" s="157" t="s">
        <v>210</v>
      </c>
      <c r="O54" s="152">
        <f t="shared" ref="O54" si="22">+O53-J54-M54</f>
        <v>-9.4000000070082024E-2</v>
      </c>
      <c r="P54" s="152">
        <f t="shared" ref="P54" si="23">P53+H54-J54-M54</f>
        <v>465955.03699999978</v>
      </c>
    </row>
    <row r="55" spans="1:16" x14ac:dyDescent="0.15">
      <c r="A55" s="154"/>
      <c r="B55" s="151"/>
      <c r="C55" s="152"/>
      <c r="D55" s="153"/>
      <c r="E55" s="154"/>
      <c r="F55" s="160"/>
      <c r="G55" s="151"/>
      <c r="H55" s="152"/>
      <c r="I55" s="153" t="s">
        <v>196</v>
      </c>
      <c r="J55" s="152"/>
      <c r="K55" s="159"/>
      <c r="L55" s="154" t="s">
        <v>226</v>
      </c>
      <c r="M55" s="152">
        <v>55299</v>
      </c>
      <c r="N55" s="157" t="s">
        <v>211</v>
      </c>
      <c r="O55" s="152">
        <f>H46+H47+H48+O54-J55-M55</f>
        <v>193282.68699999995</v>
      </c>
      <c r="P55" s="152">
        <f t="shared" ref="P55:P58" si="24">P54+H55-J55-M55</f>
        <v>410656.03699999978</v>
      </c>
    </row>
    <row r="56" spans="1:16" x14ac:dyDescent="0.15">
      <c r="A56" s="154"/>
      <c r="B56" s="151"/>
      <c r="C56" s="152"/>
      <c r="D56" s="153"/>
      <c r="E56" s="154"/>
      <c r="F56" s="160"/>
      <c r="G56" s="151"/>
      <c r="H56" s="152"/>
      <c r="I56" s="153" t="s">
        <v>196</v>
      </c>
      <c r="J56" s="152"/>
      <c r="K56" s="159"/>
      <c r="L56" s="154"/>
      <c r="M56" s="152"/>
      <c r="N56" s="157"/>
      <c r="O56" s="152">
        <f t="shared" ref="O56:O58" si="25">+O55-J56-M56</f>
        <v>193282.68699999995</v>
      </c>
      <c r="P56" s="152">
        <f t="shared" si="24"/>
        <v>410656.03699999978</v>
      </c>
    </row>
    <row r="57" spans="1:16" x14ac:dyDescent="0.15">
      <c r="A57" s="154"/>
      <c r="B57" s="151"/>
      <c r="C57" s="152"/>
      <c r="D57" s="153" t="s">
        <v>212</v>
      </c>
      <c r="E57" s="154" t="s">
        <v>72</v>
      </c>
      <c r="F57" s="157" t="s">
        <v>213</v>
      </c>
      <c r="G57" s="151"/>
      <c r="H57" s="152">
        <v>76020.074999999997</v>
      </c>
      <c r="I57" s="153" t="s">
        <v>212</v>
      </c>
      <c r="J57" s="152"/>
      <c r="K57" s="159"/>
      <c r="L57" s="154"/>
      <c r="M57" s="152"/>
      <c r="N57" s="157"/>
      <c r="O57" s="152">
        <f t="shared" si="25"/>
        <v>193282.68699999995</v>
      </c>
      <c r="P57" s="152">
        <f t="shared" si="24"/>
        <v>486676.11199999979</v>
      </c>
    </row>
    <row r="58" spans="1:16" x14ac:dyDescent="0.15">
      <c r="A58" s="154"/>
      <c r="B58" s="151"/>
      <c r="C58" s="152"/>
      <c r="D58" s="153" t="s">
        <v>197</v>
      </c>
      <c r="E58" s="154" t="s">
        <v>72</v>
      </c>
      <c r="F58" s="157" t="s">
        <v>215</v>
      </c>
      <c r="G58" s="151"/>
      <c r="H58" s="152">
        <v>75993.914999999994</v>
      </c>
      <c r="I58" s="153" t="s">
        <v>197</v>
      </c>
      <c r="J58" s="152"/>
      <c r="K58" s="150"/>
      <c r="L58" s="154" t="s">
        <v>226</v>
      </c>
      <c r="M58" s="152">
        <v>22755</v>
      </c>
      <c r="N58" s="157" t="s">
        <v>211</v>
      </c>
      <c r="O58" s="152">
        <f t="shared" si="25"/>
        <v>170527.68699999995</v>
      </c>
      <c r="P58" s="152">
        <f t="shared" si="24"/>
        <v>539915.02699999977</v>
      </c>
    </row>
    <row r="59" spans="1:16" x14ac:dyDescent="0.15">
      <c r="A59" s="154"/>
      <c r="B59" s="151"/>
      <c r="C59" s="152"/>
      <c r="D59" s="153" t="s">
        <v>214</v>
      </c>
      <c r="E59" s="154" t="s">
        <v>72</v>
      </c>
      <c r="F59" s="157" t="s">
        <v>215</v>
      </c>
      <c r="G59" s="151"/>
      <c r="H59" s="152">
        <v>76050.702000000005</v>
      </c>
      <c r="I59" s="153" t="s">
        <v>214</v>
      </c>
      <c r="J59" s="152"/>
      <c r="K59" s="157"/>
      <c r="L59" s="154"/>
      <c r="M59" s="152"/>
      <c r="N59" s="150"/>
      <c r="O59" s="152">
        <f t="shared" si="2"/>
        <v>170527.68699999995</v>
      </c>
      <c r="P59" s="152">
        <f t="shared" si="3"/>
        <v>615965.72899999982</v>
      </c>
    </row>
    <row r="60" spans="1:16" hidden="1" x14ac:dyDescent="0.15">
      <c r="A60" s="154"/>
      <c r="B60" s="151"/>
      <c r="C60" s="152"/>
      <c r="D60" s="153"/>
      <c r="E60" s="154"/>
      <c r="F60" s="160"/>
      <c r="G60" s="151"/>
      <c r="H60" s="152"/>
      <c r="I60" s="153"/>
      <c r="J60" s="152"/>
      <c r="K60" s="150"/>
      <c r="L60" s="154"/>
      <c r="M60" s="152"/>
      <c r="N60" s="157"/>
      <c r="O60" s="152">
        <f t="shared" si="2"/>
        <v>170527.68699999995</v>
      </c>
      <c r="P60" s="152">
        <f t="shared" si="3"/>
        <v>615965.72899999982</v>
      </c>
    </row>
    <row r="61" spans="1:16" hidden="1" x14ac:dyDescent="0.15">
      <c r="A61" s="154"/>
      <c r="B61" s="151"/>
      <c r="C61" s="152"/>
      <c r="D61" s="153"/>
      <c r="E61" s="154"/>
      <c r="F61" s="160"/>
      <c r="G61" s="151"/>
      <c r="H61" s="152"/>
      <c r="I61" s="153"/>
      <c r="J61" s="152"/>
      <c r="K61" s="150"/>
      <c r="L61" s="154"/>
      <c r="M61" s="152"/>
      <c r="N61" s="157"/>
      <c r="O61" s="152">
        <f t="shared" si="2"/>
        <v>170527.68699999995</v>
      </c>
      <c r="P61" s="152">
        <f t="shared" si="3"/>
        <v>615965.72899999982</v>
      </c>
    </row>
    <row r="62" spans="1:16" hidden="1" x14ac:dyDescent="0.15">
      <c r="A62" s="154"/>
      <c r="B62" s="151"/>
      <c r="C62" s="152"/>
      <c r="D62" s="153"/>
      <c r="E62" s="154"/>
      <c r="F62" s="157"/>
      <c r="G62" s="151"/>
      <c r="H62" s="152"/>
      <c r="I62" s="153"/>
      <c r="J62" s="152"/>
      <c r="K62" s="150"/>
      <c r="L62" s="154"/>
      <c r="M62" s="152"/>
      <c r="N62" s="157"/>
      <c r="O62" s="152">
        <f t="shared" si="2"/>
        <v>170527.68699999995</v>
      </c>
      <c r="P62" s="152">
        <f t="shared" si="3"/>
        <v>615965.72899999982</v>
      </c>
    </row>
    <row r="63" spans="1:16" hidden="1" x14ac:dyDescent="0.15">
      <c r="A63" s="154"/>
      <c r="B63" s="151"/>
      <c r="C63" s="152"/>
      <c r="D63" s="153"/>
      <c r="E63" s="154"/>
      <c r="F63" s="157"/>
      <c r="G63" s="151"/>
      <c r="H63" s="152"/>
      <c r="I63" s="153"/>
      <c r="J63" s="152"/>
      <c r="K63" s="150"/>
      <c r="L63" s="154"/>
      <c r="M63" s="152"/>
      <c r="N63" s="150"/>
      <c r="O63" s="152">
        <f t="shared" si="2"/>
        <v>170527.68699999995</v>
      </c>
      <c r="P63" s="152">
        <f t="shared" si="3"/>
        <v>615965.72899999982</v>
      </c>
    </row>
    <row r="64" spans="1:16" hidden="1" x14ac:dyDescent="0.15">
      <c r="A64" s="154"/>
      <c r="B64" s="151"/>
      <c r="C64" s="152"/>
      <c r="D64" s="158"/>
      <c r="E64" s="154"/>
      <c r="F64" s="157"/>
      <c r="G64" s="151"/>
      <c r="H64" s="152"/>
      <c r="I64" s="158"/>
      <c r="J64" s="152"/>
      <c r="K64" s="150"/>
      <c r="L64" s="154"/>
      <c r="M64" s="152"/>
      <c r="N64" s="157"/>
      <c r="O64" s="152">
        <f t="shared" si="2"/>
        <v>170527.68699999995</v>
      </c>
      <c r="P64" s="152">
        <f t="shared" si="3"/>
        <v>615965.72899999982</v>
      </c>
    </row>
    <row r="65" spans="1:16" hidden="1" x14ac:dyDescent="0.15">
      <c r="A65" s="154"/>
      <c r="B65" s="151"/>
      <c r="C65" s="152"/>
      <c r="D65" s="153"/>
      <c r="E65" s="154"/>
      <c r="F65" s="160"/>
      <c r="G65" s="151"/>
      <c r="H65" s="152"/>
      <c r="I65" s="153"/>
      <c r="J65" s="152"/>
      <c r="K65" s="150"/>
      <c r="L65" s="154"/>
      <c r="M65" s="152"/>
      <c r="N65" s="157"/>
      <c r="O65" s="152">
        <f t="shared" si="2"/>
        <v>170527.68699999995</v>
      </c>
      <c r="P65" s="152">
        <f t="shared" si="3"/>
        <v>615965.72899999982</v>
      </c>
    </row>
    <row r="66" spans="1:16" hidden="1" x14ac:dyDescent="0.15">
      <c r="A66" s="154"/>
      <c r="B66" s="151"/>
      <c r="C66" s="152"/>
      <c r="D66" s="153"/>
      <c r="E66" s="154"/>
      <c r="F66" s="160"/>
      <c r="G66" s="151"/>
      <c r="H66" s="152"/>
      <c r="I66" s="158"/>
      <c r="J66" s="152"/>
      <c r="K66" s="150"/>
      <c r="L66" s="154"/>
      <c r="M66" s="152"/>
      <c r="N66" s="157"/>
      <c r="O66" s="152">
        <f t="shared" si="2"/>
        <v>170527.68699999995</v>
      </c>
      <c r="P66" s="152">
        <f t="shared" si="3"/>
        <v>615965.72899999982</v>
      </c>
    </row>
    <row r="67" spans="1:16" hidden="1" x14ac:dyDescent="0.15">
      <c r="A67" s="154"/>
      <c r="B67" s="151"/>
      <c r="C67" s="152"/>
      <c r="D67" s="153"/>
      <c r="E67" s="154"/>
      <c r="F67" s="160"/>
      <c r="G67" s="151"/>
      <c r="H67" s="152"/>
      <c r="I67" s="158"/>
      <c r="J67" s="152"/>
      <c r="K67" s="150"/>
      <c r="L67" s="154"/>
      <c r="M67" s="152"/>
      <c r="N67" s="157"/>
      <c r="O67" s="152">
        <f t="shared" si="2"/>
        <v>170527.68699999995</v>
      </c>
      <c r="P67" s="152">
        <f t="shared" si="3"/>
        <v>615965.72899999982</v>
      </c>
    </row>
    <row r="68" spans="1:16" hidden="1" x14ac:dyDescent="0.15">
      <c r="A68" s="154"/>
      <c r="B68" s="151"/>
      <c r="C68" s="152"/>
      <c r="D68" s="153"/>
      <c r="E68" s="154"/>
      <c r="F68" s="160"/>
      <c r="G68" s="151"/>
      <c r="H68" s="152"/>
      <c r="I68" s="153"/>
      <c r="J68" s="152"/>
      <c r="K68" s="150"/>
      <c r="L68" s="154"/>
      <c r="M68" s="152"/>
      <c r="N68" s="157"/>
      <c r="O68" s="152">
        <f t="shared" si="2"/>
        <v>170527.68699999995</v>
      </c>
      <c r="P68" s="152">
        <f t="shared" si="3"/>
        <v>615965.72899999982</v>
      </c>
    </row>
    <row r="69" spans="1:16" hidden="1" x14ac:dyDescent="0.15">
      <c r="A69" s="154"/>
      <c r="B69" s="151"/>
      <c r="C69" s="152"/>
      <c r="D69" s="153"/>
      <c r="E69" s="154"/>
      <c r="F69" s="157"/>
      <c r="G69" s="151"/>
      <c r="H69" s="152"/>
      <c r="I69" s="153"/>
      <c r="J69" s="152"/>
      <c r="K69" s="150"/>
      <c r="L69" s="154"/>
      <c r="M69" s="152"/>
      <c r="N69" s="157"/>
      <c r="O69" s="152">
        <f t="shared" si="2"/>
        <v>170527.68699999995</v>
      </c>
      <c r="P69" s="152">
        <f t="shared" si="3"/>
        <v>615965.72899999982</v>
      </c>
    </row>
    <row r="70" spans="1:16" hidden="1" x14ac:dyDescent="0.15">
      <c r="A70" s="154"/>
      <c r="B70" s="151"/>
      <c r="C70" s="152"/>
      <c r="D70" s="153"/>
      <c r="E70" s="154"/>
      <c r="F70" s="157"/>
      <c r="G70" s="151"/>
      <c r="H70" s="152"/>
      <c r="I70" s="153"/>
      <c r="J70" s="152"/>
      <c r="K70" s="150"/>
      <c r="L70" s="154"/>
      <c r="M70" s="152"/>
      <c r="N70" s="157"/>
      <c r="O70" s="152">
        <f t="shared" si="2"/>
        <v>170527.68699999995</v>
      </c>
      <c r="P70" s="152">
        <f t="shared" si="3"/>
        <v>615965.72899999982</v>
      </c>
    </row>
    <row r="71" spans="1:16" hidden="1" x14ac:dyDescent="0.15">
      <c r="A71" s="154"/>
      <c r="B71" s="151"/>
      <c r="C71" s="152"/>
      <c r="D71" s="153"/>
      <c r="E71" s="154"/>
      <c r="F71" s="157"/>
      <c r="G71" s="151"/>
      <c r="H71" s="152"/>
      <c r="I71" s="153"/>
      <c r="J71" s="152"/>
      <c r="K71" s="150"/>
      <c r="L71" s="154"/>
      <c r="M71" s="152"/>
      <c r="N71" s="157"/>
      <c r="O71" s="152">
        <f t="shared" si="2"/>
        <v>170527.68699999995</v>
      </c>
      <c r="P71" s="152">
        <f t="shared" si="3"/>
        <v>615965.72899999982</v>
      </c>
    </row>
    <row r="72" spans="1:16" hidden="1" x14ac:dyDescent="0.15">
      <c r="A72" s="154"/>
      <c r="B72" s="151"/>
      <c r="C72" s="152"/>
      <c r="D72" s="153"/>
      <c r="E72" s="154"/>
      <c r="F72" s="160"/>
      <c r="G72" s="151"/>
      <c r="H72" s="152"/>
      <c r="I72" s="158"/>
      <c r="J72" s="152"/>
      <c r="K72" s="150"/>
      <c r="L72" s="154"/>
      <c r="M72" s="152"/>
      <c r="N72" s="157"/>
      <c r="O72" s="152">
        <f t="shared" si="2"/>
        <v>170527.68699999995</v>
      </c>
      <c r="P72" s="152">
        <f t="shared" si="3"/>
        <v>615965.72899999982</v>
      </c>
    </row>
    <row r="73" spans="1:16" hidden="1" x14ac:dyDescent="0.15">
      <c r="A73" s="154"/>
      <c r="B73" s="151"/>
      <c r="C73" s="152"/>
      <c r="D73" s="153"/>
      <c r="E73" s="154"/>
      <c r="F73" s="160"/>
      <c r="G73" s="151"/>
      <c r="H73" s="152"/>
      <c r="I73" s="153"/>
      <c r="J73" s="152"/>
      <c r="K73" s="150"/>
      <c r="L73" s="154"/>
      <c r="M73" s="152"/>
      <c r="N73" s="157"/>
      <c r="O73" s="152">
        <f t="shared" si="2"/>
        <v>170527.68699999995</v>
      </c>
      <c r="P73" s="152">
        <f t="shared" si="3"/>
        <v>615965.72899999982</v>
      </c>
    </row>
    <row r="74" spans="1:16" hidden="1" x14ac:dyDescent="0.15">
      <c r="A74" s="154"/>
      <c r="B74" s="151"/>
      <c r="C74" s="152"/>
      <c r="D74" s="153"/>
      <c r="E74" s="154"/>
      <c r="F74" s="160"/>
      <c r="G74" s="151"/>
      <c r="H74" s="152"/>
      <c r="I74" s="153"/>
      <c r="J74" s="152"/>
      <c r="K74" s="150"/>
      <c r="L74" s="154"/>
      <c r="M74" s="152"/>
      <c r="N74" s="157"/>
      <c r="O74" s="152">
        <f t="shared" si="2"/>
        <v>170527.68699999995</v>
      </c>
      <c r="P74" s="152">
        <f t="shared" si="3"/>
        <v>615965.72899999982</v>
      </c>
    </row>
    <row r="75" spans="1:16" hidden="1" x14ac:dyDescent="0.15">
      <c r="A75" s="154"/>
      <c r="B75" s="151"/>
      <c r="C75" s="152"/>
      <c r="D75" s="153"/>
      <c r="E75" s="154"/>
      <c r="F75" s="157"/>
      <c r="G75" s="151"/>
      <c r="H75" s="152"/>
      <c r="I75" s="153"/>
      <c r="J75" s="152"/>
      <c r="K75" s="150"/>
      <c r="L75" s="154"/>
      <c r="M75" s="152"/>
      <c r="N75" s="157"/>
      <c r="O75" s="152">
        <f t="shared" si="2"/>
        <v>170527.68699999995</v>
      </c>
      <c r="P75" s="152">
        <f t="shared" si="3"/>
        <v>615965.72899999982</v>
      </c>
    </row>
    <row r="76" spans="1:16" hidden="1" x14ac:dyDescent="0.15">
      <c r="A76" s="154"/>
      <c r="B76" s="151"/>
      <c r="C76" s="152"/>
      <c r="D76" s="153"/>
      <c r="E76" s="154"/>
      <c r="F76" s="157"/>
      <c r="G76" s="151"/>
      <c r="H76" s="152"/>
      <c r="I76" s="153"/>
      <c r="J76" s="152"/>
      <c r="K76" s="150"/>
      <c r="L76" s="154"/>
      <c r="M76" s="152"/>
      <c r="N76" s="150"/>
      <c r="O76" s="152">
        <f t="shared" si="2"/>
        <v>170527.68699999995</v>
      </c>
      <c r="P76" s="152">
        <f t="shared" si="3"/>
        <v>615965.72899999982</v>
      </c>
    </row>
    <row r="77" spans="1:16" hidden="1" x14ac:dyDescent="0.15">
      <c r="A77" s="154"/>
      <c r="B77" s="151"/>
      <c r="C77" s="152"/>
      <c r="D77" s="153"/>
      <c r="E77" s="154"/>
      <c r="F77" s="157"/>
      <c r="G77" s="151"/>
      <c r="H77" s="152"/>
      <c r="I77" s="153"/>
      <c r="J77" s="152"/>
      <c r="K77" s="150"/>
      <c r="L77" s="154"/>
      <c r="M77" s="152"/>
      <c r="N77" s="157"/>
      <c r="O77" s="152">
        <f t="shared" si="2"/>
        <v>170527.68699999995</v>
      </c>
      <c r="P77" s="152">
        <f t="shared" si="3"/>
        <v>615965.72899999982</v>
      </c>
    </row>
    <row r="78" spans="1:16" hidden="1" x14ac:dyDescent="0.15">
      <c r="A78" s="154"/>
      <c r="B78" s="151"/>
      <c r="C78" s="152"/>
      <c r="D78" s="153"/>
      <c r="E78" s="154"/>
      <c r="F78" s="160"/>
      <c r="G78" s="151"/>
      <c r="H78" s="152"/>
      <c r="I78" s="153"/>
      <c r="J78" s="152"/>
      <c r="K78" s="150"/>
      <c r="L78" s="154"/>
      <c r="M78" s="152"/>
      <c r="N78" s="157"/>
      <c r="O78" s="152">
        <f t="shared" si="2"/>
        <v>170527.68699999995</v>
      </c>
      <c r="P78" s="152">
        <f t="shared" si="3"/>
        <v>615965.72899999982</v>
      </c>
    </row>
    <row r="79" spans="1:16" hidden="1" x14ac:dyDescent="0.15">
      <c r="A79" s="154"/>
      <c r="B79" s="161"/>
      <c r="C79" s="152"/>
      <c r="D79" s="153"/>
      <c r="E79" s="154"/>
      <c r="F79" s="157"/>
      <c r="G79" s="151"/>
      <c r="H79" s="152"/>
      <c r="I79" s="153"/>
      <c r="J79" s="152"/>
      <c r="K79" s="150"/>
      <c r="L79" s="154"/>
      <c r="M79" s="152"/>
      <c r="N79" s="157"/>
      <c r="O79" s="152">
        <f t="shared" si="2"/>
        <v>170527.68699999995</v>
      </c>
      <c r="P79" s="152">
        <f t="shared" si="3"/>
        <v>615965.72899999982</v>
      </c>
    </row>
    <row r="80" spans="1:16" hidden="1" x14ac:dyDescent="0.15">
      <c r="A80" s="154"/>
      <c r="B80" s="161"/>
      <c r="C80" s="152"/>
      <c r="D80" s="153"/>
      <c r="E80" s="154"/>
      <c r="F80" s="157"/>
      <c r="G80" s="151"/>
      <c r="H80" s="152"/>
      <c r="I80" s="153"/>
      <c r="J80" s="152"/>
      <c r="K80" s="150"/>
      <c r="L80" s="154"/>
      <c r="M80" s="152"/>
      <c r="N80" s="157"/>
      <c r="O80" s="152">
        <f t="shared" si="2"/>
        <v>170527.68699999995</v>
      </c>
      <c r="P80" s="152">
        <f t="shared" si="3"/>
        <v>615965.72899999982</v>
      </c>
    </row>
    <row r="81" spans="1:16" hidden="1" x14ac:dyDescent="0.15">
      <c r="A81" s="154"/>
      <c r="B81" s="161"/>
      <c r="C81" s="152"/>
      <c r="D81" s="153"/>
      <c r="E81" s="154"/>
      <c r="F81" s="157"/>
      <c r="G81" s="151"/>
      <c r="H81" s="152"/>
      <c r="I81" s="153"/>
      <c r="J81" s="152"/>
      <c r="K81" s="150"/>
      <c r="L81" s="154"/>
      <c r="M81" s="152"/>
      <c r="N81" s="157"/>
      <c r="O81" s="152">
        <f t="shared" si="2"/>
        <v>170527.68699999995</v>
      </c>
      <c r="P81" s="152">
        <f t="shared" si="3"/>
        <v>615965.72899999982</v>
      </c>
    </row>
    <row r="82" spans="1:16" hidden="1" x14ac:dyDescent="0.15">
      <c r="A82" s="154"/>
      <c r="B82" s="163"/>
      <c r="C82" s="152"/>
      <c r="D82" s="158"/>
      <c r="E82" s="154"/>
      <c r="F82" s="157"/>
      <c r="G82" s="163"/>
      <c r="H82" s="152"/>
      <c r="I82" s="158"/>
      <c r="J82" s="152"/>
      <c r="K82" s="159"/>
      <c r="L82" s="154"/>
      <c r="M82" s="152"/>
      <c r="N82" s="157"/>
      <c r="O82" s="152">
        <f t="shared" si="2"/>
        <v>170527.68699999995</v>
      </c>
      <c r="P82" s="152">
        <f t="shared" si="3"/>
        <v>615965.72899999982</v>
      </c>
    </row>
    <row r="83" spans="1:16" hidden="1" x14ac:dyDescent="0.15">
      <c r="A83" s="154"/>
      <c r="B83" s="163"/>
      <c r="C83" s="152"/>
      <c r="D83" s="158"/>
      <c r="E83" s="154"/>
      <c r="F83" s="154"/>
      <c r="G83" s="163"/>
      <c r="H83" s="152"/>
      <c r="I83" s="158"/>
      <c r="J83" s="152"/>
      <c r="K83" s="150"/>
      <c r="L83" s="154"/>
      <c r="M83" s="152"/>
      <c r="N83" s="157"/>
      <c r="O83" s="152">
        <f t="shared" si="2"/>
        <v>170527.68699999995</v>
      </c>
      <c r="P83" s="152">
        <f t="shared" si="3"/>
        <v>615965.72899999982</v>
      </c>
    </row>
    <row r="84" spans="1:16" hidden="1" x14ac:dyDescent="0.15">
      <c r="A84" s="154"/>
      <c r="B84" s="163"/>
      <c r="C84" s="152"/>
      <c r="D84" s="158"/>
      <c r="E84" s="154"/>
      <c r="F84" s="154"/>
      <c r="G84" s="163"/>
      <c r="H84" s="152"/>
      <c r="I84" s="158"/>
      <c r="J84" s="152"/>
      <c r="K84" s="150"/>
      <c r="L84" s="154"/>
      <c r="M84" s="152"/>
      <c r="N84" s="157"/>
      <c r="O84" s="152">
        <f t="shared" ref="O84:O147" si="26">+O83-J84-M84</f>
        <v>170527.68699999995</v>
      </c>
      <c r="P84" s="152">
        <f t="shared" ref="P84:P147" si="27">P83+H84-J84-M84</f>
        <v>615965.72899999982</v>
      </c>
    </row>
    <row r="85" spans="1:16" hidden="1" x14ac:dyDescent="0.15">
      <c r="A85" s="154"/>
      <c r="B85" s="163"/>
      <c r="C85" s="152"/>
      <c r="D85" s="153"/>
      <c r="E85" s="154"/>
      <c r="F85" s="157"/>
      <c r="G85" s="163"/>
      <c r="H85" s="152"/>
      <c r="I85" s="158"/>
      <c r="J85" s="152"/>
      <c r="K85" s="150"/>
      <c r="L85" s="154"/>
      <c r="M85" s="152"/>
      <c r="N85" s="157"/>
      <c r="O85" s="152">
        <f t="shared" si="26"/>
        <v>170527.68699999995</v>
      </c>
      <c r="P85" s="152">
        <f t="shared" si="27"/>
        <v>615965.72899999982</v>
      </c>
    </row>
    <row r="86" spans="1:16" hidden="1" x14ac:dyDescent="0.15">
      <c r="A86" s="154"/>
      <c r="B86" s="163"/>
      <c r="C86" s="152"/>
      <c r="D86" s="153"/>
      <c r="E86" s="154"/>
      <c r="F86" s="157"/>
      <c r="G86" s="163"/>
      <c r="H86" s="152"/>
      <c r="I86" s="158"/>
      <c r="J86" s="152"/>
      <c r="K86" s="150"/>
      <c r="L86" s="154"/>
      <c r="M86" s="152"/>
      <c r="N86" s="157"/>
      <c r="O86" s="152">
        <f t="shared" si="26"/>
        <v>170527.68699999995</v>
      </c>
      <c r="P86" s="152">
        <f t="shared" si="27"/>
        <v>615965.72899999982</v>
      </c>
    </row>
    <row r="87" spans="1:16" hidden="1" x14ac:dyDescent="0.15">
      <c r="A87" s="164"/>
      <c r="B87" s="164"/>
      <c r="C87" s="152"/>
      <c r="D87" s="158"/>
      <c r="E87" s="154"/>
      <c r="F87" s="165"/>
      <c r="G87" s="166"/>
      <c r="H87" s="152"/>
      <c r="I87" s="158"/>
      <c r="J87" s="152"/>
      <c r="K87" s="150"/>
      <c r="L87" s="154"/>
      <c r="M87" s="152"/>
      <c r="N87" s="159"/>
      <c r="O87" s="152">
        <f t="shared" si="26"/>
        <v>170527.68699999995</v>
      </c>
      <c r="P87" s="152">
        <f t="shared" si="27"/>
        <v>615965.72899999982</v>
      </c>
    </row>
    <row r="88" spans="1:16" hidden="1" x14ac:dyDescent="0.15">
      <c r="A88" s="150"/>
      <c r="B88" s="161"/>
      <c r="C88" s="152"/>
      <c r="D88" s="153"/>
      <c r="E88" s="154"/>
      <c r="F88" s="157"/>
      <c r="G88" s="151"/>
      <c r="H88" s="152"/>
      <c r="I88" s="158"/>
      <c r="J88" s="152"/>
      <c r="K88" s="159"/>
      <c r="L88" s="154"/>
      <c r="M88" s="152"/>
      <c r="N88" s="159"/>
      <c r="O88" s="152">
        <f t="shared" si="26"/>
        <v>170527.68699999995</v>
      </c>
      <c r="P88" s="152">
        <f t="shared" si="27"/>
        <v>615965.72899999982</v>
      </c>
    </row>
    <row r="89" spans="1:16" hidden="1" x14ac:dyDescent="0.15">
      <c r="A89" s="150"/>
      <c r="B89" s="161"/>
      <c r="C89" s="152"/>
      <c r="D89" s="158"/>
      <c r="E89" s="154"/>
      <c r="F89" s="165"/>
      <c r="G89" s="151"/>
      <c r="H89" s="152"/>
      <c r="I89" s="158"/>
      <c r="J89" s="152"/>
      <c r="K89" s="159"/>
      <c r="L89" s="154"/>
      <c r="M89" s="152"/>
      <c r="N89" s="159"/>
      <c r="O89" s="152">
        <f t="shared" si="26"/>
        <v>170527.68699999995</v>
      </c>
      <c r="P89" s="152">
        <f t="shared" si="27"/>
        <v>615965.72899999982</v>
      </c>
    </row>
    <row r="90" spans="1:16" hidden="1" x14ac:dyDescent="0.15">
      <c r="A90" s="150"/>
      <c r="B90" s="161"/>
      <c r="C90" s="152"/>
      <c r="D90" s="158"/>
      <c r="E90" s="154"/>
      <c r="F90" s="165"/>
      <c r="G90" s="151"/>
      <c r="H90" s="152"/>
      <c r="I90" s="158"/>
      <c r="J90" s="152"/>
      <c r="K90" s="159"/>
      <c r="L90" s="154"/>
      <c r="M90" s="152"/>
      <c r="N90" s="159"/>
      <c r="O90" s="152">
        <f t="shared" si="26"/>
        <v>170527.68699999995</v>
      </c>
      <c r="P90" s="152">
        <f t="shared" si="27"/>
        <v>615965.72899999982</v>
      </c>
    </row>
    <row r="91" spans="1:16" hidden="1" x14ac:dyDescent="0.15">
      <c r="A91" s="150"/>
      <c r="B91" s="161"/>
      <c r="C91" s="152"/>
      <c r="D91" s="153"/>
      <c r="E91" s="154"/>
      <c r="F91" s="165"/>
      <c r="G91" s="151"/>
      <c r="H91" s="152"/>
      <c r="I91" s="158"/>
      <c r="J91" s="152"/>
      <c r="K91" s="159"/>
      <c r="L91" s="154"/>
      <c r="M91" s="152"/>
      <c r="N91" s="159"/>
      <c r="O91" s="152">
        <f t="shared" si="26"/>
        <v>170527.68699999995</v>
      </c>
      <c r="P91" s="152">
        <f t="shared" si="27"/>
        <v>615965.72899999982</v>
      </c>
    </row>
    <row r="92" spans="1:16" hidden="1" x14ac:dyDescent="0.15">
      <c r="A92" s="154"/>
      <c r="B92" s="154"/>
      <c r="C92" s="152"/>
      <c r="D92" s="153"/>
      <c r="E92" s="154"/>
      <c r="F92" s="165"/>
      <c r="G92" s="151"/>
      <c r="H92" s="152"/>
      <c r="I92" s="158"/>
      <c r="J92" s="152"/>
      <c r="K92" s="159"/>
      <c r="L92" s="154"/>
      <c r="M92" s="152"/>
      <c r="N92" s="159"/>
      <c r="O92" s="152">
        <f t="shared" si="26"/>
        <v>170527.68699999995</v>
      </c>
      <c r="P92" s="152">
        <f t="shared" si="27"/>
        <v>615965.72899999982</v>
      </c>
    </row>
    <row r="93" spans="1:16" hidden="1" x14ac:dyDescent="0.15">
      <c r="A93" s="154"/>
      <c r="B93" s="154"/>
      <c r="C93" s="152"/>
      <c r="D93" s="153"/>
      <c r="E93" s="154"/>
      <c r="F93" s="154"/>
      <c r="G93" s="163"/>
      <c r="H93" s="152"/>
      <c r="I93" s="158"/>
      <c r="J93" s="152"/>
      <c r="K93" s="154"/>
      <c r="L93" s="154"/>
      <c r="M93" s="152"/>
      <c r="N93" s="159"/>
      <c r="O93" s="152">
        <f t="shared" si="26"/>
        <v>170527.68699999995</v>
      </c>
      <c r="P93" s="152">
        <f t="shared" si="27"/>
        <v>615965.72899999982</v>
      </c>
    </row>
    <row r="94" spans="1:16" hidden="1" x14ac:dyDescent="0.15">
      <c r="A94" s="154"/>
      <c r="B94" s="154"/>
      <c r="C94" s="152"/>
      <c r="D94" s="153"/>
      <c r="E94" s="154"/>
      <c r="F94" s="154"/>
      <c r="G94" s="163"/>
      <c r="H94" s="152"/>
      <c r="I94" s="158"/>
      <c r="J94" s="152"/>
      <c r="K94" s="154"/>
      <c r="L94" s="154"/>
      <c r="M94" s="152"/>
      <c r="N94" s="159"/>
      <c r="O94" s="152">
        <f t="shared" si="26"/>
        <v>170527.68699999995</v>
      </c>
      <c r="P94" s="152">
        <f t="shared" si="27"/>
        <v>615965.72899999982</v>
      </c>
    </row>
    <row r="95" spans="1:16" hidden="1" x14ac:dyDescent="0.15">
      <c r="A95" s="154"/>
      <c r="B95" s="154"/>
      <c r="C95" s="152"/>
      <c r="D95" s="153"/>
      <c r="E95" s="154"/>
      <c r="F95" s="154"/>
      <c r="G95" s="163"/>
      <c r="H95" s="152"/>
      <c r="I95" s="153"/>
      <c r="J95" s="152"/>
      <c r="K95" s="154"/>
      <c r="L95" s="154"/>
      <c r="M95" s="152"/>
      <c r="N95" s="159"/>
      <c r="O95" s="152">
        <f t="shared" si="26"/>
        <v>170527.68699999995</v>
      </c>
      <c r="P95" s="152">
        <f t="shared" si="27"/>
        <v>615965.72899999982</v>
      </c>
    </row>
    <row r="96" spans="1:16" hidden="1" x14ac:dyDescent="0.15">
      <c r="A96" s="154"/>
      <c r="B96" s="154"/>
      <c r="C96" s="152"/>
      <c r="D96" s="158"/>
      <c r="E96" s="154"/>
      <c r="F96" s="165"/>
      <c r="G96" s="163"/>
      <c r="H96" s="152"/>
      <c r="I96" s="158"/>
      <c r="J96" s="152"/>
      <c r="K96" s="154"/>
      <c r="L96" s="154"/>
      <c r="M96" s="152"/>
      <c r="N96" s="154"/>
      <c r="O96" s="152">
        <f t="shared" si="26"/>
        <v>170527.68699999995</v>
      </c>
      <c r="P96" s="152">
        <f t="shared" si="27"/>
        <v>615965.72899999982</v>
      </c>
    </row>
    <row r="97" spans="1:16" hidden="1" x14ac:dyDescent="0.15">
      <c r="A97" s="154"/>
      <c r="B97" s="154"/>
      <c r="C97" s="152"/>
      <c r="D97" s="158"/>
      <c r="E97" s="154"/>
      <c r="F97" s="165"/>
      <c r="G97" s="163"/>
      <c r="H97" s="152"/>
      <c r="I97" s="158"/>
      <c r="J97" s="152"/>
      <c r="K97" s="154"/>
      <c r="L97" s="154"/>
      <c r="M97" s="152"/>
      <c r="N97" s="154"/>
      <c r="O97" s="152">
        <f t="shared" si="26"/>
        <v>170527.68699999995</v>
      </c>
      <c r="P97" s="152">
        <f t="shared" si="27"/>
        <v>615965.72899999982</v>
      </c>
    </row>
    <row r="98" spans="1:16" hidden="1" x14ac:dyDescent="0.15">
      <c r="A98" s="154"/>
      <c r="B98" s="154"/>
      <c r="C98" s="152"/>
      <c r="D98" s="153"/>
      <c r="E98" s="154"/>
      <c r="F98" s="154"/>
      <c r="G98" s="163"/>
      <c r="H98" s="152"/>
      <c r="I98" s="158"/>
      <c r="J98" s="152"/>
      <c r="K98" s="154"/>
      <c r="L98" s="154"/>
      <c r="M98" s="152"/>
      <c r="N98" s="154"/>
      <c r="O98" s="152">
        <f t="shared" si="26"/>
        <v>170527.68699999995</v>
      </c>
      <c r="P98" s="152">
        <f t="shared" si="27"/>
        <v>615965.72899999982</v>
      </c>
    </row>
    <row r="99" spans="1:16" hidden="1" x14ac:dyDescent="0.15">
      <c r="A99" s="154"/>
      <c r="B99" s="154"/>
      <c r="C99" s="152"/>
      <c r="D99" s="158"/>
      <c r="E99" s="154"/>
      <c r="F99" s="154"/>
      <c r="G99" s="163"/>
      <c r="H99" s="152"/>
      <c r="I99" s="158"/>
      <c r="J99" s="152"/>
      <c r="K99" s="159"/>
      <c r="L99" s="154"/>
      <c r="M99" s="152"/>
      <c r="N99" s="159"/>
      <c r="O99" s="152">
        <f t="shared" si="26"/>
        <v>170527.68699999995</v>
      </c>
      <c r="P99" s="152">
        <f t="shared" si="27"/>
        <v>615965.72899999982</v>
      </c>
    </row>
    <row r="100" spans="1:16" hidden="1" x14ac:dyDescent="0.15">
      <c r="A100" s="154"/>
      <c r="B100" s="154"/>
      <c r="C100" s="152"/>
      <c r="D100" s="158"/>
      <c r="E100" s="154"/>
      <c r="F100" s="154"/>
      <c r="G100" s="163"/>
      <c r="H100" s="152"/>
      <c r="I100" s="153"/>
      <c r="J100" s="152"/>
      <c r="K100" s="159"/>
      <c r="L100" s="154"/>
      <c r="M100" s="152"/>
      <c r="N100" s="159"/>
      <c r="O100" s="152">
        <f t="shared" si="26"/>
        <v>170527.68699999995</v>
      </c>
      <c r="P100" s="152">
        <f t="shared" si="27"/>
        <v>615965.72899999982</v>
      </c>
    </row>
    <row r="101" spans="1:16" hidden="1" x14ac:dyDescent="0.15">
      <c r="A101" s="154"/>
      <c r="B101" s="154"/>
      <c r="C101" s="152"/>
      <c r="D101" s="158"/>
      <c r="E101" s="154"/>
      <c r="F101" s="154"/>
      <c r="G101" s="163"/>
      <c r="H101" s="152"/>
      <c r="I101" s="153"/>
      <c r="J101" s="152"/>
      <c r="K101" s="159"/>
      <c r="L101" s="154"/>
      <c r="M101" s="152"/>
      <c r="N101" s="159"/>
      <c r="O101" s="152">
        <f t="shared" si="26"/>
        <v>170527.68699999995</v>
      </c>
      <c r="P101" s="152">
        <f t="shared" si="27"/>
        <v>615965.72899999982</v>
      </c>
    </row>
    <row r="102" spans="1:16" hidden="1" x14ac:dyDescent="0.15">
      <c r="A102" s="154"/>
      <c r="B102" s="154"/>
      <c r="C102" s="152"/>
      <c r="D102" s="158"/>
      <c r="E102" s="154"/>
      <c r="F102" s="154"/>
      <c r="G102" s="163"/>
      <c r="H102" s="152"/>
      <c r="I102" s="153"/>
      <c r="J102" s="152"/>
      <c r="K102" s="159"/>
      <c r="L102" s="154"/>
      <c r="M102" s="152"/>
      <c r="N102" s="159"/>
      <c r="O102" s="152">
        <f t="shared" si="26"/>
        <v>170527.68699999995</v>
      </c>
      <c r="P102" s="152">
        <f t="shared" si="27"/>
        <v>615965.72899999982</v>
      </c>
    </row>
    <row r="103" spans="1:16" hidden="1" x14ac:dyDescent="0.15">
      <c r="A103" s="154"/>
      <c r="B103" s="154"/>
      <c r="C103" s="152"/>
      <c r="D103" s="158"/>
      <c r="E103" s="154"/>
      <c r="F103" s="154"/>
      <c r="G103" s="163"/>
      <c r="H103" s="152"/>
      <c r="I103" s="158"/>
      <c r="J103" s="152"/>
      <c r="K103" s="154"/>
      <c r="L103" s="154"/>
      <c r="M103" s="152"/>
      <c r="N103" s="154"/>
      <c r="O103" s="152">
        <f t="shared" si="26"/>
        <v>170527.68699999995</v>
      </c>
      <c r="P103" s="152">
        <f t="shared" si="27"/>
        <v>615965.72899999982</v>
      </c>
    </row>
    <row r="104" spans="1:16" hidden="1" x14ac:dyDescent="0.15">
      <c r="A104" s="154"/>
      <c r="B104" s="154"/>
      <c r="C104" s="152"/>
      <c r="D104" s="153"/>
      <c r="E104" s="154"/>
      <c r="F104" s="154"/>
      <c r="G104" s="163"/>
      <c r="H104" s="152"/>
      <c r="I104" s="158"/>
      <c r="J104" s="152"/>
      <c r="K104" s="154"/>
      <c r="L104" s="154"/>
      <c r="M104" s="152"/>
      <c r="N104" s="154"/>
      <c r="O104" s="152">
        <f t="shared" si="26"/>
        <v>170527.68699999995</v>
      </c>
      <c r="P104" s="152">
        <f t="shared" si="27"/>
        <v>615965.72899999982</v>
      </c>
    </row>
    <row r="105" spans="1:16" hidden="1" x14ac:dyDescent="0.15">
      <c r="A105" s="154"/>
      <c r="B105" s="154"/>
      <c r="C105" s="152"/>
      <c r="D105" s="153"/>
      <c r="E105" s="154"/>
      <c r="F105" s="154"/>
      <c r="G105" s="163"/>
      <c r="H105" s="152"/>
      <c r="I105" s="158"/>
      <c r="J105" s="152"/>
      <c r="K105" s="154"/>
      <c r="L105" s="154"/>
      <c r="M105" s="152"/>
      <c r="N105" s="159"/>
      <c r="O105" s="152">
        <f t="shared" si="26"/>
        <v>170527.68699999995</v>
      </c>
      <c r="P105" s="152">
        <f t="shared" si="27"/>
        <v>615965.72899999982</v>
      </c>
    </row>
    <row r="106" spans="1:16" hidden="1" x14ac:dyDescent="0.15">
      <c r="A106" s="154"/>
      <c r="B106" s="154"/>
      <c r="C106" s="152"/>
      <c r="D106" s="153"/>
      <c r="E106" s="154"/>
      <c r="F106" s="154"/>
      <c r="G106" s="163"/>
      <c r="H106" s="152"/>
      <c r="I106" s="158"/>
      <c r="J106" s="152"/>
      <c r="K106" s="154"/>
      <c r="L106" s="154"/>
      <c r="M106" s="152"/>
      <c r="N106" s="154"/>
      <c r="O106" s="152">
        <f t="shared" si="26"/>
        <v>170527.68699999995</v>
      </c>
      <c r="P106" s="152">
        <f t="shared" si="27"/>
        <v>615965.72899999982</v>
      </c>
    </row>
    <row r="107" spans="1:16" s="167" customFormat="1" hidden="1" x14ac:dyDescent="0.15">
      <c r="A107" s="154"/>
      <c r="B107" s="154"/>
      <c r="C107" s="152"/>
      <c r="D107" s="153"/>
      <c r="E107" s="154"/>
      <c r="F107" s="154"/>
      <c r="G107" s="163"/>
      <c r="H107" s="152"/>
      <c r="I107" s="158"/>
      <c r="J107" s="152"/>
      <c r="K107" s="154"/>
      <c r="L107" s="154"/>
      <c r="M107" s="152"/>
      <c r="N107" s="154"/>
      <c r="O107" s="152">
        <f t="shared" si="26"/>
        <v>170527.68699999995</v>
      </c>
      <c r="P107" s="152">
        <f t="shared" si="27"/>
        <v>615965.72899999982</v>
      </c>
    </row>
    <row r="108" spans="1:16" s="167" customFormat="1" hidden="1" x14ac:dyDescent="0.15">
      <c r="A108" s="154"/>
      <c r="B108" s="154"/>
      <c r="C108" s="152"/>
      <c r="D108" s="158"/>
      <c r="E108" s="154"/>
      <c r="F108" s="154"/>
      <c r="G108" s="163"/>
      <c r="H108" s="152"/>
      <c r="I108" s="158"/>
      <c r="J108" s="152"/>
      <c r="K108" s="154"/>
      <c r="L108" s="154"/>
      <c r="M108" s="152"/>
      <c r="N108" s="154"/>
      <c r="O108" s="152">
        <f t="shared" si="26"/>
        <v>170527.68699999995</v>
      </c>
      <c r="P108" s="152">
        <f t="shared" si="27"/>
        <v>615965.72899999982</v>
      </c>
    </row>
    <row r="109" spans="1:16" s="167" customFormat="1" hidden="1" x14ac:dyDescent="0.15">
      <c r="A109" s="154"/>
      <c r="B109" s="151"/>
      <c r="C109" s="152"/>
      <c r="D109" s="153"/>
      <c r="E109" s="154"/>
      <c r="F109" s="154"/>
      <c r="G109" s="151"/>
      <c r="H109" s="152"/>
      <c r="I109" s="158"/>
      <c r="J109" s="152"/>
      <c r="K109" s="154"/>
      <c r="L109" s="154"/>
      <c r="M109" s="152"/>
      <c r="N109" s="154"/>
      <c r="O109" s="152">
        <f t="shared" si="26"/>
        <v>170527.68699999995</v>
      </c>
      <c r="P109" s="152">
        <f t="shared" si="27"/>
        <v>615965.72899999982</v>
      </c>
    </row>
    <row r="110" spans="1:16" s="167" customFormat="1" hidden="1" x14ac:dyDescent="0.15">
      <c r="A110" s="154"/>
      <c r="B110" s="151"/>
      <c r="C110" s="152"/>
      <c r="D110" s="153"/>
      <c r="E110" s="154"/>
      <c r="F110" s="150"/>
      <c r="G110" s="151"/>
      <c r="H110" s="152"/>
      <c r="I110" s="158"/>
      <c r="J110" s="152"/>
      <c r="K110" s="154"/>
      <c r="L110" s="154"/>
      <c r="M110" s="152"/>
      <c r="N110" s="154"/>
      <c r="O110" s="152">
        <f t="shared" si="26"/>
        <v>170527.68699999995</v>
      </c>
      <c r="P110" s="152">
        <f t="shared" si="27"/>
        <v>615965.72899999982</v>
      </c>
    </row>
    <row r="111" spans="1:16" s="167" customFormat="1" hidden="1" x14ac:dyDescent="0.15">
      <c r="A111" s="154"/>
      <c r="B111" s="151"/>
      <c r="C111" s="152"/>
      <c r="D111" s="153"/>
      <c r="E111" s="154"/>
      <c r="F111" s="150"/>
      <c r="G111" s="151"/>
      <c r="H111" s="152"/>
      <c r="I111" s="158"/>
      <c r="J111" s="152"/>
      <c r="K111" s="154"/>
      <c r="L111" s="154"/>
      <c r="M111" s="152"/>
      <c r="N111" s="154"/>
      <c r="O111" s="152">
        <f t="shared" si="26"/>
        <v>170527.68699999995</v>
      </c>
      <c r="P111" s="152">
        <f t="shared" si="27"/>
        <v>615965.72899999982</v>
      </c>
    </row>
    <row r="112" spans="1:16" s="167" customFormat="1" hidden="1" x14ac:dyDescent="0.15">
      <c r="A112" s="154"/>
      <c r="B112" s="151"/>
      <c r="C112" s="152"/>
      <c r="D112" s="153"/>
      <c r="E112" s="154"/>
      <c r="F112" s="150"/>
      <c r="G112" s="151"/>
      <c r="H112" s="152"/>
      <c r="I112" s="153"/>
      <c r="J112" s="152"/>
      <c r="K112" s="154"/>
      <c r="L112" s="154"/>
      <c r="M112" s="152"/>
      <c r="N112" s="154"/>
      <c r="O112" s="152">
        <f t="shared" si="26"/>
        <v>170527.68699999995</v>
      </c>
      <c r="P112" s="152">
        <f t="shared" si="27"/>
        <v>615965.72899999982</v>
      </c>
    </row>
    <row r="113" spans="1:16" s="167" customFormat="1" hidden="1" x14ac:dyDescent="0.15">
      <c r="A113" s="154"/>
      <c r="B113" s="151"/>
      <c r="C113" s="152"/>
      <c r="D113" s="153"/>
      <c r="E113" s="154"/>
      <c r="F113" s="150"/>
      <c r="G113" s="151"/>
      <c r="H113" s="152"/>
      <c r="I113" s="153"/>
      <c r="J113" s="152"/>
      <c r="K113" s="154"/>
      <c r="L113" s="154"/>
      <c r="M113" s="152"/>
      <c r="N113" s="154"/>
      <c r="O113" s="152">
        <f t="shared" si="26"/>
        <v>170527.68699999995</v>
      </c>
      <c r="P113" s="152">
        <f t="shared" si="27"/>
        <v>615965.72899999982</v>
      </c>
    </row>
    <row r="114" spans="1:16" s="167" customFormat="1" hidden="1" x14ac:dyDescent="0.15">
      <c r="A114" s="154"/>
      <c r="B114" s="151"/>
      <c r="C114" s="152"/>
      <c r="D114" s="158"/>
      <c r="E114" s="154"/>
      <c r="F114" s="150"/>
      <c r="G114" s="151"/>
      <c r="H114" s="152"/>
      <c r="I114" s="158"/>
      <c r="J114" s="152"/>
      <c r="K114" s="159"/>
      <c r="L114" s="154"/>
      <c r="M114" s="152"/>
      <c r="N114" s="154"/>
      <c r="O114" s="152">
        <f t="shared" si="26"/>
        <v>170527.68699999995</v>
      </c>
      <c r="P114" s="152">
        <f t="shared" si="27"/>
        <v>615965.72899999982</v>
      </c>
    </row>
    <row r="115" spans="1:16" s="167" customFormat="1" hidden="1" x14ac:dyDescent="0.15">
      <c r="A115" s="154"/>
      <c r="B115" s="154"/>
      <c r="C115" s="152"/>
      <c r="D115" s="158"/>
      <c r="E115" s="154"/>
      <c r="F115" s="157"/>
      <c r="G115" s="163"/>
      <c r="H115" s="152"/>
      <c r="I115" s="158"/>
      <c r="J115" s="152"/>
      <c r="K115" s="154"/>
      <c r="L115" s="154"/>
      <c r="M115" s="152"/>
      <c r="N115" s="154"/>
      <c r="O115" s="152">
        <f t="shared" si="26"/>
        <v>170527.68699999995</v>
      </c>
      <c r="P115" s="152">
        <f t="shared" si="27"/>
        <v>615965.72899999982</v>
      </c>
    </row>
    <row r="116" spans="1:16" s="167" customFormat="1" hidden="1" x14ac:dyDescent="0.15">
      <c r="A116" s="154"/>
      <c r="B116" s="154"/>
      <c r="C116" s="152"/>
      <c r="D116" s="153"/>
      <c r="E116" s="154"/>
      <c r="F116" s="150"/>
      <c r="G116" s="151"/>
      <c r="H116" s="152"/>
      <c r="I116" s="158"/>
      <c r="J116" s="152"/>
      <c r="K116" s="154"/>
      <c r="L116" s="154"/>
      <c r="M116" s="152"/>
      <c r="N116" s="154"/>
      <c r="O116" s="152">
        <f t="shared" si="26"/>
        <v>170527.68699999995</v>
      </c>
      <c r="P116" s="152">
        <f t="shared" si="27"/>
        <v>615965.72899999982</v>
      </c>
    </row>
    <row r="117" spans="1:16" s="167" customFormat="1" hidden="1" x14ac:dyDescent="0.15">
      <c r="A117" s="154"/>
      <c r="B117" s="154"/>
      <c r="C117" s="152"/>
      <c r="D117" s="158"/>
      <c r="E117" s="154"/>
      <c r="F117" s="154"/>
      <c r="G117" s="163"/>
      <c r="H117" s="152"/>
      <c r="I117" s="158"/>
      <c r="J117" s="152"/>
      <c r="K117" s="154"/>
      <c r="L117" s="154"/>
      <c r="M117" s="152"/>
      <c r="N117" s="154"/>
      <c r="O117" s="152">
        <f t="shared" si="26"/>
        <v>170527.68699999995</v>
      </c>
      <c r="P117" s="152">
        <f t="shared" si="27"/>
        <v>615965.72899999982</v>
      </c>
    </row>
    <row r="118" spans="1:16" s="167" customFormat="1" hidden="1" x14ac:dyDescent="0.15">
      <c r="A118" s="154"/>
      <c r="B118" s="154"/>
      <c r="C118" s="152"/>
      <c r="D118" s="158"/>
      <c r="E118" s="154"/>
      <c r="F118" s="157"/>
      <c r="G118" s="163"/>
      <c r="H118" s="152"/>
      <c r="I118" s="158"/>
      <c r="J118" s="152"/>
      <c r="K118" s="154"/>
      <c r="L118" s="154"/>
      <c r="M118" s="152"/>
      <c r="N118" s="154"/>
      <c r="O118" s="152">
        <f t="shared" si="26"/>
        <v>170527.68699999995</v>
      </c>
      <c r="P118" s="152">
        <f t="shared" si="27"/>
        <v>615965.72899999982</v>
      </c>
    </row>
    <row r="119" spans="1:16" s="167" customFormat="1" hidden="1" x14ac:dyDescent="0.15">
      <c r="A119" s="154"/>
      <c r="B119" s="154"/>
      <c r="C119" s="152"/>
      <c r="D119" s="158"/>
      <c r="E119" s="154"/>
      <c r="F119" s="154"/>
      <c r="G119" s="151"/>
      <c r="H119" s="152"/>
      <c r="I119" s="158"/>
      <c r="J119" s="152"/>
      <c r="K119" s="154"/>
      <c r="L119" s="154"/>
      <c r="M119" s="152"/>
      <c r="N119" s="154"/>
      <c r="O119" s="152">
        <f t="shared" si="26"/>
        <v>170527.68699999995</v>
      </c>
      <c r="P119" s="152">
        <f t="shared" si="27"/>
        <v>615965.72899999982</v>
      </c>
    </row>
    <row r="120" spans="1:16" s="167" customFormat="1" hidden="1" x14ac:dyDescent="0.15">
      <c r="A120" s="154"/>
      <c r="B120" s="154"/>
      <c r="C120" s="152"/>
      <c r="D120" s="153"/>
      <c r="E120" s="154"/>
      <c r="F120" s="154"/>
      <c r="G120" s="151"/>
      <c r="H120" s="152"/>
      <c r="I120" s="158"/>
      <c r="J120" s="152"/>
      <c r="K120" s="154"/>
      <c r="L120" s="154"/>
      <c r="M120" s="152"/>
      <c r="N120" s="154"/>
      <c r="O120" s="152">
        <f t="shared" si="26"/>
        <v>170527.68699999995</v>
      </c>
      <c r="P120" s="152">
        <f t="shared" si="27"/>
        <v>615965.72899999982</v>
      </c>
    </row>
    <row r="121" spans="1:16" s="167" customFormat="1" hidden="1" x14ac:dyDescent="0.15">
      <c r="A121" s="154"/>
      <c r="B121" s="154"/>
      <c r="C121" s="152"/>
      <c r="D121" s="158"/>
      <c r="E121" s="154"/>
      <c r="F121" s="157"/>
      <c r="G121" s="168"/>
      <c r="H121" s="152"/>
      <c r="I121" s="158"/>
      <c r="J121" s="152"/>
      <c r="K121" s="154"/>
      <c r="L121" s="154"/>
      <c r="M121" s="152"/>
      <c r="N121" s="154"/>
      <c r="O121" s="152">
        <f t="shared" si="26"/>
        <v>170527.68699999995</v>
      </c>
      <c r="P121" s="152">
        <f t="shared" si="27"/>
        <v>615965.72899999982</v>
      </c>
    </row>
    <row r="122" spans="1:16" s="167" customFormat="1" hidden="1" x14ac:dyDescent="0.15">
      <c r="A122" s="154"/>
      <c r="B122" s="154"/>
      <c r="C122" s="152"/>
      <c r="D122" s="153"/>
      <c r="E122" s="154"/>
      <c r="F122" s="154"/>
      <c r="G122" s="151"/>
      <c r="H122" s="152"/>
      <c r="I122" s="158"/>
      <c r="J122" s="152"/>
      <c r="K122" s="159"/>
      <c r="L122" s="154"/>
      <c r="M122" s="152"/>
      <c r="N122" s="154"/>
      <c r="O122" s="152">
        <f t="shared" si="26"/>
        <v>170527.68699999995</v>
      </c>
      <c r="P122" s="152">
        <f t="shared" si="27"/>
        <v>615965.72899999982</v>
      </c>
    </row>
    <row r="123" spans="1:16" s="167" customFormat="1" hidden="1" x14ac:dyDescent="0.15">
      <c r="A123" s="154"/>
      <c r="B123" s="154"/>
      <c r="C123" s="152"/>
      <c r="D123" s="158"/>
      <c r="E123" s="154"/>
      <c r="F123" s="154"/>
      <c r="G123" s="151"/>
      <c r="H123" s="152"/>
      <c r="I123" s="158"/>
      <c r="J123" s="152"/>
      <c r="K123" s="154"/>
      <c r="L123" s="154"/>
      <c r="M123" s="152"/>
      <c r="N123" s="154"/>
      <c r="O123" s="152">
        <f t="shared" si="26"/>
        <v>170527.68699999995</v>
      </c>
      <c r="P123" s="152">
        <f t="shared" si="27"/>
        <v>615965.72899999982</v>
      </c>
    </row>
    <row r="124" spans="1:16" s="167" customFormat="1" hidden="1" x14ac:dyDescent="0.15">
      <c r="A124" s="154"/>
      <c r="B124" s="154"/>
      <c r="C124" s="152"/>
      <c r="D124" s="158"/>
      <c r="E124" s="154"/>
      <c r="F124" s="154"/>
      <c r="G124" s="151"/>
      <c r="H124" s="152"/>
      <c r="I124" s="158"/>
      <c r="J124" s="152"/>
      <c r="K124" s="154"/>
      <c r="L124" s="154"/>
      <c r="M124" s="152"/>
      <c r="N124" s="154"/>
      <c r="O124" s="152">
        <f t="shared" si="26"/>
        <v>170527.68699999995</v>
      </c>
      <c r="P124" s="152">
        <f t="shared" si="27"/>
        <v>615965.72899999982</v>
      </c>
    </row>
    <row r="125" spans="1:16" s="167" customFormat="1" hidden="1" x14ac:dyDescent="0.15">
      <c r="A125" s="154"/>
      <c r="B125" s="154"/>
      <c r="C125" s="152"/>
      <c r="D125" s="153"/>
      <c r="E125" s="154"/>
      <c r="F125" s="154"/>
      <c r="G125" s="151"/>
      <c r="H125" s="152"/>
      <c r="I125" s="158"/>
      <c r="J125" s="152"/>
      <c r="K125" s="159"/>
      <c r="L125" s="154"/>
      <c r="M125" s="152"/>
      <c r="N125" s="154"/>
      <c r="O125" s="152">
        <f t="shared" si="26"/>
        <v>170527.68699999995</v>
      </c>
      <c r="P125" s="152">
        <f t="shared" si="27"/>
        <v>615965.72899999982</v>
      </c>
    </row>
    <row r="126" spans="1:16" s="167" customFormat="1" hidden="1" x14ac:dyDescent="0.15">
      <c r="A126" s="154"/>
      <c r="B126" s="154"/>
      <c r="C126" s="152"/>
      <c r="D126" s="158"/>
      <c r="E126" s="154"/>
      <c r="F126" s="157"/>
      <c r="G126" s="163"/>
      <c r="H126" s="152"/>
      <c r="I126" s="158"/>
      <c r="J126" s="152"/>
      <c r="K126" s="154"/>
      <c r="L126" s="154"/>
      <c r="M126" s="152"/>
      <c r="N126" s="154"/>
      <c r="O126" s="152">
        <f t="shared" si="26"/>
        <v>170527.68699999995</v>
      </c>
      <c r="P126" s="152">
        <f t="shared" si="27"/>
        <v>615965.72899999982</v>
      </c>
    </row>
    <row r="127" spans="1:16" s="167" customFormat="1" hidden="1" x14ac:dyDescent="0.15">
      <c r="A127" s="154"/>
      <c r="B127" s="154"/>
      <c r="C127" s="152"/>
      <c r="D127" s="158"/>
      <c r="E127" s="154"/>
      <c r="F127" s="154"/>
      <c r="G127" s="151"/>
      <c r="H127" s="152"/>
      <c r="I127" s="158"/>
      <c r="J127" s="152"/>
      <c r="K127" s="150"/>
      <c r="L127" s="154"/>
      <c r="M127" s="152"/>
      <c r="N127" s="154"/>
      <c r="O127" s="152">
        <f t="shared" si="26"/>
        <v>170527.68699999995</v>
      </c>
      <c r="P127" s="152">
        <f t="shared" si="27"/>
        <v>615965.72899999982</v>
      </c>
    </row>
    <row r="128" spans="1:16" s="167" customFormat="1" hidden="1" x14ac:dyDescent="0.15">
      <c r="A128" s="154"/>
      <c r="B128" s="154"/>
      <c r="C128" s="152"/>
      <c r="D128" s="158"/>
      <c r="E128" s="154"/>
      <c r="F128" s="154"/>
      <c r="G128" s="151"/>
      <c r="H128" s="152"/>
      <c r="I128" s="158"/>
      <c r="J128" s="152"/>
      <c r="K128" s="150"/>
      <c r="L128" s="154"/>
      <c r="M128" s="152"/>
      <c r="N128" s="154"/>
      <c r="O128" s="152">
        <f t="shared" si="26"/>
        <v>170527.68699999995</v>
      </c>
      <c r="P128" s="152">
        <f t="shared" si="27"/>
        <v>615965.72899999982</v>
      </c>
    </row>
    <row r="129" spans="1:16" s="167" customFormat="1" hidden="1" x14ac:dyDescent="0.15">
      <c r="A129" s="154"/>
      <c r="B129" s="154"/>
      <c r="C129" s="152"/>
      <c r="D129" s="158"/>
      <c r="E129" s="154"/>
      <c r="F129" s="154"/>
      <c r="G129" s="151"/>
      <c r="H129" s="152"/>
      <c r="I129" s="158"/>
      <c r="J129" s="152"/>
      <c r="K129" s="154"/>
      <c r="L129" s="154"/>
      <c r="M129" s="152"/>
      <c r="N129" s="154"/>
      <c r="O129" s="152">
        <f t="shared" si="26"/>
        <v>170527.68699999995</v>
      </c>
      <c r="P129" s="152">
        <f t="shared" si="27"/>
        <v>615965.72899999982</v>
      </c>
    </row>
    <row r="130" spans="1:16" s="167" customFormat="1" hidden="1" x14ac:dyDescent="0.15">
      <c r="A130" s="154"/>
      <c r="B130" s="154"/>
      <c r="C130" s="152"/>
      <c r="D130" s="158"/>
      <c r="E130" s="154"/>
      <c r="F130" s="150"/>
      <c r="G130" s="151"/>
      <c r="H130" s="152"/>
      <c r="I130" s="158"/>
      <c r="J130" s="152"/>
      <c r="K130" s="154"/>
      <c r="L130" s="154"/>
      <c r="M130" s="152"/>
      <c r="N130" s="154"/>
      <c r="O130" s="152">
        <f t="shared" si="26"/>
        <v>170527.68699999995</v>
      </c>
      <c r="P130" s="152">
        <f t="shared" si="27"/>
        <v>615965.72899999982</v>
      </c>
    </row>
    <row r="131" spans="1:16" s="167" customFormat="1" hidden="1" x14ac:dyDescent="0.15">
      <c r="A131" s="154"/>
      <c r="B131" s="154"/>
      <c r="C131" s="152"/>
      <c r="D131" s="153"/>
      <c r="E131" s="154"/>
      <c r="F131" s="150"/>
      <c r="G131" s="151"/>
      <c r="H131" s="152"/>
      <c r="I131" s="158"/>
      <c r="J131" s="152"/>
      <c r="K131" s="154"/>
      <c r="L131" s="154"/>
      <c r="M131" s="152"/>
      <c r="N131" s="154"/>
      <c r="O131" s="152">
        <f t="shared" si="26"/>
        <v>170527.68699999995</v>
      </c>
      <c r="P131" s="152">
        <f t="shared" si="27"/>
        <v>615965.72899999982</v>
      </c>
    </row>
    <row r="132" spans="1:16" s="167" customFormat="1" hidden="1" x14ac:dyDescent="0.15">
      <c r="A132" s="154"/>
      <c r="B132" s="154"/>
      <c r="C132" s="152"/>
      <c r="D132" s="158"/>
      <c r="E132" s="154"/>
      <c r="F132" s="157"/>
      <c r="G132" s="151"/>
      <c r="H132" s="152"/>
      <c r="I132" s="158"/>
      <c r="J132" s="152"/>
      <c r="K132" s="154"/>
      <c r="L132" s="154"/>
      <c r="M132" s="152"/>
      <c r="N132" s="154"/>
      <c r="O132" s="152">
        <f t="shared" si="26"/>
        <v>170527.68699999995</v>
      </c>
      <c r="P132" s="152">
        <f t="shared" si="27"/>
        <v>615965.72899999982</v>
      </c>
    </row>
    <row r="133" spans="1:16" s="167" customFormat="1" hidden="1" x14ac:dyDescent="0.15">
      <c r="A133" s="154"/>
      <c r="B133" s="154"/>
      <c r="C133" s="152"/>
      <c r="D133" s="158"/>
      <c r="E133" s="154"/>
      <c r="F133" s="154"/>
      <c r="G133" s="151"/>
      <c r="H133" s="152"/>
      <c r="I133" s="158"/>
      <c r="J133" s="152"/>
      <c r="K133" s="154"/>
      <c r="L133" s="154"/>
      <c r="M133" s="152"/>
      <c r="N133" s="154"/>
      <c r="O133" s="152">
        <f t="shared" si="26"/>
        <v>170527.68699999995</v>
      </c>
      <c r="P133" s="152">
        <f t="shared" si="27"/>
        <v>615965.72899999982</v>
      </c>
    </row>
    <row r="134" spans="1:16" s="167" customFormat="1" hidden="1" x14ac:dyDescent="0.15">
      <c r="A134" s="154"/>
      <c r="B134" s="154"/>
      <c r="C134" s="152"/>
      <c r="D134" s="153"/>
      <c r="E134" s="154"/>
      <c r="F134" s="154"/>
      <c r="G134" s="151"/>
      <c r="H134" s="152"/>
      <c r="I134" s="158"/>
      <c r="J134" s="152"/>
      <c r="K134" s="154"/>
      <c r="L134" s="154"/>
      <c r="M134" s="152"/>
      <c r="N134" s="154"/>
      <c r="O134" s="152">
        <f t="shared" si="26"/>
        <v>170527.68699999995</v>
      </c>
      <c r="P134" s="152">
        <f t="shared" si="27"/>
        <v>615965.72899999982</v>
      </c>
    </row>
    <row r="135" spans="1:16" s="167" customFormat="1" hidden="1" x14ac:dyDescent="0.15">
      <c r="A135" s="154"/>
      <c r="B135" s="154"/>
      <c r="C135" s="152"/>
      <c r="D135" s="153"/>
      <c r="E135" s="154"/>
      <c r="F135" s="157"/>
      <c r="G135" s="168"/>
      <c r="H135" s="152"/>
      <c r="I135" s="158"/>
      <c r="J135" s="152"/>
      <c r="K135" s="154"/>
      <c r="L135" s="154"/>
      <c r="M135" s="152"/>
      <c r="N135" s="154"/>
      <c r="O135" s="152">
        <f t="shared" si="26"/>
        <v>170527.68699999995</v>
      </c>
      <c r="P135" s="152">
        <f t="shared" si="27"/>
        <v>615965.72899999982</v>
      </c>
    </row>
    <row r="136" spans="1:16" s="167" customFormat="1" hidden="1" x14ac:dyDescent="0.15">
      <c r="A136" s="154"/>
      <c r="B136" s="154"/>
      <c r="C136" s="152"/>
      <c r="D136" s="153"/>
      <c r="E136" s="154"/>
      <c r="F136" s="157"/>
      <c r="G136" s="168"/>
      <c r="H136" s="152"/>
      <c r="I136" s="153"/>
      <c r="J136" s="152"/>
      <c r="K136" s="154"/>
      <c r="L136" s="154"/>
      <c r="M136" s="152"/>
      <c r="N136" s="154"/>
      <c r="O136" s="152">
        <f t="shared" si="26"/>
        <v>170527.68699999995</v>
      </c>
      <c r="P136" s="152">
        <f t="shared" si="27"/>
        <v>615965.72899999982</v>
      </c>
    </row>
    <row r="137" spans="1:16" hidden="1" x14ac:dyDescent="0.15">
      <c r="A137" s="154"/>
      <c r="B137" s="154"/>
      <c r="C137" s="152"/>
      <c r="D137" s="158"/>
      <c r="E137" s="154"/>
      <c r="F137" s="150"/>
      <c r="G137" s="151"/>
      <c r="H137" s="152"/>
      <c r="I137" s="158"/>
      <c r="J137" s="152"/>
      <c r="K137" s="154"/>
      <c r="L137" s="154"/>
      <c r="M137" s="152"/>
      <c r="N137" s="154"/>
      <c r="O137" s="152">
        <f t="shared" si="26"/>
        <v>170527.68699999995</v>
      </c>
      <c r="P137" s="152">
        <f t="shared" si="27"/>
        <v>615965.72899999982</v>
      </c>
    </row>
    <row r="138" spans="1:16" hidden="1" x14ac:dyDescent="0.15">
      <c r="A138" s="154"/>
      <c r="B138" s="154"/>
      <c r="C138" s="152"/>
      <c r="D138" s="158"/>
      <c r="E138" s="154"/>
      <c r="F138" s="150"/>
      <c r="G138" s="151"/>
      <c r="H138" s="152"/>
      <c r="I138" s="158"/>
      <c r="J138" s="152"/>
      <c r="K138" s="154"/>
      <c r="L138" s="154"/>
      <c r="M138" s="152"/>
      <c r="N138" s="154"/>
      <c r="O138" s="152">
        <f t="shared" si="26"/>
        <v>170527.68699999995</v>
      </c>
      <c r="P138" s="152">
        <f t="shared" si="27"/>
        <v>615965.72899999982</v>
      </c>
    </row>
    <row r="139" spans="1:16" hidden="1" x14ac:dyDescent="0.15">
      <c r="A139" s="154"/>
      <c r="B139" s="154"/>
      <c r="C139" s="152"/>
      <c r="D139" s="158"/>
      <c r="E139" s="154"/>
      <c r="F139" s="157"/>
      <c r="G139" s="151"/>
      <c r="H139" s="152"/>
      <c r="I139" s="158"/>
      <c r="J139" s="152"/>
      <c r="K139" s="154"/>
      <c r="L139" s="154"/>
      <c r="M139" s="152"/>
      <c r="N139" s="154"/>
      <c r="O139" s="152">
        <f t="shared" si="26"/>
        <v>170527.68699999995</v>
      </c>
      <c r="P139" s="152">
        <f t="shared" si="27"/>
        <v>615965.72899999982</v>
      </c>
    </row>
    <row r="140" spans="1:16" hidden="1" x14ac:dyDescent="0.15">
      <c r="A140" s="154"/>
      <c r="B140" s="154"/>
      <c r="C140" s="152"/>
      <c r="D140" s="153"/>
      <c r="E140" s="154"/>
      <c r="F140" s="154"/>
      <c r="G140" s="163"/>
      <c r="H140" s="152"/>
      <c r="I140" s="158"/>
      <c r="J140" s="152"/>
      <c r="K140" s="154"/>
      <c r="L140" s="154"/>
      <c r="M140" s="152"/>
      <c r="N140" s="154"/>
      <c r="O140" s="152">
        <f t="shared" si="26"/>
        <v>170527.68699999995</v>
      </c>
      <c r="P140" s="152">
        <f t="shared" si="27"/>
        <v>615965.72899999982</v>
      </c>
    </row>
    <row r="141" spans="1:16" hidden="1" x14ac:dyDescent="0.15">
      <c r="A141" s="154"/>
      <c r="B141" s="154"/>
      <c r="C141" s="152"/>
      <c r="D141" s="158"/>
      <c r="E141" s="154"/>
      <c r="F141" s="154"/>
      <c r="G141" s="163"/>
      <c r="H141" s="152"/>
      <c r="I141" s="158"/>
      <c r="J141" s="152"/>
      <c r="K141" s="154"/>
      <c r="L141" s="154"/>
      <c r="M141" s="152"/>
      <c r="N141" s="154"/>
      <c r="O141" s="152">
        <f t="shared" si="26"/>
        <v>170527.68699999995</v>
      </c>
      <c r="P141" s="152">
        <f t="shared" si="27"/>
        <v>615965.72899999982</v>
      </c>
    </row>
    <row r="142" spans="1:16" hidden="1" x14ac:dyDescent="0.15">
      <c r="A142" s="154"/>
      <c r="B142" s="154"/>
      <c r="C142" s="152"/>
      <c r="D142" s="153"/>
      <c r="E142" s="154"/>
      <c r="F142" s="157"/>
      <c r="G142" s="151"/>
      <c r="H142" s="152"/>
      <c r="I142" s="158"/>
      <c r="J142" s="152"/>
      <c r="K142" s="154"/>
      <c r="L142" s="154"/>
      <c r="M142" s="152"/>
      <c r="N142" s="154"/>
      <c r="O142" s="152">
        <f t="shared" si="26"/>
        <v>170527.68699999995</v>
      </c>
      <c r="P142" s="152">
        <f t="shared" si="27"/>
        <v>615965.72899999982</v>
      </c>
    </row>
    <row r="143" spans="1:16" hidden="1" x14ac:dyDescent="0.15">
      <c r="A143" s="154"/>
      <c r="B143" s="154"/>
      <c r="C143" s="152"/>
      <c r="D143" s="158"/>
      <c r="E143" s="154"/>
      <c r="F143" s="154"/>
      <c r="G143" s="163"/>
      <c r="H143" s="152"/>
      <c r="I143" s="158"/>
      <c r="J143" s="152"/>
      <c r="K143" s="164"/>
      <c r="L143" s="154"/>
      <c r="M143" s="152"/>
      <c r="N143" s="154"/>
      <c r="O143" s="152">
        <f t="shared" si="26"/>
        <v>170527.68699999995</v>
      </c>
      <c r="P143" s="152">
        <f t="shared" si="27"/>
        <v>615965.72899999982</v>
      </c>
    </row>
    <row r="144" spans="1:16" hidden="1" x14ac:dyDescent="0.15">
      <c r="A144" s="154"/>
      <c r="B144" s="154"/>
      <c r="C144" s="152"/>
      <c r="D144" s="153"/>
      <c r="E144" s="154"/>
      <c r="F144" s="154"/>
      <c r="G144" s="169"/>
      <c r="H144" s="152"/>
      <c r="I144" s="158"/>
      <c r="J144" s="152"/>
      <c r="K144" s="154"/>
      <c r="L144" s="154"/>
      <c r="M144" s="152"/>
      <c r="N144" s="154"/>
      <c r="O144" s="152">
        <f t="shared" si="26"/>
        <v>170527.68699999995</v>
      </c>
      <c r="P144" s="152">
        <f t="shared" si="27"/>
        <v>615965.72899999982</v>
      </c>
    </row>
    <row r="145" spans="1:16" hidden="1" x14ac:dyDescent="0.15">
      <c r="A145" s="154"/>
      <c r="B145" s="154"/>
      <c r="C145" s="152"/>
      <c r="D145" s="158"/>
      <c r="E145" s="154"/>
      <c r="F145" s="157"/>
      <c r="G145" s="168"/>
      <c r="H145" s="152"/>
      <c r="I145" s="158"/>
      <c r="J145" s="152"/>
      <c r="K145" s="154"/>
      <c r="L145" s="154"/>
      <c r="M145" s="152"/>
      <c r="N145" s="154"/>
      <c r="O145" s="152">
        <f t="shared" si="26"/>
        <v>170527.68699999995</v>
      </c>
      <c r="P145" s="152">
        <f t="shared" si="27"/>
        <v>615965.72899999982</v>
      </c>
    </row>
    <row r="146" spans="1:16" hidden="1" x14ac:dyDescent="0.15">
      <c r="A146" s="154"/>
      <c r="B146" s="154"/>
      <c r="C146" s="152"/>
      <c r="D146" s="158"/>
      <c r="E146" s="154"/>
      <c r="F146" s="154"/>
      <c r="G146" s="163"/>
      <c r="H146" s="152"/>
      <c r="I146" s="158"/>
      <c r="J146" s="152"/>
      <c r="K146" s="154"/>
      <c r="L146" s="154"/>
      <c r="M146" s="152"/>
      <c r="N146" s="154"/>
      <c r="O146" s="152">
        <f t="shared" si="26"/>
        <v>170527.68699999995</v>
      </c>
      <c r="P146" s="152">
        <f t="shared" si="27"/>
        <v>615965.72899999982</v>
      </c>
    </row>
    <row r="147" spans="1:16" hidden="1" x14ac:dyDescent="0.15">
      <c r="A147" s="154"/>
      <c r="B147" s="154"/>
      <c r="C147" s="152"/>
      <c r="D147" s="158"/>
      <c r="E147" s="154"/>
      <c r="F147" s="154"/>
      <c r="G147" s="163"/>
      <c r="H147" s="152"/>
      <c r="I147" s="158"/>
      <c r="J147" s="152"/>
      <c r="K147" s="154"/>
      <c r="L147" s="154"/>
      <c r="M147" s="152"/>
      <c r="N147" s="154"/>
      <c r="O147" s="152">
        <f t="shared" si="26"/>
        <v>170527.68699999995</v>
      </c>
      <c r="P147" s="152">
        <f t="shared" si="27"/>
        <v>615965.72899999982</v>
      </c>
    </row>
    <row r="148" spans="1:16" hidden="1" x14ac:dyDescent="0.15">
      <c r="A148" s="154"/>
      <c r="B148" s="154"/>
      <c r="C148" s="152"/>
      <c r="D148" s="158"/>
      <c r="E148" s="154"/>
      <c r="F148" s="157"/>
      <c r="G148" s="151"/>
      <c r="H148" s="152"/>
      <c r="I148" s="158"/>
      <c r="J148" s="152"/>
      <c r="K148" s="154"/>
      <c r="L148" s="154"/>
      <c r="M148" s="152"/>
      <c r="N148" s="154"/>
      <c r="O148" s="152">
        <f t="shared" ref="O148:O202" si="28">+O147-J148-M148</f>
        <v>170527.68699999995</v>
      </c>
      <c r="P148" s="152">
        <f t="shared" ref="P148:P202" si="29">P147+H148-J148-M148</f>
        <v>615965.72899999982</v>
      </c>
    </row>
    <row r="149" spans="1:16" hidden="1" x14ac:dyDescent="0.15">
      <c r="A149" s="154"/>
      <c r="B149" s="154"/>
      <c r="C149" s="152"/>
      <c r="D149" s="153"/>
      <c r="E149" s="154"/>
      <c r="F149" s="154"/>
      <c r="G149" s="163"/>
      <c r="H149" s="152"/>
      <c r="I149" s="158"/>
      <c r="J149" s="152"/>
      <c r="K149" s="154"/>
      <c r="L149" s="154"/>
      <c r="M149" s="152"/>
      <c r="N149" s="154"/>
      <c r="O149" s="152">
        <f t="shared" si="28"/>
        <v>170527.68699999995</v>
      </c>
      <c r="P149" s="152">
        <f t="shared" si="29"/>
        <v>615965.72899999982</v>
      </c>
    </row>
    <row r="150" spans="1:16" hidden="1" x14ac:dyDescent="0.15">
      <c r="A150" s="154"/>
      <c r="B150" s="154"/>
      <c r="C150" s="152"/>
      <c r="D150" s="158"/>
      <c r="E150" s="154"/>
      <c r="F150" s="154"/>
      <c r="G150" s="163"/>
      <c r="H150" s="152"/>
      <c r="I150" s="158"/>
      <c r="J150" s="152"/>
      <c r="K150" s="164"/>
      <c r="L150" s="154"/>
      <c r="M150" s="152"/>
      <c r="N150" s="154"/>
      <c r="O150" s="152">
        <f t="shared" si="28"/>
        <v>170527.68699999995</v>
      </c>
      <c r="P150" s="152">
        <f t="shared" si="29"/>
        <v>615965.72899999982</v>
      </c>
    </row>
    <row r="151" spans="1:16" hidden="1" x14ac:dyDescent="0.15">
      <c r="A151" s="154"/>
      <c r="B151" s="154"/>
      <c r="C151" s="152"/>
      <c r="D151" s="158"/>
      <c r="E151" s="154"/>
      <c r="F151" s="154"/>
      <c r="G151" s="163"/>
      <c r="H151" s="152"/>
      <c r="I151" s="158"/>
      <c r="J151" s="152"/>
      <c r="K151" s="164"/>
      <c r="L151" s="154"/>
      <c r="M151" s="152"/>
      <c r="N151" s="154"/>
      <c r="O151" s="152">
        <f t="shared" si="28"/>
        <v>170527.68699999995</v>
      </c>
      <c r="P151" s="152">
        <f t="shared" si="29"/>
        <v>615965.72899999982</v>
      </c>
    </row>
    <row r="152" spans="1:16" hidden="1" x14ac:dyDescent="0.15">
      <c r="A152" s="154"/>
      <c r="B152" s="154"/>
      <c r="C152" s="152"/>
      <c r="D152" s="153"/>
      <c r="E152" s="154"/>
      <c r="F152" s="150"/>
      <c r="G152" s="151"/>
      <c r="H152" s="152"/>
      <c r="I152" s="158"/>
      <c r="J152" s="152"/>
      <c r="K152" s="154"/>
      <c r="L152" s="154"/>
      <c r="M152" s="152"/>
      <c r="N152" s="154"/>
      <c r="O152" s="152">
        <f t="shared" si="28"/>
        <v>170527.68699999995</v>
      </c>
      <c r="P152" s="152">
        <f t="shared" si="29"/>
        <v>615965.72899999982</v>
      </c>
    </row>
    <row r="153" spans="1:16" hidden="1" x14ac:dyDescent="0.15">
      <c r="A153" s="154"/>
      <c r="B153" s="154"/>
      <c r="C153" s="152"/>
      <c r="D153" s="158"/>
      <c r="E153" s="154"/>
      <c r="F153" s="150"/>
      <c r="G153" s="151"/>
      <c r="H153" s="152"/>
      <c r="I153" s="158"/>
      <c r="J153" s="152"/>
      <c r="K153" s="154"/>
      <c r="L153" s="154"/>
      <c r="M153" s="152"/>
      <c r="N153" s="154"/>
      <c r="O153" s="152">
        <f t="shared" si="28"/>
        <v>170527.68699999995</v>
      </c>
      <c r="P153" s="152">
        <f t="shared" si="29"/>
        <v>615965.72899999982</v>
      </c>
    </row>
    <row r="154" spans="1:16" hidden="1" x14ac:dyDescent="0.15">
      <c r="A154" s="154"/>
      <c r="B154" s="154"/>
      <c r="C154" s="152"/>
      <c r="D154" s="158"/>
      <c r="E154" s="154"/>
      <c r="F154" s="150"/>
      <c r="G154" s="151"/>
      <c r="H154" s="152"/>
      <c r="I154" s="158"/>
      <c r="J154" s="152"/>
      <c r="K154" s="154"/>
      <c r="L154" s="154"/>
      <c r="M154" s="152"/>
      <c r="N154" s="154"/>
      <c r="O154" s="152">
        <f t="shared" si="28"/>
        <v>170527.68699999995</v>
      </c>
      <c r="P154" s="152">
        <f t="shared" si="29"/>
        <v>615965.72899999982</v>
      </c>
    </row>
    <row r="155" spans="1:16" hidden="1" x14ac:dyDescent="0.15">
      <c r="A155" s="154"/>
      <c r="B155" s="154"/>
      <c r="C155" s="152"/>
      <c r="D155" s="158"/>
      <c r="E155" s="154"/>
      <c r="F155" s="150"/>
      <c r="G155" s="151"/>
      <c r="H155" s="152"/>
      <c r="I155" s="158"/>
      <c r="J155" s="152"/>
      <c r="K155" s="154"/>
      <c r="L155" s="154"/>
      <c r="M155" s="152"/>
      <c r="N155" s="154"/>
      <c r="O155" s="152">
        <f t="shared" si="28"/>
        <v>170527.68699999995</v>
      </c>
      <c r="P155" s="152">
        <f t="shared" si="29"/>
        <v>615965.72899999982</v>
      </c>
    </row>
    <row r="156" spans="1:16" hidden="1" x14ac:dyDescent="0.15">
      <c r="A156" s="154"/>
      <c r="B156" s="154"/>
      <c r="C156" s="152"/>
      <c r="D156" s="158"/>
      <c r="E156" s="154"/>
      <c r="F156" s="150"/>
      <c r="G156" s="151"/>
      <c r="H156" s="152"/>
      <c r="I156" s="153"/>
      <c r="J156" s="152"/>
      <c r="K156" s="154"/>
      <c r="L156" s="154"/>
      <c r="M156" s="152"/>
      <c r="N156" s="154"/>
      <c r="O156" s="152">
        <f t="shared" si="28"/>
        <v>170527.68699999995</v>
      </c>
      <c r="P156" s="152">
        <f t="shared" si="29"/>
        <v>615965.72899999982</v>
      </c>
    </row>
    <row r="157" spans="1:16" hidden="1" x14ac:dyDescent="0.15">
      <c r="A157" s="154"/>
      <c r="B157" s="154"/>
      <c r="C157" s="152"/>
      <c r="D157" s="158"/>
      <c r="E157" s="154"/>
      <c r="F157" s="150"/>
      <c r="G157" s="151"/>
      <c r="H157" s="152"/>
      <c r="I157" s="158"/>
      <c r="J157" s="152"/>
      <c r="K157" s="154"/>
      <c r="L157" s="154"/>
      <c r="M157" s="152"/>
      <c r="N157" s="154"/>
      <c r="O157" s="152">
        <f t="shared" si="28"/>
        <v>170527.68699999995</v>
      </c>
      <c r="P157" s="152">
        <f t="shared" si="29"/>
        <v>615965.72899999982</v>
      </c>
    </row>
    <row r="158" spans="1:16" hidden="1" x14ac:dyDescent="0.15">
      <c r="A158" s="154"/>
      <c r="B158" s="154"/>
      <c r="C158" s="152"/>
      <c r="D158" s="158"/>
      <c r="E158" s="154"/>
      <c r="F158" s="170"/>
      <c r="G158" s="151"/>
      <c r="H158" s="152"/>
      <c r="I158" s="158"/>
      <c r="J158" s="152"/>
      <c r="K158" s="154"/>
      <c r="L158" s="154"/>
      <c r="M158" s="152"/>
      <c r="N158" s="154"/>
      <c r="O158" s="152">
        <f t="shared" si="28"/>
        <v>170527.68699999995</v>
      </c>
      <c r="P158" s="152">
        <f t="shared" si="29"/>
        <v>615965.72899999982</v>
      </c>
    </row>
    <row r="159" spans="1:16" hidden="1" x14ac:dyDescent="0.15">
      <c r="A159" s="154"/>
      <c r="B159" s="154"/>
      <c r="C159" s="152"/>
      <c r="D159" s="158"/>
      <c r="E159" s="154"/>
      <c r="F159" s="170"/>
      <c r="G159" s="151"/>
      <c r="H159" s="152"/>
      <c r="I159" s="153"/>
      <c r="J159" s="152"/>
      <c r="K159" s="154"/>
      <c r="L159" s="154"/>
      <c r="M159" s="152"/>
      <c r="N159" s="154"/>
      <c r="O159" s="152">
        <f t="shared" si="28"/>
        <v>170527.68699999995</v>
      </c>
      <c r="P159" s="152">
        <f t="shared" si="29"/>
        <v>615965.72899999982</v>
      </c>
    </row>
    <row r="160" spans="1:16" hidden="1" x14ac:dyDescent="0.15">
      <c r="A160" s="154"/>
      <c r="B160" s="154"/>
      <c r="C160" s="152"/>
      <c r="D160" s="158"/>
      <c r="E160" s="154"/>
      <c r="F160" s="150"/>
      <c r="G160" s="151"/>
      <c r="H160" s="152"/>
      <c r="I160" s="158"/>
      <c r="J160" s="152"/>
      <c r="K160" s="154"/>
      <c r="L160" s="154"/>
      <c r="M160" s="152"/>
      <c r="N160" s="154"/>
      <c r="O160" s="152">
        <f t="shared" si="28"/>
        <v>170527.68699999995</v>
      </c>
      <c r="P160" s="152">
        <f t="shared" si="29"/>
        <v>615965.72899999982</v>
      </c>
    </row>
    <row r="161" spans="1:16" hidden="1" x14ac:dyDescent="0.15">
      <c r="A161" s="154"/>
      <c r="B161" s="154"/>
      <c r="C161" s="152"/>
      <c r="D161" s="153"/>
      <c r="E161" s="154"/>
      <c r="F161" s="157"/>
      <c r="G161" s="168"/>
      <c r="H161" s="152"/>
      <c r="I161" s="158"/>
      <c r="J161" s="152"/>
      <c r="K161" s="154"/>
      <c r="L161" s="154"/>
      <c r="M161" s="152"/>
      <c r="N161" s="154"/>
      <c r="O161" s="152">
        <f t="shared" si="28"/>
        <v>170527.68699999995</v>
      </c>
      <c r="P161" s="152">
        <f t="shared" si="29"/>
        <v>615965.72899999982</v>
      </c>
    </row>
    <row r="162" spans="1:16" hidden="1" x14ac:dyDescent="0.15">
      <c r="A162" s="154"/>
      <c r="B162" s="154"/>
      <c r="C162" s="152"/>
      <c r="D162" s="158"/>
      <c r="E162" s="154"/>
      <c r="F162" s="157"/>
      <c r="G162" s="168"/>
      <c r="H162" s="152"/>
      <c r="I162" s="158"/>
      <c r="J162" s="152"/>
      <c r="K162" s="154"/>
      <c r="L162" s="154"/>
      <c r="M162" s="152"/>
      <c r="N162" s="154"/>
      <c r="O162" s="152">
        <f t="shared" si="28"/>
        <v>170527.68699999995</v>
      </c>
      <c r="P162" s="152">
        <f t="shared" si="29"/>
        <v>615965.72899999982</v>
      </c>
    </row>
    <row r="163" spans="1:16" hidden="1" x14ac:dyDescent="0.15">
      <c r="A163" s="154"/>
      <c r="B163" s="154"/>
      <c r="C163" s="152"/>
      <c r="D163" s="158"/>
      <c r="E163" s="154"/>
      <c r="F163" s="157"/>
      <c r="G163" s="168"/>
      <c r="H163" s="152"/>
      <c r="I163" s="158"/>
      <c r="J163" s="152"/>
      <c r="K163" s="154"/>
      <c r="L163" s="154"/>
      <c r="M163" s="152"/>
      <c r="N163" s="154"/>
      <c r="O163" s="152">
        <f t="shared" si="28"/>
        <v>170527.68699999995</v>
      </c>
      <c r="P163" s="152">
        <f t="shared" si="29"/>
        <v>615965.72899999982</v>
      </c>
    </row>
    <row r="164" spans="1:16" hidden="1" x14ac:dyDescent="0.15">
      <c r="A164" s="154"/>
      <c r="B164" s="154"/>
      <c r="C164" s="152"/>
      <c r="D164" s="158"/>
      <c r="E164" s="154"/>
      <c r="F164" s="157"/>
      <c r="G164" s="168"/>
      <c r="H164" s="152"/>
      <c r="I164" s="158"/>
      <c r="J164" s="152"/>
      <c r="K164" s="154"/>
      <c r="L164" s="154"/>
      <c r="M164" s="152"/>
      <c r="N164" s="154"/>
      <c r="O164" s="152">
        <f t="shared" si="28"/>
        <v>170527.68699999995</v>
      </c>
      <c r="P164" s="152">
        <f t="shared" si="29"/>
        <v>615965.72899999982</v>
      </c>
    </row>
    <row r="165" spans="1:16" hidden="1" x14ac:dyDescent="0.15">
      <c r="A165" s="154"/>
      <c r="B165" s="154"/>
      <c r="C165" s="152"/>
      <c r="D165" s="158"/>
      <c r="E165" s="154"/>
      <c r="F165" s="154"/>
      <c r="G165" s="163"/>
      <c r="H165" s="152"/>
      <c r="I165" s="158"/>
      <c r="J165" s="152"/>
      <c r="K165" s="150"/>
      <c r="L165" s="154"/>
      <c r="M165" s="152"/>
      <c r="N165" s="154"/>
      <c r="O165" s="152">
        <f t="shared" si="28"/>
        <v>170527.68699999995</v>
      </c>
      <c r="P165" s="152">
        <f t="shared" si="29"/>
        <v>615965.72899999982</v>
      </c>
    </row>
    <row r="166" spans="1:16" hidden="1" x14ac:dyDescent="0.15">
      <c r="A166" s="154"/>
      <c r="B166" s="154"/>
      <c r="C166" s="152"/>
      <c r="D166" s="158"/>
      <c r="E166" s="154"/>
      <c r="F166" s="170"/>
      <c r="G166" s="171"/>
      <c r="H166" s="152"/>
      <c r="I166" s="158"/>
      <c r="J166" s="152"/>
      <c r="K166" s="154"/>
      <c r="L166" s="154"/>
      <c r="M166" s="152"/>
      <c r="N166" s="154"/>
      <c r="O166" s="152">
        <f t="shared" si="28"/>
        <v>170527.68699999995</v>
      </c>
      <c r="P166" s="152">
        <f t="shared" si="29"/>
        <v>615965.72899999982</v>
      </c>
    </row>
    <row r="167" spans="1:16" hidden="1" x14ac:dyDescent="0.15">
      <c r="A167" s="154"/>
      <c r="B167" s="154"/>
      <c r="C167" s="152"/>
      <c r="D167" s="158"/>
      <c r="E167" s="154"/>
      <c r="F167" s="154"/>
      <c r="G167" s="163"/>
      <c r="H167" s="152"/>
      <c r="I167" s="158"/>
      <c r="J167" s="152"/>
      <c r="K167" s="154"/>
      <c r="L167" s="154"/>
      <c r="M167" s="152"/>
      <c r="N167" s="154"/>
      <c r="O167" s="152">
        <f t="shared" si="28"/>
        <v>170527.68699999995</v>
      </c>
      <c r="P167" s="152">
        <f t="shared" si="29"/>
        <v>615965.72899999982</v>
      </c>
    </row>
    <row r="168" spans="1:16" hidden="1" x14ac:dyDescent="0.15">
      <c r="A168" s="154"/>
      <c r="B168" s="154"/>
      <c r="C168" s="152"/>
      <c r="D168" s="158"/>
      <c r="E168" s="154"/>
      <c r="F168" s="154"/>
      <c r="G168" s="163"/>
      <c r="H168" s="152"/>
      <c r="I168" s="158"/>
      <c r="J168" s="152"/>
      <c r="K168" s="154"/>
      <c r="L168" s="154"/>
      <c r="M168" s="152"/>
      <c r="N168" s="154"/>
      <c r="O168" s="152">
        <f t="shared" si="28"/>
        <v>170527.68699999995</v>
      </c>
      <c r="P168" s="152">
        <f t="shared" si="29"/>
        <v>615965.72899999982</v>
      </c>
    </row>
    <row r="169" spans="1:16" hidden="1" x14ac:dyDescent="0.15">
      <c r="A169" s="154"/>
      <c r="B169" s="154"/>
      <c r="C169" s="152"/>
      <c r="D169" s="158"/>
      <c r="E169" s="154"/>
      <c r="F169" s="154"/>
      <c r="G169" s="163"/>
      <c r="H169" s="152"/>
      <c r="I169" s="158"/>
      <c r="J169" s="152"/>
      <c r="K169" s="154"/>
      <c r="L169" s="154"/>
      <c r="M169" s="152"/>
      <c r="N169" s="154"/>
      <c r="O169" s="152">
        <f t="shared" si="28"/>
        <v>170527.68699999995</v>
      </c>
      <c r="P169" s="152">
        <f t="shared" si="29"/>
        <v>615965.72899999982</v>
      </c>
    </row>
    <row r="170" spans="1:16" hidden="1" x14ac:dyDescent="0.15">
      <c r="A170" s="154"/>
      <c r="B170" s="154"/>
      <c r="C170" s="152"/>
      <c r="D170" s="158"/>
      <c r="E170" s="154"/>
      <c r="F170" s="157"/>
      <c r="G170" s="171"/>
      <c r="H170" s="152"/>
      <c r="I170" s="158"/>
      <c r="J170" s="152"/>
      <c r="K170" s="154"/>
      <c r="L170" s="154"/>
      <c r="M170" s="152"/>
      <c r="N170" s="154"/>
      <c r="O170" s="152">
        <f t="shared" si="28"/>
        <v>170527.68699999995</v>
      </c>
      <c r="P170" s="152">
        <f t="shared" si="29"/>
        <v>615965.72899999982</v>
      </c>
    </row>
    <row r="171" spans="1:16" hidden="1" x14ac:dyDescent="0.15">
      <c r="A171" s="154"/>
      <c r="B171" s="154"/>
      <c r="C171" s="152"/>
      <c r="D171" s="158"/>
      <c r="E171" s="154"/>
      <c r="F171" s="150"/>
      <c r="G171" s="151"/>
      <c r="H171" s="152"/>
      <c r="I171" s="158"/>
      <c r="J171" s="152"/>
      <c r="K171" s="150"/>
      <c r="L171" s="154"/>
      <c r="M171" s="152"/>
      <c r="N171" s="154"/>
      <c r="O171" s="152">
        <f t="shared" si="28"/>
        <v>170527.68699999995</v>
      </c>
      <c r="P171" s="152">
        <f t="shared" si="29"/>
        <v>615965.72899999982</v>
      </c>
    </row>
    <row r="172" spans="1:16" hidden="1" x14ac:dyDescent="0.15">
      <c r="A172" s="154"/>
      <c r="B172" s="154"/>
      <c r="C172" s="152"/>
      <c r="D172" s="158"/>
      <c r="E172" s="154"/>
      <c r="F172" s="150"/>
      <c r="G172" s="151"/>
      <c r="H172" s="152"/>
      <c r="I172" s="158"/>
      <c r="J172" s="152"/>
      <c r="K172" s="154"/>
      <c r="L172" s="154"/>
      <c r="M172" s="152"/>
      <c r="N172" s="150"/>
      <c r="O172" s="152">
        <f t="shared" si="28"/>
        <v>170527.68699999995</v>
      </c>
      <c r="P172" s="152">
        <f t="shared" si="29"/>
        <v>615965.72899999982</v>
      </c>
    </row>
    <row r="173" spans="1:16" hidden="1" x14ac:dyDescent="0.15">
      <c r="A173" s="154"/>
      <c r="B173" s="154"/>
      <c r="C173" s="152"/>
      <c r="D173" s="158"/>
      <c r="E173" s="154"/>
      <c r="F173" s="170"/>
      <c r="G173" s="171"/>
      <c r="H173" s="152"/>
      <c r="I173" s="158"/>
      <c r="J173" s="152"/>
      <c r="K173" s="154"/>
      <c r="L173" s="154"/>
      <c r="M173" s="152"/>
      <c r="N173" s="154"/>
      <c r="O173" s="152">
        <f t="shared" si="28"/>
        <v>170527.68699999995</v>
      </c>
      <c r="P173" s="152">
        <f t="shared" si="29"/>
        <v>615965.72899999982</v>
      </c>
    </row>
    <row r="174" spans="1:16" hidden="1" x14ac:dyDescent="0.15">
      <c r="A174" s="154"/>
      <c r="B174" s="154"/>
      <c r="C174" s="152"/>
      <c r="D174" s="158"/>
      <c r="E174" s="154"/>
      <c r="F174" s="159"/>
      <c r="G174" s="151"/>
      <c r="H174" s="152"/>
      <c r="I174" s="158"/>
      <c r="J174" s="152"/>
      <c r="K174" s="157"/>
      <c r="L174" s="154"/>
      <c r="M174" s="152"/>
      <c r="N174" s="154"/>
      <c r="O174" s="152">
        <f t="shared" si="28"/>
        <v>170527.68699999995</v>
      </c>
      <c r="P174" s="152">
        <f t="shared" si="29"/>
        <v>615965.72899999982</v>
      </c>
    </row>
    <row r="175" spans="1:16" hidden="1" x14ac:dyDescent="0.15">
      <c r="A175" s="154"/>
      <c r="B175" s="154"/>
      <c r="C175" s="152"/>
      <c r="D175" s="158"/>
      <c r="E175" s="154"/>
      <c r="F175" s="159"/>
      <c r="G175" s="151"/>
      <c r="H175" s="152"/>
      <c r="I175" s="158"/>
      <c r="J175" s="152"/>
      <c r="K175" s="157"/>
      <c r="L175" s="154"/>
      <c r="M175" s="152"/>
      <c r="N175" s="157"/>
      <c r="O175" s="152">
        <f t="shared" si="28"/>
        <v>170527.68699999995</v>
      </c>
      <c r="P175" s="152">
        <f t="shared" si="29"/>
        <v>615965.72899999982</v>
      </c>
    </row>
    <row r="176" spans="1:16" hidden="1" x14ac:dyDescent="0.15">
      <c r="A176" s="154"/>
      <c r="B176" s="154"/>
      <c r="C176" s="152"/>
      <c r="D176" s="158"/>
      <c r="E176" s="154"/>
      <c r="F176" s="159"/>
      <c r="G176" s="151"/>
      <c r="H176" s="152"/>
      <c r="I176" s="158"/>
      <c r="J176" s="152"/>
      <c r="K176" s="157"/>
      <c r="L176" s="154"/>
      <c r="M176" s="152"/>
      <c r="N176" s="157"/>
      <c r="O176" s="152">
        <f t="shared" si="28"/>
        <v>170527.68699999995</v>
      </c>
      <c r="P176" s="152">
        <f t="shared" si="29"/>
        <v>615965.72899999982</v>
      </c>
    </row>
    <row r="177" spans="1:16" hidden="1" x14ac:dyDescent="0.15">
      <c r="A177" s="154"/>
      <c r="B177" s="154"/>
      <c r="C177" s="152"/>
      <c r="D177" s="158"/>
      <c r="E177" s="154"/>
      <c r="F177" s="159"/>
      <c r="G177" s="151"/>
      <c r="H177" s="152"/>
      <c r="I177" s="158"/>
      <c r="J177" s="152"/>
      <c r="K177" s="154"/>
      <c r="L177" s="154"/>
      <c r="M177" s="152"/>
      <c r="N177" s="157"/>
      <c r="O177" s="152">
        <f t="shared" si="28"/>
        <v>170527.68699999995</v>
      </c>
      <c r="P177" s="152">
        <f t="shared" si="29"/>
        <v>615965.72899999982</v>
      </c>
    </row>
    <row r="178" spans="1:16" hidden="1" x14ac:dyDescent="0.15">
      <c r="A178" s="154"/>
      <c r="B178" s="154"/>
      <c r="C178" s="152"/>
      <c r="D178" s="158"/>
      <c r="E178" s="154"/>
      <c r="F178" s="170"/>
      <c r="G178" s="171"/>
      <c r="H178" s="152"/>
      <c r="I178" s="158"/>
      <c r="J178" s="152"/>
      <c r="K178" s="157"/>
      <c r="L178" s="154"/>
      <c r="M178" s="152"/>
      <c r="N178" s="157"/>
      <c r="O178" s="152">
        <f t="shared" si="28"/>
        <v>170527.68699999995</v>
      </c>
      <c r="P178" s="152">
        <f t="shared" si="29"/>
        <v>615965.72899999982</v>
      </c>
    </row>
    <row r="179" spans="1:16" hidden="1" x14ac:dyDescent="0.15">
      <c r="A179" s="154"/>
      <c r="B179" s="154"/>
      <c r="C179" s="152"/>
      <c r="D179" s="158"/>
      <c r="E179" s="154"/>
      <c r="F179" s="154"/>
      <c r="G179" s="163"/>
      <c r="H179" s="152"/>
      <c r="I179" s="158"/>
      <c r="J179" s="152"/>
      <c r="K179" s="150"/>
      <c r="L179" s="154"/>
      <c r="M179" s="152"/>
      <c r="N179" s="157"/>
      <c r="O179" s="152">
        <f t="shared" si="28"/>
        <v>170527.68699999995</v>
      </c>
      <c r="P179" s="152">
        <f t="shared" si="29"/>
        <v>615965.72899999982</v>
      </c>
    </row>
    <row r="180" spans="1:16" hidden="1" x14ac:dyDescent="0.15">
      <c r="A180" s="154"/>
      <c r="B180" s="154"/>
      <c r="C180" s="152"/>
      <c r="D180" s="158"/>
      <c r="E180" s="154"/>
      <c r="F180" s="154"/>
      <c r="G180" s="163"/>
      <c r="H180" s="152"/>
      <c r="I180" s="158"/>
      <c r="J180" s="152"/>
      <c r="K180" s="150"/>
      <c r="L180" s="154"/>
      <c r="M180" s="152"/>
      <c r="N180" s="157"/>
      <c r="O180" s="152">
        <f t="shared" si="28"/>
        <v>170527.68699999995</v>
      </c>
      <c r="P180" s="152">
        <f t="shared" si="29"/>
        <v>615965.72899999982</v>
      </c>
    </row>
    <row r="181" spans="1:16" hidden="1" x14ac:dyDescent="0.15">
      <c r="A181" s="154"/>
      <c r="B181" s="154"/>
      <c r="C181" s="152"/>
      <c r="D181" s="158"/>
      <c r="E181" s="154"/>
      <c r="F181" s="150"/>
      <c r="G181" s="171"/>
      <c r="H181" s="152"/>
      <c r="I181" s="158"/>
      <c r="J181" s="152"/>
      <c r="K181" s="157"/>
      <c r="L181" s="154"/>
      <c r="M181" s="152"/>
      <c r="N181" s="157"/>
      <c r="O181" s="152">
        <f t="shared" si="28"/>
        <v>170527.68699999995</v>
      </c>
      <c r="P181" s="152">
        <f t="shared" si="29"/>
        <v>615965.72899999982</v>
      </c>
    </row>
    <row r="182" spans="1:16" hidden="1" x14ac:dyDescent="0.15">
      <c r="A182" s="154"/>
      <c r="B182" s="154"/>
      <c r="C182" s="152"/>
      <c r="D182" s="158"/>
      <c r="E182" s="154"/>
      <c r="F182" s="150"/>
      <c r="G182" s="151"/>
      <c r="H182" s="152"/>
      <c r="I182" s="158"/>
      <c r="J182" s="152"/>
      <c r="K182" s="154"/>
      <c r="L182" s="154"/>
      <c r="M182" s="152"/>
      <c r="N182" s="157"/>
      <c r="O182" s="152">
        <f t="shared" si="28"/>
        <v>170527.68699999995</v>
      </c>
      <c r="P182" s="152">
        <f t="shared" si="29"/>
        <v>615965.72899999982</v>
      </c>
    </row>
    <row r="183" spans="1:16" hidden="1" x14ac:dyDescent="0.15">
      <c r="A183" s="154"/>
      <c r="B183" s="154"/>
      <c r="C183" s="152"/>
      <c r="D183" s="158"/>
      <c r="E183" s="154"/>
      <c r="F183" s="150"/>
      <c r="G183" s="151"/>
      <c r="H183" s="152"/>
      <c r="I183" s="158"/>
      <c r="J183" s="152"/>
      <c r="K183" s="154"/>
      <c r="L183" s="154"/>
      <c r="M183" s="152"/>
      <c r="N183" s="154"/>
      <c r="O183" s="152">
        <f t="shared" si="28"/>
        <v>170527.68699999995</v>
      </c>
      <c r="P183" s="152">
        <f t="shared" si="29"/>
        <v>615965.72899999982</v>
      </c>
    </row>
    <row r="184" spans="1:16" hidden="1" x14ac:dyDescent="0.15">
      <c r="A184" s="154"/>
      <c r="B184" s="154"/>
      <c r="C184" s="152"/>
      <c r="D184" s="158"/>
      <c r="E184" s="154"/>
      <c r="F184" s="170"/>
      <c r="G184" s="171"/>
      <c r="H184" s="152"/>
      <c r="I184" s="158"/>
      <c r="J184" s="152"/>
      <c r="K184" s="157"/>
      <c r="L184" s="154"/>
      <c r="M184" s="152"/>
      <c r="N184" s="157"/>
      <c r="O184" s="152">
        <f t="shared" si="28"/>
        <v>170527.68699999995</v>
      </c>
      <c r="P184" s="152">
        <f t="shared" si="29"/>
        <v>615965.72899999982</v>
      </c>
    </row>
    <row r="185" spans="1:16" hidden="1" x14ac:dyDescent="0.15">
      <c r="A185" s="154"/>
      <c r="B185" s="154"/>
      <c r="C185" s="152"/>
      <c r="D185" s="158"/>
      <c r="E185" s="154"/>
      <c r="F185" s="170"/>
      <c r="G185" s="168"/>
      <c r="H185" s="152"/>
      <c r="I185" s="158"/>
      <c r="J185" s="152"/>
      <c r="K185" s="157"/>
      <c r="L185" s="154"/>
      <c r="M185" s="152"/>
      <c r="N185" s="157"/>
      <c r="O185" s="152">
        <f t="shared" si="28"/>
        <v>170527.68699999995</v>
      </c>
      <c r="P185" s="152">
        <f t="shared" si="29"/>
        <v>615965.72899999982</v>
      </c>
    </row>
    <row r="186" spans="1:16" hidden="1" x14ac:dyDescent="0.15">
      <c r="A186" s="154"/>
      <c r="B186" s="154"/>
      <c r="C186" s="152"/>
      <c r="D186" s="158"/>
      <c r="E186" s="154"/>
      <c r="F186" s="170"/>
      <c r="G186" s="168"/>
      <c r="H186" s="152"/>
      <c r="I186" s="158"/>
      <c r="J186" s="152"/>
      <c r="K186" s="154"/>
      <c r="L186" s="154"/>
      <c r="M186" s="152"/>
      <c r="N186" s="157"/>
      <c r="O186" s="152">
        <f t="shared" si="28"/>
        <v>170527.68699999995</v>
      </c>
      <c r="P186" s="152">
        <f t="shared" si="29"/>
        <v>615965.72899999982</v>
      </c>
    </row>
    <row r="187" spans="1:16" hidden="1" x14ac:dyDescent="0.15">
      <c r="A187" s="154"/>
      <c r="B187" s="154"/>
      <c r="C187" s="152"/>
      <c r="D187" s="158"/>
      <c r="E187" s="154"/>
      <c r="F187" s="170"/>
      <c r="G187" s="171"/>
      <c r="H187" s="152"/>
      <c r="I187" s="158"/>
      <c r="J187" s="152"/>
      <c r="K187" s="157"/>
      <c r="L187" s="154"/>
      <c r="M187" s="152"/>
      <c r="N187" s="157"/>
      <c r="O187" s="152">
        <f t="shared" si="28"/>
        <v>170527.68699999995</v>
      </c>
      <c r="P187" s="152">
        <f t="shared" si="29"/>
        <v>615965.72899999982</v>
      </c>
    </row>
    <row r="188" spans="1:16" hidden="1" x14ac:dyDescent="0.15">
      <c r="A188" s="154"/>
      <c r="B188" s="154"/>
      <c r="C188" s="152"/>
      <c r="D188" s="158"/>
      <c r="E188" s="154"/>
      <c r="F188" s="154"/>
      <c r="G188" s="151"/>
      <c r="H188" s="152"/>
      <c r="I188" s="158"/>
      <c r="J188" s="152"/>
      <c r="K188" s="154"/>
      <c r="L188" s="154"/>
      <c r="M188" s="152"/>
      <c r="N188" s="157"/>
      <c r="O188" s="152">
        <f t="shared" si="28"/>
        <v>170527.68699999995</v>
      </c>
      <c r="P188" s="152">
        <f t="shared" si="29"/>
        <v>615965.72899999982</v>
      </c>
    </row>
    <row r="189" spans="1:16" hidden="1" x14ac:dyDescent="0.15">
      <c r="A189" s="154"/>
      <c r="B189" s="154"/>
      <c r="C189" s="152"/>
      <c r="D189" s="158"/>
      <c r="E189" s="154"/>
      <c r="F189" s="154"/>
      <c r="G189" s="151"/>
      <c r="H189" s="152"/>
      <c r="I189" s="158"/>
      <c r="J189" s="152"/>
      <c r="K189" s="154"/>
      <c r="L189" s="154"/>
      <c r="M189" s="152"/>
      <c r="N189" s="157"/>
      <c r="O189" s="152">
        <f t="shared" si="28"/>
        <v>170527.68699999995</v>
      </c>
      <c r="P189" s="152">
        <f t="shared" si="29"/>
        <v>615965.72899999982</v>
      </c>
    </row>
    <row r="190" spans="1:16" hidden="1" x14ac:dyDescent="0.15">
      <c r="A190" s="154"/>
      <c r="B190" s="154"/>
      <c r="C190" s="152"/>
      <c r="D190" s="158"/>
      <c r="E190" s="154"/>
      <c r="F190" s="170"/>
      <c r="G190" s="171"/>
      <c r="H190" s="152"/>
      <c r="I190" s="158"/>
      <c r="J190" s="152"/>
      <c r="K190" s="157"/>
      <c r="L190" s="154"/>
      <c r="M190" s="152"/>
      <c r="N190" s="157"/>
      <c r="O190" s="152">
        <f t="shared" si="28"/>
        <v>170527.68699999995</v>
      </c>
      <c r="P190" s="152">
        <f t="shared" si="29"/>
        <v>615965.72899999982</v>
      </c>
    </row>
    <row r="191" spans="1:16" hidden="1" x14ac:dyDescent="0.15">
      <c r="A191" s="154"/>
      <c r="B191" s="154"/>
      <c r="C191" s="152"/>
      <c r="D191" s="158"/>
      <c r="E191" s="154"/>
      <c r="F191" s="170"/>
      <c r="G191" s="151"/>
      <c r="H191" s="152"/>
      <c r="I191" s="158"/>
      <c r="J191" s="152"/>
      <c r="K191" s="154"/>
      <c r="L191" s="154"/>
      <c r="M191" s="152"/>
      <c r="N191" s="157"/>
      <c r="O191" s="152">
        <f t="shared" si="28"/>
        <v>170527.68699999995</v>
      </c>
      <c r="P191" s="152">
        <f t="shared" si="29"/>
        <v>615965.72899999982</v>
      </c>
    </row>
    <row r="192" spans="1:16" hidden="1" x14ac:dyDescent="0.15">
      <c r="A192" s="154"/>
      <c r="B192" s="154"/>
      <c r="C192" s="152"/>
      <c r="D192" s="158"/>
      <c r="E192" s="154"/>
      <c r="F192" s="170"/>
      <c r="G192" s="151"/>
      <c r="H192" s="152"/>
      <c r="I192" s="158"/>
      <c r="J192" s="152"/>
      <c r="K192" s="154"/>
      <c r="L192" s="154"/>
      <c r="M192" s="152"/>
      <c r="N192" s="157"/>
      <c r="O192" s="152">
        <f t="shared" si="28"/>
        <v>170527.68699999995</v>
      </c>
      <c r="P192" s="152">
        <f t="shared" si="29"/>
        <v>615965.72899999982</v>
      </c>
    </row>
    <row r="193" spans="1:16" hidden="1" x14ac:dyDescent="0.15">
      <c r="A193" s="154"/>
      <c r="B193" s="154"/>
      <c r="C193" s="152"/>
      <c r="D193" s="158"/>
      <c r="E193" s="154"/>
      <c r="F193" s="157"/>
      <c r="G193" s="171"/>
      <c r="H193" s="152"/>
      <c r="I193" s="158"/>
      <c r="J193" s="152"/>
      <c r="K193" s="157"/>
      <c r="L193" s="154"/>
      <c r="M193" s="152"/>
      <c r="N193" s="157"/>
      <c r="O193" s="152">
        <f t="shared" si="28"/>
        <v>170527.68699999995</v>
      </c>
      <c r="P193" s="152">
        <f t="shared" si="29"/>
        <v>615965.72899999982</v>
      </c>
    </row>
    <row r="194" spans="1:16" hidden="1" x14ac:dyDescent="0.15">
      <c r="A194" s="154"/>
      <c r="B194" s="154"/>
      <c r="C194" s="152"/>
      <c r="D194" s="158"/>
      <c r="E194" s="154"/>
      <c r="F194" s="157"/>
      <c r="G194" s="172"/>
      <c r="H194" s="152"/>
      <c r="I194" s="158"/>
      <c r="J194" s="152"/>
      <c r="K194" s="154"/>
      <c r="L194" s="154"/>
      <c r="M194" s="152"/>
      <c r="N194" s="157"/>
      <c r="O194" s="152">
        <f t="shared" si="28"/>
        <v>170527.68699999995</v>
      </c>
      <c r="P194" s="152">
        <f t="shared" si="29"/>
        <v>615965.72899999982</v>
      </c>
    </row>
    <row r="195" spans="1:16" hidden="1" x14ac:dyDescent="0.15">
      <c r="A195" s="154"/>
      <c r="B195" s="154"/>
      <c r="C195" s="152"/>
      <c r="D195" s="158"/>
      <c r="E195" s="154"/>
      <c r="F195" s="157"/>
      <c r="G195" s="172"/>
      <c r="H195" s="152"/>
      <c r="I195" s="158"/>
      <c r="J195" s="152"/>
      <c r="K195" s="157"/>
      <c r="L195" s="154"/>
      <c r="M195" s="152"/>
      <c r="N195" s="157"/>
      <c r="O195" s="152">
        <f t="shared" si="28"/>
        <v>170527.68699999995</v>
      </c>
      <c r="P195" s="152">
        <f t="shared" si="29"/>
        <v>615965.72899999982</v>
      </c>
    </row>
    <row r="196" spans="1:16" hidden="1" x14ac:dyDescent="0.15">
      <c r="A196" s="154"/>
      <c r="B196" s="154"/>
      <c r="C196" s="152"/>
      <c r="D196" s="158"/>
      <c r="E196" s="154"/>
      <c r="F196" s="157"/>
      <c r="G196" s="172"/>
      <c r="H196" s="152"/>
      <c r="I196" s="158"/>
      <c r="J196" s="152"/>
      <c r="K196" s="154"/>
      <c r="L196" s="154"/>
      <c r="M196" s="152"/>
      <c r="N196" s="157"/>
      <c r="O196" s="152">
        <f t="shared" si="28"/>
        <v>170527.68699999995</v>
      </c>
      <c r="P196" s="152">
        <f t="shared" si="29"/>
        <v>615965.72899999982</v>
      </c>
    </row>
    <row r="197" spans="1:16" hidden="1" x14ac:dyDescent="0.15">
      <c r="A197" s="154"/>
      <c r="B197" s="154"/>
      <c r="C197" s="152"/>
      <c r="D197" s="158"/>
      <c r="E197" s="154"/>
      <c r="F197" s="154"/>
      <c r="G197" s="151"/>
      <c r="H197" s="152"/>
      <c r="I197" s="158"/>
      <c r="J197" s="152"/>
      <c r="K197" s="154"/>
      <c r="L197" s="154"/>
      <c r="M197" s="152"/>
      <c r="N197" s="157"/>
      <c r="O197" s="152">
        <f t="shared" si="28"/>
        <v>170527.68699999995</v>
      </c>
      <c r="P197" s="152">
        <f t="shared" si="29"/>
        <v>615965.72899999982</v>
      </c>
    </row>
    <row r="198" spans="1:16" hidden="1" x14ac:dyDescent="0.15">
      <c r="A198" s="154"/>
      <c r="B198" s="154"/>
      <c r="C198" s="152"/>
      <c r="D198" s="158"/>
      <c r="E198" s="154"/>
      <c r="F198" s="157"/>
      <c r="G198" s="172"/>
      <c r="H198" s="152"/>
      <c r="I198" s="158"/>
      <c r="J198" s="152"/>
      <c r="K198" s="154"/>
      <c r="L198" s="154"/>
      <c r="M198" s="152"/>
      <c r="N198" s="154"/>
      <c r="O198" s="152">
        <f t="shared" si="28"/>
        <v>170527.68699999995</v>
      </c>
      <c r="P198" s="152">
        <f t="shared" si="29"/>
        <v>615965.72899999982</v>
      </c>
    </row>
    <row r="199" spans="1:16" hidden="1" x14ac:dyDescent="0.15">
      <c r="A199" s="154"/>
      <c r="B199" s="154"/>
      <c r="C199" s="152"/>
      <c r="D199" s="158"/>
      <c r="E199" s="154"/>
      <c r="F199" s="157"/>
      <c r="G199" s="172"/>
      <c r="H199" s="152"/>
      <c r="I199" s="158"/>
      <c r="J199" s="152"/>
      <c r="K199" s="154"/>
      <c r="L199" s="154"/>
      <c r="M199" s="152"/>
      <c r="N199" s="154"/>
      <c r="O199" s="152">
        <f t="shared" si="28"/>
        <v>170527.68699999995</v>
      </c>
      <c r="P199" s="152">
        <f t="shared" si="29"/>
        <v>615965.72899999982</v>
      </c>
    </row>
    <row r="200" spans="1:16" hidden="1" x14ac:dyDescent="0.15">
      <c r="A200" s="154"/>
      <c r="B200" s="154"/>
      <c r="C200" s="152"/>
      <c r="D200" s="158"/>
      <c r="E200" s="154"/>
      <c r="F200" s="157"/>
      <c r="G200" s="172"/>
      <c r="H200" s="152"/>
      <c r="I200" s="158"/>
      <c r="J200" s="152"/>
      <c r="K200" s="154"/>
      <c r="L200" s="154"/>
      <c r="M200" s="152"/>
      <c r="N200" s="154"/>
      <c r="O200" s="152">
        <f t="shared" si="28"/>
        <v>170527.68699999995</v>
      </c>
      <c r="P200" s="152">
        <f t="shared" si="29"/>
        <v>615965.72899999982</v>
      </c>
    </row>
    <row r="201" spans="1:16" hidden="1" x14ac:dyDescent="0.15">
      <c r="A201" s="154"/>
      <c r="B201" s="154"/>
      <c r="C201" s="152"/>
      <c r="D201" s="158"/>
      <c r="E201" s="154"/>
      <c r="F201" s="154"/>
      <c r="G201" s="163"/>
      <c r="H201" s="152"/>
      <c r="I201" s="158"/>
      <c r="J201" s="152"/>
      <c r="K201" s="154"/>
      <c r="L201" s="154"/>
      <c r="M201" s="152"/>
      <c r="N201" s="154"/>
      <c r="O201" s="152">
        <f t="shared" si="28"/>
        <v>170527.68699999995</v>
      </c>
      <c r="P201" s="152">
        <f t="shared" si="29"/>
        <v>615965.72899999982</v>
      </c>
    </row>
    <row r="202" spans="1:16" x14ac:dyDescent="0.15">
      <c r="A202" s="173"/>
      <c r="B202" s="173"/>
      <c r="C202" s="174"/>
      <c r="D202" s="175"/>
      <c r="E202" s="173"/>
      <c r="F202" s="173"/>
      <c r="G202" s="176"/>
      <c r="H202" s="174"/>
      <c r="I202" s="175"/>
      <c r="J202" s="174"/>
      <c r="K202" s="173"/>
      <c r="L202" s="173"/>
      <c r="M202" s="174"/>
      <c r="N202" s="173"/>
      <c r="O202" s="152">
        <f t="shared" si="28"/>
        <v>170527.68699999995</v>
      </c>
      <c r="P202" s="152">
        <f t="shared" si="29"/>
        <v>615965.72899999982</v>
      </c>
    </row>
    <row r="203" spans="1:16" x14ac:dyDescent="0.15">
      <c r="A203" s="177"/>
      <c r="B203" s="177"/>
      <c r="C203" s="178">
        <f>SUM(C7:C189)</f>
        <v>370872.69799999992</v>
      </c>
      <c r="D203" s="177"/>
      <c r="E203" s="177"/>
      <c r="F203" s="177"/>
      <c r="G203" s="177"/>
      <c r="H203" s="178">
        <f>SUM(H7:H201)</f>
        <v>2161488.031</v>
      </c>
      <c r="I203" s="179"/>
      <c r="J203" s="178">
        <f>SUM(J7:J201)</f>
        <v>5736</v>
      </c>
      <c r="K203" s="177"/>
      <c r="L203" s="177"/>
      <c r="M203" s="178">
        <f>SUM(M9:M201)</f>
        <v>1910659</v>
      </c>
      <c r="N203" s="177"/>
      <c r="O203" s="180"/>
      <c r="P203" s="181">
        <f>C203+H203-J203-M203</f>
        <v>615965.72899999982</v>
      </c>
    </row>
    <row r="204" spans="1:16" x14ac:dyDescent="0.15">
      <c r="A204" s="182"/>
      <c r="B204" s="465"/>
      <c r="C204" s="465"/>
      <c r="D204" s="465"/>
      <c r="E204" s="183"/>
      <c r="F204" s="472"/>
      <c r="G204" s="472"/>
      <c r="H204" s="185"/>
      <c r="I204" s="186"/>
      <c r="J204" s="187"/>
      <c r="K204" s="188"/>
      <c r="L204" s="189" t="s">
        <v>139</v>
      </c>
      <c r="M204" s="190">
        <f>+M203+J203</f>
        <v>1916395</v>
      </c>
      <c r="N204" s="188"/>
      <c r="O204" s="191">
        <f>+O202</f>
        <v>170527.68699999995</v>
      </c>
      <c r="P204" s="192" t="s">
        <v>211</v>
      </c>
    </row>
    <row r="205" spans="1:16" s="167" customFormat="1" x14ac:dyDescent="0.15">
      <c r="A205" s="193" t="s">
        <v>154</v>
      </c>
      <c r="B205" s="470" t="s">
        <v>174</v>
      </c>
      <c r="C205" s="470"/>
      <c r="D205" s="470"/>
      <c r="E205" s="183" t="s">
        <v>55</v>
      </c>
      <c r="F205" s="472">
        <v>39344329.090000004</v>
      </c>
      <c r="G205" s="472"/>
      <c r="H205" s="185" t="s">
        <v>56</v>
      </c>
      <c r="I205" s="186">
        <v>40182</v>
      </c>
      <c r="J205" s="187" t="s">
        <v>71</v>
      </c>
      <c r="K205" s="210">
        <f>SUM(M10:M16)</f>
        <v>292020</v>
      </c>
      <c r="L205" s="188"/>
      <c r="M205" s="190"/>
      <c r="N205" s="188"/>
      <c r="O205" s="191">
        <f>+H49+H50+H52+H53+H57</f>
        <v>293393.42499999999</v>
      </c>
      <c r="P205" s="192" t="s">
        <v>213</v>
      </c>
    </row>
    <row r="206" spans="1:16" s="167" customFormat="1" x14ac:dyDescent="0.15">
      <c r="A206" s="193" t="s">
        <v>155</v>
      </c>
      <c r="B206" s="213" t="s">
        <v>216</v>
      </c>
      <c r="C206" s="213"/>
      <c r="D206" s="213"/>
      <c r="E206" s="183" t="s">
        <v>55</v>
      </c>
      <c r="F206" s="472">
        <v>17330515.68</v>
      </c>
      <c r="G206" s="472"/>
      <c r="H206" s="185" t="s">
        <v>56</v>
      </c>
      <c r="I206" s="186">
        <v>40182</v>
      </c>
      <c r="J206" s="187" t="s">
        <v>71</v>
      </c>
      <c r="K206" s="210">
        <f>SUM(M17:M23)</f>
        <v>240501</v>
      </c>
      <c r="L206" s="188"/>
      <c r="M206" s="190"/>
      <c r="N206" s="188"/>
      <c r="O206" s="191">
        <f>+H58+H59</f>
        <v>152044.617</v>
      </c>
      <c r="P206" s="192" t="s">
        <v>215</v>
      </c>
    </row>
    <row r="207" spans="1:16" s="167" customFormat="1" x14ac:dyDescent="0.15">
      <c r="A207" s="193" t="s">
        <v>200</v>
      </c>
      <c r="B207" s="470" t="s">
        <v>217</v>
      </c>
      <c r="C207" s="470"/>
      <c r="D207" s="470"/>
      <c r="E207" s="183" t="s">
        <v>55</v>
      </c>
      <c r="F207" s="472">
        <v>68040261.519999996</v>
      </c>
      <c r="G207" s="472"/>
      <c r="H207" s="185" t="s">
        <v>56</v>
      </c>
      <c r="I207" s="186">
        <v>40186</v>
      </c>
      <c r="J207" s="187" t="s">
        <v>71</v>
      </c>
      <c r="K207" s="210">
        <f>SUM(M24:M26)</f>
        <v>166775</v>
      </c>
      <c r="L207" s="188"/>
      <c r="M207" s="190"/>
      <c r="N207" s="188"/>
      <c r="O207" s="191"/>
      <c r="P207" s="195"/>
    </row>
    <row r="208" spans="1:16" s="167" customFormat="1" ht="11.25" customHeight="1" x14ac:dyDescent="0.15">
      <c r="A208" s="193" t="s">
        <v>201</v>
      </c>
      <c r="B208" s="470" t="s">
        <v>218</v>
      </c>
      <c r="C208" s="470"/>
      <c r="D208" s="470"/>
      <c r="E208" s="183" t="s">
        <v>55</v>
      </c>
      <c r="F208" s="472">
        <v>39982255.979999997</v>
      </c>
      <c r="G208" s="472"/>
      <c r="H208" s="185" t="s">
        <v>56</v>
      </c>
      <c r="I208" s="186">
        <v>40189</v>
      </c>
      <c r="J208" s="187" t="s">
        <v>71</v>
      </c>
      <c r="K208" s="210">
        <f>SUM(M27:M29)</f>
        <v>207886</v>
      </c>
      <c r="L208" s="188"/>
      <c r="M208" s="190"/>
      <c r="N208" s="188"/>
      <c r="O208" s="191"/>
      <c r="P208" s="195"/>
    </row>
    <row r="209" spans="1:16" s="167" customFormat="1" ht="11.25" customHeight="1" x14ac:dyDescent="0.15">
      <c r="A209" s="193" t="s">
        <v>203</v>
      </c>
      <c r="B209" s="470" t="s">
        <v>219</v>
      </c>
      <c r="C209" s="470"/>
      <c r="D209" s="470"/>
      <c r="E209" s="183" t="s">
        <v>55</v>
      </c>
      <c r="F209" s="472">
        <v>62112135.710000001</v>
      </c>
      <c r="G209" s="472"/>
      <c r="H209" s="185" t="s">
        <v>56</v>
      </c>
      <c r="I209" s="186">
        <v>40191</v>
      </c>
      <c r="J209" s="187" t="s">
        <v>71</v>
      </c>
      <c r="K209" s="210">
        <f>SUM(M30:M35)</f>
        <v>128032</v>
      </c>
      <c r="L209" s="188"/>
      <c r="M209" s="190"/>
      <c r="N209" s="188"/>
      <c r="O209" s="191"/>
      <c r="P209" s="195"/>
    </row>
    <row r="210" spans="1:16" s="167" customFormat="1" ht="11.25" customHeight="1" x14ac:dyDescent="0.15">
      <c r="A210" s="193" t="s">
        <v>205</v>
      </c>
      <c r="B210" s="213" t="s">
        <v>220</v>
      </c>
      <c r="C210" s="213"/>
      <c r="D210" s="213"/>
      <c r="E210" s="183" t="s">
        <v>55</v>
      </c>
      <c r="F210" s="472">
        <v>42919500.729999997</v>
      </c>
      <c r="G210" s="472"/>
      <c r="H210" s="185" t="s">
        <v>56</v>
      </c>
      <c r="I210" s="186">
        <v>40196</v>
      </c>
      <c r="J210" s="187" t="s">
        <v>71</v>
      </c>
      <c r="K210" s="210">
        <f>SUM(M36:M39)</f>
        <v>227534</v>
      </c>
      <c r="L210" s="188"/>
      <c r="M210" s="190"/>
      <c r="N210" s="188"/>
      <c r="O210" s="191"/>
      <c r="P210" s="195"/>
    </row>
    <row r="211" spans="1:16" s="167" customFormat="1" ht="11.25" customHeight="1" x14ac:dyDescent="0.15">
      <c r="A211" s="193" t="s">
        <v>207</v>
      </c>
      <c r="B211" s="470" t="s">
        <v>221</v>
      </c>
      <c r="C211" s="470"/>
      <c r="D211" s="470"/>
      <c r="E211" s="183" t="s">
        <v>55</v>
      </c>
      <c r="F211" s="472">
        <v>93108729.469999999</v>
      </c>
      <c r="G211" s="472"/>
      <c r="H211" s="185" t="s">
        <v>56</v>
      </c>
      <c r="I211" s="186">
        <v>40197</v>
      </c>
      <c r="J211" s="187" t="s">
        <v>71</v>
      </c>
      <c r="K211" s="210">
        <f>SUM(M40:M43)</f>
        <v>155861</v>
      </c>
      <c r="L211" s="188"/>
      <c r="M211" s="190"/>
      <c r="N211" s="188"/>
      <c r="O211" s="191"/>
      <c r="P211" s="195"/>
    </row>
    <row r="212" spans="1:16" s="167" customFormat="1" ht="11.25" customHeight="1" x14ac:dyDescent="0.15">
      <c r="A212" s="193" t="s">
        <v>209</v>
      </c>
      <c r="B212" s="470" t="s">
        <v>222</v>
      </c>
      <c r="C212" s="470"/>
      <c r="D212" s="470"/>
      <c r="E212" s="183" t="s">
        <v>55</v>
      </c>
      <c r="F212" s="472">
        <v>133188212.93000001</v>
      </c>
      <c r="G212" s="472"/>
      <c r="H212" s="185" t="s">
        <v>56</v>
      </c>
      <c r="I212" s="186">
        <v>40199</v>
      </c>
      <c r="J212" s="187" t="s">
        <v>71</v>
      </c>
      <c r="K212" s="210">
        <f>SUM(M44:M50)</f>
        <v>226241</v>
      </c>
      <c r="L212" s="188"/>
      <c r="M212" s="190"/>
      <c r="N212" s="188"/>
      <c r="O212" s="191"/>
      <c r="P212" s="195"/>
    </row>
    <row r="213" spans="1:16" s="167" customFormat="1" ht="11.25" customHeight="1" x14ac:dyDescent="0.15">
      <c r="A213" s="193" t="s">
        <v>210</v>
      </c>
      <c r="B213" s="213" t="s">
        <v>223</v>
      </c>
      <c r="C213" s="213"/>
      <c r="D213" s="213"/>
      <c r="E213" s="183" t="s">
        <v>55</v>
      </c>
      <c r="F213" s="472">
        <v>10958592.789999999</v>
      </c>
      <c r="G213" s="472"/>
      <c r="H213" s="185" t="s">
        <v>56</v>
      </c>
      <c r="I213" s="186">
        <v>40204</v>
      </c>
      <c r="J213" s="187" t="s">
        <v>71</v>
      </c>
      <c r="K213" s="210">
        <f>SUM(M51:M54)</f>
        <v>187755</v>
      </c>
      <c r="L213" s="188"/>
      <c r="M213" s="190"/>
      <c r="N213" s="188"/>
      <c r="O213" s="191"/>
      <c r="P213" s="195"/>
    </row>
    <row r="214" spans="1:16" s="167" customFormat="1" x14ac:dyDescent="0.15">
      <c r="A214" s="193" t="s">
        <v>211</v>
      </c>
      <c r="B214" s="213" t="s">
        <v>224</v>
      </c>
      <c r="C214" s="213"/>
      <c r="D214" s="213"/>
      <c r="E214" s="183" t="s">
        <v>55</v>
      </c>
      <c r="F214" s="472">
        <v>25529453.960000001</v>
      </c>
      <c r="G214" s="472"/>
      <c r="H214" s="185" t="s">
        <v>56</v>
      </c>
      <c r="I214" s="186">
        <v>40206</v>
      </c>
      <c r="J214" s="187" t="s">
        <v>71</v>
      </c>
      <c r="K214" s="210">
        <f>SUM(M55:M58)</f>
        <v>78054</v>
      </c>
      <c r="L214" s="188"/>
      <c r="M214" s="190"/>
      <c r="N214" s="188"/>
      <c r="O214" s="206" t="s">
        <v>33</v>
      </c>
      <c r="P214" s="207">
        <f>SUM(O204:O213)</f>
        <v>615965.72899999993</v>
      </c>
    </row>
    <row r="215" spans="1:16" s="167" customFormat="1" ht="12" thickBot="1" x14ac:dyDescent="0.2">
      <c r="A215" s="193"/>
      <c r="B215" s="470"/>
      <c r="C215" s="470"/>
      <c r="D215" s="470"/>
      <c r="E215" s="183"/>
      <c r="F215" s="472"/>
      <c r="G215" s="472"/>
      <c r="H215" s="185"/>
      <c r="I215" s="186"/>
      <c r="J215" s="187"/>
      <c r="K215" s="211">
        <f>SUM(K205:K214)</f>
        <v>1910659</v>
      </c>
      <c r="L215" s="188"/>
      <c r="M215" s="190"/>
      <c r="N215" s="188"/>
      <c r="O215" s="190"/>
      <c r="P215" s="197">
        <f>+P203-P214</f>
        <v>0</v>
      </c>
    </row>
    <row r="216" spans="1:16" s="167" customFormat="1" ht="12" thickTop="1" x14ac:dyDescent="0.15">
      <c r="A216" s="193"/>
      <c r="B216" s="470"/>
      <c r="C216" s="470"/>
      <c r="D216" s="470"/>
      <c r="E216" s="183"/>
      <c r="F216" s="472"/>
      <c r="G216" s="472"/>
      <c r="H216" s="185"/>
      <c r="I216" s="186"/>
      <c r="J216" s="187"/>
      <c r="K216" s="210"/>
      <c r="L216" s="188"/>
      <c r="M216" s="190"/>
      <c r="N216" s="188"/>
      <c r="O216" s="188"/>
      <c r="P216" s="198"/>
    </row>
    <row r="217" spans="1:16" x14ac:dyDescent="0.15">
      <c r="J217" s="132" t="s">
        <v>105</v>
      </c>
      <c r="K217" s="205">
        <v>733844</v>
      </c>
    </row>
    <row r="218" spans="1:16" x14ac:dyDescent="0.15">
      <c r="J218" s="132" t="s">
        <v>106</v>
      </c>
      <c r="K218" s="205">
        <v>1176815</v>
      </c>
    </row>
    <row r="219" spans="1:16" ht="12" thickBot="1" x14ac:dyDescent="0.2">
      <c r="K219" s="212">
        <f>SUM(K217:K218)</f>
        <v>1910659</v>
      </c>
    </row>
    <row r="220" spans="1:16" ht="12" thickTop="1" x14ac:dyDescent="0.15">
      <c r="K220" s="205"/>
    </row>
    <row r="221" spans="1:16" x14ac:dyDescent="0.15">
      <c r="K221" s="205"/>
    </row>
  </sheetData>
  <sortState ref="A223:P232">
    <sortCondition ref="A223:A232"/>
  </sortState>
  <mergeCells count="28">
    <mergeCell ref="B216:D216"/>
    <mergeCell ref="F216:G216"/>
    <mergeCell ref="F213:G213"/>
    <mergeCell ref="F214:G214"/>
    <mergeCell ref="B215:D215"/>
    <mergeCell ref="F215:G215"/>
    <mergeCell ref="F210:G210"/>
    <mergeCell ref="B211:D211"/>
    <mergeCell ref="F211:G211"/>
    <mergeCell ref="B212:D212"/>
    <mergeCell ref="F212:G212"/>
    <mergeCell ref="B207:D207"/>
    <mergeCell ref="F207:G207"/>
    <mergeCell ref="B208:D208"/>
    <mergeCell ref="F208:G208"/>
    <mergeCell ref="B209:D209"/>
    <mergeCell ref="F209:G209"/>
    <mergeCell ref="B204:D204"/>
    <mergeCell ref="F204:G204"/>
    <mergeCell ref="B205:D205"/>
    <mergeCell ref="F205:G205"/>
    <mergeCell ref="F206:G206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98"/>
  <sheetViews>
    <sheetView topLeftCell="B1" zoomScale="115" zoomScaleNormal="115" workbookViewId="0">
      <pane ySplit="6" topLeftCell="A409" activePane="bottomLeft" state="frozen"/>
      <selection pane="bottomLeft" activeCell="G454" sqref="G454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.85546875" style="132" bestFit="1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.5703125" style="132" bestFit="1" customWidth="1"/>
    <col min="16" max="16384" width="18.5703125" style="134"/>
  </cols>
  <sheetData>
    <row r="1" spans="1:15" x14ac:dyDescent="0.15">
      <c r="A1" s="130" t="s">
        <v>3258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2728</v>
      </c>
      <c r="B7" s="146"/>
      <c r="C7" s="152">
        <v>5958.5523620115582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5958.5523620115582</v>
      </c>
      <c r="O7" s="147">
        <f>+C453</f>
        <v>972696.72236201167</v>
      </c>
    </row>
    <row r="8" spans="1:15" x14ac:dyDescent="0.15">
      <c r="A8" s="154" t="s">
        <v>2729</v>
      </c>
      <c r="B8" s="151"/>
      <c r="C8" s="152">
        <v>324398.86999999912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5958.5523620115582</v>
      </c>
      <c r="O8" s="152">
        <f t="shared" ref="O8:O11" si="0">O7+G8-I8-L8</f>
        <v>972696.72236201167</v>
      </c>
    </row>
    <row r="9" spans="1:15" x14ac:dyDescent="0.15">
      <c r="A9" s="157" t="s">
        <v>2730</v>
      </c>
      <c r="B9" s="151"/>
      <c r="C9" s="152">
        <v>246754.6660000009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:N11" si="1">+N8-I9-L9</f>
        <v>5958.5523620115582</v>
      </c>
      <c r="O9" s="152">
        <f t="shared" si="0"/>
        <v>972696.72236201167</v>
      </c>
    </row>
    <row r="10" spans="1:15" x14ac:dyDescent="0.15">
      <c r="A10" s="154" t="s">
        <v>2731</v>
      </c>
      <c r="B10" s="151"/>
      <c r="C10" s="152">
        <v>175822.264</v>
      </c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227">
        <f t="shared" si="1"/>
        <v>5958.5523620115582</v>
      </c>
      <c r="O10" s="152">
        <f t="shared" si="0"/>
        <v>972696.72236201167</v>
      </c>
    </row>
    <row r="11" spans="1:15" x14ac:dyDescent="0.15">
      <c r="A11" s="154" t="s">
        <v>2732</v>
      </c>
      <c r="B11" s="151"/>
      <c r="C11" s="152">
        <v>219762.37000000011</v>
      </c>
      <c r="D11" s="323"/>
      <c r="E11" s="154"/>
      <c r="F11" s="157"/>
      <c r="G11" s="152"/>
      <c r="H11" s="323"/>
      <c r="I11" s="152"/>
      <c r="J11" s="154"/>
      <c r="K11" s="157"/>
      <c r="L11" s="227"/>
      <c r="M11" s="154"/>
      <c r="N11" s="227">
        <f t="shared" si="1"/>
        <v>5958.5523620115582</v>
      </c>
      <c r="O11" s="152">
        <f t="shared" si="0"/>
        <v>972696.72236201167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/>
      <c r="I12" s="152"/>
      <c r="J12" s="154"/>
      <c r="K12" s="157"/>
      <c r="L12" s="227"/>
      <c r="M12" s="154"/>
      <c r="N12" s="227">
        <f t="shared" ref="N12" si="2">+N11-I12-L12</f>
        <v>5958.5523620115582</v>
      </c>
      <c r="O12" s="152">
        <f t="shared" ref="O12" si="3">O11+G12-I12-L12</f>
        <v>972696.72236201167</v>
      </c>
    </row>
    <row r="13" spans="1:15" x14ac:dyDescent="0.15">
      <c r="A13" s="154"/>
      <c r="B13" s="151"/>
      <c r="C13" s="152"/>
      <c r="D13" s="323" t="s">
        <v>3260</v>
      </c>
      <c r="E13" s="154" t="s">
        <v>72</v>
      </c>
      <c r="F13" s="157" t="s">
        <v>2732</v>
      </c>
      <c r="G13" s="152">
        <v>131764.77599999987</v>
      </c>
      <c r="H13" s="323" t="s">
        <v>3260</v>
      </c>
      <c r="I13" s="152">
        <v>5958.5523620115582</v>
      </c>
      <c r="J13" s="154" t="s">
        <v>2728</v>
      </c>
      <c r="K13" s="157"/>
      <c r="L13" s="227"/>
      <c r="M13" s="154"/>
      <c r="N13" s="227">
        <f t="shared" ref="N13:N18" si="4">+N12-I13-L13</f>
        <v>0</v>
      </c>
      <c r="O13" s="152">
        <f t="shared" ref="O13:O18" si="5">O12+G13-I13-L13</f>
        <v>1098502.946</v>
      </c>
    </row>
    <row r="14" spans="1:15" x14ac:dyDescent="0.15">
      <c r="A14" s="154"/>
      <c r="B14" s="151"/>
      <c r="C14" s="152"/>
      <c r="D14" s="323" t="s">
        <v>3260</v>
      </c>
      <c r="E14" s="154" t="s">
        <v>72</v>
      </c>
      <c r="F14" s="157" t="s">
        <v>3345</v>
      </c>
      <c r="G14" s="152">
        <v>43988.353000000097</v>
      </c>
      <c r="H14" s="323" t="s">
        <v>3260</v>
      </c>
      <c r="I14" s="152">
        <v>2991.06163798844</v>
      </c>
      <c r="J14" s="154" t="s">
        <v>2729</v>
      </c>
      <c r="K14" s="157">
        <v>5800361483</v>
      </c>
      <c r="L14" s="227">
        <v>15325.171</v>
      </c>
      <c r="M14" s="154" t="s">
        <v>2729</v>
      </c>
      <c r="N14" s="227">
        <f>C8+N13-I14-L14</f>
        <v>306082.63736201072</v>
      </c>
      <c r="O14" s="152">
        <f t="shared" si="5"/>
        <v>1124175.0663620115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3260</v>
      </c>
      <c r="I15" s="152"/>
      <c r="J15" s="157"/>
      <c r="K15" s="157">
        <v>5800361483</v>
      </c>
      <c r="L15" s="227">
        <v>14182.666999999999</v>
      </c>
      <c r="M15" s="154" t="s">
        <v>2729</v>
      </c>
      <c r="N15" s="227">
        <f t="shared" si="4"/>
        <v>291899.9703620107</v>
      </c>
      <c r="O15" s="152">
        <f t="shared" si="5"/>
        <v>1109992.3993620116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3260</v>
      </c>
      <c r="I16" s="152"/>
      <c r="J16" s="157"/>
      <c r="K16" s="157">
        <v>5800361483</v>
      </c>
      <c r="L16" s="227">
        <v>15269.097</v>
      </c>
      <c r="M16" s="154" t="s">
        <v>2729</v>
      </c>
      <c r="N16" s="227">
        <f t="shared" si="4"/>
        <v>276630.87336201069</v>
      </c>
      <c r="O16" s="152">
        <f t="shared" si="5"/>
        <v>1094723.3023620115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3260</v>
      </c>
      <c r="I17" s="152"/>
      <c r="J17" s="157"/>
      <c r="K17" s="157">
        <v>5800361483</v>
      </c>
      <c r="L17" s="227">
        <v>16514.737000000001</v>
      </c>
      <c r="M17" s="154" t="s">
        <v>2729</v>
      </c>
      <c r="N17" s="227">
        <f t="shared" si="4"/>
        <v>260116.1363620107</v>
      </c>
      <c r="O17" s="152">
        <f t="shared" si="5"/>
        <v>1078208.5653620115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3260</v>
      </c>
      <c r="I18" s="152"/>
      <c r="J18" s="157"/>
      <c r="K18" s="157">
        <v>5800361483</v>
      </c>
      <c r="L18" s="227">
        <v>16279.427</v>
      </c>
      <c r="M18" s="154" t="s">
        <v>2729</v>
      </c>
      <c r="N18" s="227">
        <f t="shared" si="4"/>
        <v>243836.7093620107</v>
      </c>
      <c r="O18" s="152">
        <f t="shared" si="5"/>
        <v>1061929.1383620116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3260</v>
      </c>
      <c r="I19" s="152"/>
      <c r="J19" s="157"/>
      <c r="K19" s="157">
        <v>5800361483</v>
      </c>
      <c r="L19" s="227">
        <v>13466.725</v>
      </c>
      <c r="M19" s="154" t="s">
        <v>2729</v>
      </c>
      <c r="N19" s="227">
        <f t="shared" ref="N19:N82" si="6">+N18-I19-L19</f>
        <v>230369.9843620107</v>
      </c>
      <c r="O19" s="152">
        <f t="shared" ref="O19:O82" si="7">O18+G19-I19-L19</f>
        <v>1048462.4133620117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3260</v>
      </c>
      <c r="I20" s="152"/>
      <c r="J20" s="157"/>
      <c r="K20" s="157">
        <v>5800361483</v>
      </c>
      <c r="L20" s="227">
        <v>12316.210999999999</v>
      </c>
      <c r="M20" s="154" t="s">
        <v>2729</v>
      </c>
      <c r="N20" s="227">
        <f t="shared" si="6"/>
        <v>218053.77336201069</v>
      </c>
      <c r="O20" s="152">
        <f t="shared" si="7"/>
        <v>1036146.2023620117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3260</v>
      </c>
      <c r="I21" s="152"/>
      <c r="J21" s="157"/>
      <c r="K21" s="157">
        <v>5800361483</v>
      </c>
      <c r="L21" s="227">
        <v>13699.879000000001</v>
      </c>
      <c r="M21" s="154" t="s">
        <v>2729</v>
      </c>
      <c r="N21" s="227">
        <f t="shared" si="6"/>
        <v>204353.8943620107</v>
      </c>
      <c r="O21" s="152">
        <f t="shared" si="7"/>
        <v>1022446.3233620117</v>
      </c>
    </row>
    <row r="22" spans="1:15" x14ac:dyDescent="0.15">
      <c r="A22" s="154"/>
      <c r="B22" s="151"/>
      <c r="C22" s="152"/>
      <c r="D22" s="323"/>
      <c r="E22" s="154"/>
      <c r="F22" s="157"/>
      <c r="G22" s="152"/>
      <c r="H22" s="323" t="s">
        <v>3260</v>
      </c>
      <c r="I22" s="152"/>
      <c r="J22" s="157"/>
      <c r="K22" s="157">
        <v>5800361483</v>
      </c>
      <c r="L22" s="227">
        <v>14442.276</v>
      </c>
      <c r="M22" s="154" t="s">
        <v>2729</v>
      </c>
      <c r="N22" s="227">
        <f t="shared" si="6"/>
        <v>189911.61836201069</v>
      </c>
      <c r="O22" s="152">
        <f t="shared" si="7"/>
        <v>1008004.0473620117</v>
      </c>
    </row>
    <row r="23" spans="1:15" x14ac:dyDescent="0.15">
      <c r="A23" s="154"/>
      <c r="B23" s="151"/>
      <c r="C23" s="152"/>
      <c r="D23" s="323"/>
      <c r="E23" s="154"/>
      <c r="F23" s="157"/>
      <c r="G23" s="152"/>
      <c r="H23" s="323" t="s">
        <v>3260</v>
      </c>
      <c r="I23" s="152"/>
      <c r="J23" s="154"/>
      <c r="K23" s="157">
        <v>5800361483</v>
      </c>
      <c r="L23" s="227">
        <v>5630.4290000000001</v>
      </c>
      <c r="M23" s="154" t="s">
        <v>2729</v>
      </c>
      <c r="N23" s="227">
        <f t="shared" si="6"/>
        <v>184281.18936201069</v>
      </c>
      <c r="O23" s="152">
        <f t="shared" si="7"/>
        <v>1002373.6183620117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3260</v>
      </c>
      <c r="I24" s="152"/>
      <c r="J24" s="157"/>
      <c r="K24" s="157">
        <v>5800361483</v>
      </c>
      <c r="L24" s="227">
        <v>19914.833999999999</v>
      </c>
      <c r="M24" s="154" t="s">
        <v>2729</v>
      </c>
      <c r="N24" s="227">
        <f t="shared" si="6"/>
        <v>164366.35536201068</v>
      </c>
      <c r="O24" s="152">
        <f t="shared" si="7"/>
        <v>982458.78436201171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3260</v>
      </c>
      <c r="I25" s="152"/>
      <c r="J25" s="157"/>
      <c r="K25" s="157">
        <v>5800361483</v>
      </c>
      <c r="L25" s="227">
        <v>12997.449000000001</v>
      </c>
      <c r="M25" s="154" t="s">
        <v>2729</v>
      </c>
      <c r="N25" s="227">
        <f t="shared" si="6"/>
        <v>151368.90636201069</v>
      </c>
      <c r="O25" s="152">
        <f t="shared" si="7"/>
        <v>969461.33536201168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3260</v>
      </c>
      <c r="I26" s="152"/>
      <c r="J26" s="157"/>
      <c r="K26" s="157">
        <v>5800361483</v>
      </c>
      <c r="L26" s="227">
        <v>39219.163</v>
      </c>
      <c r="M26" s="154" t="s">
        <v>2729</v>
      </c>
      <c r="N26" s="227">
        <f t="shared" si="6"/>
        <v>112149.74336201069</v>
      </c>
      <c r="O26" s="152">
        <f t="shared" si="7"/>
        <v>930242.17236201162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3260</v>
      </c>
      <c r="I27" s="152"/>
      <c r="J27" s="157"/>
      <c r="K27" s="157">
        <v>5800361483</v>
      </c>
      <c r="L27" s="227">
        <v>16743.407999999999</v>
      </c>
      <c r="M27" s="154" t="s">
        <v>2729</v>
      </c>
      <c r="N27" s="227">
        <f t="shared" si="6"/>
        <v>95406.335362010694</v>
      </c>
      <c r="O27" s="152">
        <f t="shared" si="7"/>
        <v>913498.76436201157</v>
      </c>
    </row>
    <row r="28" spans="1:15" x14ac:dyDescent="0.15">
      <c r="A28" s="154"/>
      <c r="B28" s="151"/>
      <c r="C28" s="152"/>
      <c r="D28" s="323" t="s">
        <v>3280</v>
      </c>
      <c r="E28" s="154" t="s">
        <v>72</v>
      </c>
      <c r="F28" s="157" t="s">
        <v>3345</v>
      </c>
      <c r="G28" s="152">
        <v>175914.33</v>
      </c>
      <c r="H28" s="323" t="s">
        <v>3280</v>
      </c>
      <c r="I28" s="152">
        <v>9860</v>
      </c>
      <c r="J28" s="154" t="s">
        <v>2729</v>
      </c>
      <c r="K28" s="157">
        <v>5800361483</v>
      </c>
      <c r="L28" s="227">
        <v>13926.763000000001</v>
      </c>
      <c r="M28" s="154" t="s">
        <v>2729</v>
      </c>
      <c r="N28" s="227">
        <f t="shared" si="6"/>
        <v>71619.572362010687</v>
      </c>
      <c r="O28" s="152">
        <f t="shared" si="7"/>
        <v>1065626.3313620116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3280</v>
      </c>
      <c r="I29" s="152"/>
      <c r="J29" s="157"/>
      <c r="K29" s="157">
        <v>5800361483</v>
      </c>
      <c r="L29" s="227">
        <v>13764.812</v>
      </c>
      <c r="M29" s="154" t="s">
        <v>2729</v>
      </c>
      <c r="N29" s="227">
        <f t="shared" si="6"/>
        <v>57854.760362010689</v>
      </c>
      <c r="O29" s="152">
        <f t="shared" si="7"/>
        <v>1051861.5193620117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3280</v>
      </c>
      <c r="I30" s="152"/>
      <c r="J30" s="157"/>
      <c r="K30" s="157">
        <v>5800361483</v>
      </c>
      <c r="L30" s="227">
        <v>14229.671</v>
      </c>
      <c r="M30" s="154" t="s">
        <v>2729</v>
      </c>
      <c r="N30" s="227">
        <f t="shared" si="6"/>
        <v>43625.089362010687</v>
      </c>
      <c r="O30" s="152">
        <f t="shared" si="7"/>
        <v>1037631.8483620117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3280</v>
      </c>
      <c r="I31" s="152"/>
      <c r="J31" s="157"/>
      <c r="K31" s="157">
        <v>5800361483</v>
      </c>
      <c r="L31" s="227">
        <v>16810.885999999999</v>
      </c>
      <c r="M31" s="154" t="s">
        <v>2729</v>
      </c>
      <c r="N31" s="227">
        <f t="shared" si="6"/>
        <v>26814.203362010689</v>
      </c>
      <c r="O31" s="152">
        <f t="shared" si="7"/>
        <v>1020820.9623620117</v>
      </c>
    </row>
    <row r="32" spans="1:15" x14ac:dyDescent="0.15">
      <c r="A32" s="154"/>
      <c r="B32" s="151"/>
      <c r="C32" s="152"/>
      <c r="D32" s="323"/>
      <c r="E32" s="154"/>
      <c r="F32" s="157"/>
      <c r="G32" s="152"/>
      <c r="H32" s="323" t="s">
        <v>3280</v>
      </c>
      <c r="I32" s="152"/>
      <c r="J32" s="157"/>
      <c r="K32" s="157">
        <v>5800361483</v>
      </c>
      <c r="L32" s="227">
        <v>13372.932000000001</v>
      </c>
      <c r="M32" s="154" t="s">
        <v>2729</v>
      </c>
      <c r="N32" s="227">
        <f t="shared" si="6"/>
        <v>13441.271362010688</v>
      </c>
      <c r="O32" s="152">
        <f t="shared" si="7"/>
        <v>1007448.0303620116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3280</v>
      </c>
      <c r="I33" s="152"/>
      <c r="J33" s="154"/>
      <c r="K33" s="157">
        <v>5800361483</v>
      </c>
      <c r="L33" s="227">
        <v>13441.271362010688</v>
      </c>
      <c r="M33" s="154" t="s">
        <v>2729</v>
      </c>
      <c r="N33" s="227">
        <f t="shared" ref="N33:N35" si="8">+N32-I33-L33</f>
        <v>0</v>
      </c>
      <c r="O33" s="152">
        <f t="shared" ref="O33:O35" si="9">O32+G33-I33-L33</f>
        <v>994006.75900000089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3280</v>
      </c>
      <c r="I34" s="152"/>
      <c r="J34" s="154"/>
      <c r="K34" s="157">
        <v>5800361483</v>
      </c>
      <c r="L34" s="227">
        <v>1987.0346379893101</v>
      </c>
      <c r="M34" s="157" t="s">
        <v>2730</v>
      </c>
      <c r="N34" s="227">
        <f>C9+N33-I34-L34</f>
        <v>244767.6313620116</v>
      </c>
      <c r="O34" s="152">
        <f t="shared" si="9"/>
        <v>992019.72436201153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3280</v>
      </c>
      <c r="I35" s="152"/>
      <c r="J35" s="157"/>
      <c r="K35" s="157">
        <v>5800361483</v>
      </c>
      <c r="L35" s="227">
        <v>12956.058000000001</v>
      </c>
      <c r="M35" s="157" t="s">
        <v>2730</v>
      </c>
      <c r="N35" s="227">
        <f t="shared" si="8"/>
        <v>231811.57336201161</v>
      </c>
      <c r="O35" s="152">
        <f t="shared" si="9"/>
        <v>979063.66636201157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3280</v>
      </c>
      <c r="I36" s="152"/>
      <c r="J36" s="157"/>
      <c r="K36" s="157">
        <v>5800361483</v>
      </c>
      <c r="L36" s="227">
        <v>14507.585999999999</v>
      </c>
      <c r="M36" s="157" t="s">
        <v>2730</v>
      </c>
      <c r="N36" s="227">
        <f t="shared" si="6"/>
        <v>217303.9873620116</v>
      </c>
      <c r="O36" s="152">
        <f t="shared" si="7"/>
        <v>964556.08036201156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3280</v>
      </c>
      <c r="I37" s="152"/>
      <c r="J37" s="157"/>
      <c r="K37" s="157">
        <v>5800361483</v>
      </c>
      <c r="L37" s="227">
        <v>12838.093999999999</v>
      </c>
      <c r="M37" s="157" t="s">
        <v>2730</v>
      </c>
      <c r="N37" s="227">
        <f t="shared" si="6"/>
        <v>204465.89336201159</v>
      </c>
      <c r="O37" s="152">
        <f t="shared" si="7"/>
        <v>951717.98636201152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3280</v>
      </c>
      <c r="I38" s="152"/>
      <c r="J38" s="157"/>
      <c r="K38" s="157">
        <v>5800361483</v>
      </c>
      <c r="L38" s="227">
        <v>15665.234</v>
      </c>
      <c r="M38" s="157" t="s">
        <v>2730</v>
      </c>
      <c r="N38" s="227">
        <f t="shared" si="6"/>
        <v>188800.65936201159</v>
      </c>
      <c r="O38" s="152">
        <f t="shared" si="7"/>
        <v>936052.75236201147</v>
      </c>
    </row>
    <row r="39" spans="1:15" x14ac:dyDescent="0.15">
      <c r="A39" s="154"/>
      <c r="B39" s="151"/>
      <c r="C39" s="152"/>
      <c r="D39" s="323" t="s">
        <v>3288</v>
      </c>
      <c r="E39" s="154" t="s">
        <v>72</v>
      </c>
      <c r="F39" s="157" t="s">
        <v>3346</v>
      </c>
      <c r="G39" s="152">
        <v>175939.13500000001</v>
      </c>
      <c r="H39" s="323" t="s">
        <v>3288</v>
      </c>
      <c r="I39" s="152">
        <v>10089.171</v>
      </c>
      <c r="J39" s="157" t="s">
        <v>2730</v>
      </c>
      <c r="K39" s="157">
        <v>5800361483</v>
      </c>
      <c r="L39" s="227">
        <v>13569.744000000001</v>
      </c>
      <c r="M39" s="157" t="s">
        <v>2730</v>
      </c>
      <c r="N39" s="227">
        <f t="shared" si="6"/>
        <v>165141.74436201158</v>
      </c>
      <c r="O39" s="152">
        <f t="shared" si="7"/>
        <v>1088332.9723620114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3288</v>
      </c>
      <c r="I40" s="152"/>
      <c r="J40" s="157"/>
      <c r="K40" s="157">
        <v>5800361483</v>
      </c>
      <c r="L40" s="227">
        <v>13409.582</v>
      </c>
      <c r="M40" s="157" t="s">
        <v>2730</v>
      </c>
      <c r="N40" s="227">
        <f t="shared" si="6"/>
        <v>151732.16236201159</v>
      </c>
      <c r="O40" s="152">
        <f t="shared" si="7"/>
        <v>1074923.3903620115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3288</v>
      </c>
      <c r="I41" s="152"/>
      <c r="J41" s="157"/>
      <c r="K41" s="157">
        <v>5800361483</v>
      </c>
      <c r="L41" s="227">
        <v>13058.226000000001</v>
      </c>
      <c r="M41" s="157" t="s">
        <v>2730</v>
      </c>
      <c r="N41" s="227">
        <f t="shared" si="6"/>
        <v>138673.93636201159</v>
      </c>
      <c r="O41" s="152">
        <f t="shared" si="7"/>
        <v>1061865.1643620115</v>
      </c>
    </row>
    <row r="42" spans="1:15" x14ac:dyDescent="0.15">
      <c r="A42" s="154"/>
      <c r="B42" s="151"/>
      <c r="C42" s="152"/>
      <c r="D42" s="323"/>
      <c r="E42" s="154"/>
      <c r="F42" s="157"/>
      <c r="G42" s="152"/>
      <c r="H42" s="323" t="s">
        <v>3288</v>
      </c>
      <c r="I42" s="152"/>
      <c r="J42" s="157"/>
      <c r="K42" s="157">
        <v>5800361483</v>
      </c>
      <c r="L42" s="227">
        <v>14588.776</v>
      </c>
      <c r="M42" s="157" t="s">
        <v>2730</v>
      </c>
      <c r="N42" s="227">
        <f t="shared" si="6"/>
        <v>124085.16036201159</v>
      </c>
      <c r="O42" s="152">
        <f t="shared" si="7"/>
        <v>1047276.3883620115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3288</v>
      </c>
      <c r="I43" s="152"/>
      <c r="J43" s="157"/>
      <c r="K43" s="157">
        <v>5800361483</v>
      </c>
      <c r="L43" s="227">
        <v>10398.531999999999</v>
      </c>
      <c r="M43" s="157" t="s">
        <v>2730</v>
      </c>
      <c r="N43" s="227">
        <f t="shared" si="6"/>
        <v>113686.6283620116</v>
      </c>
      <c r="O43" s="152">
        <f t="shared" si="7"/>
        <v>1036877.8563620115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3288</v>
      </c>
      <c r="I44" s="152"/>
      <c r="J44" s="154"/>
      <c r="K44" s="157">
        <v>5800361483</v>
      </c>
      <c r="L44" s="227">
        <v>9300.42</v>
      </c>
      <c r="M44" s="157" t="s">
        <v>2730</v>
      </c>
      <c r="N44" s="227">
        <f t="shared" si="6"/>
        <v>104386.2083620116</v>
      </c>
      <c r="O44" s="152">
        <f t="shared" si="7"/>
        <v>1027577.4363620115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3288</v>
      </c>
      <c r="I45" s="152"/>
      <c r="J45" s="157"/>
      <c r="K45" s="157">
        <v>5800361483</v>
      </c>
      <c r="L45" s="227">
        <v>623.63199999999995</v>
      </c>
      <c r="M45" s="157" t="s">
        <v>2730</v>
      </c>
      <c r="N45" s="227">
        <f t="shared" si="6"/>
        <v>103762.5763620116</v>
      </c>
      <c r="O45" s="152">
        <f t="shared" si="7"/>
        <v>1026953.8043620115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3288</v>
      </c>
      <c r="I46" s="152"/>
      <c r="J46" s="157"/>
      <c r="K46" s="157">
        <v>5800361483</v>
      </c>
      <c r="L46" s="227">
        <v>15268.605</v>
      </c>
      <c r="M46" s="157" t="s">
        <v>2730</v>
      </c>
      <c r="N46" s="227">
        <f t="shared" si="6"/>
        <v>88493.971362011609</v>
      </c>
      <c r="O46" s="152">
        <f t="shared" si="7"/>
        <v>1011685.1993620115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3288</v>
      </c>
      <c r="I47" s="152"/>
      <c r="J47" s="157"/>
      <c r="K47" s="157">
        <v>5800361483</v>
      </c>
      <c r="L47" s="227">
        <v>11480.68</v>
      </c>
      <c r="M47" s="157" t="s">
        <v>2730</v>
      </c>
      <c r="N47" s="227">
        <f t="shared" si="6"/>
        <v>77013.291362011601</v>
      </c>
      <c r="O47" s="152">
        <f t="shared" si="7"/>
        <v>1000204.5193620115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3288</v>
      </c>
      <c r="I48" s="152"/>
      <c r="J48" s="157"/>
      <c r="K48" s="157">
        <v>5800361483</v>
      </c>
      <c r="L48" s="227">
        <v>5948.1710000000003</v>
      </c>
      <c r="M48" s="157" t="s">
        <v>2730</v>
      </c>
      <c r="N48" s="227">
        <f t="shared" si="6"/>
        <v>71065.120362011599</v>
      </c>
      <c r="O48" s="152">
        <f t="shared" si="7"/>
        <v>994256.34836201149</v>
      </c>
    </row>
    <row r="49" spans="1:15" x14ac:dyDescent="0.15">
      <c r="A49" s="154"/>
      <c r="B49" s="151"/>
      <c r="C49" s="152"/>
      <c r="D49" s="323"/>
      <c r="E49" s="154"/>
      <c r="F49" s="157"/>
      <c r="G49" s="152"/>
      <c r="H49" s="323" t="s">
        <v>3288</v>
      </c>
      <c r="I49" s="152"/>
      <c r="J49" s="157"/>
      <c r="K49" s="157">
        <v>5800361483</v>
      </c>
      <c r="L49" s="227">
        <v>14952.861999999999</v>
      </c>
      <c r="M49" s="157" t="s">
        <v>2730</v>
      </c>
      <c r="N49" s="227">
        <f t="shared" si="6"/>
        <v>56112.258362011598</v>
      </c>
      <c r="O49" s="152">
        <f t="shared" si="7"/>
        <v>979303.48636201152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3288</v>
      </c>
      <c r="I50" s="152"/>
      <c r="J50" s="157"/>
      <c r="K50" s="157">
        <v>5800361483</v>
      </c>
      <c r="L50" s="227">
        <v>16005.008</v>
      </c>
      <c r="M50" s="157" t="s">
        <v>2730</v>
      </c>
      <c r="N50" s="227">
        <f t="shared" si="6"/>
        <v>40107.250362011597</v>
      </c>
      <c r="O50" s="152">
        <f t="shared" si="7"/>
        <v>963298.47836201149</v>
      </c>
    </row>
    <row r="51" spans="1:15" x14ac:dyDescent="0.15">
      <c r="A51" s="154"/>
      <c r="B51" s="151"/>
      <c r="C51" s="152"/>
      <c r="D51" s="323" t="s">
        <v>3294</v>
      </c>
      <c r="E51" s="154" t="s">
        <v>72</v>
      </c>
      <c r="F51" s="157" t="s">
        <v>3346</v>
      </c>
      <c r="G51" s="152">
        <v>225592.14299999917</v>
      </c>
      <c r="H51" s="323" t="s">
        <v>3294</v>
      </c>
      <c r="I51" s="152">
        <v>10133.861000000001</v>
      </c>
      <c r="J51" s="157" t="s">
        <v>2730</v>
      </c>
      <c r="K51" s="157">
        <v>5800361483</v>
      </c>
      <c r="L51" s="227">
        <v>11171.334000000001</v>
      </c>
      <c r="M51" s="157" t="s">
        <v>2730</v>
      </c>
      <c r="N51" s="227">
        <f t="shared" si="6"/>
        <v>18802.055362011597</v>
      </c>
      <c r="O51" s="152">
        <f t="shared" si="7"/>
        <v>1167585.4263620107</v>
      </c>
    </row>
    <row r="52" spans="1:15" x14ac:dyDescent="0.15">
      <c r="A52" s="154"/>
      <c r="B52" s="151"/>
      <c r="C52" s="152"/>
      <c r="D52" s="323" t="s">
        <v>3294</v>
      </c>
      <c r="E52" s="154" t="s">
        <v>72</v>
      </c>
      <c r="F52" s="157" t="s">
        <v>3347</v>
      </c>
      <c r="G52" s="152">
        <v>38200.497000000803</v>
      </c>
      <c r="H52" s="323" t="s">
        <v>3294</v>
      </c>
      <c r="I52" s="152"/>
      <c r="J52" s="157"/>
      <c r="K52" s="157">
        <v>5800361483</v>
      </c>
      <c r="L52" s="227">
        <v>14359.718000000001</v>
      </c>
      <c r="M52" s="157" t="s">
        <v>2730</v>
      </c>
      <c r="N52" s="227">
        <f t="shared" si="6"/>
        <v>4442.3373620115963</v>
      </c>
      <c r="O52" s="152">
        <f t="shared" si="7"/>
        <v>1191426.2053620114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3294</v>
      </c>
      <c r="I53" s="152"/>
      <c r="J53" s="157"/>
      <c r="K53" s="157">
        <v>5800361483</v>
      </c>
      <c r="L53" s="227">
        <v>4442.3373620115963</v>
      </c>
      <c r="M53" s="157" t="s">
        <v>2730</v>
      </c>
      <c r="N53" s="227">
        <f t="shared" ref="N53:N56" si="10">+N52-I53-L53</f>
        <v>0</v>
      </c>
      <c r="O53" s="152">
        <f t="shared" ref="O53:O56" si="11">O52+G53-I53-L53</f>
        <v>1186983.8679999998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3294</v>
      </c>
      <c r="I54" s="152"/>
      <c r="J54" s="157"/>
      <c r="K54" s="157">
        <v>5800361483</v>
      </c>
      <c r="L54" s="227">
        <v>10310.1806379884</v>
      </c>
      <c r="M54" s="154" t="s">
        <v>2731</v>
      </c>
      <c r="N54" s="227">
        <f>C10+N53-I54-L54</f>
        <v>165512.08336201159</v>
      </c>
      <c r="O54" s="152">
        <f t="shared" si="11"/>
        <v>1176673.6873620113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3294</v>
      </c>
      <c r="I55" s="152"/>
      <c r="J55" s="157"/>
      <c r="K55" s="157">
        <v>5800361483</v>
      </c>
      <c r="L55" s="227">
        <v>15034.375</v>
      </c>
      <c r="M55" s="154" t="s">
        <v>2731</v>
      </c>
      <c r="N55" s="227">
        <f t="shared" si="10"/>
        <v>150477.70836201159</v>
      </c>
      <c r="O55" s="152">
        <f t="shared" si="11"/>
        <v>1161639.3123620113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3294</v>
      </c>
      <c r="I56" s="152"/>
      <c r="J56" s="157"/>
      <c r="K56" s="157">
        <v>5800361483</v>
      </c>
      <c r="L56" s="227">
        <v>14581.605</v>
      </c>
      <c r="M56" s="154" t="s">
        <v>2731</v>
      </c>
      <c r="N56" s="227">
        <f t="shared" si="10"/>
        <v>135896.10336201158</v>
      </c>
      <c r="O56" s="152">
        <f t="shared" si="11"/>
        <v>1147057.7073620113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3294</v>
      </c>
      <c r="I57" s="152"/>
      <c r="J57" s="157"/>
      <c r="K57" s="157">
        <v>5800361483</v>
      </c>
      <c r="L57" s="227">
        <v>10598.625</v>
      </c>
      <c r="M57" s="154" t="s">
        <v>2731</v>
      </c>
      <c r="N57" s="227">
        <f t="shared" si="6"/>
        <v>125297.47836201158</v>
      </c>
      <c r="O57" s="152">
        <f t="shared" si="7"/>
        <v>1136459.0823620113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3294</v>
      </c>
      <c r="I58" s="152"/>
      <c r="J58" s="157"/>
      <c r="K58" s="157">
        <v>5800361483</v>
      </c>
      <c r="L58" s="227">
        <v>13159.325999999999</v>
      </c>
      <c r="M58" s="154" t="s">
        <v>2731</v>
      </c>
      <c r="N58" s="227">
        <f t="shared" si="6"/>
        <v>112138.15236201158</v>
      </c>
      <c r="O58" s="152">
        <f t="shared" si="7"/>
        <v>1123299.7563620114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3294</v>
      </c>
      <c r="I59" s="152"/>
      <c r="J59" s="157"/>
      <c r="K59" s="157">
        <v>5800361483</v>
      </c>
      <c r="L59" s="227">
        <v>13050.382</v>
      </c>
      <c r="M59" s="154" t="s">
        <v>2731</v>
      </c>
      <c r="N59" s="227">
        <f t="shared" si="6"/>
        <v>99087.770362011579</v>
      </c>
      <c r="O59" s="152">
        <f t="shared" si="7"/>
        <v>1110249.3743620114</v>
      </c>
    </row>
    <row r="60" spans="1:15" x14ac:dyDescent="0.15">
      <c r="A60" s="154"/>
      <c r="B60" s="151"/>
      <c r="C60" s="152"/>
      <c r="D60" s="323"/>
      <c r="E60" s="154"/>
      <c r="F60" s="157"/>
      <c r="G60" s="152"/>
      <c r="H60" s="323" t="s">
        <v>3294</v>
      </c>
      <c r="I60" s="152"/>
      <c r="J60" s="157"/>
      <c r="K60" s="157">
        <v>5800361483</v>
      </c>
      <c r="L60" s="227">
        <v>278.85899999999998</v>
      </c>
      <c r="M60" s="154" t="s">
        <v>2731</v>
      </c>
      <c r="N60" s="227">
        <f t="shared" si="6"/>
        <v>98808.911362011582</v>
      </c>
      <c r="O60" s="152">
        <f t="shared" si="7"/>
        <v>1109970.5153620115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3294</v>
      </c>
      <c r="I61" s="152"/>
      <c r="J61" s="157"/>
      <c r="K61" s="157">
        <v>5800361483</v>
      </c>
      <c r="L61" s="227">
        <v>14446.673000000001</v>
      </c>
      <c r="M61" s="154" t="s">
        <v>2731</v>
      </c>
      <c r="N61" s="227">
        <f t="shared" si="6"/>
        <v>84362.238362011587</v>
      </c>
      <c r="O61" s="152">
        <f t="shared" si="7"/>
        <v>1095523.8423620115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3294</v>
      </c>
      <c r="I62" s="152"/>
      <c r="J62" s="157"/>
      <c r="K62" s="157">
        <v>5800361483</v>
      </c>
      <c r="L62" s="227">
        <v>16696.531999999999</v>
      </c>
      <c r="M62" s="154" t="s">
        <v>2731</v>
      </c>
      <c r="N62" s="227">
        <f t="shared" si="6"/>
        <v>67665.70636201158</v>
      </c>
      <c r="O62" s="152">
        <f t="shared" si="7"/>
        <v>1078827.3103620117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3294</v>
      </c>
      <c r="I63" s="152"/>
      <c r="J63" s="157"/>
      <c r="K63" s="157">
        <v>5800361483</v>
      </c>
      <c r="L63" s="227">
        <v>4171.884</v>
      </c>
      <c r="M63" s="154" t="s">
        <v>2731</v>
      </c>
      <c r="N63" s="227">
        <f t="shared" si="6"/>
        <v>63493.822362011582</v>
      </c>
      <c r="O63" s="152">
        <f t="shared" si="7"/>
        <v>1074655.4263620116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3294</v>
      </c>
      <c r="I64" s="152"/>
      <c r="J64" s="157"/>
      <c r="K64" s="157">
        <v>5800361483</v>
      </c>
      <c r="L64" s="227">
        <v>15563.107</v>
      </c>
      <c r="M64" s="154" t="s">
        <v>2731</v>
      </c>
      <c r="N64" s="227">
        <f t="shared" si="6"/>
        <v>47930.715362011586</v>
      </c>
      <c r="O64" s="152">
        <f t="shared" si="7"/>
        <v>1059092.3193620115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3294</v>
      </c>
      <c r="I65" s="152"/>
      <c r="J65" s="157"/>
      <c r="K65" s="157">
        <v>5800361483</v>
      </c>
      <c r="L65" s="227">
        <v>15113.334999999999</v>
      </c>
      <c r="M65" s="154" t="s">
        <v>2731</v>
      </c>
      <c r="N65" s="227">
        <f t="shared" ref="N65:N70" si="12">+N64-I65-L65</f>
        <v>32817.380362011587</v>
      </c>
      <c r="O65" s="152">
        <f t="shared" ref="O65:O70" si="13">O64+G65-I65-L65</f>
        <v>1043978.9843620115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3294</v>
      </c>
      <c r="I66" s="152"/>
      <c r="J66" s="157"/>
      <c r="K66" s="157">
        <v>5800361483</v>
      </c>
      <c r="L66" s="227">
        <v>32817.380362011587</v>
      </c>
      <c r="M66" s="154" t="s">
        <v>2731</v>
      </c>
      <c r="N66" s="227">
        <f t="shared" si="12"/>
        <v>0</v>
      </c>
      <c r="O66" s="152">
        <f t="shared" si="13"/>
        <v>1011161.6039999999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3294</v>
      </c>
      <c r="I67" s="152"/>
      <c r="J67" s="157"/>
      <c r="K67" s="157">
        <v>5800361483</v>
      </c>
      <c r="L67" s="227">
        <v>3589.15563798841</v>
      </c>
      <c r="M67" s="154" t="s">
        <v>2732</v>
      </c>
      <c r="N67" s="227">
        <f>C11+G13+N66-I67-L67</f>
        <v>347937.99036201154</v>
      </c>
      <c r="O67" s="152">
        <f t="shared" si="13"/>
        <v>1007572.4483620116</v>
      </c>
    </row>
    <row r="68" spans="1:15" x14ac:dyDescent="0.15">
      <c r="A68" s="154"/>
      <c r="B68" s="151"/>
      <c r="C68" s="152"/>
      <c r="D68" s="323" t="s">
        <v>3298</v>
      </c>
      <c r="E68" s="154" t="s">
        <v>72</v>
      </c>
      <c r="F68" s="157" t="s">
        <v>3347</v>
      </c>
      <c r="G68" s="152">
        <v>263857.63</v>
      </c>
      <c r="H68" s="323" t="s">
        <v>3298</v>
      </c>
      <c r="I68" s="152">
        <v>16457.98</v>
      </c>
      <c r="J68" s="157" t="s">
        <v>2732</v>
      </c>
      <c r="K68" s="157">
        <v>5800361483</v>
      </c>
      <c r="L68" s="227">
        <v>13630.942999999999</v>
      </c>
      <c r="M68" s="157" t="s">
        <v>2732</v>
      </c>
      <c r="N68" s="227">
        <f t="shared" si="12"/>
        <v>317849.06736201153</v>
      </c>
      <c r="O68" s="152">
        <f t="shared" si="13"/>
        <v>1241341.1553620116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3298</v>
      </c>
      <c r="I69" s="152"/>
      <c r="J69" s="157"/>
      <c r="K69" s="157">
        <v>5800361483</v>
      </c>
      <c r="L69" s="227">
        <v>15092.867</v>
      </c>
      <c r="M69" s="157" t="s">
        <v>2732</v>
      </c>
      <c r="N69" s="227">
        <f t="shared" si="12"/>
        <v>302756.2003620115</v>
      </c>
      <c r="O69" s="152">
        <f t="shared" si="13"/>
        <v>1226248.2883620115</v>
      </c>
    </row>
    <row r="70" spans="1:15" x14ac:dyDescent="0.15">
      <c r="A70" s="154"/>
      <c r="B70" s="151"/>
      <c r="C70" s="152"/>
      <c r="D70" s="323"/>
      <c r="E70" s="154"/>
      <c r="F70" s="157"/>
      <c r="G70" s="152"/>
      <c r="H70" s="323" t="s">
        <v>3298</v>
      </c>
      <c r="I70" s="152"/>
      <c r="J70" s="157"/>
      <c r="K70" s="157">
        <v>5800361483</v>
      </c>
      <c r="L70" s="227">
        <v>12747.78</v>
      </c>
      <c r="M70" s="157" t="s">
        <v>2732</v>
      </c>
      <c r="N70" s="227">
        <f t="shared" si="12"/>
        <v>290008.42036201147</v>
      </c>
      <c r="O70" s="152">
        <f t="shared" si="13"/>
        <v>1213500.5083620115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3298</v>
      </c>
      <c r="I71" s="152"/>
      <c r="J71" s="157"/>
      <c r="K71" s="157">
        <v>5800361483</v>
      </c>
      <c r="L71" s="227">
        <v>17096.505000000001</v>
      </c>
      <c r="M71" s="157" t="s">
        <v>2732</v>
      </c>
      <c r="N71" s="227">
        <f t="shared" si="6"/>
        <v>272911.91536201147</v>
      </c>
      <c r="O71" s="152">
        <f t="shared" si="7"/>
        <v>1196404.0033620116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3298</v>
      </c>
      <c r="I72" s="152"/>
      <c r="J72" s="157"/>
      <c r="K72" s="157">
        <v>5800361483</v>
      </c>
      <c r="L72" s="227">
        <v>13545.831</v>
      </c>
      <c r="M72" s="157" t="s">
        <v>2732</v>
      </c>
      <c r="N72" s="227">
        <f t="shared" si="6"/>
        <v>259366.08436201146</v>
      </c>
      <c r="O72" s="152">
        <f t="shared" si="7"/>
        <v>1182858.1723620116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3298</v>
      </c>
      <c r="I73" s="152"/>
      <c r="J73" s="157"/>
      <c r="K73" s="157">
        <v>5800361483</v>
      </c>
      <c r="L73" s="227">
        <v>16249.388999999999</v>
      </c>
      <c r="M73" s="157" t="s">
        <v>2732</v>
      </c>
      <c r="N73" s="227">
        <f t="shared" si="6"/>
        <v>243116.69536201147</v>
      </c>
      <c r="O73" s="152">
        <f t="shared" si="7"/>
        <v>1166608.7833620117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3298</v>
      </c>
      <c r="I74" s="152"/>
      <c r="J74" s="157"/>
      <c r="K74" s="157">
        <v>5800361483</v>
      </c>
      <c r="L74" s="227">
        <v>8878.6869999999999</v>
      </c>
      <c r="M74" s="157" t="s">
        <v>2732</v>
      </c>
      <c r="N74" s="227">
        <f t="shared" si="6"/>
        <v>234238.00836201146</v>
      </c>
      <c r="O74" s="152">
        <f t="shared" si="7"/>
        <v>1157730.0963620117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3298</v>
      </c>
      <c r="I75" s="152"/>
      <c r="J75" s="157"/>
      <c r="K75" s="157">
        <v>5800361483</v>
      </c>
      <c r="L75" s="227">
        <v>9804.9060000000009</v>
      </c>
      <c r="M75" s="157" t="s">
        <v>2732</v>
      </c>
      <c r="N75" s="227">
        <f t="shared" si="6"/>
        <v>224433.10236201147</v>
      </c>
      <c r="O75" s="152">
        <f t="shared" si="7"/>
        <v>1147925.1903620118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3298</v>
      </c>
      <c r="I76" s="152"/>
      <c r="J76" s="157"/>
      <c r="K76" s="157">
        <v>5800361483</v>
      </c>
      <c r="L76" s="227">
        <v>3022.9789999999998</v>
      </c>
      <c r="M76" s="157" t="s">
        <v>2732</v>
      </c>
      <c r="N76" s="227">
        <f t="shared" si="6"/>
        <v>221410.12336201148</v>
      </c>
      <c r="O76" s="152">
        <f t="shared" si="7"/>
        <v>1144902.2113620117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3298</v>
      </c>
      <c r="I77" s="152"/>
      <c r="J77" s="157"/>
      <c r="K77" s="157">
        <v>5800361483</v>
      </c>
      <c r="L77" s="227">
        <v>3640.8919999999998</v>
      </c>
      <c r="M77" s="157" t="s">
        <v>2732</v>
      </c>
      <c r="N77" s="227">
        <f t="shared" si="6"/>
        <v>217769.23136201149</v>
      </c>
      <c r="O77" s="152">
        <f t="shared" si="7"/>
        <v>1141261.3193620117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3298</v>
      </c>
      <c r="I78" s="152"/>
      <c r="J78" s="157"/>
      <c r="K78" s="157">
        <v>5800361483</v>
      </c>
      <c r="L78" s="227">
        <v>14313.645</v>
      </c>
      <c r="M78" s="157" t="s">
        <v>2732</v>
      </c>
      <c r="N78" s="227">
        <f t="shared" si="6"/>
        <v>203455.5863620115</v>
      </c>
      <c r="O78" s="152">
        <f t="shared" si="7"/>
        <v>1126947.6743620117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3298</v>
      </c>
      <c r="I79" s="152"/>
      <c r="J79" s="157"/>
      <c r="K79" s="157">
        <v>5800361483</v>
      </c>
      <c r="L79" s="227">
        <v>3889.817</v>
      </c>
      <c r="M79" s="157" t="s">
        <v>2732</v>
      </c>
      <c r="N79" s="227">
        <f t="shared" si="6"/>
        <v>199565.76936201149</v>
      </c>
      <c r="O79" s="152">
        <f t="shared" si="7"/>
        <v>1123057.8573620117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3298</v>
      </c>
      <c r="I80" s="152"/>
      <c r="J80" s="157"/>
      <c r="K80" s="157">
        <v>5800361483</v>
      </c>
      <c r="L80" s="227">
        <v>7100.84</v>
      </c>
      <c r="M80" s="157" t="s">
        <v>2732</v>
      </c>
      <c r="N80" s="227">
        <f t="shared" si="6"/>
        <v>192464.92936201149</v>
      </c>
      <c r="O80" s="152">
        <f t="shared" si="7"/>
        <v>1115957.0173620116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3298</v>
      </c>
      <c r="I81" s="152"/>
      <c r="J81" s="157"/>
      <c r="K81" s="157">
        <v>5800361483</v>
      </c>
      <c r="L81" s="227">
        <v>19739.993999999999</v>
      </c>
      <c r="M81" s="157" t="s">
        <v>2732</v>
      </c>
      <c r="N81" s="227">
        <f t="shared" si="6"/>
        <v>172724.93536201149</v>
      </c>
      <c r="O81" s="152">
        <f t="shared" si="7"/>
        <v>1096217.0233620116</v>
      </c>
    </row>
    <row r="82" spans="1:15" x14ac:dyDescent="0.15">
      <c r="A82" s="154"/>
      <c r="B82" s="151"/>
      <c r="C82" s="152"/>
      <c r="D82" s="323"/>
      <c r="E82" s="154"/>
      <c r="F82" s="157"/>
      <c r="G82" s="152"/>
      <c r="H82" s="323" t="s">
        <v>3298</v>
      </c>
      <c r="I82" s="152"/>
      <c r="J82" s="157"/>
      <c r="K82" s="157">
        <v>5800361483</v>
      </c>
      <c r="L82" s="227">
        <v>14304.647999999999</v>
      </c>
      <c r="M82" s="157" t="s">
        <v>2732</v>
      </c>
      <c r="N82" s="227">
        <f t="shared" si="6"/>
        <v>158420.2873620115</v>
      </c>
      <c r="O82" s="152">
        <f t="shared" si="7"/>
        <v>1081912.3753620116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3298</v>
      </c>
      <c r="I83" s="152"/>
      <c r="J83" s="157"/>
      <c r="K83" s="157">
        <v>5800361483</v>
      </c>
      <c r="L83" s="227">
        <v>14775.504000000001</v>
      </c>
      <c r="M83" s="157" t="s">
        <v>2732</v>
      </c>
      <c r="N83" s="227">
        <f t="shared" ref="N83:N149" si="14">+N82-I83-L83</f>
        <v>143644.78336201148</v>
      </c>
      <c r="O83" s="152">
        <f t="shared" ref="O83:O149" si="15">O82+G83-I83-L83</f>
        <v>1067136.8713620116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3298</v>
      </c>
      <c r="I84" s="152"/>
      <c r="J84" s="157"/>
      <c r="K84" s="157">
        <v>5800361483</v>
      </c>
      <c r="L84" s="227">
        <v>1317.7349999999999</v>
      </c>
      <c r="M84" s="157" t="s">
        <v>2732</v>
      </c>
      <c r="N84" s="227">
        <f t="shared" si="14"/>
        <v>142327.0483620115</v>
      </c>
      <c r="O84" s="152">
        <f t="shared" si="15"/>
        <v>1065819.1363620115</v>
      </c>
    </row>
    <row r="85" spans="1:15" x14ac:dyDescent="0.15">
      <c r="A85" s="154"/>
      <c r="B85" s="151"/>
      <c r="C85" s="152"/>
      <c r="D85" s="323" t="s">
        <v>3302</v>
      </c>
      <c r="E85" s="154" t="s">
        <v>72</v>
      </c>
      <c r="F85" s="157" t="s">
        <v>3347</v>
      </c>
      <c r="G85" s="152">
        <v>43944.017000000225</v>
      </c>
      <c r="H85" s="323" t="s">
        <v>3302</v>
      </c>
      <c r="I85" s="152">
        <v>11688.178</v>
      </c>
      <c r="J85" s="157" t="s">
        <v>2732</v>
      </c>
      <c r="K85" s="157">
        <v>5800361483</v>
      </c>
      <c r="L85" s="227">
        <v>12949.687</v>
      </c>
      <c r="M85" s="157" t="s">
        <v>2732</v>
      </c>
      <c r="N85" s="227">
        <f t="shared" si="14"/>
        <v>117689.18336201149</v>
      </c>
      <c r="O85" s="152">
        <f t="shared" si="15"/>
        <v>1085125.2883620118</v>
      </c>
    </row>
    <row r="86" spans="1:15" x14ac:dyDescent="0.15">
      <c r="A86" s="154"/>
      <c r="B86" s="151"/>
      <c r="C86" s="152"/>
      <c r="D86" s="323" t="s">
        <v>3302</v>
      </c>
      <c r="E86" s="154" t="s">
        <v>72</v>
      </c>
      <c r="F86" s="157" t="s">
        <v>3348</v>
      </c>
      <c r="G86" s="152">
        <v>219879.82</v>
      </c>
      <c r="H86" s="323" t="s">
        <v>3302</v>
      </c>
      <c r="I86" s="152"/>
      <c r="J86" s="157"/>
      <c r="K86" s="157">
        <v>5800361483</v>
      </c>
      <c r="L86" s="227">
        <v>14503.53</v>
      </c>
      <c r="M86" s="157" t="s">
        <v>2732</v>
      </c>
      <c r="N86" s="227">
        <f t="shared" si="14"/>
        <v>103185.65336201149</v>
      </c>
      <c r="O86" s="152">
        <f t="shared" si="15"/>
        <v>1290501.5783620118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3302</v>
      </c>
      <c r="I87" s="152"/>
      <c r="J87" s="157"/>
      <c r="K87" s="157">
        <v>5800361483</v>
      </c>
      <c r="L87" s="227">
        <v>16215.356</v>
      </c>
      <c r="M87" s="157" t="s">
        <v>2732</v>
      </c>
      <c r="N87" s="227">
        <f t="shared" si="14"/>
        <v>86970.297362011494</v>
      </c>
      <c r="O87" s="152">
        <f t="shared" si="15"/>
        <v>1274286.2223620119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3302</v>
      </c>
      <c r="I88" s="152"/>
      <c r="J88" s="157"/>
      <c r="K88" s="157">
        <v>5800361483</v>
      </c>
      <c r="L88" s="227">
        <v>14054.575000000001</v>
      </c>
      <c r="M88" s="157" t="s">
        <v>2732</v>
      </c>
      <c r="N88" s="227">
        <f t="shared" si="14"/>
        <v>72915.722362011496</v>
      </c>
      <c r="O88" s="152">
        <f t="shared" si="15"/>
        <v>1260231.647362012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3302</v>
      </c>
      <c r="I89" s="152"/>
      <c r="J89" s="157"/>
      <c r="K89" s="157">
        <v>5800361483</v>
      </c>
      <c r="L89" s="227">
        <v>14385.541999999999</v>
      </c>
      <c r="M89" s="157" t="s">
        <v>2732</v>
      </c>
      <c r="N89" s="227">
        <f t="shared" si="14"/>
        <v>58530.180362011495</v>
      </c>
      <c r="O89" s="152">
        <f t="shared" si="15"/>
        <v>1245846.1053620121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3302</v>
      </c>
      <c r="I90" s="152"/>
      <c r="J90" s="157"/>
      <c r="K90" s="157">
        <v>5800361483</v>
      </c>
      <c r="L90" s="227">
        <v>9896.9969999999994</v>
      </c>
      <c r="M90" s="157" t="s">
        <v>2732</v>
      </c>
      <c r="N90" s="227">
        <f t="shared" si="14"/>
        <v>48633.183362011492</v>
      </c>
      <c r="O90" s="152">
        <f t="shared" si="15"/>
        <v>1235949.1083620121</v>
      </c>
    </row>
    <row r="91" spans="1:15" x14ac:dyDescent="0.15">
      <c r="A91" s="154"/>
      <c r="B91" s="151"/>
      <c r="C91" s="152"/>
      <c r="D91" s="323"/>
      <c r="E91" s="154"/>
      <c r="F91" s="157"/>
      <c r="G91" s="152"/>
      <c r="H91" s="323" t="s">
        <v>3302</v>
      </c>
      <c r="I91" s="152"/>
      <c r="J91" s="157"/>
      <c r="K91" s="157">
        <v>5800361483</v>
      </c>
      <c r="L91" s="227">
        <v>14215.233</v>
      </c>
      <c r="M91" s="157" t="s">
        <v>2732</v>
      </c>
      <c r="N91" s="227">
        <f t="shared" si="14"/>
        <v>34417.950362011492</v>
      </c>
      <c r="O91" s="152">
        <f t="shared" si="15"/>
        <v>1221733.8753620121</v>
      </c>
    </row>
    <row r="92" spans="1:15" x14ac:dyDescent="0.15">
      <c r="A92" s="154"/>
      <c r="B92" s="151"/>
      <c r="C92" s="152"/>
      <c r="D92" s="323"/>
      <c r="E92" s="154"/>
      <c r="F92" s="157"/>
      <c r="G92" s="152"/>
      <c r="H92" s="323" t="s">
        <v>3302</v>
      </c>
      <c r="I92" s="152"/>
      <c r="J92" s="157"/>
      <c r="K92" s="157">
        <v>5800361483</v>
      </c>
      <c r="L92" s="227">
        <v>9719.0570000000007</v>
      </c>
      <c r="M92" s="157" t="s">
        <v>2732</v>
      </c>
      <c r="N92" s="227">
        <f t="shared" si="14"/>
        <v>24698.893362011491</v>
      </c>
      <c r="O92" s="152">
        <f t="shared" si="15"/>
        <v>1212014.818362012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3302</v>
      </c>
      <c r="I93" s="152"/>
      <c r="J93" s="157"/>
      <c r="K93" s="157">
        <v>5800361483</v>
      </c>
      <c r="L93" s="227">
        <v>14616.071</v>
      </c>
      <c r="M93" s="157" t="s">
        <v>2732</v>
      </c>
      <c r="N93" s="227">
        <f t="shared" si="14"/>
        <v>10082.822362011491</v>
      </c>
      <c r="O93" s="152">
        <f t="shared" si="15"/>
        <v>1197398.747362012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3302</v>
      </c>
      <c r="I94" s="152"/>
      <c r="J94" s="157"/>
      <c r="K94" s="157">
        <v>5800361483</v>
      </c>
      <c r="L94" s="227">
        <v>10082.822362011491</v>
      </c>
      <c r="M94" s="157" t="s">
        <v>2732</v>
      </c>
      <c r="N94" s="227">
        <f t="shared" ref="N94:N98" si="16">+N93-I94-L94</f>
        <v>0</v>
      </c>
      <c r="O94" s="152">
        <f t="shared" ref="O94:O98" si="17">O93+G94-I94-L94</f>
        <v>1187315.9250000005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3302</v>
      </c>
      <c r="I95" s="152"/>
      <c r="J95" s="157"/>
      <c r="K95" s="157">
        <v>5800361483</v>
      </c>
      <c r="L95" s="227">
        <v>2995.87163798851</v>
      </c>
      <c r="M95" s="157" t="s">
        <v>3345</v>
      </c>
      <c r="N95" s="227">
        <f>G14+G28+N94-I95-L95</f>
        <v>216906.81136201156</v>
      </c>
      <c r="O95" s="152">
        <f t="shared" si="17"/>
        <v>1184320.0533620119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3302</v>
      </c>
      <c r="I96" s="152"/>
      <c r="J96" s="157"/>
      <c r="K96" s="157">
        <v>5800361483</v>
      </c>
      <c r="L96" s="227">
        <v>15504.71</v>
      </c>
      <c r="M96" s="157" t="s">
        <v>3345</v>
      </c>
      <c r="N96" s="227">
        <f t="shared" si="16"/>
        <v>201402.10136201157</v>
      </c>
      <c r="O96" s="152">
        <f t="shared" si="17"/>
        <v>1168815.3433620119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3302</v>
      </c>
      <c r="I97" s="152"/>
      <c r="J97" s="157"/>
      <c r="K97" s="157">
        <v>5800361483</v>
      </c>
      <c r="L97" s="227">
        <v>37902.624000000003</v>
      </c>
      <c r="M97" s="157" t="s">
        <v>3345</v>
      </c>
      <c r="N97" s="227">
        <f t="shared" si="16"/>
        <v>163499.47736201156</v>
      </c>
      <c r="O97" s="152">
        <f t="shared" si="17"/>
        <v>1130912.7193620119</v>
      </c>
    </row>
    <row r="98" spans="1:15" x14ac:dyDescent="0.15">
      <c r="A98" s="154"/>
      <c r="B98" s="151"/>
      <c r="C98" s="152"/>
      <c r="D98" s="323" t="s">
        <v>3303</v>
      </c>
      <c r="E98" s="154" t="s">
        <v>72</v>
      </c>
      <c r="F98" s="157" t="s">
        <v>3348</v>
      </c>
      <c r="G98" s="152">
        <v>263963.55499999999</v>
      </c>
      <c r="H98" s="323" t="s">
        <v>3303</v>
      </c>
      <c r="I98" s="152">
        <v>14557.521000000001</v>
      </c>
      <c r="J98" s="157" t="s">
        <v>3345</v>
      </c>
      <c r="K98" s="157">
        <v>5800361483</v>
      </c>
      <c r="L98" s="227">
        <v>14161.434999999999</v>
      </c>
      <c r="M98" s="157" t="s">
        <v>3345</v>
      </c>
      <c r="N98" s="227">
        <f t="shared" si="16"/>
        <v>134780.52136201155</v>
      </c>
      <c r="O98" s="152">
        <f t="shared" si="17"/>
        <v>1366157.3183620118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3303</v>
      </c>
      <c r="I99" s="152"/>
      <c r="J99" s="157"/>
      <c r="K99" s="157">
        <v>5800361483</v>
      </c>
      <c r="L99" s="227">
        <v>14034.423000000001</v>
      </c>
      <c r="M99" s="157" t="s">
        <v>3345</v>
      </c>
      <c r="N99" s="227">
        <f t="shared" si="14"/>
        <v>120746.09836201156</v>
      </c>
      <c r="O99" s="152">
        <f t="shared" si="15"/>
        <v>1352122.8953620119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3303</v>
      </c>
      <c r="I100" s="152"/>
      <c r="J100" s="154"/>
      <c r="K100" s="157">
        <v>5800361483</v>
      </c>
      <c r="L100" s="227">
        <v>15366.558000000001</v>
      </c>
      <c r="M100" s="157" t="s">
        <v>3345</v>
      </c>
      <c r="N100" s="227">
        <f t="shared" si="14"/>
        <v>105379.54036201155</v>
      </c>
      <c r="O100" s="152">
        <f t="shared" si="15"/>
        <v>1336756.3373620119</v>
      </c>
    </row>
    <row r="101" spans="1:15" x14ac:dyDescent="0.15">
      <c r="A101" s="154"/>
      <c r="B101" s="151"/>
      <c r="C101" s="152"/>
      <c r="D101" s="323"/>
      <c r="E101" s="154"/>
      <c r="F101" s="157"/>
      <c r="G101" s="152"/>
      <c r="H101" s="323" t="s">
        <v>3303</v>
      </c>
      <c r="I101" s="152"/>
      <c r="J101" s="154"/>
      <c r="K101" s="157">
        <v>5800361483</v>
      </c>
      <c r="L101" s="227">
        <v>2017.2049999999999</v>
      </c>
      <c r="M101" s="157" t="s">
        <v>3345</v>
      </c>
      <c r="N101" s="227">
        <f t="shared" si="14"/>
        <v>103362.33536201155</v>
      </c>
      <c r="O101" s="152">
        <f t="shared" si="15"/>
        <v>1334739.1323620118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3303</v>
      </c>
      <c r="I102" s="152"/>
      <c r="J102" s="154"/>
      <c r="K102" s="157">
        <v>5800361483</v>
      </c>
      <c r="L102" s="227">
        <v>17881.812999999998</v>
      </c>
      <c r="M102" s="157" t="s">
        <v>3345</v>
      </c>
      <c r="N102" s="227">
        <f t="shared" si="14"/>
        <v>85480.522362011558</v>
      </c>
      <c r="O102" s="152">
        <f t="shared" si="15"/>
        <v>1316857.3193620117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3303</v>
      </c>
      <c r="I103" s="152"/>
      <c r="J103" s="157"/>
      <c r="K103" s="157">
        <v>5800361483</v>
      </c>
      <c r="L103" s="227">
        <v>12644.281999999999</v>
      </c>
      <c r="M103" s="157" t="s">
        <v>3345</v>
      </c>
      <c r="N103" s="227">
        <f t="shared" si="14"/>
        <v>72836.240362011566</v>
      </c>
      <c r="O103" s="152">
        <f t="shared" si="15"/>
        <v>1304213.0373620118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3303</v>
      </c>
      <c r="I104" s="152"/>
      <c r="J104" s="154"/>
      <c r="K104" s="157">
        <v>5800361483</v>
      </c>
      <c r="L104" s="227">
        <v>16187.641</v>
      </c>
      <c r="M104" s="157" t="s">
        <v>3345</v>
      </c>
      <c r="N104" s="227">
        <f t="shared" si="14"/>
        <v>56648.599362011562</v>
      </c>
      <c r="O104" s="152">
        <f t="shared" si="15"/>
        <v>1288025.3963620118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3303</v>
      </c>
      <c r="I105" s="152"/>
      <c r="J105" s="157"/>
      <c r="K105" s="157">
        <v>5800361483</v>
      </c>
      <c r="L105" s="227">
        <v>9075.92</v>
      </c>
      <c r="M105" s="157" t="s">
        <v>3345</v>
      </c>
      <c r="N105" s="227">
        <f t="shared" si="14"/>
        <v>47572.679362011564</v>
      </c>
      <c r="O105" s="152">
        <f t="shared" si="15"/>
        <v>1278949.4763620119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3303</v>
      </c>
      <c r="I106" s="152"/>
      <c r="J106" s="157"/>
      <c r="K106" s="157">
        <v>5800361483</v>
      </c>
      <c r="L106" s="227">
        <v>2054.2080000000001</v>
      </c>
      <c r="M106" s="157" t="s">
        <v>3345</v>
      </c>
      <c r="N106" s="227">
        <f t="shared" si="14"/>
        <v>45518.471362011565</v>
      </c>
      <c r="O106" s="152">
        <f t="shared" si="15"/>
        <v>1276895.2683620118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3303</v>
      </c>
      <c r="I107" s="152"/>
      <c r="J107" s="157"/>
      <c r="K107" s="157">
        <v>5800361483</v>
      </c>
      <c r="L107" s="227">
        <v>741.774</v>
      </c>
      <c r="M107" s="157" t="s">
        <v>3345</v>
      </c>
      <c r="N107" s="227">
        <f t="shared" si="14"/>
        <v>44776.697362011568</v>
      </c>
      <c r="O107" s="152">
        <f t="shared" si="15"/>
        <v>1276153.4943620118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3303</v>
      </c>
      <c r="I108" s="152"/>
      <c r="J108" s="157"/>
      <c r="K108" s="157">
        <v>5800361483</v>
      </c>
      <c r="L108" s="227">
        <v>11770.42</v>
      </c>
      <c r="M108" s="157" t="s">
        <v>3345</v>
      </c>
      <c r="N108" s="227">
        <f t="shared" si="14"/>
        <v>33006.277362011569</v>
      </c>
      <c r="O108" s="152">
        <f t="shared" si="15"/>
        <v>1264383.0743620119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3303</v>
      </c>
      <c r="I109" s="152"/>
      <c r="J109" s="154"/>
      <c r="K109" s="157">
        <v>5800361483</v>
      </c>
      <c r="L109" s="227">
        <v>8521.4079999999994</v>
      </c>
      <c r="M109" s="157" t="s">
        <v>3345</v>
      </c>
      <c r="N109" s="227">
        <f t="shared" si="14"/>
        <v>24484.86936201157</v>
      </c>
      <c r="O109" s="152">
        <f t="shared" si="15"/>
        <v>1255861.6663620118</v>
      </c>
    </row>
    <row r="110" spans="1:15" x14ac:dyDescent="0.15">
      <c r="A110" s="154"/>
      <c r="B110" s="151"/>
      <c r="C110" s="152"/>
      <c r="D110" s="323"/>
      <c r="E110" s="154"/>
      <c r="F110" s="157"/>
      <c r="G110" s="152"/>
      <c r="H110" s="323" t="s">
        <v>3303</v>
      </c>
      <c r="I110" s="152"/>
      <c r="J110" s="154"/>
      <c r="K110" s="157">
        <v>5800361483</v>
      </c>
      <c r="L110" s="227">
        <v>15473.293</v>
      </c>
      <c r="M110" s="157" t="s">
        <v>3345</v>
      </c>
      <c r="N110" s="227">
        <f t="shared" si="14"/>
        <v>9011.5763620115704</v>
      </c>
      <c r="O110" s="152">
        <f t="shared" si="15"/>
        <v>1240388.3733620117</v>
      </c>
    </row>
    <row r="111" spans="1:15" x14ac:dyDescent="0.15">
      <c r="A111" s="154"/>
      <c r="B111" s="151"/>
      <c r="C111" s="152"/>
      <c r="D111" s="323"/>
      <c r="E111" s="154"/>
      <c r="F111" s="157"/>
      <c r="G111" s="152"/>
      <c r="H111" s="323" t="s">
        <v>3303</v>
      </c>
      <c r="I111" s="152"/>
      <c r="J111" s="157"/>
      <c r="K111" s="157">
        <v>5800361483</v>
      </c>
      <c r="L111" s="227">
        <v>9011.5763620115704</v>
      </c>
      <c r="M111" s="157" t="s">
        <v>3345</v>
      </c>
      <c r="N111" s="227">
        <f t="shared" ref="N111:N114" si="18">+N110-I111-L111</f>
        <v>0</v>
      </c>
      <c r="O111" s="152">
        <f t="shared" ref="O111:O114" si="19">O110+G111-I111-L111</f>
        <v>1231376.7970000003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3303</v>
      </c>
      <c r="I112" s="152"/>
      <c r="J112" s="157"/>
      <c r="K112" s="157">
        <v>5800361483</v>
      </c>
      <c r="L112" s="227">
        <v>7518.3956379884303</v>
      </c>
      <c r="M112" s="157" t="s">
        <v>3346</v>
      </c>
      <c r="N112" s="227">
        <f>G39+G51+N111-I112-L112</f>
        <v>394012.88236201077</v>
      </c>
      <c r="O112" s="152">
        <f t="shared" si="19"/>
        <v>1223858.4013620119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3303</v>
      </c>
      <c r="I113" s="152"/>
      <c r="J113" s="154"/>
      <c r="K113" s="157">
        <v>5800361483</v>
      </c>
      <c r="L113" s="227">
        <v>12930.066999999999</v>
      </c>
      <c r="M113" s="157" t="s">
        <v>3346</v>
      </c>
      <c r="N113" s="227">
        <f t="shared" si="18"/>
        <v>381082.81536201079</v>
      </c>
      <c r="O113" s="152">
        <f t="shared" si="19"/>
        <v>1210928.3343620119</v>
      </c>
    </row>
    <row r="114" spans="1:15" x14ac:dyDescent="0.15">
      <c r="A114" s="154"/>
      <c r="B114" s="151"/>
      <c r="C114" s="152"/>
      <c r="D114" s="323" t="s">
        <v>3305</v>
      </c>
      <c r="E114" s="154" t="s">
        <v>72</v>
      </c>
      <c r="F114" s="157" t="s">
        <v>3348</v>
      </c>
      <c r="G114" s="152">
        <v>30436.178999999189</v>
      </c>
      <c r="H114" s="323" t="s">
        <v>3305</v>
      </c>
      <c r="I114" s="152">
        <v>13434.848</v>
      </c>
      <c r="J114" s="157" t="s">
        <v>3346</v>
      </c>
      <c r="K114" s="157">
        <v>5800361483</v>
      </c>
      <c r="L114" s="227">
        <v>13513.789000000001</v>
      </c>
      <c r="M114" s="157" t="s">
        <v>3346</v>
      </c>
      <c r="N114" s="227">
        <f t="shared" si="18"/>
        <v>354134.1783620108</v>
      </c>
      <c r="O114" s="152">
        <f t="shared" si="19"/>
        <v>1214415.8763620108</v>
      </c>
    </row>
    <row r="115" spans="1:15" x14ac:dyDescent="0.15">
      <c r="A115" s="154"/>
      <c r="B115" s="151"/>
      <c r="C115" s="152"/>
      <c r="D115" s="323" t="s">
        <v>3305</v>
      </c>
      <c r="E115" s="154" t="s">
        <v>72</v>
      </c>
      <c r="F115" s="157" t="s">
        <v>3349</v>
      </c>
      <c r="G115" s="152">
        <v>233488.401000001</v>
      </c>
      <c r="H115" s="323" t="s">
        <v>3305</v>
      </c>
      <c r="I115" s="152"/>
      <c r="J115" s="154"/>
      <c r="K115" s="157">
        <v>5800361483</v>
      </c>
      <c r="L115" s="227">
        <v>13805.172</v>
      </c>
      <c r="M115" s="157" t="s">
        <v>3346</v>
      </c>
      <c r="N115" s="227">
        <f t="shared" si="14"/>
        <v>340329.00636201078</v>
      </c>
      <c r="O115" s="152">
        <f t="shared" si="15"/>
        <v>1434099.1053620118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3305</v>
      </c>
      <c r="I116" s="152"/>
      <c r="J116" s="154"/>
      <c r="K116" s="157">
        <v>5800361483</v>
      </c>
      <c r="L116" s="227">
        <v>14349.888999999999</v>
      </c>
      <c r="M116" s="157" t="s">
        <v>3346</v>
      </c>
      <c r="N116" s="227">
        <f t="shared" si="14"/>
        <v>325979.11736201076</v>
      </c>
      <c r="O116" s="152">
        <f t="shared" si="15"/>
        <v>1419749.2163620119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3305</v>
      </c>
      <c r="I117" s="152"/>
      <c r="J117" s="154"/>
      <c r="K117" s="157">
        <v>5800361483</v>
      </c>
      <c r="L117" s="227">
        <v>16276.424999999999</v>
      </c>
      <c r="M117" s="157" t="s">
        <v>3346</v>
      </c>
      <c r="N117" s="227">
        <f t="shared" si="14"/>
        <v>309702.69236201077</v>
      </c>
      <c r="O117" s="152">
        <f t="shared" si="15"/>
        <v>1403472.7913620118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3305</v>
      </c>
      <c r="I118" s="152"/>
      <c r="J118" s="154"/>
      <c r="K118" s="157">
        <v>5800361483</v>
      </c>
      <c r="L118" s="227">
        <v>14232.735000000001</v>
      </c>
      <c r="M118" s="157" t="s">
        <v>3346</v>
      </c>
      <c r="N118" s="227">
        <f t="shared" si="14"/>
        <v>295469.95736201078</v>
      </c>
      <c r="O118" s="152">
        <f t="shared" si="15"/>
        <v>1389240.0563620117</v>
      </c>
    </row>
    <row r="119" spans="1:15" x14ac:dyDescent="0.15">
      <c r="A119" s="154"/>
      <c r="B119" s="151"/>
      <c r="C119" s="152"/>
      <c r="D119" s="323"/>
      <c r="E119" s="154"/>
      <c r="F119" s="157"/>
      <c r="G119" s="152"/>
      <c r="H119" s="323" t="s">
        <v>3305</v>
      </c>
      <c r="I119" s="152"/>
      <c r="J119" s="154"/>
      <c r="K119" s="157">
        <v>5800361483</v>
      </c>
      <c r="L119" s="227">
        <v>13628.94</v>
      </c>
      <c r="M119" s="157" t="s">
        <v>3346</v>
      </c>
      <c r="N119" s="227">
        <f t="shared" si="14"/>
        <v>281841.01736201078</v>
      </c>
      <c r="O119" s="152">
        <f t="shared" si="15"/>
        <v>1375611.1163620118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3305</v>
      </c>
      <c r="I120" s="152"/>
      <c r="J120" s="154"/>
      <c r="K120" s="157">
        <v>5800361483</v>
      </c>
      <c r="L120" s="227">
        <v>12015.816999999999</v>
      </c>
      <c r="M120" s="157" t="s">
        <v>3346</v>
      </c>
      <c r="N120" s="227">
        <f t="shared" si="14"/>
        <v>269825.2003620108</v>
      </c>
      <c r="O120" s="152">
        <f t="shared" si="15"/>
        <v>1363595.2993620117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3305</v>
      </c>
      <c r="I121" s="152"/>
      <c r="J121" s="154"/>
      <c r="K121" s="157">
        <v>5800361483</v>
      </c>
      <c r="L121" s="227">
        <v>11487.120999999999</v>
      </c>
      <c r="M121" s="157" t="s">
        <v>3346</v>
      </c>
      <c r="N121" s="227">
        <f t="shared" si="14"/>
        <v>258338.07936201082</v>
      </c>
      <c r="O121" s="152">
        <f t="shared" si="15"/>
        <v>1352108.1783620117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3305</v>
      </c>
      <c r="I122" s="152"/>
      <c r="J122" s="154"/>
      <c r="K122" s="157">
        <v>5800361483</v>
      </c>
      <c r="L122" s="227">
        <v>14976.279</v>
      </c>
      <c r="M122" s="157" t="s">
        <v>3346</v>
      </c>
      <c r="N122" s="227">
        <f t="shared" si="14"/>
        <v>243361.80036201081</v>
      </c>
      <c r="O122" s="152">
        <f t="shared" si="15"/>
        <v>1337131.8993620116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3305</v>
      </c>
      <c r="I123" s="152"/>
      <c r="J123" s="157"/>
      <c r="K123" s="157">
        <v>5800361483</v>
      </c>
      <c r="L123" s="227">
        <v>15223.003000000001</v>
      </c>
      <c r="M123" s="157" t="s">
        <v>3346</v>
      </c>
      <c r="N123" s="227">
        <f t="shared" si="14"/>
        <v>228138.79736201081</v>
      </c>
      <c r="O123" s="152">
        <f t="shared" si="15"/>
        <v>1321908.8963620116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3305</v>
      </c>
      <c r="I124" s="152"/>
      <c r="J124" s="157"/>
      <c r="K124" s="157">
        <v>5800361483</v>
      </c>
      <c r="L124" s="227">
        <v>5219.1729999999998</v>
      </c>
      <c r="M124" s="157" t="s">
        <v>3346</v>
      </c>
      <c r="N124" s="227">
        <f t="shared" si="14"/>
        <v>222919.6243620108</v>
      </c>
      <c r="O124" s="152">
        <f t="shared" si="15"/>
        <v>1316689.7233620116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3305</v>
      </c>
      <c r="I125" s="152"/>
      <c r="J125" s="154"/>
      <c r="K125" s="157">
        <v>5800361483</v>
      </c>
      <c r="L125" s="227">
        <v>19498.23</v>
      </c>
      <c r="M125" s="157" t="s">
        <v>3346</v>
      </c>
      <c r="N125" s="227">
        <f t="shared" si="14"/>
        <v>203421.39436201079</v>
      </c>
      <c r="O125" s="152">
        <f t="shared" si="15"/>
        <v>1297191.4933620116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3305</v>
      </c>
      <c r="I126" s="152"/>
      <c r="J126" s="157"/>
      <c r="K126" s="157">
        <v>5800361483</v>
      </c>
      <c r="L126" s="227">
        <v>38649.847000000002</v>
      </c>
      <c r="M126" s="157" t="s">
        <v>3346</v>
      </c>
      <c r="N126" s="227">
        <f t="shared" si="14"/>
        <v>164771.54736201078</v>
      </c>
      <c r="O126" s="152">
        <f t="shared" si="15"/>
        <v>1258541.6463620116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3305</v>
      </c>
      <c r="I127" s="152"/>
      <c r="J127" s="157"/>
      <c r="K127" s="157">
        <v>5800361483</v>
      </c>
      <c r="L127" s="227">
        <v>14285.05</v>
      </c>
      <c r="M127" s="157" t="s">
        <v>3346</v>
      </c>
      <c r="N127" s="227">
        <f t="shared" si="14"/>
        <v>150486.49736201079</v>
      </c>
      <c r="O127" s="152">
        <f t="shared" si="15"/>
        <v>1244256.5963620115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3305</v>
      </c>
      <c r="I128" s="152"/>
      <c r="J128" s="157"/>
      <c r="K128" s="157">
        <v>5800361483</v>
      </c>
      <c r="L128" s="227">
        <v>15582.602000000001</v>
      </c>
      <c r="M128" s="157" t="s">
        <v>3346</v>
      </c>
      <c r="N128" s="227">
        <f t="shared" si="14"/>
        <v>134903.89536201078</v>
      </c>
      <c r="O128" s="152">
        <f t="shared" si="15"/>
        <v>1228673.9943620116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3308</v>
      </c>
      <c r="I129" s="152">
        <v>6515.34</v>
      </c>
      <c r="J129" s="157" t="s">
        <v>3346</v>
      </c>
      <c r="K129" s="157">
        <v>5800361483</v>
      </c>
      <c r="L129" s="227">
        <v>14236.212</v>
      </c>
      <c r="M129" s="157" t="s">
        <v>3346</v>
      </c>
      <c r="N129" s="227">
        <f t="shared" si="14"/>
        <v>114152.34336201078</v>
      </c>
      <c r="O129" s="152">
        <f t="shared" si="15"/>
        <v>1207922.4423620114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3308</v>
      </c>
      <c r="I130" s="152"/>
      <c r="J130" s="154"/>
      <c r="K130" s="157">
        <v>5800361483</v>
      </c>
      <c r="L130" s="227">
        <v>11963.06</v>
      </c>
      <c r="M130" s="157" t="s">
        <v>3346</v>
      </c>
      <c r="N130" s="227">
        <f t="shared" si="14"/>
        <v>102189.28336201078</v>
      </c>
      <c r="O130" s="152">
        <f t="shared" si="15"/>
        <v>1195959.3823620114</v>
      </c>
    </row>
    <row r="131" spans="1:15" x14ac:dyDescent="0.15">
      <c r="A131" s="154"/>
      <c r="B131" s="151"/>
      <c r="C131" s="152"/>
      <c r="D131" s="323"/>
      <c r="E131" s="154"/>
      <c r="F131" s="157"/>
      <c r="G131" s="152"/>
      <c r="H131" s="323" t="s">
        <v>3308</v>
      </c>
      <c r="I131" s="152"/>
      <c r="J131" s="157"/>
      <c r="K131" s="157">
        <v>5800361483</v>
      </c>
      <c r="L131" s="227">
        <v>17699.967000000001</v>
      </c>
      <c r="M131" s="157" t="s">
        <v>3346</v>
      </c>
      <c r="N131" s="227">
        <f t="shared" si="14"/>
        <v>84489.316362010781</v>
      </c>
      <c r="O131" s="152">
        <f t="shared" si="15"/>
        <v>1178259.4153620114</v>
      </c>
    </row>
    <row r="132" spans="1:15" x14ac:dyDescent="0.15">
      <c r="A132" s="154"/>
      <c r="B132" s="151"/>
      <c r="C132" s="152"/>
      <c r="D132" s="323"/>
      <c r="E132" s="154"/>
      <c r="F132" s="157"/>
      <c r="G132" s="152"/>
      <c r="H132" s="323" t="s">
        <v>3308</v>
      </c>
      <c r="I132" s="152"/>
      <c r="J132" s="157"/>
      <c r="K132" s="157">
        <v>5800361483</v>
      </c>
      <c r="L132" s="227">
        <v>13039.606</v>
      </c>
      <c r="M132" s="157" t="s">
        <v>3346</v>
      </c>
      <c r="N132" s="227">
        <f t="shared" si="14"/>
        <v>71449.710362010781</v>
      </c>
      <c r="O132" s="152">
        <f t="shared" si="15"/>
        <v>1165219.8093620115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3308</v>
      </c>
      <c r="I133" s="152"/>
      <c r="J133" s="157"/>
      <c r="K133" s="157">
        <v>5800361483</v>
      </c>
      <c r="L133" s="227">
        <v>15792</v>
      </c>
      <c r="M133" s="157" t="s">
        <v>3346</v>
      </c>
      <c r="N133" s="227">
        <f t="shared" si="14"/>
        <v>55657.710362010781</v>
      </c>
      <c r="O133" s="152">
        <f t="shared" si="15"/>
        <v>1149427.8093620115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3308</v>
      </c>
      <c r="I134" s="152"/>
      <c r="J134" s="154"/>
      <c r="K134" s="157">
        <v>5800361483</v>
      </c>
      <c r="L134" s="227">
        <v>15547.876</v>
      </c>
      <c r="M134" s="157" t="s">
        <v>3346</v>
      </c>
      <c r="N134" s="227">
        <f t="shared" si="14"/>
        <v>40109.834362010777</v>
      </c>
      <c r="O134" s="152">
        <f t="shared" si="15"/>
        <v>1133879.9333620116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3308</v>
      </c>
      <c r="I135" s="152"/>
      <c r="J135" s="157"/>
      <c r="K135" s="157">
        <v>5800361483</v>
      </c>
      <c r="L135" s="227">
        <v>720.36500000000001</v>
      </c>
      <c r="M135" s="157" t="s">
        <v>3346</v>
      </c>
      <c r="N135" s="227">
        <f t="shared" si="14"/>
        <v>39389.469362010779</v>
      </c>
      <c r="O135" s="152">
        <f t="shared" si="15"/>
        <v>1133159.5683620116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3308</v>
      </c>
      <c r="I136" s="152"/>
      <c r="J136" s="157"/>
      <c r="K136" s="157">
        <v>5800361483</v>
      </c>
      <c r="L136" s="227">
        <v>1831.8140000000001</v>
      </c>
      <c r="M136" s="157" t="s">
        <v>3346</v>
      </c>
      <c r="N136" s="227">
        <f t="shared" ref="N136:N143" si="20">+N135-I136-L136</f>
        <v>37557.655362010781</v>
      </c>
      <c r="O136" s="152">
        <f t="shared" ref="O136:O143" si="21">O135+G136-I136-L136</f>
        <v>1131327.7543620116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3308</v>
      </c>
      <c r="I137" s="152"/>
      <c r="J137" s="157"/>
      <c r="K137" s="157">
        <v>5800361483</v>
      </c>
      <c r="L137" s="227">
        <v>13111.671</v>
      </c>
      <c r="M137" s="157" t="s">
        <v>3346</v>
      </c>
      <c r="N137" s="227">
        <f t="shared" si="20"/>
        <v>24445.984362010779</v>
      </c>
      <c r="O137" s="152">
        <f t="shared" si="21"/>
        <v>1118216.0833620115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3308</v>
      </c>
      <c r="I138" s="152"/>
      <c r="J138" s="157"/>
      <c r="K138" s="157">
        <v>5800361483</v>
      </c>
      <c r="L138" s="227">
        <v>12286.754000000001</v>
      </c>
      <c r="M138" s="157" t="s">
        <v>3346</v>
      </c>
      <c r="N138" s="227">
        <f t="shared" si="20"/>
        <v>12159.230362010778</v>
      </c>
      <c r="O138" s="152">
        <f t="shared" si="21"/>
        <v>1105929.3293620115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3308</v>
      </c>
      <c r="I139" s="152"/>
      <c r="J139" s="154"/>
      <c r="K139" s="157">
        <v>5800361483</v>
      </c>
      <c r="L139" s="227">
        <v>3525.643</v>
      </c>
      <c r="M139" s="157" t="s">
        <v>3346</v>
      </c>
      <c r="N139" s="227">
        <f t="shared" si="20"/>
        <v>8633.5873620107777</v>
      </c>
      <c r="O139" s="152">
        <f t="shared" si="21"/>
        <v>1102403.6863620116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3308</v>
      </c>
      <c r="I140" s="152"/>
      <c r="J140" s="157"/>
      <c r="K140" s="157">
        <v>5800361483</v>
      </c>
      <c r="L140" s="227">
        <v>8633.5873620107777</v>
      </c>
      <c r="M140" s="157" t="s">
        <v>3346</v>
      </c>
      <c r="N140" s="227">
        <f t="shared" si="20"/>
        <v>0</v>
      </c>
      <c r="O140" s="152">
        <f t="shared" si="21"/>
        <v>1093770.0990000009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3308</v>
      </c>
      <c r="I141" s="152"/>
      <c r="J141" s="157"/>
      <c r="K141" s="157">
        <v>5800361483</v>
      </c>
      <c r="L141" s="227">
        <v>5033.0276379892202</v>
      </c>
      <c r="M141" s="157" t="s">
        <v>3347</v>
      </c>
      <c r="N141" s="227">
        <f>G52+G68+G85+N140-I141-L141</f>
        <v>340969.11636201182</v>
      </c>
      <c r="O141" s="152">
        <f t="shared" si="21"/>
        <v>1088737.0713620116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3308</v>
      </c>
      <c r="I142" s="152"/>
      <c r="J142" s="157"/>
      <c r="K142" s="157">
        <v>5800361483</v>
      </c>
      <c r="L142" s="227">
        <v>15528.425999999999</v>
      </c>
      <c r="M142" s="157" t="s">
        <v>3347</v>
      </c>
      <c r="N142" s="227">
        <f t="shared" si="20"/>
        <v>325440.69036201184</v>
      </c>
      <c r="O142" s="152">
        <f t="shared" si="21"/>
        <v>1073208.6453620116</v>
      </c>
    </row>
    <row r="143" spans="1:15" x14ac:dyDescent="0.15">
      <c r="A143" s="154"/>
      <c r="B143" s="151"/>
      <c r="C143" s="152"/>
      <c r="D143" s="323" t="s">
        <v>3310</v>
      </c>
      <c r="E143" s="154" t="s">
        <v>72</v>
      </c>
      <c r="F143" s="157" t="s">
        <v>3350</v>
      </c>
      <c r="G143" s="152">
        <v>131860.905</v>
      </c>
      <c r="H143" s="323" t="s">
        <v>3310</v>
      </c>
      <c r="I143" s="152">
        <v>14572.111000000001</v>
      </c>
      <c r="J143" s="157" t="s">
        <v>3347</v>
      </c>
      <c r="K143" s="157">
        <v>5800361483</v>
      </c>
      <c r="L143" s="227">
        <v>12600.166999999999</v>
      </c>
      <c r="M143" s="157" t="s">
        <v>3347</v>
      </c>
      <c r="N143" s="227">
        <f t="shared" si="20"/>
        <v>298268.41236201185</v>
      </c>
      <c r="O143" s="152">
        <f t="shared" si="21"/>
        <v>1177897.2723620117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3310</v>
      </c>
      <c r="I144" s="152"/>
      <c r="J144" s="157"/>
      <c r="K144" s="157">
        <v>5800361483</v>
      </c>
      <c r="L144" s="227">
        <v>14155.692999999999</v>
      </c>
      <c r="M144" s="157" t="s">
        <v>3347</v>
      </c>
      <c r="N144" s="227">
        <f t="shared" si="14"/>
        <v>284112.71936201188</v>
      </c>
      <c r="O144" s="152">
        <f t="shared" si="15"/>
        <v>1163741.5793620117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3310</v>
      </c>
      <c r="I145" s="152"/>
      <c r="J145" s="157"/>
      <c r="K145" s="157">
        <v>5800361483</v>
      </c>
      <c r="L145" s="227">
        <v>15200.376</v>
      </c>
      <c r="M145" s="157" t="s">
        <v>3347</v>
      </c>
      <c r="N145" s="227">
        <f t="shared" si="14"/>
        <v>268912.34336201189</v>
      </c>
      <c r="O145" s="152">
        <f t="shared" si="15"/>
        <v>1148541.2033620118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3310</v>
      </c>
      <c r="I146" s="152"/>
      <c r="J146" s="157"/>
      <c r="K146" s="157">
        <v>5800361483</v>
      </c>
      <c r="L146" s="227">
        <v>12636.156000000001</v>
      </c>
      <c r="M146" s="157" t="s">
        <v>3347</v>
      </c>
      <c r="N146" s="227">
        <f t="shared" si="14"/>
        <v>256276.1873620119</v>
      </c>
      <c r="O146" s="152">
        <f t="shared" si="15"/>
        <v>1135905.0473620119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3310</v>
      </c>
      <c r="I147" s="152"/>
      <c r="J147" s="157"/>
      <c r="K147" s="157">
        <v>5800361483</v>
      </c>
      <c r="L147" s="227">
        <v>10169.906000000001</v>
      </c>
      <c r="M147" s="157" t="s">
        <v>3347</v>
      </c>
      <c r="N147" s="227">
        <f t="shared" si="14"/>
        <v>246106.28136201191</v>
      </c>
      <c r="O147" s="152">
        <f t="shared" si="15"/>
        <v>1125735.1413620119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3310</v>
      </c>
      <c r="I148" s="152"/>
      <c r="J148" s="157"/>
      <c r="K148" s="157">
        <v>5800361483</v>
      </c>
      <c r="L148" s="227">
        <v>16941.407999999999</v>
      </c>
      <c r="M148" s="157" t="s">
        <v>3347</v>
      </c>
      <c r="N148" s="227">
        <f t="shared" si="14"/>
        <v>229164.87336201192</v>
      </c>
      <c r="O148" s="152">
        <f t="shared" si="15"/>
        <v>1108793.7333620118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3310</v>
      </c>
      <c r="I149" s="152"/>
      <c r="J149" s="157"/>
      <c r="K149" s="157">
        <v>5800361483</v>
      </c>
      <c r="L149" s="227">
        <v>12618.601000000001</v>
      </c>
      <c r="M149" s="157" t="s">
        <v>3347</v>
      </c>
      <c r="N149" s="227">
        <f t="shared" si="14"/>
        <v>216546.27236201192</v>
      </c>
      <c r="O149" s="152">
        <f t="shared" si="15"/>
        <v>1096175.1323620118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3310</v>
      </c>
      <c r="I150" s="152"/>
      <c r="J150" s="157"/>
      <c r="K150" s="157">
        <v>5800361483</v>
      </c>
      <c r="L150" s="227">
        <v>4496.72</v>
      </c>
      <c r="M150" s="157" t="s">
        <v>3347</v>
      </c>
      <c r="N150" s="227">
        <f t="shared" ref="N150:N215" si="22">+N149-I150-L150</f>
        <v>212049.55236201192</v>
      </c>
      <c r="O150" s="152">
        <f t="shared" ref="O150:O215" si="23">O149+G150-I150-L150</f>
        <v>1091678.4123620118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3310</v>
      </c>
      <c r="I151" s="152"/>
      <c r="J151" s="157"/>
      <c r="K151" s="157">
        <v>5800361483</v>
      </c>
      <c r="L151" s="227">
        <v>12711.553</v>
      </c>
      <c r="M151" s="157" t="s">
        <v>3347</v>
      </c>
      <c r="N151" s="227">
        <f t="shared" si="22"/>
        <v>199337.99936201191</v>
      </c>
      <c r="O151" s="152">
        <f t="shared" si="23"/>
        <v>1078966.8593620118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3310</v>
      </c>
      <c r="I152" s="152"/>
      <c r="J152" s="157"/>
      <c r="K152" s="157">
        <v>5800361483</v>
      </c>
      <c r="L152" s="227">
        <v>16072.849</v>
      </c>
      <c r="M152" s="157" t="s">
        <v>3347</v>
      </c>
      <c r="N152" s="227">
        <f t="shared" si="22"/>
        <v>183265.15036201192</v>
      </c>
      <c r="O152" s="152">
        <f t="shared" si="23"/>
        <v>1062894.0103620118</v>
      </c>
    </row>
    <row r="153" spans="1:15" x14ac:dyDescent="0.15">
      <c r="A153" s="154"/>
      <c r="B153" s="151"/>
      <c r="C153" s="152"/>
      <c r="D153" s="323" t="s">
        <v>3312</v>
      </c>
      <c r="E153" s="154" t="s">
        <v>72</v>
      </c>
      <c r="F153" s="157" t="s">
        <v>3350</v>
      </c>
      <c r="G153" s="152">
        <v>263690.571</v>
      </c>
      <c r="H153" s="323" t="s">
        <v>3312</v>
      </c>
      <c r="I153" s="152">
        <v>15160.234</v>
      </c>
      <c r="J153" s="157" t="s">
        <v>3347</v>
      </c>
      <c r="K153" s="157">
        <v>5800361483</v>
      </c>
      <c r="L153" s="227">
        <v>12614.279</v>
      </c>
      <c r="M153" s="157" t="s">
        <v>3347</v>
      </c>
      <c r="N153" s="227">
        <f t="shared" si="22"/>
        <v>155490.63736201191</v>
      </c>
      <c r="O153" s="152">
        <f t="shared" si="23"/>
        <v>1298810.0683620118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3312</v>
      </c>
      <c r="I154" s="152"/>
      <c r="J154" s="157"/>
      <c r="K154" s="157">
        <v>5800361483</v>
      </c>
      <c r="L154" s="227">
        <v>13671.386</v>
      </c>
      <c r="M154" s="157" t="s">
        <v>3347</v>
      </c>
      <c r="N154" s="227">
        <f t="shared" si="22"/>
        <v>141819.25136201191</v>
      </c>
      <c r="O154" s="152">
        <f t="shared" si="23"/>
        <v>1285138.6823620119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3312</v>
      </c>
      <c r="I155" s="152"/>
      <c r="J155" s="157"/>
      <c r="K155" s="157">
        <v>5800361483</v>
      </c>
      <c r="L155" s="227">
        <v>15140.535</v>
      </c>
      <c r="M155" s="157" t="s">
        <v>3347</v>
      </c>
      <c r="N155" s="227">
        <f t="shared" si="22"/>
        <v>126678.71636201191</v>
      </c>
      <c r="O155" s="152">
        <f t="shared" si="23"/>
        <v>1269998.147362012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3312</v>
      </c>
      <c r="I156" s="152"/>
      <c r="J156" s="157"/>
      <c r="K156" s="157">
        <v>5800361483</v>
      </c>
      <c r="L156" s="227">
        <v>12548.272000000001</v>
      </c>
      <c r="M156" s="157" t="s">
        <v>3347</v>
      </c>
      <c r="N156" s="227">
        <f t="shared" si="22"/>
        <v>114130.44436201191</v>
      </c>
      <c r="O156" s="152">
        <f t="shared" si="23"/>
        <v>1257449.8753620118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3312</v>
      </c>
      <c r="I157" s="152"/>
      <c r="J157" s="157"/>
      <c r="K157" s="157">
        <v>5800361483</v>
      </c>
      <c r="L157" s="227">
        <v>14866.507</v>
      </c>
      <c r="M157" s="157" t="s">
        <v>3347</v>
      </c>
      <c r="N157" s="227">
        <f t="shared" si="22"/>
        <v>99263.937362011915</v>
      </c>
      <c r="O157" s="152">
        <f t="shared" si="23"/>
        <v>1242583.3683620119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3312</v>
      </c>
      <c r="I158" s="152"/>
      <c r="J158" s="157"/>
      <c r="K158" s="157">
        <v>5800361483</v>
      </c>
      <c r="L158" s="227">
        <v>9665.98</v>
      </c>
      <c r="M158" s="157" t="s">
        <v>3347</v>
      </c>
      <c r="N158" s="227">
        <f t="shared" si="22"/>
        <v>89597.957362011919</v>
      </c>
      <c r="O158" s="152">
        <f t="shared" si="23"/>
        <v>1232917.3883620119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3312</v>
      </c>
      <c r="I159" s="152"/>
      <c r="J159" s="157"/>
      <c r="K159" s="157">
        <v>5800361483</v>
      </c>
      <c r="L159" s="227">
        <v>1056.107</v>
      </c>
      <c r="M159" s="157" t="s">
        <v>3347</v>
      </c>
      <c r="N159" s="227">
        <f t="shared" si="22"/>
        <v>88541.850362011915</v>
      </c>
      <c r="O159" s="152">
        <f t="shared" si="23"/>
        <v>1231861.2813620118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3312</v>
      </c>
      <c r="I160" s="152"/>
      <c r="J160" s="157"/>
      <c r="K160" s="157">
        <v>5800361483</v>
      </c>
      <c r="L160" s="227">
        <v>469.048</v>
      </c>
      <c r="M160" s="157" t="s">
        <v>3347</v>
      </c>
      <c r="N160" s="227">
        <f t="shared" si="22"/>
        <v>88072.80236201192</v>
      </c>
      <c r="O160" s="152">
        <f t="shared" si="23"/>
        <v>1231392.2333620118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3312</v>
      </c>
      <c r="I161" s="152"/>
      <c r="J161" s="157"/>
      <c r="K161" s="157">
        <v>5800361483</v>
      </c>
      <c r="L161" s="227">
        <v>15061.418</v>
      </c>
      <c r="M161" s="157" t="s">
        <v>3347</v>
      </c>
      <c r="N161" s="227">
        <f t="shared" si="22"/>
        <v>73011.384362011915</v>
      </c>
      <c r="O161" s="152">
        <f t="shared" si="23"/>
        <v>1216330.8153620118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3312</v>
      </c>
      <c r="I162" s="152"/>
      <c r="J162" s="157"/>
      <c r="K162" s="157">
        <v>5800361483</v>
      </c>
      <c r="L162" s="227">
        <v>15585.259</v>
      </c>
      <c r="M162" s="157" t="s">
        <v>3347</v>
      </c>
      <c r="N162" s="227">
        <f t="shared" si="22"/>
        <v>57426.125362011917</v>
      </c>
      <c r="O162" s="152">
        <f t="shared" si="23"/>
        <v>1200745.5563620117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3312</v>
      </c>
      <c r="I163" s="152"/>
      <c r="J163" s="157"/>
      <c r="K163" s="157">
        <v>5800361483</v>
      </c>
      <c r="L163" s="227">
        <v>5195.42</v>
      </c>
      <c r="M163" s="157" t="s">
        <v>3347</v>
      </c>
      <c r="N163" s="227">
        <f t="shared" si="22"/>
        <v>52230.705362011919</v>
      </c>
      <c r="O163" s="152">
        <f t="shared" si="23"/>
        <v>1195550.1363620118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3312</v>
      </c>
      <c r="I164" s="152"/>
      <c r="J164" s="157"/>
      <c r="K164" s="157">
        <v>5800361483</v>
      </c>
      <c r="L164" s="227">
        <v>11744.427</v>
      </c>
      <c r="M164" s="157" t="s">
        <v>3347</v>
      </c>
      <c r="N164" s="227">
        <f t="shared" si="22"/>
        <v>40486.278362011915</v>
      </c>
      <c r="O164" s="152">
        <f t="shared" si="23"/>
        <v>1183805.7093620119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3312</v>
      </c>
      <c r="I165" s="152"/>
      <c r="J165" s="157"/>
      <c r="K165" s="157">
        <v>5800361483</v>
      </c>
      <c r="L165" s="227">
        <v>15032.427</v>
      </c>
      <c r="M165" s="157" t="s">
        <v>3347</v>
      </c>
      <c r="N165" s="227">
        <f t="shared" si="22"/>
        <v>25453.851362011916</v>
      </c>
      <c r="O165" s="152">
        <f t="shared" si="23"/>
        <v>1168773.282362012</v>
      </c>
    </row>
    <row r="166" spans="1:15" x14ac:dyDescent="0.15">
      <c r="A166" s="154"/>
      <c r="B166" s="151"/>
      <c r="C166" s="152"/>
      <c r="D166" s="323" t="s">
        <v>3314</v>
      </c>
      <c r="E166" s="154" t="s">
        <v>72</v>
      </c>
      <c r="F166" s="157" t="s">
        <v>3350</v>
      </c>
      <c r="G166" s="152">
        <v>263947.61700000003</v>
      </c>
      <c r="H166" s="323" t="s">
        <v>3314</v>
      </c>
      <c r="I166" s="152">
        <v>15536.790999999999</v>
      </c>
      <c r="J166" s="157" t="s">
        <v>3347</v>
      </c>
      <c r="K166" s="157">
        <v>5800361483</v>
      </c>
      <c r="L166" s="227">
        <v>9917.0603620119164</v>
      </c>
      <c r="M166" s="157" t="s">
        <v>3347</v>
      </c>
      <c r="N166" s="227">
        <f t="shared" ref="N166:N172" si="24">+N165-I166-L166</f>
        <v>0</v>
      </c>
      <c r="O166" s="152">
        <f t="shared" ref="O166:O172" si="25">O165+G166-I166-L166</f>
        <v>1407267.0480000002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3314</v>
      </c>
      <c r="I167" s="152"/>
      <c r="J167" s="157"/>
      <c r="K167" s="157">
        <v>5800361483</v>
      </c>
      <c r="L167" s="227">
        <v>29963.3326379881</v>
      </c>
      <c r="M167" s="157" t="s">
        <v>3348</v>
      </c>
      <c r="N167" s="227">
        <f>G86+G98+G114+N166-I167-L167</f>
        <v>484316.2213620111</v>
      </c>
      <c r="O167" s="152">
        <f t="shared" si="25"/>
        <v>1377303.7153620122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3314</v>
      </c>
      <c r="I168" s="152"/>
      <c r="J168" s="157"/>
      <c r="K168" s="157">
        <v>5800361483</v>
      </c>
      <c r="L168" s="227">
        <v>12920.085999999999</v>
      </c>
      <c r="M168" s="157" t="s">
        <v>3348</v>
      </c>
      <c r="N168" s="227">
        <f t="shared" si="24"/>
        <v>471396.13536201109</v>
      </c>
      <c r="O168" s="152">
        <f t="shared" si="25"/>
        <v>1364383.6293620123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3314</v>
      </c>
      <c r="I169" s="152"/>
      <c r="J169" s="157"/>
      <c r="K169" s="157">
        <v>5800361483</v>
      </c>
      <c r="L169" s="227">
        <v>14925.117</v>
      </c>
      <c r="M169" s="157" t="s">
        <v>3348</v>
      </c>
      <c r="N169" s="227">
        <f t="shared" si="24"/>
        <v>456471.01836201106</v>
      </c>
      <c r="O169" s="152">
        <f t="shared" si="25"/>
        <v>1349458.5123620122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3314</v>
      </c>
      <c r="I170" s="152"/>
      <c r="J170" s="157"/>
      <c r="K170" s="157">
        <v>5800361483</v>
      </c>
      <c r="L170" s="227">
        <v>14582.77</v>
      </c>
      <c r="M170" s="157" t="s">
        <v>3348</v>
      </c>
      <c r="N170" s="227">
        <f t="shared" si="24"/>
        <v>441888.24836201104</v>
      </c>
      <c r="O170" s="152">
        <f t="shared" si="25"/>
        <v>1334875.7423620122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3314</v>
      </c>
      <c r="I171" s="152"/>
      <c r="J171" s="157"/>
      <c r="K171" s="157">
        <v>5800361483</v>
      </c>
      <c r="L171" s="227">
        <v>17307.53</v>
      </c>
      <c r="M171" s="157" t="s">
        <v>3348</v>
      </c>
      <c r="N171" s="227">
        <f t="shared" si="24"/>
        <v>424580.71836201102</v>
      </c>
      <c r="O171" s="152">
        <f t="shared" si="25"/>
        <v>1317568.2123620121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3314</v>
      </c>
      <c r="I172" s="152"/>
      <c r="J172" s="157"/>
      <c r="K172" s="157">
        <v>5800361483</v>
      </c>
      <c r="L172" s="227">
        <v>12121.277</v>
      </c>
      <c r="M172" s="157" t="s">
        <v>3348</v>
      </c>
      <c r="N172" s="227">
        <f t="shared" si="24"/>
        <v>412459.44136201101</v>
      </c>
      <c r="O172" s="152">
        <f t="shared" si="25"/>
        <v>1305446.9353620121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3314</v>
      </c>
      <c r="I173" s="152"/>
      <c r="J173" s="157"/>
      <c r="K173" s="157">
        <v>5800361483</v>
      </c>
      <c r="L173" s="227">
        <v>14627.816000000001</v>
      </c>
      <c r="M173" s="157" t="s">
        <v>3348</v>
      </c>
      <c r="N173" s="227">
        <f t="shared" si="22"/>
        <v>397831.62536201102</v>
      </c>
      <c r="O173" s="152">
        <f t="shared" si="23"/>
        <v>1290819.119362012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3314</v>
      </c>
      <c r="I174" s="152"/>
      <c r="J174" s="157"/>
      <c r="K174" s="157">
        <v>5800361483</v>
      </c>
      <c r="L174" s="227">
        <v>9163.2810000000009</v>
      </c>
      <c r="M174" s="157" t="s">
        <v>3348</v>
      </c>
      <c r="N174" s="227">
        <f t="shared" si="22"/>
        <v>388668.344362011</v>
      </c>
      <c r="O174" s="152">
        <f t="shared" si="23"/>
        <v>1281655.8383620121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3314</v>
      </c>
      <c r="I175" s="152"/>
      <c r="J175" s="157"/>
      <c r="K175" s="157">
        <v>5800361483</v>
      </c>
      <c r="L175" s="227">
        <v>13087.034</v>
      </c>
      <c r="M175" s="157" t="s">
        <v>3348</v>
      </c>
      <c r="N175" s="227">
        <f t="shared" si="22"/>
        <v>375581.31036201102</v>
      </c>
      <c r="O175" s="152">
        <f t="shared" si="23"/>
        <v>1268568.8043620121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3314</v>
      </c>
      <c r="I176" s="152"/>
      <c r="J176" s="157"/>
      <c r="K176" s="157">
        <v>5800361483</v>
      </c>
      <c r="L176" s="227">
        <v>4595.2030000000004</v>
      </c>
      <c r="M176" s="157" t="s">
        <v>3348</v>
      </c>
      <c r="N176" s="227">
        <f t="shared" si="22"/>
        <v>370986.10736201104</v>
      </c>
      <c r="O176" s="152">
        <f t="shared" si="23"/>
        <v>1263973.6013620121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3314</v>
      </c>
      <c r="I177" s="152"/>
      <c r="J177" s="157"/>
      <c r="K177" s="157">
        <v>5800361483</v>
      </c>
      <c r="L177" s="227">
        <v>19757.973000000002</v>
      </c>
      <c r="M177" s="157" t="s">
        <v>3348</v>
      </c>
      <c r="N177" s="227">
        <f t="shared" si="22"/>
        <v>351228.13436201104</v>
      </c>
      <c r="O177" s="152">
        <f t="shared" si="23"/>
        <v>1244215.6283620121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3314</v>
      </c>
      <c r="I178" s="152"/>
      <c r="J178" s="157"/>
      <c r="K178" s="157">
        <v>5800361483</v>
      </c>
      <c r="L178" s="227">
        <v>16092.205</v>
      </c>
      <c r="M178" s="157" t="s">
        <v>3348</v>
      </c>
      <c r="N178" s="227">
        <f t="shared" si="22"/>
        <v>335135.92936201103</v>
      </c>
      <c r="O178" s="152">
        <f t="shared" si="23"/>
        <v>1228123.423362012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3314</v>
      </c>
      <c r="I179" s="152"/>
      <c r="J179" s="157"/>
      <c r="K179" s="157">
        <v>5800361483</v>
      </c>
      <c r="L179" s="227">
        <v>14582.124</v>
      </c>
      <c r="M179" s="157" t="s">
        <v>3348</v>
      </c>
      <c r="N179" s="227">
        <f t="shared" si="22"/>
        <v>320553.80536201101</v>
      </c>
      <c r="O179" s="152">
        <f t="shared" si="23"/>
        <v>1213541.299362012</v>
      </c>
    </row>
    <row r="180" spans="1:15" x14ac:dyDescent="0.15">
      <c r="A180" s="154"/>
      <c r="B180" s="151"/>
      <c r="C180" s="152"/>
      <c r="D180" s="323" t="s">
        <v>3315</v>
      </c>
      <c r="E180" s="154" t="s">
        <v>72</v>
      </c>
      <c r="F180" s="157" t="s">
        <v>3350</v>
      </c>
      <c r="G180" s="152">
        <v>88042.410999999905</v>
      </c>
      <c r="H180" s="323" t="s">
        <v>3315</v>
      </c>
      <c r="I180" s="152">
        <v>11282.027</v>
      </c>
      <c r="J180" s="157" t="s">
        <v>3348</v>
      </c>
      <c r="K180" s="157">
        <v>5800361483</v>
      </c>
      <c r="L180" s="227">
        <v>14430.154</v>
      </c>
      <c r="M180" s="157" t="s">
        <v>3348</v>
      </c>
      <c r="N180" s="227">
        <f t="shared" si="22"/>
        <v>294841.62436201103</v>
      </c>
      <c r="O180" s="152">
        <f t="shared" si="23"/>
        <v>1275871.5293620117</v>
      </c>
    </row>
    <row r="181" spans="1:15" x14ac:dyDescent="0.15">
      <c r="A181" s="154"/>
      <c r="B181" s="151"/>
      <c r="C181" s="152"/>
      <c r="D181" s="323" t="s">
        <v>3315</v>
      </c>
      <c r="E181" s="154" t="s">
        <v>72</v>
      </c>
      <c r="F181" s="157" t="s">
        <v>3351</v>
      </c>
      <c r="G181" s="152">
        <v>176041.12400000001</v>
      </c>
      <c r="H181" s="323" t="s">
        <v>3315</v>
      </c>
      <c r="I181" s="152"/>
      <c r="J181" s="157"/>
      <c r="K181" s="157">
        <v>5800361483</v>
      </c>
      <c r="L181" s="227">
        <v>10049.161</v>
      </c>
      <c r="M181" s="157" t="s">
        <v>3348</v>
      </c>
      <c r="N181" s="227">
        <f t="shared" si="22"/>
        <v>284792.46336201101</v>
      </c>
      <c r="O181" s="152">
        <f t="shared" si="23"/>
        <v>1441863.4923620117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3315</v>
      </c>
      <c r="I182" s="152"/>
      <c r="J182" s="157"/>
      <c r="K182" s="157">
        <v>5800361483</v>
      </c>
      <c r="L182" s="227">
        <v>12972.63</v>
      </c>
      <c r="M182" s="157" t="s">
        <v>3348</v>
      </c>
      <c r="N182" s="227">
        <f t="shared" si="22"/>
        <v>271819.83336201101</v>
      </c>
      <c r="O182" s="152">
        <f t="shared" si="23"/>
        <v>1428890.8623620118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3315</v>
      </c>
      <c r="I183" s="152"/>
      <c r="J183" s="157"/>
      <c r="K183" s="157">
        <v>5800361483</v>
      </c>
      <c r="L183" s="227">
        <v>14588.298000000001</v>
      </c>
      <c r="M183" s="157" t="s">
        <v>3348</v>
      </c>
      <c r="N183" s="227">
        <f t="shared" si="22"/>
        <v>257231.535362011</v>
      </c>
      <c r="O183" s="152">
        <f t="shared" si="23"/>
        <v>1414302.5643620118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3315</v>
      </c>
      <c r="I184" s="152"/>
      <c r="J184" s="157"/>
      <c r="K184" s="157">
        <v>5800361483</v>
      </c>
      <c r="L184" s="227">
        <v>14343.075000000001</v>
      </c>
      <c r="M184" s="157" t="s">
        <v>3348</v>
      </c>
      <c r="N184" s="227">
        <f t="shared" si="22"/>
        <v>242888.46036201098</v>
      </c>
      <c r="O184" s="152">
        <f t="shared" si="23"/>
        <v>1399959.4893620119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3315</v>
      </c>
      <c r="I185" s="152"/>
      <c r="J185" s="157"/>
      <c r="K185" s="157">
        <v>5800361483</v>
      </c>
      <c r="L185" s="227">
        <v>12312.224</v>
      </c>
      <c r="M185" s="157" t="s">
        <v>3348</v>
      </c>
      <c r="N185" s="227">
        <f t="shared" si="22"/>
        <v>230576.236362011</v>
      </c>
      <c r="O185" s="152">
        <f t="shared" si="23"/>
        <v>1387647.265362012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3315</v>
      </c>
      <c r="I186" s="152"/>
      <c r="J186" s="157"/>
      <c r="K186" s="157">
        <v>5800361483</v>
      </c>
      <c r="L186" s="227">
        <v>11660.63</v>
      </c>
      <c r="M186" s="157" t="s">
        <v>3348</v>
      </c>
      <c r="N186" s="227">
        <f t="shared" si="22"/>
        <v>218915.60636201099</v>
      </c>
      <c r="O186" s="152">
        <f t="shared" si="23"/>
        <v>1375986.6353620121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3315</v>
      </c>
      <c r="I187" s="152"/>
      <c r="J187" s="157"/>
      <c r="K187" s="157">
        <v>5800361483</v>
      </c>
      <c r="L187" s="227">
        <v>16731.252</v>
      </c>
      <c r="M187" s="157" t="s">
        <v>3348</v>
      </c>
      <c r="N187" s="227">
        <f t="shared" si="22"/>
        <v>202184.35436201098</v>
      </c>
      <c r="O187" s="152">
        <f t="shared" si="23"/>
        <v>1359255.383362012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3315</v>
      </c>
      <c r="I188" s="152"/>
      <c r="J188" s="157"/>
      <c r="K188" s="157">
        <v>5800361483</v>
      </c>
      <c r="L188" s="227">
        <v>12524.416999999999</v>
      </c>
      <c r="M188" s="157" t="s">
        <v>3348</v>
      </c>
      <c r="N188" s="227">
        <f t="shared" si="22"/>
        <v>189659.937362011</v>
      </c>
      <c r="O188" s="152">
        <f t="shared" si="23"/>
        <v>1346730.9663620121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3315</v>
      </c>
      <c r="I189" s="152"/>
      <c r="J189" s="157"/>
      <c r="K189" s="157">
        <v>5800361483</v>
      </c>
      <c r="L189" s="227">
        <v>14396.919</v>
      </c>
      <c r="M189" s="157" t="s">
        <v>3348</v>
      </c>
      <c r="N189" s="227">
        <f t="shared" si="22"/>
        <v>175263.018362011</v>
      </c>
      <c r="O189" s="152">
        <f t="shared" si="23"/>
        <v>1332334.0473620121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3315</v>
      </c>
      <c r="I190" s="152"/>
      <c r="J190" s="157"/>
      <c r="K190" s="157">
        <v>5800361483</v>
      </c>
      <c r="L190" s="227">
        <v>16060.255999999999</v>
      </c>
      <c r="M190" s="157" t="s">
        <v>3348</v>
      </c>
      <c r="N190" s="227">
        <f t="shared" si="22"/>
        <v>159202.76236201101</v>
      </c>
      <c r="O190" s="152">
        <f t="shared" si="23"/>
        <v>1316273.791362012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3315</v>
      </c>
      <c r="I191" s="152"/>
      <c r="J191" s="157"/>
      <c r="K191" s="157">
        <v>5800361483</v>
      </c>
      <c r="L191" s="227">
        <v>4605.9340000000002</v>
      </c>
      <c r="M191" s="157" t="s">
        <v>3348</v>
      </c>
      <c r="N191" s="227">
        <f t="shared" si="22"/>
        <v>154596.828362011</v>
      </c>
      <c r="O191" s="152">
        <f t="shared" si="23"/>
        <v>1311667.8573620121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3315</v>
      </c>
      <c r="I192" s="152"/>
      <c r="J192" s="157"/>
      <c r="K192" s="157">
        <v>5800361483</v>
      </c>
      <c r="L192" s="227">
        <v>16076.259</v>
      </c>
      <c r="M192" s="157" t="s">
        <v>3348</v>
      </c>
      <c r="N192" s="227">
        <f t="shared" si="22"/>
        <v>138520.56936201101</v>
      </c>
      <c r="O192" s="152">
        <f t="shared" si="23"/>
        <v>1295591.5983620121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3315</v>
      </c>
      <c r="I193" s="152"/>
      <c r="J193" s="157"/>
      <c r="K193" s="157">
        <v>5800361483</v>
      </c>
      <c r="L193" s="227">
        <v>15971.237999999999</v>
      </c>
      <c r="M193" s="157" t="s">
        <v>3348</v>
      </c>
      <c r="N193" s="227">
        <f t="shared" si="22"/>
        <v>122549.33136201101</v>
      </c>
      <c r="O193" s="152">
        <f t="shared" si="23"/>
        <v>1279620.3603620122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3315</v>
      </c>
      <c r="I194" s="152"/>
      <c r="J194" s="157"/>
      <c r="K194" s="157">
        <v>5800361483</v>
      </c>
      <c r="L194" s="227">
        <v>39107.928</v>
      </c>
      <c r="M194" s="157" t="s">
        <v>3348</v>
      </c>
      <c r="N194" s="227">
        <f t="shared" si="22"/>
        <v>83441.403362011013</v>
      </c>
      <c r="O194" s="152">
        <f t="shared" si="23"/>
        <v>1240512.4323620121</v>
      </c>
    </row>
    <row r="195" spans="1:15" x14ac:dyDescent="0.15">
      <c r="A195" s="154"/>
      <c r="B195" s="151"/>
      <c r="C195" s="152"/>
      <c r="D195" s="323" t="s">
        <v>3316</v>
      </c>
      <c r="E195" s="154" t="s">
        <v>72</v>
      </c>
      <c r="F195" s="157" t="s">
        <v>3351</v>
      </c>
      <c r="G195" s="152">
        <v>87886.303000000014</v>
      </c>
      <c r="H195" s="323" t="s">
        <v>3316</v>
      </c>
      <c r="I195" s="152">
        <v>10747.883</v>
      </c>
      <c r="J195" s="157" t="s">
        <v>3348</v>
      </c>
      <c r="K195" s="157">
        <v>5800361483</v>
      </c>
      <c r="L195" s="227">
        <v>13491.761</v>
      </c>
      <c r="M195" s="157" t="s">
        <v>3348</v>
      </c>
      <c r="N195" s="227">
        <f t="shared" si="22"/>
        <v>59201.759362011013</v>
      </c>
      <c r="O195" s="152">
        <f t="shared" si="23"/>
        <v>1304159.0913620123</v>
      </c>
    </row>
    <row r="196" spans="1:15" x14ac:dyDescent="0.15">
      <c r="A196" s="154"/>
      <c r="B196" s="151"/>
      <c r="C196" s="152"/>
      <c r="D196" s="323" t="s">
        <v>3316</v>
      </c>
      <c r="E196" s="154" t="s">
        <v>72</v>
      </c>
      <c r="F196" s="157" t="s">
        <v>3352</v>
      </c>
      <c r="G196" s="152">
        <v>175901.12899999999</v>
      </c>
      <c r="H196" s="323" t="s">
        <v>3316</v>
      </c>
      <c r="I196" s="152"/>
      <c r="J196" s="157"/>
      <c r="K196" s="157">
        <v>5800361483</v>
      </c>
      <c r="L196" s="227">
        <v>15169.971</v>
      </c>
      <c r="M196" s="157" t="s">
        <v>3348</v>
      </c>
      <c r="N196" s="227">
        <f t="shared" si="22"/>
        <v>44031.788362011015</v>
      </c>
      <c r="O196" s="152">
        <f t="shared" si="23"/>
        <v>1464890.2493620124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3316</v>
      </c>
      <c r="I197" s="152"/>
      <c r="J197" s="157"/>
      <c r="K197" s="157">
        <v>5800361483</v>
      </c>
      <c r="L197" s="227">
        <v>15079.852000000001</v>
      </c>
      <c r="M197" s="157" t="s">
        <v>3348</v>
      </c>
      <c r="N197" s="227">
        <f t="shared" si="22"/>
        <v>28951.936362011016</v>
      </c>
      <c r="O197" s="152">
        <f t="shared" si="23"/>
        <v>1449810.3973620124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3316</v>
      </c>
      <c r="I198" s="152"/>
      <c r="J198" s="157"/>
      <c r="K198" s="157">
        <v>5800361483</v>
      </c>
      <c r="L198" s="227">
        <v>16456.665000000001</v>
      </c>
      <c r="M198" s="157" t="s">
        <v>3348</v>
      </c>
      <c r="N198" s="227">
        <f t="shared" si="22"/>
        <v>12495.271362011015</v>
      </c>
      <c r="O198" s="152">
        <f t="shared" si="23"/>
        <v>1433353.7323620124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3316</v>
      </c>
      <c r="I199" s="152"/>
      <c r="J199" s="157"/>
      <c r="K199" s="157">
        <v>5800361483</v>
      </c>
      <c r="L199" s="227">
        <v>12495.271362011015</v>
      </c>
      <c r="M199" s="157" t="s">
        <v>3348</v>
      </c>
      <c r="N199" s="227">
        <f t="shared" ref="N199:N204" si="26">+N198-I199-L199</f>
        <v>0</v>
      </c>
      <c r="O199" s="152">
        <f t="shared" ref="O199:O204" si="27">O198+G199-I199-L199</f>
        <v>1420858.4610000013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3316</v>
      </c>
      <c r="I200" s="152"/>
      <c r="J200" s="157"/>
      <c r="K200" s="157">
        <v>5800361041</v>
      </c>
      <c r="L200" s="227">
        <v>414.72363798898601</v>
      </c>
      <c r="M200" s="157" t="s">
        <v>3349</v>
      </c>
      <c r="N200" s="227">
        <f>G115+N199-I200-L200</f>
        <v>233073.67736201201</v>
      </c>
      <c r="O200" s="152">
        <f t="shared" si="27"/>
        <v>1420443.7373620123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3316</v>
      </c>
      <c r="I201" s="152"/>
      <c r="J201" s="157"/>
      <c r="K201" s="157">
        <v>5800361041</v>
      </c>
      <c r="L201" s="227">
        <v>16123.226000000001</v>
      </c>
      <c r="M201" s="157" t="s">
        <v>3349</v>
      </c>
      <c r="N201" s="227">
        <f t="shared" si="26"/>
        <v>216950.45136201201</v>
      </c>
      <c r="O201" s="152">
        <f t="shared" si="27"/>
        <v>1404320.5113620122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3316</v>
      </c>
      <c r="I202" s="152"/>
      <c r="J202" s="157"/>
      <c r="K202" s="157">
        <v>5800361041</v>
      </c>
      <c r="L202" s="227">
        <v>2239.1819999999998</v>
      </c>
      <c r="M202" s="157" t="s">
        <v>3349</v>
      </c>
      <c r="N202" s="227">
        <f t="shared" si="26"/>
        <v>214711.26936201201</v>
      </c>
      <c r="O202" s="152">
        <f t="shared" si="27"/>
        <v>1402081.3293620122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3316</v>
      </c>
      <c r="I203" s="152"/>
      <c r="J203" s="157"/>
      <c r="K203" s="157">
        <v>5800361041</v>
      </c>
      <c r="L203" s="227">
        <v>15436.468000000001</v>
      </c>
      <c r="M203" s="157" t="s">
        <v>3349</v>
      </c>
      <c r="N203" s="227">
        <f t="shared" si="26"/>
        <v>199274.80136201202</v>
      </c>
      <c r="O203" s="152">
        <f t="shared" si="27"/>
        <v>1386644.8613620121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3316</v>
      </c>
      <c r="I204" s="152"/>
      <c r="J204" s="157"/>
      <c r="K204" s="157">
        <v>5800361041</v>
      </c>
      <c r="L204" s="227">
        <v>15243.624</v>
      </c>
      <c r="M204" s="157" t="s">
        <v>3349</v>
      </c>
      <c r="N204" s="227">
        <f t="shared" si="26"/>
        <v>184031.17736201201</v>
      </c>
      <c r="O204" s="152">
        <f t="shared" si="27"/>
        <v>1371401.237362012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3316</v>
      </c>
      <c r="I205" s="152"/>
      <c r="J205" s="157"/>
      <c r="K205" s="157">
        <v>5800361041</v>
      </c>
      <c r="L205" s="227">
        <v>9454.4459999999999</v>
      </c>
      <c r="M205" s="157" t="s">
        <v>3349</v>
      </c>
      <c r="N205" s="227">
        <f t="shared" si="22"/>
        <v>174576.73136201201</v>
      </c>
      <c r="O205" s="152">
        <f t="shared" si="23"/>
        <v>1361946.791362012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3316</v>
      </c>
      <c r="I206" s="152"/>
      <c r="J206" s="157"/>
      <c r="K206" s="157">
        <v>5800361041</v>
      </c>
      <c r="L206" s="227">
        <v>12505.847</v>
      </c>
      <c r="M206" s="157" t="s">
        <v>3349</v>
      </c>
      <c r="N206" s="227">
        <f t="shared" si="22"/>
        <v>162070.884362012</v>
      </c>
      <c r="O206" s="152">
        <f t="shared" si="23"/>
        <v>1349440.944362012</v>
      </c>
    </row>
    <row r="207" spans="1:15" x14ac:dyDescent="0.15">
      <c r="A207" s="154"/>
      <c r="B207" s="151"/>
      <c r="C207" s="152"/>
      <c r="D207" s="323" t="s">
        <v>3319</v>
      </c>
      <c r="E207" s="154" t="s">
        <v>72</v>
      </c>
      <c r="F207" s="157" t="s">
        <v>3352</v>
      </c>
      <c r="G207" s="152">
        <v>263857.13099999999</v>
      </c>
      <c r="H207" s="323" t="s">
        <v>3319</v>
      </c>
      <c r="I207" s="152">
        <v>10800.708000000001</v>
      </c>
      <c r="J207" s="157" t="s">
        <v>3349</v>
      </c>
      <c r="K207" s="157">
        <v>5800361041</v>
      </c>
      <c r="L207" s="227">
        <v>14332.73</v>
      </c>
      <c r="M207" s="157" t="s">
        <v>3349</v>
      </c>
      <c r="N207" s="227">
        <f t="shared" si="22"/>
        <v>136937.44636201198</v>
      </c>
      <c r="O207" s="152">
        <f t="shared" si="23"/>
        <v>1588164.6373620119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3319</v>
      </c>
      <c r="I208" s="152"/>
      <c r="J208" s="157"/>
      <c r="K208" s="157">
        <v>5800361041</v>
      </c>
      <c r="L208" s="227">
        <v>13916.941000000001</v>
      </c>
      <c r="M208" s="157" t="s">
        <v>3349</v>
      </c>
      <c r="N208" s="227">
        <f t="shared" si="22"/>
        <v>123020.50536201197</v>
      </c>
      <c r="O208" s="152">
        <f t="shared" si="23"/>
        <v>1574247.6963620118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3319</v>
      </c>
      <c r="I209" s="152"/>
      <c r="J209" s="157"/>
      <c r="K209" s="157">
        <v>5800361041</v>
      </c>
      <c r="L209" s="227">
        <v>16053.857</v>
      </c>
      <c r="M209" s="157" t="s">
        <v>3349</v>
      </c>
      <c r="N209" s="227">
        <f t="shared" si="22"/>
        <v>106966.64836201197</v>
      </c>
      <c r="O209" s="152">
        <f t="shared" si="23"/>
        <v>1558193.8393620118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3319</v>
      </c>
      <c r="I210" s="152"/>
      <c r="J210" s="154"/>
      <c r="K210" s="157">
        <v>5800361041</v>
      </c>
      <c r="L210" s="227">
        <v>15004.39</v>
      </c>
      <c r="M210" s="157" t="s">
        <v>3349</v>
      </c>
      <c r="N210" s="227">
        <f t="shared" si="22"/>
        <v>91962.258362011969</v>
      </c>
      <c r="O210" s="152">
        <f t="shared" si="23"/>
        <v>1543189.4493620119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3319</v>
      </c>
      <c r="I211" s="152"/>
      <c r="J211" s="157"/>
      <c r="K211" s="157">
        <v>5800361041</v>
      </c>
      <c r="L211" s="227">
        <v>15872.949000000001</v>
      </c>
      <c r="M211" s="157" t="s">
        <v>3349</v>
      </c>
      <c r="N211" s="227">
        <f t="shared" si="22"/>
        <v>76089.309362011962</v>
      </c>
      <c r="O211" s="152">
        <f t="shared" si="23"/>
        <v>1527316.5003620118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3319</v>
      </c>
      <c r="I212" s="152"/>
      <c r="J212" s="157"/>
      <c r="K212" s="157">
        <v>5800361041</v>
      </c>
      <c r="L212" s="227">
        <v>11283.277</v>
      </c>
      <c r="M212" s="157" t="s">
        <v>3349</v>
      </c>
      <c r="N212" s="227">
        <f t="shared" si="22"/>
        <v>64806.03236201196</v>
      </c>
      <c r="O212" s="152">
        <f t="shared" si="23"/>
        <v>1516033.2233620118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3319</v>
      </c>
      <c r="I213" s="152"/>
      <c r="J213" s="157"/>
      <c r="K213" s="157">
        <v>5800361041</v>
      </c>
      <c r="L213" s="227">
        <v>14676.575999999999</v>
      </c>
      <c r="M213" s="157" t="s">
        <v>3349</v>
      </c>
      <c r="N213" s="227">
        <f t="shared" si="22"/>
        <v>50129.456362011959</v>
      </c>
      <c r="O213" s="152">
        <f t="shared" si="23"/>
        <v>1501356.647362012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3319</v>
      </c>
      <c r="I214" s="152"/>
      <c r="J214" s="157"/>
      <c r="K214" s="157">
        <v>5800361041</v>
      </c>
      <c r="L214" s="227">
        <v>16093.57</v>
      </c>
      <c r="M214" s="157" t="s">
        <v>3349</v>
      </c>
      <c r="N214" s="227">
        <f t="shared" si="22"/>
        <v>34035.886362011959</v>
      </c>
      <c r="O214" s="152">
        <f t="shared" si="23"/>
        <v>1485263.0773620119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3319</v>
      </c>
      <c r="I215" s="152"/>
      <c r="J215" s="157"/>
      <c r="K215" s="157">
        <v>5800361041</v>
      </c>
      <c r="L215" s="227">
        <v>1419.992</v>
      </c>
      <c r="M215" s="157" t="s">
        <v>3349</v>
      </c>
      <c r="N215" s="227">
        <f t="shared" si="22"/>
        <v>32615.894362011961</v>
      </c>
      <c r="O215" s="152">
        <f t="shared" si="23"/>
        <v>1483843.0853620118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3319</v>
      </c>
      <c r="I216" s="152"/>
      <c r="J216" s="157"/>
      <c r="K216" s="157">
        <v>5800361041</v>
      </c>
      <c r="L216" s="227">
        <v>17787.366999999998</v>
      </c>
      <c r="M216" s="157" t="s">
        <v>3349</v>
      </c>
      <c r="N216" s="227">
        <f t="shared" ref="N216:N281" si="28">+N215-I216-L216</f>
        <v>14828.527362011962</v>
      </c>
      <c r="O216" s="152">
        <f t="shared" ref="O216:O281" si="29">O215+G216-I216-L216</f>
        <v>1466055.7183620117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3319</v>
      </c>
      <c r="I217" s="152"/>
      <c r="J217" s="157"/>
      <c r="K217" s="157">
        <v>5800361041</v>
      </c>
      <c r="L217" s="227">
        <v>14828.527362011962</v>
      </c>
      <c r="M217" s="157" t="s">
        <v>3349</v>
      </c>
      <c r="N217" s="227">
        <f t="shared" ref="N217:N221" si="30">+N216-I217-L217</f>
        <v>0</v>
      </c>
      <c r="O217" s="152">
        <f t="shared" ref="O217:O221" si="31">O216+G217-I217-L217</f>
        <v>1451227.1909999996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3319</v>
      </c>
      <c r="I218" s="152"/>
      <c r="J218" s="157"/>
      <c r="K218" s="157">
        <v>5800361483</v>
      </c>
      <c r="L218" s="227">
        <v>2459.1946379880401</v>
      </c>
      <c r="M218" s="157" t="s">
        <v>3350</v>
      </c>
      <c r="N218" s="227">
        <f>G143+G153+G166+G180+N217-I218-L218</f>
        <v>745082.30936201196</v>
      </c>
      <c r="O218" s="152">
        <f t="shared" si="31"/>
        <v>1448767.9963620116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3319</v>
      </c>
      <c r="I219" s="152"/>
      <c r="J219" s="157"/>
      <c r="K219" s="157">
        <v>5800361483</v>
      </c>
      <c r="L219" s="227">
        <v>16275.441000000001</v>
      </c>
      <c r="M219" s="157" t="s">
        <v>3350</v>
      </c>
      <c r="N219" s="227">
        <f t="shared" si="30"/>
        <v>728806.86836201197</v>
      </c>
      <c r="O219" s="152">
        <f t="shared" si="31"/>
        <v>1432492.5553620115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3319</v>
      </c>
      <c r="I220" s="152"/>
      <c r="J220" s="157"/>
      <c r="K220" s="157">
        <v>5800361483</v>
      </c>
      <c r="L220" s="227">
        <v>16178.51</v>
      </c>
      <c r="M220" s="157" t="s">
        <v>3350</v>
      </c>
      <c r="N220" s="227">
        <f t="shared" si="30"/>
        <v>712628.35836201196</v>
      </c>
      <c r="O220" s="152">
        <f t="shared" si="31"/>
        <v>1416314.0453620115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3319</v>
      </c>
      <c r="I221" s="152"/>
      <c r="J221" s="157"/>
      <c r="K221" s="157">
        <v>5800361483</v>
      </c>
      <c r="L221" s="227">
        <v>43349.212</v>
      </c>
      <c r="M221" s="157" t="s">
        <v>3350</v>
      </c>
      <c r="N221" s="227">
        <f t="shared" si="30"/>
        <v>669279.14636201202</v>
      </c>
      <c r="O221" s="152">
        <f t="shared" si="31"/>
        <v>1372964.8333620115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3321</v>
      </c>
      <c r="I222" s="152">
        <v>9778.7010000000009</v>
      </c>
      <c r="J222" s="157" t="s">
        <v>3350</v>
      </c>
      <c r="K222" s="157">
        <v>5800361483</v>
      </c>
      <c r="L222" s="227">
        <v>14274.118</v>
      </c>
      <c r="M222" s="157" t="s">
        <v>3350</v>
      </c>
      <c r="N222" s="227">
        <f t="shared" si="28"/>
        <v>645226.327362012</v>
      </c>
      <c r="O222" s="152">
        <f t="shared" si="29"/>
        <v>1348912.0143620113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3321</v>
      </c>
      <c r="I223" s="152"/>
      <c r="J223" s="157"/>
      <c r="K223" s="157">
        <v>5800361483</v>
      </c>
      <c r="L223" s="227">
        <v>13731.239</v>
      </c>
      <c r="M223" s="157" t="s">
        <v>3350</v>
      </c>
      <c r="N223" s="227">
        <f t="shared" si="28"/>
        <v>631495.08836201206</v>
      </c>
      <c r="O223" s="152">
        <f t="shared" si="29"/>
        <v>1335180.7753620113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3321</v>
      </c>
      <c r="I224" s="152"/>
      <c r="J224" s="154"/>
      <c r="K224" s="157">
        <v>5800361483</v>
      </c>
      <c r="L224" s="227">
        <v>14540.55</v>
      </c>
      <c r="M224" s="157" t="s">
        <v>3350</v>
      </c>
      <c r="N224" s="227">
        <f t="shared" si="28"/>
        <v>616954.53836201201</v>
      </c>
      <c r="O224" s="152">
        <f t="shared" si="29"/>
        <v>1320640.2253620112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3321</v>
      </c>
      <c r="I225" s="152"/>
      <c r="J225" s="157"/>
      <c r="K225" s="157">
        <v>5800361483</v>
      </c>
      <c r="L225" s="227">
        <v>17457.274000000001</v>
      </c>
      <c r="M225" s="157" t="s">
        <v>3350</v>
      </c>
      <c r="N225" s="227">
        <f t="shared" si="28"/>
        <v>599497.26436201204</v>
      </c>
      <c r="O225" s="152">
        <f t="shared" si="29"/>
        <v>1303182.9513620113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3321</v>
      </c>
      <c r="I226" s="152"/>
      <c r="J226" s="157"/>
      <c r="K226" s="157">
        <v>5800361483</v>
      </c>
      <c r="L226" s="227">
        <v>14212.018</v>
      </c>
      <c r="M226" s="157" t="s">
        <v>3350</v>
      </c>
      <c r="N226" s="227">
        <f t="shared" si="28"/>
        <v>585285.246362012</v>
      </c>
      <c r="O226" s="152">
        <f t="shared" si="29"/>
        <v>1288970.9333620113</v>
      </c>
    </row>
    <row r="227" spans="1:15" x14ac:dyDescent="0.15">
      <c r="A227" s="154"/>
      <c r="B227" s="151"/>
      <c r="C227" s="152"/>
      <c r="D227" s="323"/>
      <c r="E227" s="154"/>
      <c r="F227" s="157"/>
      <c r="G227" s="152"/>
      <c r="H227" s="323" t="s">
        <v>3321</v>
      </c>
      <c r="I227" s="152"/>
      <c r="J227" s="157"/>
      <c r="K227" s="157">
        <v>5800361483</v>
      </c>
      <c r="L227" s="227">
        <v>14699.808000000001</v>
      </c>
      <c r="M227" s="157" t="s">
        <v>3350</v>
      </c>
      <c r="N227" s="227">
        <f t="shared" si="28"/>
        <v>570585.43836201204</v>
      </c>
      <c r="O227" s="152">
        <f t="shared" si="29"/>
        <v>1274271.1253620114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3321</v>
      </c>
      <c r="I228" s="152"/>
      <c r="J228" s="157"/>
      <c r="K228" s="157">
        <v>5800361483</v>
      </c>
      <c r="L228" s="227">
        <v>13615.712</v>
      </c>
      <c r="M228" s="157" t="s">
        <v>3350</v>
      </c>
      <c r="N228" s="227">
        <f t="shared" si="28"/>
        <v>556969.72636201209</v>
      </c>
      <c r="O228" s="152">
        <f t="shared" si="29"/>
        <v>1260655.4133620113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3321</v>
      </c>
      <c r="I229" s="152"/>
      <c r="J229" s="157"/>
      <c r="K229" s="157">
        <v>5800361483</v>
      </c>
      <c r="L229" s="227">
        <v>1224.2550000000001</v>
      </c>
      <c r="M229" s="157" t="s">
        <v>3350</v>
      </c>
      <c r="N229" s="227">
        <f t="shared" si="28"/>
        <v>555745.47136201209</v>
      </c>
      <c r="O229" s="152">
        <f t="shared" si="29"/>
        <v>1259431.1583620114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3321</v>
      </c>
      <c r="I230" s="152"/>
      <c r="J230" s="157"/>
      <c r="K230" s="157">
        <v>5800361483</v>
      </c>
      <c r="L230" s="227">
        <v>12914.138999999999</v>
      </c>
      <c r="M230" s="157" t="s">
        <v>3350</v>
      </c>
      <c r="N230" s="227">
        <f t="shared" si="28"/>
        <v>542831.33236201212</v>
      </c>
      <c r="O230" s="152">
        <f t="shared" si="29"/>
        <v>1246517.0193620115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3321</v>
      </c>
      <c r="I231" s="152"/>
      <c r="J231" s="157"/>
      <c r="K231" s="157">
        <v>5800361483</v>
      </c>
      <c r="L231" s="227">
        <v>2354.567</v>
      </c>
      <c r="M231" s="157" t="s">
        <v>3350</v>
      </c>
      <c r="N231" s="227">
        <f t="shared" si="28"/>
        <v>540476.76536201208</v>
      </c>
      <c r="O231" s="152">
        <f t="shared" si="29"/>
        <v>1244162.4523620114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3321</v>
      </c>
      <c r="I232" s="152"/>
      <c r="J232" s="157"/>
      <c r="K232" s="157">
        <v>5800361483</v>
      </c>
      <c r="L232" s="227">
        <v>14240.332</v>
      </c>
      <c r="M232" s="157" t="s">
        <v>3350</v>
      </c>
      <c r="N232" s="227">
        <f t="shared" si="28"/>
        <v>526236.43336201203</v>
      </c>
      <c r="O232" s="152">
        <f t="shared" si="29"/>
        <v>1229922.1203620115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3321</v>
      </c>
      <c r="I233" s="152"/>
      <c r="J233" s="157"/>
      <c r="K233" s="157">
        <v>5800361483</v>
      </c>
      <c r="L233" s="227">
        <v>16180.151</v>
      </c>
      <c r="M233" s="157" t="s">
        <v>3350</v>
      </c>
      <c r="N233" s="227">
        <f t="shared" si="28"/>
        <v>510056.28236201202</v>
      </c>
      <c r="O233" s="152">
        <f t="shared" si="29"/>
        <v>1213741.9693620114</v>
      </c>
    </row>
    <row r="234" spans="1:15" x14ac:dyDescent="0.15">
      <c r="A234" s="154"/>
      <c r="B234" s="151"/>
      <c r="C234" s="152"/>
      <c r="D234" s="323" t="s">
        <v>3322</v>
      </c>
      <c r="E234" s="154" t="s">
        <v>72</v>
      </c>
      <c r="F234" s="157" t="s">
        <v>3353</v>
      </c>
      <c r="G234" s="152">
        <v>219416.06599999999</v>
      </c>
      <c r="H234" s="323" t="s">
        <v>3322</v>
      </c>
      <c r="I234" s="152">
        <v>17377.866999999998</v>
      </c>
      <c r="J234" s="157" t="s">
        <v>3350</v>
      </c>
      <c r="K234" s="157">
        <v>5800361483</v>
      </c>
      <c r="L234" s="227">
        <v>9339.84</v>
      </c>
      <c r="M234" s="157" t="s">
        <v>3350</v>
      </c>
      <c r="N234" s="227">
        <f t="shared" si="28"/>
        <v>483338.57536201196</v>
      </c>
      <c r="O234" s="152">
        <f t="shared" si="29"/>
        <v>1406440.3283620111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3322</v>
      </c>
      <c r="I235" s="152"/>
      <c r="J235" s="157"/>
      <c r="K235" s="157">
        <v>5800361483</v>
      </c>
      <c r="L235" s="227">
        <v>12807.894</v>
      </c>
      <c r="M235" s="157" t="s">
        <v>3350</v>
      </c>
      <c r="N235" s="227">
        <f t="shared" si="28"/>
        <v>470530.68136201194</v>
      </c>
      <c r="O235" s="152">
        <f t="shared" si="29"/>
        <v>1393632.434362011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3322</v>
      </c>
      <c r="I236" s="152"/>
      <c r="J236" s="157"/>
      <c r="K236" s="157">
        <v>5800361483</v>
      </c>
      <c r="L236" s="227">
        <v>15731.81</v>
      </c>
      <c r="M236" s="157" t="s">
        <v>3350</v>
      </c>
      <c r="N236" s="227">
        <f t="shared" si="28"/>
        <v>454798.87136201194</v>
      </c>
      <c r="O236" s="152">
        <f t="shared" si="29"/>
        <v>1377900.624362011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3322</v>
      </c>
      <c r="I237" s="152"/>
      <c r="J237" s="157"/>
      <c r="K237" s="157">
        <v>5800361483</v>
      </c>
      <c r="L237" s="227">
        <v>12961.371999999999</v>
      </c>
      <c r="M237" s="157" t="s">
        <v>3350</v>
      </c>
      <c r="N237" s="227">
        <f t="shared" si="28"/>
        <v>441837.49936201196</v>
      </c>
      <c r="O237" s="152">
        <f t="shared" si="29"/>
        <v>1364939.252362011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3322</v>
      </c>
      <c r="I238" s="152"/>
      <c r="J238" s="157"/>
      <c r="K238" s="157">
        <v>5800361483</v>
      </c>
      <c r="L238" s="227">
        <v>14726.013999999999</v>
      </c>
      <c r="M238" s="157" t="s">
        <v>3350</v>
      </c>
      <c r="N238" s="227">
        <f t="shared" si="28"/>
        <v>427111.48536201194</v>
      </c>
      <c r="O238" s="152">
        <f t="shared" si="29"/>
        <v>1350213.238362011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3322</v>
      </c>
      <c r="I239" s="152"/>
      <c r="J239" s="157"/>
      <c r="K239" s="157">
        <v>5800361483</v>
      </c>
      <c r="L239" s="227">
        <v>14438.072</v>
      </c>
      <c r="M239" s="157" t="s">
        <v>3350</v>
      </c>
      <c r="N239" s="227">
        <f t="shared" si="28"/>
        <v>412673.41336201195</v>
      </c>
      <c r="O239" s="152">
        <f t="shared" si="29"/>
        <v>1335775.1663620111</v>
      </c>
    </row>
    <row r="240" spans="1:15" x14ac:dyDescent="0.15">
      <c r="A240" s="154"/>
      <c r="B240" s="151"/>
      <c r="C240" s="152"/>
      <c r="D240" s="323"/>
      <c r="E240" s="154"/>
      <c r="F240" s="157"/>
      <c r="G240" s="152"/>
      <c r="H240" s="323" t="s">
        <v>3322</v>
      </c>
      <c r="I240" s="152"/>
      <c r="J240" s="157"/>
      <c r="K240" s="157">
        <v>5800361483</v>
      </c>
      <c r="L240" s="227">
        <v>4354.1170000000002</v>
      </c>
      <c r="M240" s="157" t="s">
        <v>3350</v>
      </c>
      <c r="N240" s="227">
        <f t="shared" si="28"/>
        <v>408319.29636201193</v>
      </c>
      <c r="O240" s="152">
        <f t="shared" si="29"/>
        <v>1331421.049362011</v>
      </c>
    </row>
    <row r="241" spans="1:15" x14ac:dyDescent="0.15">
      <c r="A241" s="154"/>
      <c r="B241" s="151"/>
      <c r="C241" s="152"/>
      <c r="D241" s="323"/>
      <c r="E241" s="154"/>
      <c r="F241" s="157"/>
      <c r="G241" s="152"/>
      <c r="H241" s="323" t="s">
        <v>3322</v>
      </c>
      <c r="I241" s="152"/>
      <c r="J241" s="157"/>
      <c r="K241" s="157">
        <v>5800361483</v>
      </c>
      <c r="L241" s="227">
        <v>14720.014999999999</v>
      </c>
      <c r="M241" s="157" t="s">
        <v>3350</v>
      </c>
      <c r="N241" s="227">
        <f t="shared" si="28"/>
        <v>393599.28136201191</v>
      </c>
      <c r="O241" s="152">
        <f t="shared" si="29"/>
        <v>1316701.0343620111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3322</v>
      </c>
      <c r="I242" s="152"/>
      <c r="J242" s="157"/>
      <c r="K242" s="157">
        <v>5800361483</v>
      </c>
      <c r="L242" s="227">
        <v>15989.757</v>
      </c>
      <c r="M242" s="157" t="s">
        <v>3350</v>
      </c>
      <c r="N242" s="227">
        <f t="shared" si="28"/>
        <v>377609.52436201193</v>
      </c>
      <c r="O242" s="152">
        <f t="shared" si="29"/>
        <v>1300711.2773620111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3322</v>
      </c>
      <c r="I243" s="152"/>
      <c r="J243" s="157"/>
      <c r="K243" s="157">
        <v>5800361483</v>
      </c>
      <c r="L243" s="227">
        <v>12787.406999999999</v>
      </c>
      <c r="M243" s="157" t="s">
        <v>3350</v>
      </c>
      <c r="N243" s="227">
        <f t="shared" si="28"/>
        <v>364822.11736201192</v>
      </c>
      <c r="O243" s="152">
        <f t="shared" si="29"/>
        <v>1287923.8703620113</v>
      </c>
    </row>
    <row r="244" spans="1:15" x14ac:dyDescent="0.15">
      <c r="A244" s="154"/>
      <c r="B244" s="151"/>
      <c r="C244" s="152"/>
      <c r="D244" s="323" t="s">
        <v>3325</v>
      </c>
      <c r="E244" s="154" t="s">
        <v>72</v>
      </c>
      <c r="F244" s="157" t="s">
        <v>3353</v>
      </c>
      <c r="G244" s="152">
        <v>43866.167000000016</v>
      </c>
      <c r="H244" s="323" t="s">
        <v>3325</v>
      </c>
      <c r="I244" s="152">
        <v>12569.267</v>
      </c>
      <c r="J244" s="157" t="s">
        <v>3350</v>
      </c>
      <c r="K244" s="157">
        <v>5800361483</v>
      </c>
      <c r="L244" s="227">
        <v>14489.062</v>
      </c>
      <c r="M244" s="157" t="s">
        <v>3350</v>
      </c>
      <c r="N244" s="227">
        <f t="shared" si="28"/>
        <v>337763.78836201195</v>
      </c>
      <c r="O244" s="152">
        <f t="shared" si="29"/>
        <v>1304731.7083620112</v>
      </c>
    </row>
    <row r="245" spans="1:15" x14ac:dyDescent="0.15">
      <c r="A245" s="154"/>
      <c r="B245" s="151"/>
      <c r="C245" s="152"/>
      <c r="D245" s="323" t="s">
        <v>3325</v>
      </c>
      <c r="E245" s="154" t="s">
        <v>72</v>
      </c>
      <c r="F245" s="157" t="s">
        <v>3354</v>
      </c>
      <c r="G245" s="152">
        <v>175345.51199999999</v>
      </c>
      <c r="H245" s="323" t="s">
        <v>3325</v>
      </c>
      <c r="I245" s="152"/>
      <c r="J245" s="157"/>
      <c r="K245" s="157">
        <v>5800361483</v>
      </c>
      <c r="L245" s="227">
        <v>14468.066000000001</v>
      </c>
      <c r="M245" s="157" t="s">
        <v>3350</v>
      </c>
      <c r="N245" s="227">
        <f t="shared" si="28"/>
        <v>323295.72236201196</v>
      </c>
      <c r="O245" s="152">
        <f t="shared" si="29"/>
        <v>1465609.1543620112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3325</v>
      </c>
      <c r="I246" s="152"/>
      <c r="J246" s="157"/>
      <c r="K246" s="157">
        <v>5800361483</v>
      </c>
      <c r="L246" s="227">
        <v>13117.34</v>
      </c>
      <c r="M246" s="157" t="s">
        <v>3350</v>
      </c>
      <c r="N246" s="227">
        <f t="shared" si="28"/>
        <v>310178.38236201194</v>
      </c>
      <c r="O246" s="152">
        <f t="shared" si="29"/>
        <v>1452491.8143620112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3325</v>
      </c>
      <c r="I247" s="152"/>
      <c r="J247" s="157"/>
      <c r="K247" s="157">
        <v>5800361483</v>
      </c>
      <c r="L247" s="227">
        <v>13577.246999999999</v>
      </c>
      <c r="M247" s="157" t="s">
        <v>3350</v>
      </c>
      <c r="N247" s="227">
        <f t="shared" si="28"/>
        <v>296601.13536201196</v>
      </c>
      <c r="O247" s="152">
        <f t="shared" si="29"/>
        <v>1438914.5673620112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3325</v>
      </c>
      <c r="I248" s="152"/>
      <c r="J248" s="157"/>
      <c r="K248" s="157">
        <v>5800361483</v>
      </c>
      <c r="L248" s="227">
        <v>15051.948</v>
      </c>
      <c r="M248" s="157" t="s">
        <v>3350</v>
      </c>
      <c r="N248" s="227">
        <f t="shared" si="28"/>
        <v>281549.18736201199</v>
      </c>
      <c r="O248" s="152">
        <f t="shared" si="29"/>
        <v>1423862.6193620111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3325</v>
      </c>
      <c r="I249" s="152"/>
      <c r="J249" s="157"/>
      <c r="K249" s="157">
        <v>5800361483</v>
      </c>
      <c r="L249" s="227">
        <v>15693.817999999999</v>
      </c>
      <c r="M249" s="157" t="s">
        <v>3350</v>
      </c>
      <c r="N249" s="227">
        <f t="shared" si="28"/>
        <v>265855.36936201202</v>
      </c>
      <c r="O249" s="152">
        <f t="shared" si="29"/>
        <v>1408168.8013620111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3325</v>
      </c>
      <c r="I250" s="152"/>
      <c r="J250" s="157"/>
      <c r="K250" s="157">
        <v>5800361483</v>
      </c>
      <c r="L250" s="227">
        <v>13673.227000000001</v>
      </c>
      <c r="M250" s="157" t="s">
        <v>3350</v>
      </c>
      <c r="N250" s="227">
        <f t="shared" si="28"/>
        <v>252182.142362012</v>
      </c>
      <c r="O250" s="152">
        <f t="shared" si="29"/>
        <v>1394495.5743620112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3325</v>
      </c>
      <c r="I251" s="152"/>
      <c r="J251" s="157"/>
      <c r="K251" s="157">
        <v>5800361483</v>
      </c>
      <c r="L251" s="227">
        <v>14679.022999999999</v>
      </c>
      <c r="M251" s="157" t="s">
        <v>3350</v>
      </c>
      <c r="N251" s="227">
        <f t="shared" si="28"/>
        <v>237503.11936201202</v>
      </c>
      <c r="O251" s="152">
        <f t="shared" si="29"/>
        <v>1379816.5513620111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3325</v>
      </c>
      <c r="I252" s="152"/>
      <c r="J252" s="157"/>
      <c r="K252" s="157">
        <v>5800361483</v>
      </c>
      <c r="L252" s="227">
        <v>12609.442999999999</v>
      </c>
      <c r="M252" s="157" t="s">
        <v>3350</v>
      </c>
      <c r="N252" s="227">
        <f t="shared" si="28"/>
        <v>224893.67636201202</v>
      </c>
      <c r="O252" s="152">
        <f t="shared" si="29"/>
        <v>1367207.1083620111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3325</v>
      </c>
      <c r="I253" s="152"/>
      <c r="J253" s="157"/>
      <c r="K253" s="157">
        <v>5800361483</v>
      </c>
      <c r="L253" s="227">
        <v>14890.937</v>
      </c>
      <c r="M253" s="157" t="s">
        <v>3350</v>
      </c>
      <c r="N253" s="227">
        <f t="shared" si="28"/>
        <v>210002.73936201201</v>
      </c>
      <c r="O253" s="152">
        <f t="shared" si="29"/>
        <v>1352316.1713620112</v>
      </c>
    </row>
    <row r="254" spans="1:15" x14ac:dyDescent="0.15">
      <c r="A254" s="154"/>
      <c r="B254" s="151"/>
      <c r="C254" s="152"/>
      <c r="D254" s="323"/>
      <c r="E254" s="154"/>
      <c r="F254" s="157"/>
      <c r="G254" s="152"/>
      <c r="H254" s="323" t="s">
        <v>3325</v>
      </c>
      <c r="I254" s="152"/>
      <c r="J254" s="157"/>
      <c r="K254" s="157">
        <v>5800361483</v>
      </c>
      <c r="L254" s="227">
        <v>15703.441999999999</v>
      </c>
      <c r="M254" s="157" t="s">
        <v>3350</v>
      </c>
      <c r="N254" s="227">
        <f t="shared" si="28"/>
        <v>194299.297362012</v>
      </c>
      <c r="O254" s="152">
        <f t="shared" si="29"/>
        <v>1336612.7293620112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3325</v>
      </c>
      <c r="I255" s="152"/>
      <c r="J255" s="157"/>
      <c r="K255" s="157">
        <v>5800361483</v>
      </c>
      <c r="L255" s="227">
        <v>4385.3310000000001</v>
      </c>
      <c r="M255" s="157" t="s">
        <v>3350</v>
      </c>
      <c r="N255" s="227">
        <f t="shared" si="28"/>
        <v>189913.966362012</v>
      </c>
      <c r="O255" s="152">
        <f t="shared" si="29"/>
        <v>1332227.3983620112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3325</v>
      </c>
      <c r="I256" s="152"/>
      <c r="J256" s="157"/>
      <c r="K256" s="157">
        <v>5800361483</v>
      </c>
      <c r="L256" s="227">
        <v>14654.081</v>
      </c>
      <c r="M256" s="157" t="s">
        <v>3350</v>
      </c>
      <c r="N256" s="227">
        <f t="shared" si="28"/>
        <v>175259.88536201199</v>
      </c>
      <c r="O256" s="152">
        <f t="shared" si="29"/>
        <v>1317573.3173620112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3325</v>
      </c>
      <c r="I257" s="152"/>
      <c r="J257" s="157"/>
      <c r="K257" s="157">
        <v>5800361483</v>
      </c>
      <c r="L257" s="227">
        <v>16271.097</v>
      </c>
      <c r="M257" s="157" t="s">
        <v>3350</v>
      </c>
      <c r="N257" s="227">
        <f t="shared" si="28"/>
        <v>158988.78836201198</v>
      </c>
      <c r="O257" s="152">
        <f t="shared" si="29"/>
        <v>1301302.2203620111</v>
      </c>
    </row>
    <row r="258" spans="1:15" x14ac:dyDescent="0.15">
      <c r="A258" s="154"/>
      <c r="B258" s="151"/>
      <c r="C258" s="152"/>
      <c r="D258" s="323" t="s">
        <v>3326</v>
      </c>
      <c r="E258" s="154" t="s">
        <v>72</v>
      </c>
      <c r="F258" s="157" t="s">
        <v>3354</v>
      </c>
      <c r="G258" s="152">
        <v>87703.147999999986</v>
      </c>
      <c r="H258" s="323" t="s">
        <v>3326</v>
      </c>
      <c r="I258" s="152">
        <v>17192.61</v>
      </c>
      <c r="J258" s="157" t="s">
        <v>3350</v>
      </c>
      <c r="K258" s="157">
        <v>5800361483</v>
      </c>
      <c r="L258" s="227">
        <v>37127.525999999998</v>
      </c>
      <c r="M258" s="157" t="s">
        <v>3350</v>
      </c>
      <c r="N258" s="227">
        <f t="shared" si="28"/>
        <v>104668.65236201197</v>
      </c>
      <c r="O258" s="152">
        <f t="shared" si="29"/>
        <v>1334685.232362011</v>
      </c>
    </row>
    <row r="259" spans="1:15" x14ac:dyDescent="0.15">
      <c r="A259" s="154"/>
      <c r="B259" s="151"/>
      <c r="C259" s="152"/>
      <c r="D259" s="323" t="s">
        <v>3326</v>
      </c>
      <c r="E259" s="154" t="s">
        <v>72</v>
      </c>
      <c r="F259" s="157" t="s">
        <v>3355</v>
      </c>
      <c r="G259" s="152">
        <v>175539.929</v>
      </c>
      <c r="H259" s="323" t="s">
        <v>3326</v>
      </c>
      <c r="I259" s="152"/>
      <c r="J259" s="157"/>
      <c r="K259" s="157">
        <v>5800361483</v>
      </c>
      <c r="L259" s="227">
        <v>14081.855</v>
      </c>
      <c r="M259" s="157" t="s">
        <v>3350</v>
      </c>
      <c r="N259" s="227">
        <f t="shared" si="28"/>
        <v>90586.797362011974</v>
      </c>
      <c r="O259" s="152">
        <f t="shared" si="29"/>
        <v>1496143.306362011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3326</v>
      </c>
      <c r="I260" s="152"/>
      <c r="J260" s="157"/>
      <c r="K260" s="157">
        <v>5800361483</v>
      </c>
      <c r="L260" s="227">
        <v>14781.996999999999</v>
      </c>
      <c r="M260" s="157" t="s">
        <v>3350</v>
      </c>
      <c r="N260" s="227">
        <f t="shared" si="28"/>
        <v>75804.800362011971</v>
      </c>
      <c r="O260" s="152">
        <f t="shared" si="29"/>
        <v>1481361.309362011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3326</v>
      </c>
      <c r="I261" s="152"/>
      <c r="J261" s="157"/>
      <c r="K261" s="157">
        <v>5800361483</v>
      </c>
      <c r="L261" s="227">
        <v>17554.559000000001</v>
      </c>
      <c r="M261" s="157" t="s">
        <v>3350</v>
      </c>
      <c r="N261" s="227">
        <f t="shared" si="28"/>
        <v>58250.24136201197</v>
      </c>
      <c r="O261" s="152">
        <f t="shared" si="29"/>
        <v>1463806.7503620111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3326</v>
      </c>
      <c r="I262" s="152"/>
      <c r="J262" s="157"/>
      <c r="K262" s="157">
        <v>5800361483</v>
      </c>
      <c r="L262" s="227">
        <v>13489.735000000001</v>
      </c>
      <c r="M262" s="157" t="s">
        <v>3350</v>
      </c>
      <c r="N262" s="227">
        <f t="shared" si="28"/>
        <v>44760.506362011969</v>
      </c>
      <c r="O262" s="152">
        <f t="shared" si="29"/>
        <v>1450317.015362011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3326</v>
      </c>
      <c r="I263" s="152"/>
      <c r="J263" s="157"/>
      <c r="K263" s="157">
        <v>5800361483</v>
      </c>
      <c r="L263" s="227">
        <v>12689.572</v>
      </c>
      <c r="M263" s="157" t="s">
        <v>3350</v>
      </c>
      <c r="N263" s="227">
        <f t="shared" si="28"/>
        <v>32070.934362011969</v>
      </c>
      <c r="O263" s="152">
        <f t="shared" si="29"/>
        <v>1437627.4433620111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3326</v>
      </c>
      <c r="I264" s="152"/>
      <c r="J264" s="157"/>
      <c r="K264" s="157">
        <v>5800361483</v>
      </c>
      <c r="L264" s="227">
        <v>15564.155000000001</v>
      </c>
      <c r="M264" s="157" t="s">
        <v>3350</v>
      </c>
      <c r="N264" s="227">
        <f t="shared" si="28"/>
        <v>16506.77936201197</v>
      </c>
      <c r="O264" s="152">
        <f t="shared" si="29"/>
        <v>1422063.2883620111</v>
      </c>
    </row>
    <row r="265" spans="1:15" x14ac:dyDescent="0.15">
      <c r="A265" s="154"/>
      <c r="B265" s="151"/>
      <c r="C265" s="152"/>
      <c r="D265" s="323"/>
      <c r="E265" s="154"/>
      <c r="F265" s="157"/>
      <c r="G265" s="152"/>
      <c r="H265" s="323" t="s">
        <v>3326</v>
      </c>
      <c r="I265" s="152"/>
      <c r="J265" s="157"/>
      <c r="K265" s="157">
        <v>5800361483</v>
      </c>
      <c r="L265" s="227">
        <v>10274.083000000001</v>
      </c>
      <c r="M265" s="157" t="s">
        <v>3350</v>
      </c>
      <c r="N265" s="227">
        <f t="shared" si="28"/>
        <v>6232.6963620119695</v>
      </c>
      <c r="O265" s="152">
        <f t="shared" si="29"/>
        <v>1411789.205362011</v>
      </c>
    </row>
    <row r="266" spans="1:15" x14ac:dyDescent="0.15">
      <c r="A266" s="154"/>
      <c r="B266" s="151"/>
      <c r="C266" s="152"/>
      <c r="D266" s="323"/>
      <c r="E266" s="154"/>
      <c r="F266" s="157"/>
      <c r="G266" s="152"/>
      <c r="H266" s="323" t="s">
        <v>3326</v>
      </c>
      <c r="I266" s="152"/>
      <c r="J266" s="157"/>
      <c r="K266" s="157">
        <v>5800361483</v>
      </c>
      <c r="L266" s="227">
        <v>6232.6963620119695</v>
      </c>
      <c r="M266" s="157" t="s">
        <v>3350</v>
      </c>
      <c r="N266" s="227">
        <f t="shared" ref="N266:N273" si="32">+N265-I266-L266</f>
        <v>0</v>
      </c>
      <c r="O266" s="152">
        <f t="shared" ref="O266:O273" si="33">O265+G266-I266-L266</f>
        <v>1405556.5089999989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3326</v>
      </c>
      <c r="I267" s="152"/>
      <c r="J267" s="157"/>
      <c r="K267" s="157">
        <v>5800361483</v>
      </c>
      <c r="L267" s="227">
        <v>6340.0286379880299</v>
      </c>
      <c r="M267" s="157" t="s">
        <v>3351</v>
      </c>
      <c r="N267" s="227">
        <f>G181+G195+N266-I267-L267</f>
        <v>257587.398362012</v>
      </c>
      <c r="O267" s="152">
        <f t="shared" si="33"/>
        <v>1399216.4803620109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3326</v>
      </c>
      <c r="I268" s="152"/>
      <c r="J268" s="157"/>
      <c r="K268" s="157">
        <v>5800361483</v>
      </c>
      <c r="L268" s="227">
        <v>15098.468999999999</v>
      </c>
      <c r="M268" s="157" t="s">
        <v>3351</v>
      </c>
      <c r="N268" s="227">
        <f t="shared" si="32"/>
        <v>242488.92936201199</v>
      </c>
      <c r="O268" s="152">
        <f t="shared" si="33"/>
        <v>1384118.0113620108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3326</v>
      </c>
      <c r="I269" s="152"/>
      <c r="J269" s="157"/>
      <c r="K269" s="157">
        <v>5800361483</v>
      </c>
      <c r="L269" s="227">
        <v>4537.54</v>
      </c>
      <c r="M269" s="157" t="s">
        <v>3351</v>
      </c>
      <c r="N269" s="227">
        <f t="shared" si="32"/>
        <v>237951.38936201198</v>
      </c>
      <c r="O269" s="152">
        <f t="shared" si="33"/>
        <v>1379580.4713620108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3326</v>
      </c>
      <c r="I270" s="152"/>
      <c r="J270" s="157"/>
      <c r="K270" s="157">
        <v>5800361483</v>
      </c>
      <c r="L270" s="227">
        <v>14561.523999999999</v>
      </c>
      <c r="M270" s="157" t="s">
        <v>3351</v>
      </c>
      <c r="N270" s="227">
        <f t="shared" si="32"/>
        <v>223389.86536201197</v>
      </c>
      <c r="O270" s="152">
        <f t="shared" si="33"/>
        <v>1365018.9473620108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3326</v>
      </c>
      <c r="I271" s="152"/>
      <c r="J271" s="157"/>
      <c r="K271" s="157">
        <v>5800361483</v>
      </c>
      <c r="L271" s="227">
        <v>16534.324000000001</v>
      </c>
      <c r="M271" s="157" t="s">
        <v>3351</v>
      </c>
      <c r="N271" s="227">
        <f t="shared" si="32"/>
        <v>206855.54136201198</v>
      </c>
      <c r="O271" s="152">
        <f t="shared" si="33"/>
        <v>1348484.6233620108</v>
      </c>
    </row>
    <row r="272" spans="1:15" x14ac:dyDescent="0.15">
      <c r="A272" s="154"/>
      <c r="B272" s="151"/>
      <c r="C272" s="152"/>
      <c r="D272" s="323" t="s">
        <v>3327</v>
      </c>
      <c r="E272" s="154" t="s">
        <v>72</v>
      </c>
      <c r="F272" s="157" t="s">
        <v>3355</v>
      </c>
      <c r="G272" s="152">
        <v>351237.42</v>
      </c>
      <c r="H272" s="323" t="s">
        <v>3327</v>
      </c>
      <c r="I272" s="152">
        <v>11213.532999999999</v>
      </c>
      <c r="J272" s="157" t="s">
        <v>3351</v>
      </c>
      <c r="K272" s="157">
        <v>5800361483</v>
      </c>
      <c r="L272" s="227">
        <v>13999.178</v>
      </c>
      <c r="M272" s="157" t="s">
        <v>3351</v>
      </c>
      <c r="N272" s="227">
        <f t="shared" si="32"/>
        <v>181642.83036201197</v>
      </c>
      <c r="O272" s="152">
        <f t="shared" si="33"/>
        <v>1674509.3323620106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3327</v>
      </c>
      <c r="I273" s="152"/>
      <c r="J273" s="157"/>
      <c r="K273" s="157">
        <v>5800361483</v>
      </c>
      <c r="L273" s="227">
        <v>14359.543</v>
      </c>
      <c r="M273" s="157" t="s">
        <v>3351</v>
      </c>
      <c r="N273" s="227">
        <f t="shared" si="32"/>
        <v>167283.28736201196</v>
      </c>
      <c r="O273" s="152">
        <f t="shared" si="33"/>
        <v>1660149.7893620105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3327</v>
      </c>
      <c r="I274" s="152"/>
      <c r="J274" s="157"/>
      <c r="K274" s="157">
        <v>5800361483</v>
      </c>
      <c r="L274" s="227">
        <v>14467.652</v>
      </c>
      <c r="M274" s="157" t="s">
        <v>3351</v>
      </c>
      <c r="N274" s="227">
        <f t="shared" si="28"/>
        <v>152815.63536201196</v>
      </c>
      <c r="O274" s="152">
        <f t="shared" si="29"/>
        <v>1645682.1373620105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3327</v>
      </c>
      <c r="I275" s="152"/>
      <c r="J275" s="157"/>
      <c r="K275" s="157">
        <v>5800361483</v>
      </c>
      <c r="L275" s="227">
        <v>16499.71</v>
      </c>
      <c r="M275" s="157" t="s">
        <v>3351</v>
      </c>
      <c r="N275" s="227">
        <f t="shared" si="28"/>
        <v>136315.92536201197</v>
      </c>
      <c r="O275" s="152">
        <f t="shared" si="29"/>
        <v>1629182.4273620106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3327</v>
      </c>
      <c r="I276" s="152"/>
      <c r="J276" s="157"/>
      <c r="K276" s="157">
        <v>5800361483</v>
      </c>
      <c r="L276" s="227">
        <v>13889.066000000001</v>
      </c>
      <c r="M276" s="157" t="s">
        <v>3351</v>
      </c>
      <c r="N276" s="227">
        <f t="shared" si="28"/>
        <v>122426.85936201196</v>
      </c>
      <c r="O276" s="152">
        <f t="shared" si="29"/>
        <v>1615293.3613620105</v>
      </c>
    </row>
    <row r="277" spans="1:15" ht="12" customHeight="1" x14ac:dyDescent="0.15">
      <c r="A277" s="154"/>
      <c r="B277" s="151"/>
      <c r="C277" s="152"/>
      <c r="D277" s="323"/>
      <c r="E277" s="154"/>
      <c r="F277" s="157"/>
      <c r="G277" s="152"/>
      <c r="H277" s="323" t="s">
        <v>3327</v>
      </c>
      <c r="I277" s="152"/>
      <c r="J277" s="157"/>
      <c r="K277" s="157">
        <v>5800361483</v>
      </c>
      <c r="L277" s="227">
        <v>14400.54</v>
      </c>
      <c r="M277" s="157" t="s">
        <v>3351</v>
      </c>
      <c r="N277" s="227">
        <f t="shared" si="28"/>
        <v>108026.31936201197</v>
      </c>
      <c r="O277" s="152">
        <f t="shared" si="29"/>
        <v>1600892.8213620104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3327</v>
      </c>
      <c r="I278" s="152"/>
      <c r="J278" s="157"/>
      <c r="K278" s="157">
        <v>5800361483</v>
      </c>
      <c r="L278" s="227">
        <v>16324.344999999999</v>
      </c>
      <c r="M278" s="157" t="s">
        <v>3351</v>
      </c>
      <c r="N278" s="227">
        <f t="shared" si="28"/>
        <v>91701.97436201197</v>
      </c>
      <c r="O278" s="152">
        <f t="shared" si="29"/>
        <v>1584568.4763620105</v>
      </c>
    </row>
    <row r="279" spans="1:15" x14ac:dyDescent="0.15">
      <c r="A279" s="154"/>
      <c r="B279" s="151"/>
      <c r="C279" s="152"/>
      <c r="D279" s="323"/>
      <c r="E279" s="154"/>
      <c r="F279" s="157"/>
      <c r="G279" s="152"/>
      <c r="H279" s="323" t="s">
        <v>3327</v>
      </c>
      <c r="I279" s="152"/>
      <c r="J279" s="157"/>
      <c r="K279" s="157">
        <v>5800361483</v>
      </c>
      <c r="L279" s="227">
        <v>4624.5309999999999</v>
      </c>
      <c r="M279" s="157" t="s">
        <v>3351</v>
      </c>
      <c r="N279" s="227">
        <f t="shared" si="28"/>
        <v>87077.443362011967</v>
      </c>
      <c r="O279" s="152">
        <f t="shared" si="29"/>
        <v>1579943.9453620105</v>
      </c>
    </row>
    <row r="280" spans="1:15" x14ac:dyDescent="0.15">
      <c r="A280" s="154"/>
      <c r="B280" s="151"/>
      <c r="C280" s="152"/>
      <c r="D280" s="323"/>
      <c r="E280" s="154"/>
      <c r="F280" s="157"/>
      <c r="G280" s="152"/>
      <c r="H280" s="323" t="s">
        <v>3327</v>
      </c>
      <c r="I280" s="152"/>
      <c r="J280" s="157"/>
      <c r="K280" s="157">
        <v>5800361483</v>
      </c>
      <c r="L280" s="227">
        <v>39995.945</v>
      </c>
      <c r="M280" s="157" t="s">
        <v>3351</v>
      </c>
      <c r="N280" s="227">
        <f t="shared" si="28"/>
        <v>47081.498362011967</v>
      </c>
      <c r="O280" s="152">
        <f t="shared" si="29"/>
        <v>1539948.0003620104</v>
      </c>
    </row>
    <row r="281" spans="1:15" x14ac:dyDescent="0.15">
      <c r="A281" s="154"/>
      <c r="B281" s="151"/>
      <c r="C281" s="152"/>
      <c r="D281" s="323" t="s">
        <v>3329</v>
      </c>
      <c r="E281" s="154" t="s">
        <v>72</v>
      </c>
      <c r="F281" s="157" t="s">
        <v>3356</v>
      </c>
      <c r="G281" s="152">
        <v>175794.47</v>
      </c>
      <c r="H281" s="323" t="s">
        <v>3329</v>
      </c>
      <c r="I281" s="152">
        <v>10822.442999999999</v>
      </c>
      <c r="J281" s="157" t="s">
        <v>3351</v>
      </c>
      <c r="K281" s="157">
        <v>5800361483</v>
      </c>
      <c r="L281" s="227">
        <v>14058.85</v>
      </c>
      <c r="M281" s="157" t="s">
        <v>3351</v>
      </c>
      <c r="N281" s="227">
        <f t="shared" si="28"/>
        <v>22200.20536201197</v>
      </c>
      <c r="O281" s="152">
        <f t="shared" si="29"/>
        <v>1690861.1773620103</v>
      </c>
    </row>
    <row r="282" spans="1:15" x14ac:dyDescent="0.15">
      <c r="A282" s="154"/>
      <c r="B282" s="151"/>
      <c r="C282" s="152"/>
      <c r="D282" s="323"/>
      <c r="E282" s="154"/>
      <c r="F282" s="157"/>
      <c r="G282" s="152"/>
      <c r="H282" s="323" t="s">
        <v>3329</v>
      </c>
      <c r="I282" s="152"/>
      <c r="J282" s="157"/>
      <c r="K282" s="157">
        <v>5800361483</v>
      </c>
      <c r="L282" s="227">
        <v>17845.617999999999</v>
      </c>
      <c r="M282" s="157" t="s">
        <v>3351</v>
      </c>
      <c r="N282" s="227">
        <f t="shared" ref="N282:N347" si="34">+N281-I282-L282</f>
        <v>4354.587362011971</v>
      </c>
      <c r="O282" s="152">
        <f t="shared" ref="O282:O347" si="35">O281+G282-I282-L282</f>
        <v>1673015.5593620103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3329</v>
      </c>
      <c r="I283" s="152"/>
      <c r="J283" s="157"/>
      <c r="K283" s="157">
        <v>5800361483</v>
      </c>
      <c r="L283" s="227">
        <v>4354.587362011971</v>
      </c>
      <c r="M283" s="157" t="s">
        <v>3351</v>
      </c>
      <c r="N283" s="227">
        <f t="shared" ref="N283:N288" si="36">+N282-I283-L283</f>
        <v>0</v>
      </c>
      <c r="O283" s="152">
        <f t="shared" ref="O283:O288" si="37">O282+G283-I283-L283</f>
        <v>1668660.9719999984</v>
      </c>
    </row>
    <row r="284" spans="1:15" x14ac:dyDescent="0.15">
      <c r="A284" s="154"/>
      <c r="B284" s="151"/>
      <c r="C284" s="152"/>
      <c r="D284" s="323"/>
      <c r="E284" s="154"/>
      <c r="F284" s="157"/>
      <c r="G284" s="152"/>
      <c r="H284" s="323" t="s">
        <v>3329</v>
      </c>
      <c r="I284" s="152"/>
      <c r="J284" s="157"/>
      <c r="K284" s="157">
        <v>5800361041</v>
      </c>
      <c r="L284" s="227">
        <v>8687.0566379880293</v>
      </c>
      <c r="M284" s="157" t="s">
        <v>3352</v>
      </c>
      <c r="N284" s="227">
        <f>G196+G207+N283-I284-L284</f>
        <v>431071.20336201199</v>
      </c>
      <c r="O284" s="152">
        <f t="shared" si="37"/>
        <v>1659973.9153620105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3329</v>
      </c>
      <c r="I285" s="152"/>
      <c r="J285" s="157"/>
      <c r="K285" s="157">
        <v>5800361041</v>
      </c>
      <c r="L285" s="227">
        <v>17156.477999999999</v>
      </c>
      <c r="M285" s="157" t="s">
        <v>3352</v>
      </c>
      <c r="N285" s="227">
        <f t="shared" si="36"/>
        <v>413914.72536201199</v>
      </c>
      <c r="O285" s="152">
        <f t="shared" si="37"/>
        <v>1642817.4373620106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3329</v>
      </c>
      <c r="I286" s="152"/>
      <c r="J286" s="157"/>
      <c r="K286" s="157">
        <v>5800361041</v>
      </c>
      <c r="L286" s="227">
        <v>12502.535</v>
      </c>
      <c r="M286" s="157" t="s">
        <v>3352</v>
      </c>
      <c r="N286" s="227">
        <f t="shared" si="36"/>
        <v>401412.19036201201</v>
      </c>
      <c r="O286" s="152">
        <f t="shared" si="37"/>
        <v>1630314.9023620107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3329</v>
      </c>
      <c r="I287" s="152"/>
      <c r="J287" s="157"/>
      <c r="K287" s="157">
        <v>5800361041</v>
      </c>
      <c r="L287" s="227">
        <v>15163.074000000001</v>
      </c>
      <c r="M287" s="157" t="s">
        <v>3352</v>
      </c>
      <c r="N287" s="227">
        <f t="shared" si="36"/>
        <v>386249.11636201199</v>
      </c>
      <c r="O287" s="152">
        <f t="shared" si="37"/>
        <v>1615151.8283620107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3329</v>
      </c>
      <c r="I288" s="152"/>
      <c r="J288" s="157"/>
      <c r="K288" s="157">
        <v>5800361041</v>
      </c>
      <c r="L288" s="227">
        <v>16016.246999999999</v>
      </c>
      <c r="M288" s="157" t="s">
        <v>3352</v>
      </c>
      <c r="N288" s="227">
        <f t="shared" si="36"/>
        <v>370232.86936201202</v>
      </c>
      <c r="O288" s="152">
        <f t="shared" si="37"/>
        <v>1599135.5813620107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3329</v>
      </c>
      <c r="I289" s="152"/>
      <c r="J289" s="157"/>
      <c r="K289" s="157">
        <v>5800361041</v>
      </c>
      <c r="L289" s="227">
        <v>14766.994000000001</v>
      </c>
      <c r="M289" s="157" t="s">
        <v>3352</v>
      </c>
      <c r="N289" s="227">
        <f t="shared" si="34"/>
        <v>355465.87536201201</v>
      </c>
      <c r="O289" s="152">
        <f t="shared" si="35"/>
        <v>1584368.5873620107</v>
      </c>
    </row>
    <row r="290" spans="1:15" x14ac:dyDescent="0.15">
      <c r="A290" s="154"/>
      <c r="B290" s="151"/>
      <c r="C290" s="152"/>
      <c r="D290" s="323"/>
      <c r="E290" s="154"/>
      <c r="F290" s="157"/>
      <c r="G290" s="152"/>
      <c r="H290" s="323" t="s">
        <v>3329</v>
      </c>
      <c r="I290" s="152"/>
      <c r="J290" s="157"/>
      <c r="K290" s="157">
        <v>5800361041</v>
      </c>
      <c r="L290" s="227">
        <v>9427.9110000000001</v>
      </c>
      <c r="M290" s="157" t="s">
        <v>3352</v>
      </c>
      <c r="N290" s="227">
        <f t="shared" si="34"/>
        <v>346037.96436201199</v>
      </c>
      <c r="O290" s="152">
        <f t="shared" si="35"/>
        <v>1574940.6763620107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3329</v>
      </c>
      <c r="I291" s="152"/>
      <c r="J291" s="157"/>
      <c r="K291" s="157">
        <v>5800361041</v>
      </c>
      <c r="L291" s="227">
        <v>12584.724</v>
      </c>
      <c r="M291" s="157" t="s">
        <v>3352</v>
      </c>
      <c r="N291" s="227">
        <f t="shared" si="34"/>
        <v>333453.240362012</v>
      </c>
      <c r="O291" s="152">
        <f t="shared" si="35"/>
        <v>1562355.9523620107</v>
      </c>
    </row>
    <row r="292" spans="1:15" x14ac:dyDescent="0.15">
      <c r="A292" s="154"/>
      <c r="B292" s="151"/>
      <c r="C292" s="152"/>
      <c r="D292" s="323"/>
      <c r="E292" s="154"/>
      <c r="F292" s="157"/>
      <c r="G292" s="152"/>
      <c r="H292" s="323" t="s">
        <v>3329</v>
      </c>
      <c r="I292" s="152"/>
      <c r="J292" s="157"/>
      <c r="K292" s="157">
        <v>5800361041</v>
      </c>
      <c r="L292" s="227">
        <v>14577.522000000001</v>
      </c>
      <c r="M292" s="157" t="s">
        <v>3352</v>
      </c>
      <c r="N292" s="227">
        <f t="shared" si="34"/>
        <v>318875.718362012</v>
      </c>
      <c r="O292" s="152">
        <f t="shared" si="35"/>
        <v>1547778.4303620106</v>
      </c>
    </row>
    <row r="293" spans="1:15" x14ac:dyDescent="0.15">
      <c r="A293" s="154"/>
      <c r="B293" s="151"/>
      <c r="C293" s="152"/>
      <c r="D293" s="323"/>
      <c r="E293" s="154"/>
      <c r="F293" s="157"/>
      <c r="G293" s="152"/>
      <c r="H293" s="323" t="s">
        <v>3329</v>
      </c>
      <c r="I293" s="152"/>
      <c r="J293" s="157"/>
      <c r="K293" s="157">
        <v>5800361041</v>
      </c>
      <c r="L293" s="227">
        <v>1709.827</v>
      </c>
      <c r="M293" s="157" t="s">
        <v>3352</v>
      </c>
      <c r="N293" s="227">
        <f t="shared" si="34"/>
        <v>317165.89136201201</v>
      </c>
      <c r="O293" s="152">
        <f t="shared" si="35"/>
        <v>1546068.6033620106</v>
      </c>
    </row>
    <row r="294" spans="1:15" x14ac:dyDescent="0.15">
      <c r="A294" s="154"/>
      <c r="B294" s="151"/>
      <c r="C294" s="152"/>
      <c r="D294" s="323"/>
      <c r="E294" s="154"/>
      <c r="F294" s="157"/>
      <c r="G294" s="152"/>
      <c r="H294" s="323" t="s">
        <v>3329</v>
      </c>
      <c r="I294" s="152"/>
      <c r="J294" s="157"/>
      <c r="K294" s="157">
        <v>5800361041</v>
      </c>
      <c r="L294" s="227">
        <v>14226.558000000001</v>
      </c>
      <c r="M294" s="157" t="s">
        <v>3352</v>
      </c>
      <c r="N294" s="227">
        <f t="shared" si="34"/>
        <v>302939.333362012</v>
      </c>
      <c r="O294" s="152">
        <f t="shared" si="35"/>
        <v>1531842.0453620106</v>
      </c>
    </row>
    <row r="295" spans="1:15" x14ac:dyDescent="0.15">
      <c r="A295" s="154"/>
      <c r="B295" s="151"/>
      <c r="C295" s="152"/>
      <c r="D295" s="323" t="s">
        <v>3330</v>
      </c>
      <c r="E295" s="154" t="s">
        <v>72</v>
      </c>
      <c r="F295" s="157" t="s">
        <v>3356</v>
      </c>
      <c r="G295" s="152">
        <v>43892.10500000001</v>
      </c>
      <c r="H295" s="323" t="s">
        <v>3330</v>
      </c>
      <c r="I295" s="152">
        <v>11360.906999999999</v>
      </c>
      <c r="J295" s="157" t="s">
        <v>3352</v>
      </c>
      <c r="K295" s="157">
        <v>5800361041</v>
      </c>
      <c r="L295" s="227">
        <v>14825</v>
      </c>
      <c r="M295" s="157" t="s">
        <v>3352</v>
      </c>
      <c r="N295" s="227">
        <f t="shared" si="34"/>
        <v>276753.42636201199</v>
      </c>
      <c r="O295" s="152">
        <f t="shared" si="35"/>
        <v>1549548.2433620107</v>
      </c>
    </row>
    <row r="296" spans="1:15" x14ac:dyDescent="0.15">
      <c r="A296" s="154"/>
      <c r="B296" s="151"/>
      <c r="C296" s="152"/>
      <c r="D296" s="323" t="s">
        <v>3330</v>
      </c>
      <c r="E296" s="154" t="s">
        <v>72</v>
      </c>
      <c r="F296" s="157" t="s">
        <v>3357</v>
      </c>
      <c r="G296" s="152">
        <v>175808.25599999999</v>
      </c>
      <c r="H296" s="323" t="s">
        <v>3330</v>
      </c>
      <c r="I296" s="152"/>
      <c r="J296" s="157"/>
      <c r="K296" s="157">
        <v>5800361041</v>
      </c>
      <c r="L296" s="227">
        <v>16034</v>
      </c>
      <c r="M296" s="157" t="s">
        <v>3352</v>
      </c>
      <c r="N296" s="227">
        <f t="shared" si="34"/>
        <v>260719.42636201199</v>
      </c>
      <c r="O296" s="152">
        <f t="shared" si="35"/>
        <v>1709322.4993620107</v>
      </c>
    </row>
    <row r="297" spans="1:15" x14ac:dyDescent="0.15">
      <c r="A297" s="154"/>
      <c r="B297" s="151"/>
      <c r="C297" s="152"/>
      <c r="D297" s="323"/>
      <c r="E297" s="154"/>
      <c r="F297" s="157"/>
      <c r="G297" s="152"/>
      <c r="H297" s="323" t="s">
        <v>3330</v>
      </c>
      <c r="I297" s="152"/>
      <c r="J297" s="157"/>
      <c r="K297" s="157">
        <v>5800361041</v>
      </c>
      <c r="L297" s="227">
        <v>12996</v>
      </c>
      <c r="M297" s="157" t="s">
        <v>3352</v>
      </c>
      <c r="N297" s="227">
        <f t="shared" si="34"/>
        <v>247723.42636201199</v>
      </c>
      <c r="O297" s="152">
        <f t="shared" si="35"/>
        <v>1696326.4993620107</v>
      </c>
    </row>
    <row r="298" spans="1:15" x14ac:dyDescent="0.15">
      <c r="A298" s="154"/>
      <c r="B298" s="151"/>
      <c r="C298" s="152"/>
      <c r="D298" s="323"/>
      <c r="E298" s="154"/>
      <c r="F298" s="157"/>
      <c r="G298" s="152"/>
      <c r="H298" s="323" t="s">
        <v>3330</v>
      </c>
      <c r="I298" s="152"/>
      <c r="J298" s="157"/>
      <c r="K298" s="157">
        <v>5800361041</v>
      </c>
      <c r="L298" s="227">
        <v>15090</v>
      </c>
      <c r="M298" s="157" t="s">
        <v>3352</v>
      </c>
      <c r="N298" s="227">
        <f t="shared" si="34"/>
        <v>232633.42636201199</v>
      </c>
      <c r="O298" s="152">
        <f t="shared" si="35"/>
        <v>1681236.4993620107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3330</v>
      </c>
      <c r="I299" s="152"/>
      <c r="J299" s="157"/>
      <c r="K299" s="157">
        <v>5800361041</v>
      </c>
      <c r="L299" s="227">
        <v>12504</v>
      </c>
      <c r="M299" s="157" t="s">
        <v>3352</v>
      </c>
      <c r="N299" s="227">
        <f t="shared" si="34"/>
        <v>220129.42636201199</v>
      </c>
      <c r="O299" s="152">
        <f t="shared" si="35"/>
        <v>1668732.4993620107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3330</v>
      </c>
      <c r="I300" s="152"/>
      <c r="J300" s="157"/>
      <c r="K300" s="157">
        <v>5800361041</v>
      </c>
      <c r="L300" s="227">
        <v>14580</v>
      </c>
      <c r="M300" s="157" t="s">
        <v>3352</v>
      </c>
      <c r="N300" s="227">
        <f t="shared" si="34"/>
        <v>205549.42636201199</v>
      </c>
      <c r="O300" s="152">
        <f t="shared" si="35"/>
        <v>1654152.4993620107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3330</v>
      </c>
      <c r="I301" s="152"/>
      <c r="J301" s="157"/>
      <c r="K301" s="157">
        <v>5800361041</v>
      </c>
      <c r="L301" s="227">
        <v>15656</v>
      </c>
      <c r="M301" s="157" t="s">
        <v>3352</v>
      </c>
      <c r="N301" s="227">
        <f t="shared" si="34"/>
        <v>189893.42636201199</v>
      </c>
      <c r="O301" s="152">
        <f t="shared" si="35"/>
        <v>1638496.4993620107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3330</v>
      </c>
      <c r="I302" s="152"/>
      <c r="J302" s="157"/>
      <c r="K302" s="157">
        <v>5800361041</v>
      </c>
      <c r="L302" s="227">
        <v>14362</v>
      </c>
      <c r="M302" s="157" t="s">
        <v>3352</v>
      </c>
      <c r="N302" s="227">
        <f t="shared" si="34"/>
        <v>175531.42636201199</v>
      </c>
      <c r="O302" s="152">
        <f t="shared" si="35"/>
        <v>1624134.4993620107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3330</v>
      </c>
      <c r="I303" s="152"/>
      <c r="J303" s="157"/>
      <c r="K303" s="157">
        <v>5800361041</v>
      </c>
      <c r="L303" s="227">
        <v>11039</v>
      </c>
      <c r="M303" s="157" t="s">
        <v>3352</v>
      </c>
      <c r="N303" s="227">
        <f t="shared" si="34"/>
        <v>164492.42636201199</v>
      </c>
      <c r="O303" s="152">
        <f t="shared" si="35"/>
        <v>1613095.4993620107</v>
      </c>
    </row>
    <row r="304" spans="1:15" x14ac:dyDescent="0.15">
      <c r="A304" s="154"/>
      <c r="B304" s="151"/>
      <c r="C304" s="152"/>
      <c r="D304" s="323"/>
      <c r="E304" s="154"/>
      <c r="F304" s="157"/>
      <c r="G304" s="152"/>
      <c r="H304" s="323" t="s">
        <v>3330</v>
      </c>
      <c r="I304" s="152"/>
      <c r="J304" s="157"/>
      <c r="K304" s="157">
        <v>5800361041</v>
      </c>
      <c r="L304" s="227">
        <v>14457.067999999999</v>
      </c>
      <c r="M304" s="157" t="s">
        <v>3352</v>
      </c>
      <c r="N304" s="227">
        <f t="shared" si="34"/>
        <v>150035.35836201199</v>
      </c>
      <c r="O304" s="152">
        <f t="shared" si="35"/>
        <v>1598638.4313620108</v>
      </c>
    </row>
    <row r="305" spans="1:15" x14ac:dyDescent="0.15">
      <c r="A305" s="154"/>
      <c r="B305" s="151"/>
      <c r="C305" s="152"/>
      <c r="D305" s="323"/>
      <c r="E305" s="154"/>
      <c r="F305" s="157"/>
      <c r="G305" s="152"/>
      <c r="H305" s="323" t="s">
        <v>3330</v>
      </c>
      <c r="I305" s="152"/>
      <c r="J305" s="157"/>
      <c r="K305" s="157">
        <v>5800361041</v>
      </c>
      <c r="L305" s="227">
        <v>15076.942999999999</v>
      </c>
      <c r="M305" s="157" t="s">
        <v>3352</v>
      </c>
      <c r="N305" s="227">
        <f t="shared" si="34"/>
        <v>134958.41536201199</v>
      </c>
      <c r="O305" s="152">
        <f t="shared" si="35"/>
        <v>1583561.4883620108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3330</v>
      </c>
      <c r="I306" s="152"/>
      <c r="J306" s="157"/>
      <c r="K306" s="157">
        <v>5800361041</v>
      </c>
      <c r="L306" s="227">
        <v>4404.107</v>
      </c>
      <c r="M306" s="157" t="s">
        <v>3352</v>
      </c>
      <c r="N306" s="227">
        <f t="shared" si="34"/>
        <v>130554.30836201199</v>
      </c>
      <c r="O306" s="152">
        <f t="shared" si="35"/>
        <v>1579157.3813620107</v>
      </c>
    </row>
    <row r="307" spans="1:15" x14ac:dyDescent="0.15">
      <c r="A307" s="154"/>
      <c r="B307" s="151"/>
      <c r="C307" s="152"/>
      <c r="D307" s="323"/>
      <c r="E307" s="154"/>
      <c r="F307" s="157"/>
      <c r="G307" s="152"/>
      <c r="H307" s="323" t="s">
        <v>3330</v>
      </c>
      <c r="I307" s="152"/>
      <c r="J307" s="157"/>
      <c r="K307" s="157">
        <v>5800361041</v>
      </c>
      <c r="L307" s="227">
        <v>13420.279</v>
      </c>
      <c r="M307" s="157" t="s">
        <v>3352</v>
      </c>
      <c r="N307" s="227">
        <f t="shared" si="34"/>
        <v>117134.02936201199</v>
      </c>
      <c r="O307" s="152">
        <f t="shared" si="35"/>
        <v>1565737.1023620106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3330</v>
      </c>
      <c r="I308" s="152"/>
      <c r="J308" s="157"/>
      <c r="K308" s="157">
        <v>5800361041</v>
      </c>
      <c r="L308" s="227">
        <v>15498.857</v>
      </c>
      <c r="M308" s="157" t="s">
        <v>3352</v>
      </c>
      <c r="N308" s="227">
        <f t="shared" si="34"/>
        <v>101635.17236201199</v>
      </c>
      <c r="O308" s="152">
        <f t="shared" si="35"/>
        <v>1550238.2453620106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3330</v>
      </c>
      <c r="I309" s="152"/>
      <c r="J309" s="157"/>
      <c r="K309" s="157">
        <v>5800361041</v>
      </c>
      <c r="L309" s="227">
        <v>40401.807000000001</v>
      </c>
      <c r="M309" s="157" t="s">
        <v>3352</v>
      </c>
      <c r="N309" s="227">
        <f t="shared" si="34"/>
        <v>61233.365362011988</v>
      </c>
      <c r="O309" s="152">
        <f t="shared" si="35"/>
        <v>1509836.4383620105</v>
      </c>
    </row>
    <row r="310" spans="1:15" x14ac:dyDescent="0.15">
      <c r="A310" s="154"/>
      <c r="B310" s="151"/>
      <c r="C310" s="152"/>
      <c r="D310" s="323"/>
      <c r="E310" s="154"/>
      <c r="F310" s="157"/>
      <c r="G310" s="152"/>
      <c r="H310" s="323" t="s">
        <v>3331</v>
      </c>
      <c r="I310" s="152">
        <v>8469.2639999999992</v>
      </c>
      <c r="J310" s="157" t="s">
        <v>3352</v>
      </c>
      <c r="K310" s="157">
        <v>5800361041</v>
      </c>
      <c r="L310" s="227">
        <v>12653.973</v>
      </c>
      <c r="M310" s="157" t="s">
        <v>3352</v>
      </c>
      <c r="N310" s="227">
        <f t="shared" si="34"/>
        <v>40110.128362011994</v>
      </c>
      <c r="O310" s="152">
        <f t="shared" si="35"/>
        <v>1488713.2013620106</v>
      </c>
    </row>
    <row r="311" spans="1:15" x14ac:dyDescent="0.15">
      <c r="A311" s="154"/>
      <c r="B311" s="151"/>
      <c r="C311" s="152"/>
      <c r="D311" s="323"/>
      <c r="E311" s="154"/>
      <c r="F311" s="157"/>
      <c r="G311" s="152"/>
      <c r="H311" s="323" t="s">
        <v>3331</v>
      </c>
      <c r="I311" s="152"/>
      <c r="J311" s="157"/>
      <c r="K311" s="157">
        <v>5800361041</v>
      </c>
      <c r="L311" s="227">
        <v>12211.659</v>
      </c>
      <c r="M311" s="157" t="s">
        <v>3352</v>
      </c>
      <c r="N311" s="227">
        <f t="shared" si="34"/>
        <v>27898.469362011994</v>
      </c>
      <c r="O311" s="152">
        <f t="shared" si="35"/>
        <v>1476501.5423620106</v>
      </c>
    </row>
    <row r="312" spans="1:15" x14ac:dyDescent="0.15">
      <c r="A312" s="154"/>
      <c r="B312" s="151"/>
      <c r="C312" s="152"/>
      <c r="D312" s="323"/>
      <c r="E312" s="154"/>
      <c r="F312" s="157"/>
      <c r="G312" s="152"/>
      <c r="H312" s="323" t="s">
        <v>3331</v>
      </c>
      <c r="I312" s="152"/>
      <c r="J312" s="157"/>
      <c r="K312" s="157">
        <v>5800361041</v>
      </c>
      <c r="L312" s="227">
        <v>13877.84</v>
      </c>
      <c r="M312" s="157" t="s">
        <v>3352</v>
      </c>
      <c r="N312" s="227">
        <f t="shared" si="34"/>
        <v>14020.629362011994</v>
      </c>
      <c r="O312" s="152">
        <f t="shared" si="35"/>
        <v>1462623.7023620105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3331</v>
      </c>
      <c r="I313" s="152"/>
      <c r="J313" s="157"/>
      <c r="K313" s="157">
        <v>5800361041</v>
      </c>
      <c r="L313" s="227">
        <v>14020.629362011994</v>
      </c>
      <c r="M313" s="157" t="s">
        <v>3352</v>
      </c>
      <c r="N313" s="227">
        <f t="shared" ref="N313:N317" si="38">+N312-I313-L313</f>
        <v>0</v>
      </c>
      <c r="O313" s="152">
        <f t="shared" ref="O313:O317" si="39">O312+G313-I313-L313</f>
        <v>1448603.0729999985</v>
      </c>
    </row>
    <row r="314" spans="1:15" x14ac:dyDescent="0.15">
      <c r="A314" s="154"/>
      <c r="B314" s="151"/>
      <c r="C314" s="152"/>
      <c r="D314" s="323"/>
      <c r="E314" s="154"/>
      <c r="F314" s="157"/>
      <c r="G314" s="152"/>
      <c r="H314" s="323" t="s">
        <v>3331</v>
      </c>
      <c r="I314" s="152"/>
      <c r="J314" s="157"/>
      <c r="K314" s="157">
        <v>5800361041</v>
      </c>
      <c r="L314" s="227">
        <v>4240.3186379880099</v>
      </c>
      <c r="M314" s="157" t="s">
        <v>3353</v>
      </c>
      <c r="N314" s="227">
        <f>G234+G244+N313-I314-L314</f>
        <v>259041.914362012</v>
      </c>
      <c r="O314" s="152">
        <f t="shared" si="39"/>
        <v>1444362.7543620104</v>
      </c>
    </row>
    <row r="315" spans="1:15" x14ac:dyDescent="0.15">
      <c r="A315" s="154"/>
      <c r="B315" s="151"/>
      <c r="C315" s="152"/>
      <c r="D315" s="323"/>
      <c r="E315" s="154"/>
      <c r="F315" s="157"/>
      <c r="G315" s="152"/>
      <c r="H315" s="323" t="s">
        <v>3331</v>
      </c>
      <c r="I315" s="152"/>
      <c r="J315" s="157"/>
      <c r="K315" s="157">
        <v>5800361041</v>
      </c>
      <c r="L315" s="227">
        <v>11824.384</v>
      </c>
      <c r="M315" s="157" t="s">
        <v>3353</v>
      </c>
      <c r="N315" s="227">
        <f t="shared" si="38"/>
        <v>247217.53036201201</v>
      </c>
      <c r="O315" s="152">
        <f t="shared" si="39"/>
        <v>1432538.3703620103</v>
      </c>
    </row>
    <row r="316" spans="1:15" x14ac:dyDescent="0.15">
      <c r="A316" s="154"/>
      <c r="B316" s="151"/>
      <c r="C316" s="152"/>
      <c r="D316" s="323"/>
      <c r="E316" s="154"/>
      <c r="F316" s="157"/>
      <c r="G316" s="152"/>
      <c r="H316" s="323" t="s">
        <v>3331</v>
      </c>
      <c r="I316" s="152"/>
      <c r="J316" s="157"/>
      <c r="K316" s="157">
        <v>5800361041</v>
      </c>
      <c r="L316" s="227">
        <v>15624.079</v>
      </c>
      <c r="M316" s="157" t="s">
        <v>3353</v>
      </c>
      <c r="N316" s="227">
        <f t="shared" si="38"/>
        <v>231593.45136201201</v>
      </c>
      <c r="O316" s="152">
        <f t="shared" si="39"/>
        <v>1416914.2913620104</v>
      </c>
    </row>
    <row r="317" spans="1:15" x14ac:dyDescent="0.15">
      <c r="A317" s="154"/>
      <c r="B317" s="151"/>
      <c r="C317" s="152"/>
      <c r="D317" s="323"/>
      <c r="E317" s="154"/>
      <c r="F317" s="157"/>
      <c r="G317" s="152"/>
      <c r="H317" s="323" t="s">
        <v>3331</v>
      </c>
      <c r="I317" s="152"/>
      <c r="J317" s="157"/>
      <c r="K317" s="157">
        <v>5800361041</v>
      </c>
      <c r="L317" s="227">
        <v>12089.225</v>
      </c>
      <c r="M317" s="157" t="s">
        <v>3353</v>
      </c>
      <c r="N317" s="227">
        <f t="shared" si="38"/>
        <v>219504.22636201201</v>
      </c>
      <c r="O317" s="152">
        <f t="shared" si="39"/>
        <v>1404825.0663620103</v>
      </c>
    </row>
    <row r="318" spans="1:15" x14ac:dyDescent="0.15">
      <c r="A318" s="154"/>
      <c r="B318" s="151"/>
      <c r="C318" s="152"/>
      <c r="D318" s="323"/>
      <c r="E318" s="154"/>
      <c r="F318" s="157"/>
      <c r="G318" s="152"/>
      <c r="H318" s="323" t="s">
        <v>3331</v>
      </c>
      <c r="I318" s="152"/>
      <c r="J318" s="157"/>
      <c r="K318" s="157">
        <v>5800361041</v>
      </c>
      <c r="L318" s="227">
        <v>15335.554</v>
      </c>
      <c r="M318" s="157" t="s">
        <v>3353</v>
      </c>
      <c r="N318" s="227">
        <f t="shared" si="34"/>
        <v>204168.672362012</v>
      </c>
      <c r="O318" s="152">
        <f t="shared" si="35"/>
        <v>1389489.5123620103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3331</v>
      </c>
      <c r="I319" s="152"/>
      <c r="J319" s="157"/>
      <c r="K319" s="157">
        <v>5800361041</v>
      </c>
      <c r="L319" s="227">
        <v>15448.566000000001</v>
      </c>
      <c r="M319" s="157" t="s">
        <v>3353</v>
      </c>
      <c r="N319" s="227">
        <f t="shared" si="34"/>
        <v>188720.10636201201</v>
      </c>
      <c r="O319" s="152">
        <f t="shared" si="35"/>
        <v>1374040.9463620102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3331</v>
      </c>
      <c r="I320" s="152"/>
      <c r="J320" s="157"/>
      <c r="K320" s="157">
        <v>5800361041</v>
      </c>
      <c r="L320" s="227">
        <v>14617.482</v>
      </c>
      <c r="M320" s="157" t="s">
        <v>3353</v>
      </c>
      <c r="N320" s="227">
        <f t="shared" si="34"/>
        <v>174102.62436201202</v>
      </c>
      <c r="O320" s="152">
        <f t="shared" si="35"/>
        <v>1359423.4643620101</v>
      </c>
    </row>
    <row r="321" spans="1:15" x14ac:dyDescent="0.15">
      <c r="A321" s="154"/>
      <c r="B321" s="151"/>
      <c r="C321" s="152"/>
      <c r="D321" s="323" t="s">
        <v>3333</v>
      </c>
      <c r="E321" s="154" t="s">
        <v>72</v>
      </c>
      <c r="F321" s="157" t="s">
        <v>3357</v>
      </c>
      <c r="G321" s="152">
        <v>131817.772</v>
      </c>
      <c r="H321" s="323" t="s">
        <v>3333</v>
      </c>
      <c r="I321" s="152">
        <v>10645.294</v>
      </c>
      <c r="J321" s="157" t="s">
        <v>3353</v>
      </c>
      <c r="K321" s="157">
        <v>5800361041</v>
      </c>
      <c r="L321" s="227">
        <v>14567.593999999999</v>
      </c>
      <c r="M321" s="157" t="s">
        <v>3353</v>
      </c>
      <c r="N321" s="227">
        <f t="shared" si="34"/>
        <v>148889.73636201202</v>
      </c>
      <c r="O321" s="152">
        <f t="shared" si="35"/>
        <v>1466028.3483620102</v>
      </c>
    </row>
    <row r="322" spans="1:15" x14ac:dyDescent="0.15">
      <c r="A322" s="154"/>
      <c r="B322" s="151"/>
      <c r="C322" s="152"/>
      <c r="D322" s="323"/>
      <c r="E322" s="154"/>
      <c r="F322" s="157"/>
      <c r="G322" s="152"/>
      <c r="H322" s="323" t="s">
        <v>3333</v>
      </c>
      <c r="I322" s="152"/>
      <c r="J322" s="157"/>
      <c r="K322" s="157">
        <v>5800361041</v>
      </c>
      <c r="L322" s="227">
        <v>12754.656999999999</v>
      </c>
      <c r="M322" s="157" t="s">
        <v>3353</v>
      </c>
      <c r="N322" s="227">
        <f t="shared" si="34"/>
        <v>136135.07936201201</v>
      </c>
      <c r="O322" s="152">
        <f t="shared" si="35"/>
        <v>1453273.6913620103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3333</v>
      </c>
      <c r="I323" s="152"/>
      <c r="J323" s="157"/>
      <c r="K323" s="157">
        <v>5800361041</v>
      </c>
      <c r="L323" s="227">
        <v>13188.36</v>
      </c>
      <c r="M323" s="157" t="s">
        <v>3353</v>
      </c>
      <c r="N323" s="227">
        <f t="shared" si="34"/>
        <v>122946.71936201201</v>
      </c>
      <c r="O323" s="152">
        <f t="shared" si="35"/>
        <v>1440085.3313620102</v>
      </c>
    </row>
    <row r="324" spans="1:15" x14ac:dyDescent="0.15">
      <c r="A324" s="154"/>
      <c r="B324" s="151"/>
      <c r="C324" s="152"/>
      <c r="D324" s="323"/>
      <c r="E324" s="154"/>
      <c r="F324" s="157"/>
      <c r="G324" s="152"/>
      <c r="H324" s="323" t="s">
        <v>3333</v>
      </c>
      <c r="I324" s="152"/>
      <c r="J324" s="157"/>
      <c r="K324" s="157">
        <v>5800361041</v>
      </c>
      <c r="L324" s="227">
        <v>15917.78</v>
      </c>
      <c r="M324" s="157" t="s">
        <v>3353</v>
      </c>
      <c r="N324" s="227">
        <f t="shared" si="34"/>
        <v>107028.93936201201</v>
      </c>
      <c r="O324" s="152">
        <f t="shared" si="35"/>
        <v>1424167.5513620102</v>
      </c>
    </row>
    <row r="325" spans="1:15" x14ac:dyDescent="0.15">
      <c r="A325" s="154"/>
      <c r="B325" s="151"/>
      <c r="C325" s="152"/>
      <c r="D325" s="323"/>
      <c r="E325" s="154"/>
      <c r="F325" s="157"/>
      <c r="G325" s="152"/>
      <c r="H325" s="323" t="s">
        <v>3333</v>
      </c>
      <c r="I325" s="152"/>
      <c r="J325" s="157"/>
      <c r="K325" s="157">
        <v>5800361041</v>
      </c>
      <c r="L325" s="227">
        <v>8986.5550000000003</v>
      </c>
      <c r="M325" s="157" t="s">
        <v>3353</v>
      </c>
      <c r="N325" s="227">
        <f t="shared" si="34"/>
        <v>98042.384362012002</v>
      </c>
      <c r="O325" s="152">
        <f t="shared" si="35"/>
        <v>1415180.9963620102</v>
      </c>
    </row>
    <row r="326" spans="1:15" x14ac:dyDescent="0.15">
      <c r="A326" s="154"/>
      <c r="B326" s="151"/>
      <c r="C326" s="152"/>
      <c r="D326" s="323"/>
      <c r="E326" s="154"/>
      <c r="F326" s="157"/>
      <c r="G326" s="152"/>
      <c r="H326" s="323" t="s">
        <v>3333</v>
      </c>
      <c r="I326" s="152"/>
      <c r="J326" s="157"/>
      <c r="K326" s="157">
        <v>5800361041</v>
      </c>
      <c r="L326" s="227">
        <v>15990.267</v>
      </c>
      <c r="M326" s="157" t="s">
        <v>3353</v>
      </c>
      <c r="N326" s="227">
        <f t="shared" si="34"/>
        <v>82052.11736201201</v>
      </c>
      <c r="O326" s="152">
        <f t="shared" si="35"/>
        <v>1399190.7293620103</v>
      </c>
    </row>
    <row r="327" spans="1:15" x14ac:dyDescent="0.15">
      <c r="A327" s="154"/>
      <c r="B327" s="151"/>
      <c r="C327" s="152"/>
      <c r="D327" s="323"/>
      <c r="E327" s="154"/>
      <c r="F327" s="157"/>
      <c r="G327" s="152"/>
      <c r="H327" s="323" t="s">
        <v>3333</v>
      </c>
      <c r="I327" s="152"/>
      <c r="J327" s="157"/>
      <c r="K327" s="157">
        <v>5800361041</v>
      </c>
      <c r="L327" s="227">
        <v>15714.434999999999</v>
      </c>
      <c r="M327" s="157" t="s">
        <v>3353</v>
      </c>
      <c r="N327" s="227">
        <f t="shared" si="34"/>
        <v>66337.682362012012</v>
      </c>
      <c r="O327" s="152">
        <f t="shared" si="35"/>
        <v>1383476.2943620102</v>
      </c>
    </row>
    <row r="328" spans="1:15" x14ac:dyDescent="0.15">
      <c r="A328" s="154"/>
      <c r="B328" s="151"/>
      <c r="C328" s="152"/>
      <c r="D328" s="323"/>
      <c r="E328" s="154"/>
      <c r="F328" s="157"/>
      <c r="G328" s="152"/>
      <c r="H328" s="323" t="s">
        <v>3333</v>
      </c>
      <c r="I328" s="152"/>
      <c r="J328" s="157"/>
      <c r="K328" s="157">
        <v>5800361041</v>
      </c>
      <c r="L328" s="227">
        <v>13165.986000000001</v>
      </c>
      <c r="M328" s="157" t="s">
        <v>3353</v>
      </c>
      <c r="N328" s="227">
        <f t="shared" si="34"/>
        <v>53171.696362012008</v>
      </c>
      <c r="O328" s="152">
        <f t="shared" si="35"/>
        <v>1370310.3083620102</v>
      </c>
    </row>
    <row r="329" spans="1:15" x14ac:dyDescent="0.15">
      <c r="A329" s="154"/>
      <c r="B329" s="151"/>
      <c r="C329" s="152"/>
      <c r="D329" s="323"/>
      <c r="E329" s="154"/>
      <c r="F329" s="157"/>
      <c r="G329" s="152"/>
      <c r="H329" s="323" t="s">
        <v>3333</v>
      </c>
      <c r="I329" s="152"/>
      <c r="J329" s="157"/>
      <c r="K329" s="157">
        <v>5800361041</v>
      </c>
      <c r="L329" s="227">
        <v>15407.620999999999</v>
      </c>
      <c r="M329" s="157" t="s">
        <v>3353</v>
      </c>
      <c r="N329" s="227">
        <f t="shared" si="34"/>
        <v>37764.075362012009</v>
      </c>
      <c r="O329" s="152">
        <f t="shared" si="35"/>
        <v>1354902.6873620101</v>
      </c>
    </row>
    <row r="330" spans="1:15" x14ac:dyDescent="0.15">
      <c r="A330" s="154"/>
      <c r="B330" s="151"/>
      <c r="C330" s="152"/>
      <c r="D330" s="323" t="s">
        <v>3334</v>
      </c>
      <c r="E330" s="154" t="s">
        <v>72</v>
      </c>
      <c r="F330" s="157" t="s">
        <v>3357</v>
      </c>
      <c r="G330" s="152">
        <v>175629.18300000002</v>
      </c>
      <c r="H330" s="323" t="s">
        <v>3334</v>
      </c>
      <c r="I330" s="152">
        <v>8385.9340000000011</v>
      </c>
      <c r="J330" s="157" t="s">
        <v>3353</v>
      </c>
      <c r="K330" s="157">
        <v>5800361041</v>
      </c>
      <c r="L330" s="227">
        <v>13149.333000000001</v>
      </c>
      <c r="M330" s="157" t="s">
        <v>3353</v>
      </c>
      <c r="N330" s="227">
        <f t="shared" si="34"/>
        <v>16228.808362012007</v>
      </c>
      <c r="O330" s="152">
        <f t="shared" si="35"/>
        <v>1508996.6033620101</v>
      </c>
    </row>
    <row r="331" spans="1:15" x14ac:dyDescent="0.15">
      <c r="A331" s="154"/>
      <c r="B331" s="151"/>
      <c r="C331" s="152"/>
      <c r="D331" s="323" t="s">
        <v>3334</v>
      </c>
      <c r="E331" s="154" t="s">
        <v>72</v>
      </c>
      <c r="F331" s="157" t="s">
        <v>3358</v>
      </c>
      <c r="G331" s="152">
        <v>131846.579</v>
      </c>
      <c r="H331" s="323" t="s">
        <v>3334</v>
      </c>
      <c r="I331" s="152"/>
      <c r="J331" s="157"/>
      <c r="K331" s="157">
        <v>5800361041</v>
      </c>
      <c r="L331" s="227">
        <v>13470.171</v>
      </c>
      <c r="M331" s="157" t="s">
        <v>3353</v>
      </c>
      <c r="N331" s="227">
        <f t="shared" si="34"/>
        <v>2758.6373620120066</v>
      </c>
      <c r="O331" s="152">
        <f t="shared" si="35"/>
        <v>1627373.0113620099</v>
      </c>
    </row>
    <row r="332" spans="1:15" x14ac:dyDescent="0.15">
      <c r="A332" s="154"/>
      <c r="B332" s="151"/>
      <c r="C332" s="152"/>
      <c r="D332" s="323"/>
      <c r="E332" s="154"/>
      <c r="F332" s="157"/>
      <c r="G332" s="152"/>
      <c r="H332" s="323" t="s">
        <v>3334</v>
      </c>
      <c r="I332" s="152"/>
      <c r="J332" s="157"/>
      <c r="K332" s="157">
        <v>5800361041</v>
      </c>
      <c r="L332" s="227">
        <v>2758.6373620120066</v>
      </c>
      <c r="M332" s="157" t="s">
        <v>3353</v>
      </c>
      <c r="N332" s="227">
        <f t="shared" si="34"/>
        <v>0</v>
      </c>
      <c r="O332" s="152">
        <f t="shared" si="35"/>
        <v>1624614.373999998</v>
      </c>
    </row>
    <row r="333" spans="1:15" x14ac:dyDescent="0.15">
      <c r="A333" s="154"/>
      <c r="B333" s="151"/>
      <c r="C333" s="152"/>
      <c r="D333" s="323"/>
      <c r="E333" s="154"/>
      <c r="F333" s="157"/>
      <c r="G333" s="152"/>
      <c r="H333" s="323" t="s">
        <v>3334</v>
      </c>
      <c r="I333" s="152"/>
      <c r="J333" s="157"/>
      <c r="K333" s="157">
        <v>5800361483</v>
      </c>
      <c r="L333" s="227">
        <v>10431.675637988001</v>
      </c>
      <c r="M333" s="157" t="s">
        <v>3354</v>
      </c>
      <c r="N333" s="227">
        <f>G245+G258+N332-I333-L333</f>
        <v>252616.98436201198</v>
      </c>
      <c r="O333" s="152">
        <f t="shared" si="35"/>
        <v>1614182.6983620101</v>
      </c>
    </row>
    <row r="334" spans="1:15" x14ac:dyDescent="0.15">
      <c r="A334" s="154"/>
      <c r="B334" s="151"/>
      <c r="C334" s="152"/>
      <c r="D334" s="323"/>
      <c r="E334" s="154"/>
      <c r="F334" s="157"/>
      <c r="G334" s="152"/>
      <c r="H334" s="323" t="s">
        <v>3334</v>
      </c>
      <c r="I334" s="152"/>
      <c r="J334" s="157"/>
      <c r="K334" s="157">
        <v>5800361483</v>
      </c>
      <c r="L334" s="227">
        <v>14017.893</v>
      </c>
      <c r="M334" s="157" t="s">
        <v>3354</v>
      </c>
      <c r="N334" s="227">
        <f t="shared" si="34"/>
        <v>238599.09136201197</v>
      </c>
      <c r="O334" s="152">
        <f t="shared" si="35"/>
        <v>1600164.8053620101</v>
      </c>
    </row>
    <row r="335" spans="1:15" x14ac:dyDescent="0.15">
      <c r="A335" s="154"/>
      <c r="B335" s="151"/>
      <c r="C335" s="152"/>
      <c r="D335" s="323"/>
      <c r="E335" s="154"/>
      <c r="F335" s="157"/>
      <c r="G335" s="152"/>
      <c r="H335" s="323" t="s">
        <v>3334</v>
      </c>
      <c r="I335" s="152"/>
      <c r="J335" s="157"/>
      <c r="K335" s="157">
        <v>5800361483</v>
      </c>
      <c r="L335" s="227">
        <v>12624.599</v>
      </c>
      <c r="M335" s="157" t="s">
        <v>3354</v>
      </c>
      <c r="N335" s="227">
        <f t="shared" si="34"/>
        <v>225974.49236201198</v>
      </c>
      <c r="O335" s="152">
        <f t="shared" si="35"/>
        <v>1587540.2063620102</v>
      </c>
    </row>
    <row r="336" spans="1:15" x14ac:dyDescent="0.15">
      <c r="A336" s="154"/>
      <c r="B336" s="151"/>
      <c r="C336" s="152"/>
      <c r="D336" s="323"/>
      <c r="E336" s="154"/>
      <c r="F336" s="157"/>
      <c r="G336" s="152"/>
      <c r="H336" s="323" t="s">
        <v>3334</v>
      </c>
      <c r="I336" s="152"/>
      <c r="J336" s="157"/>
      <c r="K336" s="157">
        <v>5800361483</v>
      </c>
      <c r="L336" s="227">
        <v>10497.678</v>
      </c>
      <c r="M336" s="157" t="s">
        <v>3354</v>
      </c>
      <c r="N336" s="227">
        <f t="shared" si="34"/>
        <v>215476.81436201197</v>
      </c>
      <c r="O336" s="152">
        <f t="shared" si="35"/>
        <v>1577042.5283620101</v>
      </c>
    </row>
    <row r="337" spans="1:15" x14ac:dyDescent="0.15">
      <c r="A337" s="154"/>
      <c r="B337" s="151"/>
      <c r="C337" s="152"/>
      <c r="D337" s="323"/>
      <c r="E337" s="154"/>
      <c r="F337" s="157"/>
      <c r="G337" s="152"/>
      <c r="H337" s="323" t="s">
        <v>3334</v>
      </c>
      <c r="I337" s="152"/>
      <c r="J337" s="157"/>
      <c r="K337" s="157">
        <v>5800361483</v>
      </c>
      <c r="L337" s="227">
        <v>15662.348</v>
      </c>
      <c r="M337" s="157" t="s">
        <v>3354</v>
      </c>
      <c r="N337" s="227">
        <f t="shared" si="34"/>
        <v>199814.46636201197</v>
      </c>
      <c r="O337" s="152">
        <f t="shared" si="35"/>
        <v>1561380.1803620101</v>
      </c>
    </row>
    <row r="338" spans="1:15" x14ac:dyDescent="0.15">
      <c r="A338" s="154"/>
      <c r="B338" s="151"/>
      <c r="C338" s="152"/>
      <c r="D338" s="323"/>
      <c r="E338" s="154"/>
      <c r="F338" s="157"/>
      <c r="G338" s="152"/>
      <c r="H338" s="323" t="s">
        <v>3334</v>
      </c>
      <c r="I338" s="152"/>
      <c r="J338" s="157"/>
      <c r="K338" s="157">
        <v>5800361483</v>
      </c>
      <c r="L338" s="227">
        <v>15712.368</v>
      </c>
      <c r="M338" s="157" t="s">
        <v>3354</v>
      </c>
      <c r="N338" s="227">
        <f t="shared" si="34"/>
        <v>184102.09836201198</v>
      </c>
      <c r="O338" s="152">
        <f t="shared" si="35"/>
        <v>1545667.8123620101</v>
      </c>
    </row>
    <row r="339" spans="1:15" x14ac:dyDescent="0.15">
      <c r="A339" s="154"/>
      <c r="B339" s="151"/>
      <c r="C339" s="152"/>
      <c r="D339" s="323"/>
      <c r="E339" s="154"/>
      <c r="F339" s="157"/>
      <c r="G339" s="152"/>
      <c r="H339" s="323" t="s">
        <v>3334</v>
      </c>
      <c r="I339" s="152"/>
      <c r="J339" s="157"/>
      <c r="K339" s="157">
        <v>5800361483</v>
      </c>
      <c r="L339" s="227">
        <v>14434.85</v>
      </c>
      <c r="M339" s="157" t="s">
        <v>3354</v>
      </c>
      <c r="N339" s="227">
        <f t="shared" si="34"/>
        <v>169667.24836201197</v>
      </c>
      <c r="O339" s="152">
        <f t="shared" si="35"/>
        <v>1531232.96236201</v>
      </c>
    </row>
    <row r="340" spans="1:15" x14ac:dyDescent="0.15">
      <c r="A340" s="154"/>
      <c r="B340" s="151"/>
      <c r="C340" s="152"/>
      <c r="D340" s="323"/>
      <c r="E340" s="154"/>
      <c r="F340" s="157"/>
      <c r="G340" s="152"/>
      <c r="H340" s="323" t="s">
        <v>3334</v>
      </c>
      <c r="I340" s="152"/>
      <c r="J340" s="157"/>
      <c r="K340" s="157">
        <v>5800361483</v>
      </c>
      <c r="L340" s="227">
        <v>17046.909</v>
      </c>
      <c r="M340" s="157" t="s">
        <v>3354</v>
      </c>
      <c r="N340" s="227">
        <f t="shared" si="34"/>
        <v>152620.33936201199</v>
      </c>
      <c r="O340" s="152">
        <f t="shared" si="35"/>
        <v>1514186.05336201</v>
      </c>
    </row>
    <row r="341" spans="1:15" x14ac:dyDescent="0.15">
      <c r="A341" s="154"/>
      <c r="B341" s="151"/>
      <c r="C341" s="152"/>
      <c r="D341" s="323" t="s">
        <v>3335</v>
      </c>
      <c r="E341" s="154" t="s">
        <v>72</v>
      </c>
      <c r="F341" s="157" t="s">
        <v>3358</v>
      </c>
      <c r="G341" s="152">
        <v>87914.828999999998</v>
      </c>
      <c r="H341" s="323" t="s">
        <v>3335</v>
      </c>
      <c r="I341" s="152">
        <v>13124.98</v>
      </c>
      <c r="J341" s="157" t="s">
        <v>3354</v>
      </c>
      <c r="K341" s="157">
        <v>5800361483</v>
      </c>
      <c r="L341" s="227">
        <v>36814.192000000003</v>
      </c>
      <c r="M341" s="157" t="s">
        <v>3354</v>
      </c>
      <c r="N341" s="227">
        <f t="shared" si="34"/>
        <v>102681.16736201197</v>
      </c>
      <c r="O341" s="152">
        <f t="shared" si="35"/>
        <v>1552161.7103620099</v>
      </c>
    </row>
    <row r="342" spans="1:15" x14ac:dyDescent="0.15">
      <c r="A342" s="154"/>
      <c r="B342" s="151"/>
      <c r="C342" s="152"/>
      <c r="D342" s="323" t="s">
        <v>3335</v>
      </c>
      <c r="E342" s="154" t="s">
        <v>72</v>
      </c>
      <c r="F342" s="157" t="s">
        <v>3359</v>
      </c>
      <c r="G342" s="152">
        <v>175814.15900000001</v>
      </c>
      <c r="H342" s="323" t="s">
        <v>3335</v>
      </c>
      <c r="I342" s="152"/>
      <c r="J342" s="157"/>
      <c r="K342" s="157">
        <v>5800361483</v>
      </c>
      <c r="L342" s="227">
        <v>13820.201999999999</v>
      </c>
      <c r="M342" s="157" t="s">
        <v>3354</v>
      </c>
      <c r="N342" s="227">
        <f t="shared" si="34"/>
        <v>88860.965362011964</v>
      </c>
      <c r="O342" s="152">
        <f t="shared" si="35"/>
        <v>1714155.6673620099</v>
      </c>
    </row>
    <row r="343" spans="1:15" x14ac:dyDescent="0.15">
      <c r="A343" s="154"/>
      <c r="B343" s="151"/>
      <c r="C343" s="152"/>
      <c r="D343" s="323"/>
      <c r="E343" s="154"/>
      <c r="F343" s="157"/>
      <c r="G343" s="152"/>
      <c r="H343" s="323" t="s">
        <v>3335</v>
      </c>
      <c r="I343" s="152"/>
      <c r="J343" s="157"/>
      <c r="K343" s="157">
        <v>5800361483</v>
      </c>
      <c r="L343" s="227">
        <v>13576.127</v>
      </c>
      <c r="M343" s="157" t="s">
        <v>3354</v>
      </c>
      <c r="N343" s="227">
        <f t="shared" si="34"/>
        <v>75284.838362011971</v>
      </c>
      <c r="O343" s="152">
        <f t="shared" si="35"/>
        <v>1700579.5403620098</v>
      </c>
    </row>
    <row r="344" spans="1:15" x14ac:dyDescent="0.15">
      <c r="A344" s="154"/>
      <c r="B344" s="151"/>
      <c r="C344" s="152"/>
      <c r="D344" s="323"/>
      <c r="E344" s="154"/>
      <c r="F344" s="157"/>
      <c r="G344" s="152"/>
      <c r="H344" s="323" t="s">
        <v>3335</v>
      </c>
      <c r="I344" s="152"/>
      <c r="J344" s="157"/>
      <c r="K344" s="157">
        <v>5800361483</v>
      </c>
      <c r="L344" s="227">
        <v>15454.698</v>
      </c>
      <c r="M344" s="157" t="s">
        <v>3354</v>
      </c>
      <c r="N344" s="227">
        <f t="shared" si="34"/>
        <v>59830.140362011967</v>
      </c>
      <c r="O344" s="152">
        <f t="shared" si="35"/>
        <v>1685124.8423620097</v>
      </c>
    </row>
    <row r="345" spans="1:15" x14ac:dyDescent="0.15">
      <c r="A345" s="154"/>
      <c r="B345" s="151"/>
      <c r="C345" s="152"/>
      <c r="D345" s="323"/>
      <c r="E345" s="154"/>
      <c r="F345" s="157"/>
      <c r="G345" s="152"/>
      <c r="H345" s="323" t="s">
        <v>3335</v>
      </c>
      <c r="I345" s="152"/>
      <c r="J345" s="157"/>
      <c r="K345" s="157">
        <v>5800361483</v>
      </c>
      <c r="L345" s="227">
        <v>17674.373</v>
      </c>
      <c r="M345" s="157" t="s">
        <v>3354</v>
      </c>
      <c r="N345" s="227">
        <f t="shared" si="34"/>
        <v>42155.767362011968</v>
      </c>
      <c r="O345" s="152">
        <f t="shared" si="35"/>
        <v>1667450.4693620098</v>
      </c>
    </row>
    <row r="346" spans="1:15" x14ac:dyDescent="0.15">
      <c r="A346" s="154"/>
      <c r="B346" s="151"/>
      <c r="C346" s="152"/>
      <c r="D346" s="323"/>
      <c r="E346" s="154"/>
      <c r="F346" s="157"/>
      <c r="G346" s="152"/>
      <c r="H346" s="323" t="s">
        <v>3335</v>
      </c>
      <c r="I346" s="152"/>
      <c r="J346" s="157"/>
      <c r="K346" s="157">
        <v>5800361483</v>
      </c>
      <c r="L346" s="227">
        <v>11805.589</v>
      </c>
      <c r="M346" s="157" t="s">
        <v>3354</v>
      </c>
      <c r="N346" s="227">
        <f t="shared" si="34"/>
        <v>30350.178362011968</v>
      </c>
      <c r="O346" s="152">
        <f t="shared" si="35"/>
        <v>1655644.8803620099</v>
      </c>
    </row>
    <row r="347" spans="1:15" x14ac:dyDescent="0.15">
      <c r="A347" s="154"/>
      <c r="B347" s="151"/>
      <c r="C347" s="152"/>
      <c r="D347" s="323"/>
      <c r="E347" s="154"/>
      <c r="F347" s="157"/>
      <c r="G347" s="152"/>
      <c r="H347" s="323" t="s">
        <v>3335</v>
      </c>
      <c r="I347" s="152"/>
      <c r="J347" s="157"/>
      <c r="K347" s="157">
        <v>5800361483</v>
      </c>
      <c r="L347" s="227">
        <v>15699.772999999999</v>
      </c>
      <c r="M347" s="157" t="s">
        <v>3354</v>
      </c>
      <c r="N347" s="227">
        <f t="shared" si="34"/>
        <v>14650.405362011968</v>
      </c>
      <c r="O347" s="152">
        <f t="shared" si="35"/>
        <v>1639945.1073620098</v>
      </c>
    </row>
    <row r="348" spans="1:15" x14ac:dyDescent="0.15">
      <c r="A348" s="154"/>
      <c r="B348" s="151"/>
      <c r="C348" s="152"/>
      <c r="D348" s="323"/>
      <c r="E348" s="154"/>
      <c r="F348" s="157"/>
      <c r="G348" s="152"/>
      <c r="H348" s="323" t="s">
        <v>3335</v>
      </c>
      <c r="I348" s="152"/>
      <c r="J348" s="157"/>
      <c r="K348" s="157">
        <v>5800361483</v>
      </c>
      <c r="L348" s="227">
        <v>9988.0370000000003</v>
      </c>
      <c r="M348" s="157" t="s">
        <v>3354</v>
      </c>
      <c r="N348" s="227">
        <f t="shared" ref="N348:N412" si="40">+N347-I348-L348</f>
        <v>4662.3683620119682</v>
      </c>
      <c r="O348" s="152">
        <f t="shared" ref="O348:O412" si="41">O347+G348-I348-L348</f>
        <v>1629957.0703620098</v>
      </c>
    </row>
    <row r="349" spans="1:15" x14ac:dyDescent="0.15">
      <c r="A349" s="154"/>
      <c r="B349" s="151"/>
      <c r="C349" s="152"/>
      <c r="D349" s="323"/>
      <c r="E349" s="154"/>
      <c r="F349" s="157"/>
      <c r="G349" s="152"/>
      <c r="H349" s="323" t="s">
        <v>3335</v>
      </c>
      <c r="I349" s="152"/>
      <c r="J349" s="157"/>
      <c r="K349" s="157">
        <v>5800361483</v>
      </c>
      <c r="L349" s="227">
        <v>4662.3683620119682</v>
      </c>
      <c r="M349" s="157" t="s">
        <v>3354</v>
      </c>
      <c r="N349" s="227">
        <f t="shared" ref="N349:N353" si="42">+N348-I349-L349</f>
        <v>0</v>
      </c>
      <c r="O349" s="152">
        <f t="shared" ref="O349:O353" si="43">O348+G349-I349-L349</f>
        <v>1625294.701999998</v>
      </c>
    </row>
    <row r="350" spans="1:15" x14ac:dyDescent="0.15">
      <c r="A350" s="154"/>
      <c r="B350" s="151"/>
      <c r="C350" s="152"/>
      <c r="D350" s="323"/>
      <c r="E350" s="154"/>
      <c r="F350" s="157"/>
      <c r="G350" s="152"/>
      <c r="H350" s="323" t="s">
        <v>3335</v>
      </c>
      <c r="I350" s="152"/>
      <c r="J350" s="157"/>
      <c r="K350" s="157">
        <v>5800361483</v>
      </c>
      <c r="L350" s="227">
        <v>7016.5236379880298</v>
      </c>
      <c r="M350" s="157" t="s">
        <v>3355</v>
      </c>
      <c r="N350" s="227">
        <f>G259+G272+N349-I350-L350</f>
        <v>519760.82536201191</v>
      </c>
      <c r="O350" s="152">
        <f t="shared" si="43"/>
        <v>1618278.1783620098</v>
      </c>
    </row>
    <row r="351" spans="1:15" x14ac:dyDescent="0.15">
      <c r="A351" s="154"/>
      <c r="B351" s="151"/>
      <c r="C351" s="152"/>
      <c r="D351" s="323"/>
      <c r="E351" s="154"/>
      <c r="F351" s="157"/>
      <c r="G351" s="152"/>
      <c r="H351" s="323" t="s">
        <v>3335</v>
      </c>
      <c r="I351" s="152"/>
      <c r="J351" s="157"/>
      <c r="K351" s="157">
        <v>5800361483</v>
      </c>
      <c r="L351" s="227">
        <v>10966.325999999999</v>
      </c>
      <c r="M351" s="157" t="s">
        <v>3355</v>
      </c>
      <c r="N351" s="227">
        <f t="shared" si="42"/>
        <v>508794.49936201191</v>
      </c>
      <c r="O351" s="152">
        <f t="shared" si="43"/>
        <v>1607311.8523620099</v>
      </c>
    </row>
    <row r="352" spans="1:15" x14ac:dyDescent="0.15">
      <c r="A352" s="154"/>
      <c r="B352" s="151"/>
      <c r="C352" s="152"/>
      <c r="D352" s="323"/>
      <c r="E352" s="154"/>
      <c r="F352" s="157"/>
      <c r="G352" s="152"/>
      <c r="H352" s="323" t="s">
        <v>3335</v>
      </c>
      <c r="I352" s="152"/>
      <c r="J352" s="157"/>
      <c r="K352" s="157">
        <v>5800361483</v>
      </c>
      <c r="L352" s="227">
        <v>4025.55</v>
      </c>
      <c r="M352" s="157" t="s">
        <v>3355</v>
      </c>
      <c r="N352" s="227">
        <f t="shared" si="42"/>
        <v>504768.94936201192</v>
      </c>
      <c r="O352" s="152">
        <f t="shared" si="43"/>
        <v>1603286.3023620099</v>
      </c>
    </row>
    <row r="353" spans="1:15" x14ac:dyDescent="0.15">
      <c r="A353" s="154"/>
      <c r="B353" s="151"/>
      <c r="C353" s="152"/>
      <c r="D353" s="323"/>
      <c r="E353" s="154"/>
      <c r="F353" s="157"/>
      <c r="G353" s="152"/>
      <c r="H353" s="323" t="s">
        <v>3335</v>
      </c>
      <c r="I353" s="152"/>
      <c r="J353" s="157"/>
      <c r="K353" s="157">
        <v>5800361483</v>
      </c>
      <c r="L353" s="227">
        <v>15343.662</v>
      </c>
      <c r="M353" s="157" t="s">
        <v>3355</v>
      </c>
      <c r="N353" s="227">
        <f t="shared" si="42"/>
        <v>489425.28736201191</v>
      </c>
      <c r="O353" s="152">
        <f t="shared" si="43"/>
        <v>1587942.6403620099</v>
      </c>
    </row>
    <row r="354" spans="1:15" x14ac:dyDescent="0.15">
      <c r="A354" s="154"/>
      <c r="B354" s="151"/>
      <c r="C354" s="152"/>
      <c r="D354" s="323"/>
      <c r="E354" s="154"/>
      <c r="F354" s="157"/>
      <c r="G354" s="152"/>
      <c r="H354" s="323" t="s">
        <v>3335</v>
      </c>
      <c r="I354" s="152"/>
      <c r="J354" s="157"/>
      <c r="K354" s="157">
        <v>5800361483</v>
      </c>
      <c r="L354" s="227">
        <v>14467.196</v>
      </c>
      <c r="M354" s="157" t="s">
        <v>3355</v>
      </c>
      <c r="N354" s="227">
        <f t="shared" si="40"/>
        <v>474958.09136201191</v>
      </c>
      <c r="O354" s="152">
        <f t="shared" si="41"/>
        <v>1573475.4443620099</v>
      </c>
    </row>
    <row r="355" spans="1:15" x14ac:dyDescent="0.15">
      <c r="A355" s="154"/>
      <c r="B355" s="151"/>
      <c r="C355" s="152"/>
      <c r="D355" s="323" t="s">
        <v>3337</v>
      </c>
      <c r="E355" s="154" t="s">
        <v>72</v>
      </c>
      <c r="F355" s="157" t="s">
        <v>3359</v>
      </c>
      <c r="G355" s="152">
        <v>219867.01699999999</v>
      </c>
      <c r="H355" s="323" t="s">
        <v>3337</v>
      </c>
      <c r="I355" s="152">
        <v>10047.865</v>
      </c>
      <c r="J355" s="157" t="s">
        <v>3355</v>
      </c>
      <c r="K355" s="157">
        <v>5800361483</v>
      </c>
      <c r="L355" s="227">
        <v>13682.859</v>
      </c>
      <c r="M355" s="157" t="s">
        <v>3355</v>
      </c>
      <c r="N355" s="227">
        <f t="shared" si="40"/>
        <v>451227.36736201192</v>
      </c>
      <c r="O355" s="152">
        <f t="shared" si="41"/>
        <v>1769611.7373620099</v>
      </c>
    </row>
    <row r="356" spans="1:15" x14ac:dyDescent="0.15">
      <c r="A356" s="154"/>
      <c r="B356" s="151"/>
      <c r="C356" s="152"/>
      <c r="D356" s="323"/>
      <c r="E356" s="154"/>
      <c r="F356" s="157"/>
      <c r="G356" s="152"/>
      <c r="H356" s="323" t="s">
        <v>3337</v>
      </c>
      <c r="I356" s="152"/>
      <c r="J356" s="157"/>
      <c r="K356" s="157">
        <v>5800361483</v>
      </c>
      <c r="L356" s="227">
        <v>13869.048000000001</v>
      </c>
      <c r="M356" s="157" t="s">
        <v>3355</v>
      </c>
      <c r="N356" s="227">
        <f t="shared" si="40"/>
        <v>437358.31936201191</v>
      </c>
      <c r="O356" s="152">
        <f t="shared" si="41"/>
        <v>1755742.68936201</v>
      </c>
    </row>
    <row r="357" spans="1:15" x14ac:dyDescent="0.15">
      <c r="A357" s="154"/>
      <c r="B357" s="151"/>
      <c r="C357" s="152"/>
      <c r="D357" s="323"/>
      <c r="E357" s="154"/>
      <c r="F357" s="157"/>
      <c r="G357" s="152"/>
      <c r="H357" s="323" t="s">
        <v>3337</v>
      </c>
      <c r="I357" s="152"/>
      <c r="J357" s="157"/>
      <c r="K357" s="157">
        <v>5800361483</v>
      </c>
      <c r="L357" s="227">
        <v>12064.218999999999</v>
      </c>
      <c r="M357" s="157" t="s">
        <v>3355</v>
      </c>
      <c r="N357" s="227">
        <f t="shared" si="40"/>
        <v>425294.10036201193</v>
      </c>
      <c r="O357" s="152">
        <f t="shared" si="41"/>
        <v>1743678.4703620099</v>
      </c>
    </row>
    <row r="358" spans="1:15" x14ac:dyDescent="0.15">
      <c r="A358" s="154"/>
      <c r="B358" s="151"/>
      <c r="C358" s="152"/>
      <c r="D358" s="323"/>
      <c r="E358" s="154"/>
      <c r="F358" s="157"/>
      <c r="G358" s="152"/>
      <c r="H358" s="323" t="s">
        <v>3337</v>
      </c>
      <c r="I358" s="152"/>
      <c r="J358" s="157"/>
      <c r="K358" s="157">
        <v>5800361483</v>
      </c>
      <c r="L358" s="227">
        <v>12863.029</v>
      </c>
      <c r="M358" s="157" t="s">
        <v>3355</v>
      </c>
      <c r="N358" s="227">
        <f t="shared" si="40"/>
        <v>412431.07136201195</v>
      </c>
      <c r="O358" s="152">
        <f t="shared" si="41"/>
        <v>1730815.4413620098</v>
      </c>
    </row>
    <row r="359" spans="1:15" x14ac:dyDescent="0.15">
      <c r="A359" s="154"/>
      <c r="B359" s="151"/>
      <c r="C359" s="152"/>
      <c r="D359" s="323"/>
      <c r="E359" s="154"/>
      <c r="F359" s="157"/>
      <c r="G359" s="152"/>
      <c r="H359" s="323" t="s">
        <v>3337</v>
      </c>
      <c r="I359" s="152"/>
      <c r="J359" s="157"/>
      <c r="K359" s="157">
        <v>5800361483</v>
      </c>
      <c r="L359" s="227">
        <v>14812.003000000001</v>
      </c>
      <c r="M359" s="157" t="s">
        <v>3355</v>
      </c>
      <c r="N359" s="227">
        <f t="shared" si="40"/>
        <v>397619.06836201192</v>
      </c>
      <c r="O359" s="152">
        <f t="shared" si="41"/>
        <v>1716003.4383620098</v>
      </c>
    </row>
    <row r="360" spans="1:15" x14ac:dyDescent="0.15">
      <c r="A360" s="154"/>
      <c r="B360" s="151"/>
      <c r="C360" s="152"/>
      <c r="D360" s="323"/>
      <c r="E360" s="154"/>
      <c r="F360" s="157"/>
      <c r="G360" s="152"/>
      <c r="H360" s="323" t="s">
        <v>3337</v>
      </c>
      <c r="I360" s="152"/>
      <c r="J360" s="157"/>
      <c r="K360" s="157">
        <v>5800361483</v>
      </c>
      <c r="L360" s="227">
        <v>1277.2940000000001</v>
      </c>
      <c r="M360" s="157" t="s">
        <v>3355</v>
      </c>
      <c r="N360" s="227">
        <f t="shared" si="40"/>
        <v>396341.77436201193</v>
      </c>
      <c r="O360" s="152">
        <f t="shared" si="41"/>
        <v>1714726.1443620098</v>
      </c>
    </row>
    <row r="361" spans="1:15" x14ac:dyDescent="0.15">
      <c r="A361" s="154"/>
      <c r="B361" s="151"/>
      <c r="C361" s="152"/>
      <c r="D361" s="323"/>
      <c r="E361" s="154"/>
      <c r="F361" s="157"/>
      <c r="G361" s="152"/>
      <c r="H361" s="323" t="s">
        <v>3337</v>
      </c>
      <c r="I361" s="152"/>
      <c r="J361" s="157"/>
      <c r="K361" s="157">
        <v>5800361483</v>
      </c>
      <c r="L361" s="227">
        <v>15538.739</v>
      </c>
      <c r="M361" s="157" t="s">
        <v>3355</v>
      </c>
      <c r="N361" s="227">
        <f t="shared" si="40"/>
        <v>380803.03536201193</v>
      </c>
      <c r="O361" s="152">
        <f t="shared" si="41"/>
        <v>1699187.4053620098</v>
      </c>
    </row>
    <row r="362" spans="1:15" x14ac:dyDescent="0.15">
      <c r="A362" s="154"/>
      <c r="B362" s="151"/>
      <c r="C362" s="152"/>
      <c r="D362" s="323"/>
      <c r="E362" s="154"/>
      <c r="F362" s="157"/>
      <c r="G362" s="152"/>
      <c r="H362" s="323" t="s">
        <v>3337</v>
      </c>
      <c r="I362" s="152"/>
      <c r="J362" s="157"/>
      <c r="K362" s="157">
        <v>5800361483</v>
      </c>
      <c r="L362" s="227">
        <v>15023.217000000001</v>
      </c>
      <c r="M362" s="157" t="s">
        <v>3355</v>
      </c>
      <c r="N362" s="227">
        <f t="shared" si="40"/>
        <v>365779.81836201192</v>
      </c>
      <c r="O362" s="152">
        <f t="shared" si="41"/>
        <v>1684164.1883620098</v>
      </c>
    </row>
    <row r="363" spans="1:15" x14ac:dyDescent="0.15">
      <c r="A363" s="154"/>
      <c r="B363" s="151"/>
      <c r="C363" s="152"/>
      <c r="D363" s="323"/>
      <c r="E363" s="154"/>
      <c r="F363" s="157"/>
      <c r="G363" s="152"/>
      <c r="H363" s="323" t="s">
        <v>3337</v>
      </c>
      <c r="I363" s="152"/>
      <c r="J363" s="157"/>
      <c r="K363" s="157">
        <v>5800361483</v>
      </c>
      <c r="L363" s="227">
        <v>10880.02</v>
      </c>
      <c r="M363" s="157" t="s">
        <v>3355</v>
      </c>
      <c r="N363" s="227">
        <f t="shared" si="40"/>
        <v>354899.7983620119</v>
      </c>
      <c r="O363" s="152">
        <f t="shared" si="41"/>
        <v>1673284.1683620098</v>
      </c>
    </row>
    <row r="364" spans="1:15" x14ac:dyDescent="0.15">
      <c r="A364" s="154"/>
      <c r="B364" s="151"/>
      <c r="C364" s="152"/>
      <c r="D364" s="323"/>
      <c r="E364" s="154"/>
      <c r="F364" s="157"/>
      <c r="G364" s="152"/>
      <c r="H364" s="323" t="s">
        <v>3337</v>
      </c>
      <c r="I364" s="152"/>
      <c r="J364" s="157"/>
      <c r="K364" s="157">
        <v>5800361483</v>
      </c>
      <c r="L364" s="227">
        <v>16532.579000000002</v>
      </c>
      <c r="M364" s="157" t="s">
        <v>3355</v>
      </c>
      <c r="N364" s="227">
        <f t="shared" si="40"/>
        <v>338367.21936201188</v>
      </c>
      <c r="O364" s="152">
        <f t="shared" si="41"/>
        <v>1656751.5893620099</v>
      </c>
    </row>
    <row r="365" spans="1:15" x14ac:dyDescent="0.15">
      <c r="A365" s="154"/>
      <c r="B365" s="151"/>
      <c r="C365" s="152"/>
      <c r="D365" s="323"/>
      <c r="E365" s="154"/>
      <c r="F365" s="157"/>
      <c r="G365" s="152"/>
      <c r="H365" s="323" t="s">
        <v>3337</v>
      </c>
      <c r="I365" s="152"/>
      <c r="J365" s="157"/>
      <c r="K365" s="157">
        <v>5800361483</v>
      </c>
      <c r="L365" s="227">
        <v>15060.773999999999</v>
      </c>
      <c r="M365" s="157" t="s">
        <v>3355</v>
      </c>
      <c r="N365" s="227">
        <f t="shared" si="40"/>
        <v>323306.4453620119</v>
      </c>
      <c r="O365" s="152">
        <f t="shared" si="41"/>
        <v>1641690.8153620099</v>
      </c>
    </row>
    <row r="366" spans="1:15" x14ac:dyDescent="0.15">
      <c r="A366" s="154"/>
      <c r="B366" s="151"/>
      <c r="C366" s="152"/>
      <c r="D366" s="323"/>
      <c r="E366" s="154"/>
      <c r="F366" s="157"/>
      <c r="G366" s="152"/>
      <c r="H366" s="323" t="s">
        <v>3337</v>
      </c>
      <c r="I366" s="152"/>
      <c r="J366" s="157"/>
      <c r="K366" s="157">
        <v>5800361483</v>
      </c>
      <c r="L366" s="227">
        <v>5937.18</v>
      </c>
      <c r="M366" s="157" t="s">
        <v>3355</v>
      </c>
      <c r="N366" s="227">
        <f t="shared" si="40"/>
        <v>317369.26536201191</v>
      </c>
      <c r="O366" s="152">
        <f t="shared" si="41"/>
        <v>1635753.63536201</v>
      </c>
    </row>
    <row r="367" spans="1:15" x14ac:dyDescent="0.15">
      <c r="A367" s="154"/>
      <c r="B367" s="151"/>
      <c r="C367" s="152"/>
      <c r="D367" s="323"/>
      <c r="E367" s="154"/>
      <c r="F367" s="157"/>
      <c r="G367" s="152"/>
      <c r="H367" s="323" t="s">
        <v>3337</v>
      </c>
      <c r="I367" s="152"/>
      <c r="J367" s="157"/>
      <c r="K367" s="157">
        <v>5800361483</v>
      </c>
      <c r="L367" s="227">
        <v>13987.645</v>
      </c>
      <c r="M367" s="157" t="s">
        <v>3355</v>
      </c>
      <c r="N367" s="227">
        <f t="shared" si="40"/>
        <v>303381.62036201189</v>
      </c>
      <c r="O367" s="152">
        <f t="shared" si="41"/>
        <v>1621765.99036201</v>
      </c>
    </row>
    <row r="368" spans="1:15" x14ac:dyDescent="0.15">
      <c r="A368" s="154"/>
      <c r="B368" s="151"/>
      <c r="C368" s="152"/>
      <c r="D368" s="323"/>
      <c r="E368" s="154"/>
      <c r="F368" s="157"/>
      <c r="G368" s="152"/>
      <c r="H368" s="323" t="s">
        <v>3337</v>
      </c>
      <c r="I368" s="152"/>
      <c r="J368" s="157"/>
      <c r="K368" s="157">
        <v>5800361483</v>
      </c>
      <c r="L368" s="227">
        <v>14695.071</v>
      </c>
      <c r="M368" s="157" t="s">
        <v>3355</v>
      </c>
      <c r="N368" s="227">
        <f t="shared" si="40"/>
        <v>288686.54936201189</v>
      </c>
      <c r="O368" s="152">
        <f t="shared" si="41"/>
        <v>1607070.91936201</v>
      </c>
    </row>
    <row r="369" spans="1:15" x14ac:dyDescent="0.15">
      <c r="A369" s="154"/>
      <c r="B369" s="151"/>
      <c r="C369" s="152"/>
      <c r="D369" s="323"/>
      <c r="E369" s="154"/>
      <c r="F369" s="157"/>
      <c r="G369" s="152"/>
      <c r="H369" s="323" t="s">
        <v>3337</v>
      </c>
      <c r="I369" s="152"/>
      <c r="J369" s="157"/>
      <c r="K369" s="157">
        <v>5800361483</v>
      </c>
      <c r="L369" s="227">
        <v>39020.324000000001</v>
      </c>
      <c r="M369" s="157" t="s">
        <v>3355</v>
      </c>
      <c r="N369" s="227">
        <f t="shared" si="40"/>
        <v>249666.2253620119</v>
      </c>
      <c r="O369" s="152">
        <f t="shared" si="41"/>
        <v>1568050.5953620099</v>
      </c>
    </row>
    <row r="370" spans="1:15" x14ac:dyDescent="0.15">
      <c r="A370" s="154"/>
      <c r="B370" s="151"/>
      <c r="C370" s="152"/>
      <c r="D370" s="323" t="s">
        <v>3338</v>
      </c>
      <c r="E370" s="154" t="s">
        <v>72</v>
      </c>
      <c r="F370" s="157" t="s">
        <v>3359</v>
      </c>
      <c r="G370" s="152">
        <v>155664.76599999901</v>
      </c>
      <c r="H370" s="323" t="s">
        <v>3338</v>
      </c>
      <c r="I370" s="152">
        <v>10093.807000000001</v>
      </c>
      <c r="J370" s="157" t="s">
        <v>3355</v>
      </c>
      <c r="K370" s="157">
        <v>5800361483</v>
      </c>
      <c r="L370" s="227">
        <v>14282.406999999999</v>
      </c>
      <c r="M370" s="157" t="s">
        <v>3355</v>
      </c>
      <c r="N370" s="227">
        <f t="shared" si="40"/>
        <v>225290.01136201189</v>
      </c>
      <c r="O370" s="152">
        <f t="shared" si="41"/>
        <v>1699339.1473620089</v>
      </c>
    </row>
    <row r="371" spans="1:15" x14ac:dyDescent="0.15">
      <c r="A371" s="154"/>
      <c r="B371" s="151"/>
      <c r="C371" s="152"/>
      <c r="D371" s="323" t="s">
        <v>3338</v>
      </c>
      <c r="E371" s="154" t="s">
        <v>72</v>
      </c>
      <c r="F371" s="157" t="s">
        <v>3360</v>
      </c>
      <c r="G371" s="152">
        <v>108107.142000001</v>
      </c>
      <c r="H371" s="323" t="s">
        <v>3338</v>
      </c>
      <c r="I371" s="152"/>
      <c r="J371" s="157"/>
      <c r="K371" s="157">
        <v>5800361483</v>
      </c>
      <c r="L371" s="227">
        <v>13033.421</v>
      </c>
      <c r="M371" s="157" t="s">
        <v>3355</v>
      </c>
      <c r="N371" s="227">
        <f t="shared" si="40"/>
        <v>212256.59036201189</v>
      </c>
      <c r="O371" s="152">
        <f t="shared" si="41"/>
        <v>1794412.8683620098</v>
      </c>
    </row>
    <row r="372" spans="1:15" x14ac:dyDescent="0.15">
      <c r="A372" s="154"/>
      <c r="B372" s="151"/>
      <c r="C372" s="152"/>
      <c r="D372" s="323"/>
      <c r="E372" s="154"/>
      <c r="F372" s="157"/>
      <c r="G372" s="152"/>
      <c r="H372" s="323" t="s">
        <v>3338</v>
      </c>
      <c r="I372" s="152"/>
      <c r="J372" s="157"/>
      <c r="K372" s="157">
        <v>5800361483</v>
      </c>
      <c r="L372" s="227">
        <v>17152.078000000001</v>
      </c>
      <c r="M372" s="157" t="s">
        <v>3355</v>
      </c>
      <c r="N372" s="227">
        <f t="shared" si="40"/>
        <v>195104.51236201188</v>
      </c>
      <c r="O372" s="152">
        <f t="shared" si="41"/>
        <v>1777260.7903620098</v>
      </c>
    </row>
    <row r="373" spans="1:15" x14ac:dyDescent="0.15">
      <c r="A373" s="154"/>
      <c r="B373" s="151"/>
      <c r="C373" s="152"/>
      <c r="D373" s="323"/>
      <c r="E373" s="154"/>
      <c r="F373" s="157"/>
      <c r="G373" s="152"/>
      <c r="H373" s="323" t="s">
        <v>3338</v>
      </c>
      <c r="I373" s="152"/>
      <c r="J373" s="157"/>
      <c r="K373" s="157">
        <v>5800361483</v>
      </c>
      <c r="L373" s="227">
        <v>12652.73</v>
      </c>
      <c r="M373" s="157" t="s">
        <v>3355</v>
      </c>
      <c r="N373" s="227">
        <f t="shared" si="40"/>
        <v>182451.78236201187</v>
      </c>
      <c r="O373" s="152">
        <f t="shared" si="41"/>
        <v>1764608.0603620098</v>
      </c>
    </row>
    <row r="374" spans="1:15" x14ac:dyDescent="0.15">
      <c r="A374" s="154"/>
      <c r="B374" s="151"/>
      <c r="C374" s="152"/>
      <c r="D374" s="323"/>
      <c r="E374" s="154"/>
      <c r="F374" s="157"/>
      <c r="G374" s="152"/>
      <c r="H374" s="323" t="s">
        <v>3338</v>
      </c>
      <c r="I374" s="152"/>
      <c r="J374" s="157"/>
      <c r="K374" s="157">
        <v>5800361483</v>
      </c>
      <c r="L374" s="227">
        <v>13746.842000000001</v>
      </c>
      <c r="M374" s="157" t="s">
        <v>3355</v>
      </c>
      <c r="N374" s="227">
        <f t="shared" si="40"/>
        <v>168704.94036201187</v>
      </c>
      <c r="O374" s="152">
        <f t="shared" si="41"/>
        <v>1750861.2183620099</v>
      </c>
    </row>
    <row r="375" spans="1:15" x14ac:dyDescent="0.15">
      <c r="A375" s="154"/>
      <c r="B375" s="151"/>
      <c r="C375" s="152"/>
      <c r="D375" s="323"/>
      <c r="E375" s="154"/>
      <c r="F375" s="157"/>
      <c r="G375" s="152"/>
      <c r="H375" s="323" t="s">
        <v>3338</v>
      </c>
      <c r="I375" s="152"/>
      <c r="J375" s="157"/>
      <c r="K375" s="157">
        <v>5800361483</v>
      </c>
      <c r="L375" s="227">
        <v>15993.019</v>
      </c>
      <c r="M375" s="157" t="s">
        <v>3355</v>
      </c>
      <c r="N375" s="227">
        <f t="shared" si="40"/>
        <v>152711.92136201187</v>
      </c>
      <c r="O375" s="152">
        <f t="shared" si="41"/>
        <v>1734868.1993620098</v>
      </c>
    </row>
    <row r="376" spans="1:15" x14ac:dyDescent="0.15">
      <c r="A376" s="154"/>
      <c r="B376" s="151"/>
      <c r="C376" s="152"/>
      <c r="D376" s="323"/>
      <c r="E376" s="154"/>
      <c r="F376" s="157"/>
      <c r="G376" s="152"/>
      <c r="H376" s="323" t="s">
        <v>3338</v>
      </c>
      <c r="I376" s="152"/>
      <c r="J376" s="157"/>
      <c r="K376" s="157">
        <v>5800361483</v>
      </c>
      <c r="L376" s="227">
        <v>9531.2639999999992</v>
      </c>
      <c r="M376" s="157" t="s">
        <v>3355</v>
      </c>
      <c r="N376" s="227">
        <f t="shared" si="40"/>
        <v>143180.65736201187</v>
      </c>
      <c r="O376" s="152">
        <f t="shared" si="41"/>
        <v>1725336.9353620098</v>
      </c>
    </row>
    <row r="377" spans="1:15" x14ac:dyDescent="0.15">
      <c r="A377" s="154"/>
      <c r="B377" s="151"/>
      <c r="C377" s="152"/>
      <c r="D377" s="323"/>
      <c r="E377" s="154"/>
      <c r="F377" s="157"/>
      <c r="G377" s="152"/>
      <c r="H377" s="323" t="s">
        <v>3338</v>
      </c>
      <c r="I377" s="152"/>
      <c r="J377" s="157"/>
      <c r="K377" s="157">
        <v>5800361483</v>
      </c>
      <c r="L377" s="227">
        <v>14080.571</v>
      </c>
      <c r="M377" s="157" t="s">
        <v>3355</v>
      </c>
      <c r="N377" s="227">
        <f t="shared" si="40"/>
        <v>129100.08636201188</v>
      </c>
      <c r="O377" s="152">
        <f t="shared" si="41"/>
        <v>1711256.3643620098</v>
      </c>
    </row>
    <row r="378" spans="1:15" x14ac:dyDescent="0.15">
      <c r="A378" s="154"/>
      <c r="B378" s="151"/>
      <c r="C378" s="152"/>
      <c r="D378" s="323"/>
      <c r="E378" s="154"/>
      <c r="F378" s="157"/>
      <c r="G378" s="152"/>
      <c r="H378" s="323" t="s">
        <v>3338</v>
      </c>
      <c r="I378" s="152"/>
      <c r="J378" s="157"/>
      <c r="K378" s="157">
        <v>5800361483</v>
      </c>
      <c r="L378" s="227">
        <v>14764.016</v>
      </c>
      <c r="M378" s="157" t="s">
        <v>3355</v>
      </c>
      <c r="N378" s="227">
        <f t="shared" si="40"/>
        <v>114336.07036201187</v>
      </c>
      <c r="O378" s="152">
        <f t="shared" si="41"/>
        <v>1696492.3483620097</v>
      </c>
    </row>
    <row r="379" spans="1:15" x14ac:dyDescent="0.15">
      <c r="A379" s="154"/>
      <c r="B379" s="151"/>
      <c r="C379" s="152"/>
      <c r="D379" s="323"/>
      <c r="E379" s="154"/>
      <c r="F379" s="157"/>
      <c r="G379" s="152"/>
      <c r="H379" s="323" t="s">
        <v>3338</v>
      </c>
      <c r="I379" s="152"/>
      <c r="J379" s="157"/>
      <c r="K379" s="157">
        <v>5800361483</v>
      </c>
      <c r="L379" s="227">
        <v>14672.091</v>
      </c>
      <c r="M379" s="157" t="s">
        <v>3355</v>
      </c>
      <c r="N379" s="227">
        <f t="shared" si="40"/>
        <v>99663.979362011873</v>
      </c>
      <c r="O379" s="152">
        <f t="shared" si="41"/>
        <v>1681820.2573620097</v>
      </c>
    </row>
    <row r="380" spans="1:15" x14ac:dyDescent="0.15">
      <c r="A380" s="154"/>
      <c r="B380" s="151"/>
      <c r="C380" s="152"/>
      <c r="D380" s="323"/>
      <c r="E380" s="154"/>
      <c r="F380" s="157"/>
      <c r="G380" s="152"/>
      <c r="H380" s="323" t="s">
        <v>3338</v>
      </c>
      <c r="I380" s="152"/>
      <c r="J380" s="157"/>
      <c r="K380" s="157">
        <v>5800361483</v>
      </c>
      <c r="L380" s="227">
        <v>13885.728999999999</v>
      </c>
      <c r="M380" s="157" t="s">
        <v>3355</v>
      </c>
      <c r="N380" s="227">
        <f t="shared" si="40"/>
        <v>85778.250362011866</v>
      </c>
      <c r="O380" s="152">
        <f t="shared" si="41"/>
        <v>1667934.5283620097</v>
      </c>
    </row>
    <row r="381" spans="1:15" x14ac:dyDescent="0.15">
      <c r="A381" s="154"/>
      <c r="B381" s="151"/>
      <c r="C381" s="152"/>
      <c r="D381" s="323" t="s">
        <v>3340</v>
      </c>
      <c r="E381" s="154" t="s">
        <v>72</v>
      </c>
      <c r="F381" s="157" t="s">
        <v>3360</v>
      </c>
      <c r="G381" s="152">
        <v>43957.137000000002</v>
      </c>
      <c r="H381" s="323" t="s">
        <v>3340</v>
      </c>
      <c r="I381" s="152">
        <v>12383.719000000001</v>
      </c>
      <c r="J381" s="157" t="s">
        <v>3355</v>
      </c>
      <c r="K381" s="157">
        <v>5800361483</v>
      </c>
      <c r="L381" s="227">
        <v>14410.691000000001</v>
      </c>
      <c r="M381" s="157" t="s">
        <v>3355</v>
      </c>
      <c r="N381" s="227">
        <f t="shared" si="40"/>
        <v>58983.84036201187</v>
      </c>
      <c r="O381" s="152">
        <f t="shared" si="41"/>
        <v>1685097.2553620096</v>
      </c>
    </row>
    <row r="382" spans="1:15" x14ac:dyDescent="0.15">
      <c r="A382" s="154"/>
      <c r="B382" s="151"/>
      <c r="C382" s="152"/>
      <c r="D382" s="323" t="s">
        <v>3340</v>
      </c>
      <c r="E382" s="154" t="s">
        <v>72</v>
      </c>
      <c r="F382" s="157" t="s">
        <v>3361</v>
      </c>
      <c r="G382" s="152">
        <v>219895.16</v>
      </c>
      <c r="H382" s="323" t="s">
        <v>3340</v>
      </c>
      <c r="I382" s="152"/>
      <c r="J382" s="157"/>
      <c r="K382" s="157">
        <v>5800361483</v>
      </c>
      <c r="L382" s="227">
        <v>13707.048000000001</v>
      </c>
      <c r="M382" s="157" t="s">
        <v>3355</v>
      </c>
      <c r="N382" s="227">
        <f t="shared" si="40"/>
        <v>45276.792362011867</v>
      </c>
      <c r="O382" s="152">
        <f t="shared" si="41"/>
        <v>1891285.3673620096</v>
      </c>
    </row>
    <row r="383" spans="1:15" x14ac:dyDescent="0.15">
      <c r="A383" s="154"/>
      <c r="B383" s="151"/>
      <c r="C383" s="152"/>
      <c r="D383" s="323"/>
      <c r="E383" s="154"/>
      <c r="F383" s="157"/>
      <c r="G383" s="152"/>
      <c r="H383" s="323" t="s">
        <v>3340</v>
      </c>
      <c r="I383" s="152"/>
      <c r="J383" s="157"/>
      <c r="K383" s="157">
        <v>5800361483</v>
      </c>
      <c r="L383" s="227">
        <v>14156.82</v>
      </c>
      <c r="M383" s="157" t="s">
        <v>3355</v>
      </c>
      <c r="N383" s="227">
        <f t="shared" si="40"/>
        <v>31119.972362011868</v>
      </c>
      <c r="O383" s="152">
        <f t="shared" si="41"/>
        <v>1877128.5473620095</v>
      </c>
    </row>
    <row r="384" spans="1:15" x14ac:dyDescent="0.15">
      <c r="A384" s="154"/>
      <c r="B384" s="151"/>
      <c r="C384" s="152"/>
      <c r="D384" s="323"/>
      <c r="E384" s="154"/>
      <c r="F384" s="157"/>
      <c r="G384" s="152"/>
      <c r="H384" s="323" t="s">
        <v>3340</v>
      </c>
      <c r="I384" s="152"/>
      <c r="J384" s="157"/>
      <c r="K384" s="157">
        <v>5800361483</v>
      </c>
      <c r="L384" s="227">
        <v>16185.790999999999</v>
      </c>
      <c r="M384" s="157" t="s">
        <v>3355</v>
      </c>
      <c r="N384" s="227">
        <f t="shared" si="40"/>
        <v>14934.181362011868</v>
      </c>
      <c r="O384" s="152">
        <f t="shared" si="41"/>
        <v>1860942.7563620096</v>
      </c>
    </row>
    <row r="385" spans="1:15" x14ac:dyDescent="0.15">
      <c r="A385" s="154"/>
      <c r="B385" s="151"/>
      <c r="C385" s="152"/>
      <c r="D385" s="323"/>
      <c r="E385" s="154"/>
      <c r="F385" s="157"/>
      <c r="G385" s="152"/>
      <c r="H385" s="323" t="s">
        <v>3340</v>
      </c>
      <c r="I385" s="152"/>
      <c r="J385" s="157"/>
      <c r="K385" s="157">
        <v>5800361483</v>
      </c>
      <c r="L385" s="227">
        <v>10064.895</v>
      </c>
      <c r="M385" s="157" t="s">
        <v>3355</v>
      </c>
      <c r="N385" s="227">
        <f t="shared" si="40"/>
        <v>4869.2863620118678</v>
      </c>
      <c r="O385" s="152">
        <f t="shared" si="41"/>
        <v>1850877.8613620095</v>
      </c>
    </row>
    <row r="386" spans="1:15" x14ac:dyDescent="0.15">
      <c r="A386" s="154"/>
      <c r="B386" s="151"/>
      <c r="C386" s="152"/>
      <c r="D386" s="323"/>
      <c r="E386" s="154"/>
      <c r="F386" s="157"/>
      <c r="G386" s="152"/>
      <c r="H386" s="323" t="s">
        <v>3340</v>
      </c>
      <c r="I386" s="152"/>
      <c r="J386" s="157"/>
      <c r="K386" s="157">
        <v>5800361483</v>
      </c>
      <c r="L386" s="227">
        <v>4869.2863620118678</v>
      </c>
      <c r="M386" s="157" t="s">
        <v>3355</v>
      </c>
      <c r="N386" s="227">
        <f t="shared" si="40"/>
        <v>0</v>
      </c>
      <c r="O386" s="152">
        <f t="shared" si="41"/>
        <v>1846008.5749999976</v>
      </c>
    </row>
    <row r="387" spans="1:15" x14ac:dyDescent="0.15">
      <c r="A387" s="154"/>
      <c r="B387" s="151"/>
      <c r="C387" s="152"/>
      <c r="D387" s="323"/>
      <c r="E387" s="154"/>
      <c r="F387" s="157"/>
      <c r="G387" s="152"/>
      <c r="H387" s="323" t="s">
        <v>3340</v>
      </c>
      <c r="I387" s="152"/>
      <c r="J387" s="157"/>
      <c r="K387" s="157">
        <v>5800361483</v>
      </c>
      <c r="L387" s="227">
        <v>11004.6626379881</v>
      </c>
      <c r="M387" s="157" t="s">
        <v>3356</v>
      </c>
      <c r="N387" s="227">
        <f>G281+G295+N386-I387-L387</f>
        <v>208681.91236201191</v>
      </c>
      <c r="O387" s="152">
        <f t="shared" si="41"/>
        <v>1835003.9123620095</v>
      </c>
    </row>
    <row r="388" spans="1:15" x14ac:dyDescent="0.15">
      <c r="A388" s="154"/>
      <c r="B388" s="151"/>
      <c r="C388" s="152"/>
      <c r="D388" s="323"/>
      <c r="E388" s="154"/>
      <c r="F388" s="157"/>
      <c r="G388" s="152"/>
      <c r="H388" s="323" t="s">
        <v>3340</v>
      </c>
      <c r="I388" s="152"/>
      <c r="J388" s="157"/>
      <c r="K388" s="157">
        <v>5800361483</v>
      </c>
      <c r="L388" s="227">
        <v>16241.762000000001</v>
      </c>
      <c r="M388" s="157" t="s">
        <v>3356</v>
      </c>
      <c r="N388" s="227">
        <f t="shared" si="40"/>
        <v>192440.15036201192</v>
      </c>
      <c r="O388" s="152">
        <f t="shared" si="41"/>
        <v>1818762.1503620094</v>
      </c>
    </row>
    <row r="389" spans="1:15" x14ac:dyDescent="0.15">
      <c r="A389" s="154"/>
      <c r="B389" s="151"/>
      <c r="C389" s="152"/>
      <c r="D389" s="323"/>
      <c r="E389" s="154"/>
      <c r="F389" s="157"/>
      <c r="G389" s="152"/>
      <c r="H389" s="323" t="s">
        <v>3340</v>
      </c>
      <c r="I389" s="152"/>
      <c r="J389" s="157"/>
      <c r="K389" s="157">
        <v>5800361483</v>
      </c>
      <c r="L389" s="227">
        <v>4384.7759999999998</v>
      </c>
      <c r="M389" s="157" t="s">
        <v>3356</v>
      </c>
      <c r="N389" s="227">
        <f t="shared" si="40"/>
        <v>188055.37436201191</v>
      </c>
      <c r="O389" s="152">
        <f t="shared" si="41"/>
        <v>1814377.3743620093</v>
      </c>
    </row>
    <row r="390" spans="1:15" x14ac:dyDescent="0.15">
      <c r="A390" s="154"/>
      <c r="B390" s="151"/>
      <c r="C390" s="152"/>
      <c r="D390" s="323"/>
      <c r="E390" s="154"/>
      <c r="F390" s="157"/>
      <c r="G390" s="152"/>
      <c r="H390" s="323" t="s">
        <v>3340</v>
      </c>
      <c r="I390" s="152"/>
      <c r="J390" s="157"/>
      <c r="K390" s="157">
        <v>5800361483</v>
      </c>
      <c r="L390" s="227">
        <v>13641.081</v>
      </c>
      <c r="M390" s="157" t="s">
        <v>3356</v>
      </c>
      <c r="N390" s="227">
        <f t="shared" si="40"/>
        <v>174414.2933620119</v>
      </c>
      <c r="O390" s="152">
        <f t="shared" si="41"/>
        <v>1800736.2933620093</v>
      </c>
    </row>
    <row r="391" spans="1:15" x14ac:dyDescent="0.15">
      <c r="A391" s="154"/>
      <c r="B391" s="151"/>
      <c r="C391" s="152"/>
      <c r="D391" s="323"/>
      <c r="E391" s="154"/>
      <c r="F391" s="157"/>
      <c r="G391" s="152"/>
      <c r="H391" s="323" t="s">
        <v>3340</v>
      </c>
      <c r="I391" s="152"/>
      <c r="J391" s="157"/>
      <c r="K391" s="157">
        <v>5800361483</v>
      </c>
      <c r="L391" s="227">
        <v>13760.021000000001</v>
      </c>
      <c r="M391" s="157" t="s">
        <v>3356</v>
      </c>
      <c r="N391" s="227">
        <f t="shared" si="40"/>
        <v>160654.27236201189</v>
      </c>
      <c r="O391" s="152">
        <f t="shared" si="41"/>
        <v>1786976.2723620094</v>
      </c>
    </row>
    <row r="392" spans="1:15" x14ac:dyDescent="0.15">
      <c r="A392" s="154"/>
      <c r="B392" s="151"/>
      <c r="C392" s="152"/>
      <c r="D392" s="323"/>
      <c r="E392" s="154"/>
      <c r="F392" s="157"/>
      <c r="G392" s="152"/>
      <c r="H392" s="323" t="s">
        <v>3341</v>
      </c>
      <c r="I392" s="152">
        <v>9276.6149999999998</v>
      </c>
      <c r="J392" s="157" t="s">
        <v>3356</v>
      </c>
      <c r="K392" s="157">
        <v>5800361483</v>
      </c>
      <c r="L392" s="227">
        <v>14272.324000000001</v>
      </c>
      <c r="M392" s="157" t="s">
        <v>3356</v>
      </c>
      <c r="N392" s="227">
        <f t="shared" si="40"/>
        <v>137105.33336201191</v>
      </c>
      <c r="O392" s="152">
        <f t="shared" si="41"/>
        <v>1763427.3333620094</v>
      </c>
    </row>
    <row r="393" spans="1:15" x14ac:dyDescent="0.15">
      <c r="A393" s="154"/>
      <c r="B393" s="151"/>
      <c r="C393" s="152"/>
      <c r="D393" s="323"/>
      <c r="E393" s="154"/>
      <c r="F393" s="157"/>
      <c r="G393" s="152"/>
      <c r="H393" s="323" t="s">
        <v>3341</v>
      </c>
      <c r="I393" s="152"/>
      <c r="J393" s="157"/>
      <c r="K393" s="157">
        <v>5800361483</v>
      </c>
      <c r="L393" s="227">
        <v>40060.114000000001</v>
      </c>
      <c r="M393" s="157" t="s">
        <v>3356</v>
      </c>
      <c r="N393" s="227">
        <f t="shared" si="40"/>
        <v>97045.219362011907</v>
      </c>
      <c r="O393" s="152">
        <f t="shared" si="41"/>
        <v>1723367.2193620093</v>
      </c>
    </row>
    <row r="394" spans="1:15" x14ac:dyDescent="0.15">
      <c r="A394" s="154"/>
      <c r="B394" s="151"/>
      <c r="C394" s="152"/>
      <c r="D394" s="323"/>
      <c r="E394" s="154"/>
      <c r="F394" s="157"/>
      <c r="G394" s="152"/>
      <c r="H394" s="323" t="s">
        <v>3341</v>
      </c>
      <c r="I394" s="152"/>
      <c r="J394" s="157"/>
      <c r="K394" s="157">
        <v>5800361483</v>
      </c>
      <c r="L394" s="227">
        <v>13654.01</v>
      </c>
      <c r="M394" s="157" t="s">
        <v>3356</v>
      </c>
      <c r="N394" s="227">
        <f t="shared" si="40"/>
        <v>83391.209362011912</v>
      </c>
      <c r="O394" s="152">
        <f t="shared" si="41"/>
        <v>1709713.2093620093</v>
      </c>
    </row>
    <row r="395" spans="1:15" x14ac:dyDescent="0.15">
      <c r="A395" s="154"/>
      <c r="B395" s="151"/>
      <c r="C395" s="152"/>
      <c r="D395" s="323"/>
      <c r="E395" s="154"/>
      <c r="F395" s="157"/>
      <c r="G395" s="152"/>
      <c r="H395" s="323" t="s">
        <v>3341</v>
      </c>
      <c r="I395" s="152"/>
      <c r="J395" s="157"/>
      <c r="K395" s="157">
        <v>5800361483</v>
      </c>
      <c r="L395" s="227">
        <v>18582.481</v>
      </c>
      <c r="M395" s="157" t="s">
        <v>3356</v>
      </c>
      <c r="N395" s="227">
        <f t="shared" si="40"/>
        <v>64808.728362011912</v>
      </c>
      <c r="O395" s="152">
        <f t="shared" si="41"/>
        <v>1691130.7283620094</v>
      </c>
    </row>
    <row r="396" spans="1:15" x14ac:dyDescent="0.15">
      <c r="A396" s="154"/>
      <c r="B396" s="151"/>
      <c r="C396" s="152"/>
      <c r="D396" s="323"/>
      <c r="E396" s="154"/>
      <c r="F396" s="157"/>
      <c r="G396" s="152"/>
      <c r="H396" s="323" t="s">
        <v>3341</v>
      </c>
      <c r="I396" s="152"/>
      <c r="J396" s="157"/>
      <c r="K396" s="157">
        <v>5800361483</v>
      </c>
      <c r="L396" s="227">
        <v>12059.621999999999</v>
      </c>
      <c r="M396" s="157" t="s">
        <v>3356</v>
      </c>
      <c r="N396" s="227">
        <f t="shared" si="40"/>
        <v>52749.106362011909</v>
      </c>
      <c r="O396" s="152">
        <f t="shared" si="41"/>
        <v>1679071.1063620094</v>
      </c>
    </row>
    <row r="397" spans="1:15" x14ac:dyDescent="0.15">
      <c r="A397" s="154"/>
      <c r="B397" s="151"/>
      <c r="C397" s="152"/>
      <c r="D397" s="323"/>
      <c r="E397" s="154"/>
      <c r="F397" s="157"/>
      <c r="G397" s="152"/>
      <c r="H397" s="323" t="s">
        <v>3341</v>
      </c>
      <c r="I397" s="152"/>
      <c r="J397" s="157"/>
      <c r="K397" s="157">
        <v>5800361483</v>
      </c>
      <c r="L397" s="227">
        <v>15693.343000000001</v>
      </c>
      <c r="M397" s="157" t="s">
        <v>3356</v>
      </c>
      <c r="N397" s="227">
        <f t="shared" si="40"/>
        <v>37055.763362011909</v>
      </c>
      <c r="O397" s="152">
        <f t="shared" si="41"/>
        <v>1663377.7633620093</v>
      </c>
    </row>
    <row r="398" spans="1:15" x14ac:dyDescent="0.15">
      <c r="A398" s="154"/>
      <c r="B398" s="151"/>
      <c r="C398" s="152"/>
      <c r="D398" s="323"/>
      <c r="E398" s="154"/>
      <c r="F398" s="157"/>
      <c r="G398" s="152"/>
      <c r="H398" s="323" t="s">
        <v>3341</v>
      </c>
      <c r="I398" s="152"/>
      <c r="J398" s="157"/>
      <c r="K398" s="157">
        <v>5800361483</v>
      </c>
      <c r="L398" s="227">
        <v>16430.91</v>
      </c>
      <c r="M398" s="157" t="s">
        <v>3356</v>
      </c>
      <c r="N398" s="227">
        <f t="shared" si="40"/>
        <v>20624.853362011909</v>
      </c>
      <c r="O398" s="152">
        <f t="shared" si="41"/>
        <v>1646946.8533620094</v>
      </c>
    </row>
    <row r="399" spans="1:15" x14ac:dyDescent="0.15">
      <c r="A399" s="154"/>
      <c r="B399" s="151"/>
      <c r="C399" s="152"/>
      <c r="D399" s="323"/>
      <c r="E399" s="154"/>
      <c r="F399" s="157"/>
      <c r="G399" s="152"/>
      <c r="H399" s="323" t="s">
        <v>3341</v>
      </c>
      <c r="I399" s="152"/>
      <c r="J399" s="157"/>
      <c r="K399" s="157">
        <v>5800361483</v>
      </c>
      <c r="L399" s="227">
        <v>15200.745999999999</v>
      </c>
      <c r="M399" s="157" t="s">
        <v>3356</v>
      </c>
      <c r="N399" s="227">
        <f t="shared" si="40"/>
        <v>5424.1073620119096</v>
      </c>
      <c r="O399" s="152">
        <f t="shared" si="41"/>
        <v>1631746.1073620094</v>
      </c>
    </row>
    <row r="400" spans="1:15" x14ac:dyDescent="0.15">
      <c r="A400" s="154"/>
      <c r="B400" s="151"/>
      <c r="C400" s="152"/>
      <c r="D400" s="323"/>
      <c r="E400" s="154"/>
      <c r="F400" s="157"/>
      <c r="G400" s="152"/>
      <c r="H400" s="323" t="s">
        <v>3341</v>
      </c>
      <c r="I400" s="152"/>
      <c r="J400" s="157"/>
      <c r="K400" s="157">
        <v>5800361483</v>
      </c>
      <c r="L400" s="227">
        <v>5424.1073620119096</v>
      </c>
      <c r="M400" s="157" t="s">
        <v>3356</v>
      </c>
      <c r="N400" s="227">
        <f t="shared" si="40"/>
        <v>0</v>
      </c>
      <c r="O400" s="152">
        <f t="shared" si="41"/>
        <v>1626321.9999999974</v>
      </c>
    </row>
    <row r="401" spans="1:15" x14ac:dyDescent="0.15">
      <c r="A401" s="154"/>
      <c r="B401" s="151"/>
      <c r="C401" s="152"/>
      <c r="D401" s="323"/>
      <c r="E401" s="154"/>
      <c r="F401" s="157"/>
      <c r="G401" s="152"/>
      <c r="H401" s="323" t="s">
        <v>3341</v>
      </c>
      <c r="I401" s="152"/>
      <c r="J401" s="157"/>
      <c r="K401" s="157">
        <v>5800361483</v>
      </c>
      <c r="L401" s="227">
        <v>6739.4876379880898</v>
      </c>
      <c r="M401" s="157" t="s">
        <v>3357</v>
      </c>
      <c r="N401" s="227">
        <f>G296+G321+G330+N400-I401-L401</f>
        <v>476515.72336201189</v>
      </c>
      <c r="O401" s="152">
        <f t="shared" si="41"/>
        <v>1619582.5123620094</v>
      </c>
    </row>
    <row r="402" spans="1:15" x14ac:dyDescent="0.15">
      <c r="A402" s="154"/>
      <c r="B402" s="151"/>
      <c r="C402" s="152"/>
      <c r="D402" s="323"/>
      <c r="E402" s="154"/>
      <c r="F402" s="157"/>
      <c r="G402" s="152"/>
      <c r="H402" s="323" t="s">
        <v>3341</v>
      </c>
      <c r="I402" s="152"/>
      <c r="J402" s="157"/>
      <c r="K402" s="157">
        <v>5800361483</v>
      </c>
      <c r="L402" s="227">
        <v>15492.569</v>
      </c>
      <c r="M402" s="157" t="s">
        <v>3357</v>
      </c>
      <c r="N402" s="227">
        <f t="shared" si="40"/>
        <v>461023.15436201188</v>
      </c>
      <c r="O402" s="152">
        <f t="shared" si="41"/>
        <v>1604089.9433620095</v>
      </c>
    </row>
    <row r="403" spans="1:15" x14ac:dyDescent="0.15">
      <c r="A403" s="154"/>
      <c r="B403" s="151"/>
      <c r="C403" s="152"/>
      <c r="D403" s="323"/>
      <c r="E403" s="154"/>
      <c r="F403" s="157"/>
      <c r="G403" s="152"/>
      <c r="H403" s="323" t="s">
        <v>3341</v>
      </c>
      <c r="I403" s="152"/>
      <c r="J403" s="157"/>
      <c r="K403" s="157">
        <v>5800361483</v>
      </c>
      <c r="L403" s="227">
        <v>12540.366</v>
      </c>
      <c r="M403" s="157" t="s">
        <v>3357</v>
      </c>
      <c r="N403" s="227">
        <f t="shared" si="40"/>
        <v>448482.7883620119</v>
      </c>
      <c r="O403" s="152">
        <f t="shared" si="41"/>
        <v>1591549.5773620096</v>
      </c>
    </row>
    <row r="404" spans="1:15" x14ac:dyDescent="0.15">
      <c r="A404" s="154"/>
      <c r="B404" s="151"/>
      <c r="C404" s="152"/>
      <c r="D404" s="323" t="s">
        <v>3342</v>
      </c>
      <c r="E404" s="154" t="s">
        <v>72</v>
      </c>
      <c r="F404" s="157" t="s">
        <v>3362</v>
      </c>
      <c r="G404" s="152">
        <v>175820.606</v>
      </c>
      <c r="H404" s="323" t="s">
        <v>3342</v>
      </c>
      <c r="I404" s="152">
        <v>11252.925000000001</v>
      </c>
      <c r="J404" s="157" t="s">
        <v>3357</v>
      </c>
      <c r="K404" s="157">
        <v>5800361483</v>
      </c>
      <c r="L404" s="227">
        <v>14680.045</v>
      </c>
      <c r="M404" s="157" t="s">
        <v>3357</v>
      </c>
      <c r="N404" s="227">
        <f t="shared" si="40"/>
        <v>422549.81836201192</v>
      </c>
      <c r="O404" s="152">
        <f t="shared" si="41"/>
        <v>1741437.2133620095</v>
      </c>
    </row>
    <row r="405" spans="1:15" x14ac:dyDescent="0.15">
      <c r="A405" s="154"/>
      <c r="B405" s="151"/>
      <c r="C405" s="152"/>
      <c r="D405" s="323"/>
      <c r="E405" s="154"/>
      <c r="F405" s="157"/>
      <c r="G405" s="152"/>
      <c r="H405" s="323" t="s">
        <v>3342</v>
      </c>
      <c r="I405" s="152"/>
      <c r="J405" s="157"/>
      <c r="K405" s="157">
        <v>5800361483</v>
      </c>
      <c r="L405" s="227">
        <v>13473.534</v>
      </c>
      <c r="M405" s="157" t="s">
        <v>3357</v>
      </c>
      <c r="N405" s="227">
        <f t="shared" si="40"/>
        <v>409076.28436201194</v>
      </c>
      <c r="O405" s="152">
        <f t="shared" si="41"/>
        <v>1727963.6793620095</v>
      </c>
    </row>
    <row r="406" spans="1:15" x14ac:dyDescent="0.15">
      <c r="A406" s="154"/>
      <c r="B406" s="151"/>
      <c r="C406" s="152"/>
      <c r="D406" s="323"/>
      <c r="E406" s="154"/>
      <c r="F406" s="157"/>
      <c r="G406" s="152"/>
      <c r="H406" s="323" t="s">
        <v>3342</v>
      </c>
      <c r="I406" s="152"/>
      <c r="J406" s="157"/>
      <c r="K406" s="157">
        <v>5800361483</v>
      </c>
      <c r="L406" s="227">
        <v>12958.743</v>
      </c>
      <c r="M406" s="157" t="s">
        <v>3357</v>
      </c>
      <c r="N406" s="227">
        <f t="shared" si="40"/>
        <v>396117.54136201192</v>
      </c>
      <c r="O406" s="152">
        <f t="shared" si="41"/>
        <v>1715004.9363620095</v>
      </c>
    </row>
    <row r="407" spans="1:15" x14ac:dyDescent="0.15">
      <c r="A407" s="154"/>
      <c r="B407" s="151"/>
      <c r="C407" s="152"/>
      <c r="D407" s="323"/>
      <c r="E407" s="154"/>
      <c r="F407" s="157"/>
      <c r="G407" s="152"/>
      <c r="H407" s="323" t="s">
        <v>3342</v>
      </c>
      <c r="I407" s="152"/>
      <c r="J407" s="157"/>
      <c r="K407" s="157">
        <v>5800361483</v>
      </c>
      <c r="L407" s="227">
        <v>13845.383</v>
      </c>
      <c r="M407" s="157" t="s">
        <v>3357</v>
      </c>
      <c r="N407" s="227">
        <f t="shared" si="40"/>
        <v>382272.15836201195</v>
      </c>
      <c r="O407" s="152">
        <f t="shared" si="41"/>
        <v>1701159.5533620096</v>
      </c>
    </row>
    <row r="408" spans="1:15" x14ac:dyDescent="0.15">
      <c r="A408" s="154"/>
      <c r="B408" s="151"/>
      <c r="C408" s="152"/>
      <c r="D408" s="323"/>
      <c r="E408" s="154"/>
      <c r="F408" s="157"/>
      <c r="G408" s="152"/>
      <c r="H408" s="323" t="s">
        <v>3342</v>
      </c>
      <c r="I408" s="152"/>
      <c r="J408" s="157"/>
      <c r="K408" s="157">
        <v>5800361483</v>
      </c>
      <c r="L408" s="227">
        <v>9721.0560000000005</v>
      </c>
      <c r="M408" s="157" t="s">
        <v>3357</v>
      </c>
      <c r="N408" s="227">
        <f t="shared" si="40"/>
        <v>372551.10236201197</v>
      </c>
      <c r="O408" s="152">
        <f t="shared" si="41"/>
        <v>1691438.4973620095</v>
      </c>
    </row>
    <row r="409" spans="1:15" x14ac:dyDescent="0.15">
      <c r="A409" s="154"/>
      <c r="B409" s="151"/>
      <c r="C409" s="152"/>
      <c r="D409" s="323"/>
      <c r="E409" s="154"/>
      <c r="F409" s="157"/>
      <c r="G409" s="152"/>
      <c r="H409" s="323" t="s">
        <v>3342</v>
      </c>
      <c r="I409" s="152"/>
      <c r="J409" s="157"/>
      <c r="K409" s="157">
        <v>5800361483</v>
      </c>
      <c r="L409" s="227">
        <v>15565.264999999999</v>
      </c>
      <c r="M409" s="157" t="s">
        <v>3357</v>
      </c>
      <c r="N409" s="227">
        <f t="shared" si="40"/>
        <v>356985.83736201195</v>
      </c>
      <c r="O409" s="152">
        <f t="shared" si="41"/>
        <v>1675873.2323620096</v>
      </c>
    </row>
    <row r="410" spans="1:15" x14ac:dyDescent="0.15">
      <c r="A410" s="154"/>
      <c r="B410" s="151"/>
      <c r="C410" s="152"/>
      <c r="D410" s="323"/>
      <c r="E410" s="154"/>
      <c r="F410" s="157"/>
      <c r="G410" s="152"/>
      <c r="H410" s="323" t="s">
        <v>3342</v>
      </c>
      <c r="I410" s="152"/>
      <c r="J410" s="157"/>
      <c r="K410" s="157">
        <v>5800361483</v>
      </c>
      <c r="L410" s="227">
        <v>14284.654</v>
      </c>
      <c r="M410" s="157" t="s">
        <v>3357</v>
      </c>
      <c r="N410" s="227">
        <f t="shared" si="40"/>
        <v>342701.18336201197</v>
      </c>
      <c r="O410" s="152">
        <f t="shared" si="41"/>
        <v>1661588.5783620095</v>
      </c>
    </row>
    <row r="411" spans="1:15" x14ac:dyDescent="0.15">
      <c r="A411" s="154"/>
      <c r="B411" s="151"/>
      <c r="C411" s="152"/>
      <c r="D411" s="323"/>
      <c r="E411" s="154"/>
      <c r="F411" s="157"/>
      <c r="G411" s="152"/>
      <c r="H411" s="323" t="s">
        <v>3342</v>
      </c>
      <c r="I411" s="152"/>
      <c r="J411" s="157"/>
      <c r="K411" s="157">
        <v>5800361483</v>
      </c>
      <c r="L411" s="227">
        <v>4509.6279999999997</v>
      </c>
      <c r="M411" s="157" t="s">
        <v>3357</v>
      </c>
      <c r="N411" s="227">
        <f t="shared" si="40"/>
        <v>338191.55536201195</v>
      </c>
      <c r="O411" s="152">
        <f t="shared" si="41"/>
        <v>1657078.9503620095</v>
      </c>
    </row>
    <row r="412" spans="1:15" x14ac:dyDescent="0.15">
      <c r="A412" s="154"/>
      <c r="B412" s="151"/>
      <c r="C412" s="152"/>
      <c r="D412" s="323"/>
      <c r="E412" s="154"/>
      <c r="F412" s="157"/>
      <c r="G412" s="152"/>
      <c r="H412" s="323" t="s">
        <v>3342</v>
      </c>
      <c r="I412" s="152"/>
      <c r="J412" s="157"/>
      <c r="K412" s="157">
        <v>5800361483</v>
      </c>
      <c r="L412" s="227">
        <v>14825.49</v>
      </c>
      <c r="M412" s="157" t="s">
        <v>3357</v>
      </c>
      <c r="N412" s="227">
        <f t="shared" si="40"/>
        <v>323366.06536201196</v>
      </c>
      <c r="O412" s="152">
        <f t="shared" si="41"/>
        <v>1642253.4603620095</v>
      </c>
    </row>
    <row r="413" spans="1:15" hidden="1" x14ac:dyDescent="0.15">
      <c r="A413" s="154"/>
      <c r="B413" s="151"/>
      <c r="C413" s="152"/>
      <c r="D413" s="323"/>
      <c r="E413" s="154"/>
      <c r="F413" s="157"/>
      <c r="G413" s="152"/>
      <c r="H413" s="323"/>
      <c r="I413" s="152"/>
      <c r="J413" s="157"/>
      <c r="K413" s="157"/>
      <c r="L413" s="227"/>
      <c r="M413" s="157"/>
      <c r="N413" s="227">
        <f t="shared" ref="N413:N452" si="44">+N412-I413-L413</f>
        <v>323366.06536201196</v>
      </c>
      <c r="O413" s="152">
        <f t="shared" ref="O413:O452" si="45">O412+G413-I413-L413</f>
        <v>1642253.4603620095</v>
      </c>
    </row>
    <row r="414" spans="1:15" hidden="1" x14ac:dyDescent="0.15">
      <c r="A414" s="154"/>
      <c r="B414" s="151"/>
      <c r="C414" s="152"/>
      <c r="D414" s="323"/>
      <c r="E414" s="154"/>
      <c r="F414" s="157"/>
      <c r="G414" s="152"/>
      <c r="H414" s="323"/>
      <c r="I414" s="152"/>
      <c r="J414" s="157"/>
      <c r="K414" s="157"/>
      <c r="L414" s="227"/>
      <c r="M414" s="157"/>
      <c r="N414" s="227">
        <f t="shared" si="44"/>
        <v>323366.06536201196</v>
      </c>
      <c r="O414" s="152">
        <f t="shared" si="45"/>
        <v>1642253.4603620095</v>
      </c>
    </row>
    <row r="415" spans="1:15" hidden="1" x14ac:dyDescent="0.15">
      <c r="A415" s="154"/>
      <c r="B415" s="151"/>
      <c r="C415" s="152"/>
      <c r="D415" s="323"/>
      <c r="E415" s="154"/>
      <c r="F415" s="157"/>
      <c r="G415" s="152"/>
      <c r="H415" s="323"/>
      <c r="I415" s="152"/>
      <c r="J415" s="157"/>
      <c r="K415" s="157"/>
      <c r="L415" s="227"/>
      <c r="M415" s="157"/>
      <c r="N415" s="227">
        <f t="shared" si="44"/>
        <v>323366.06536201196</v>
      </c>
      <c r="O415" s="152">
        <f t="shared" si="45"/>
        <v>1642253.4603620095</v>
      </c>
    </row>
    <row r="416" spans="1:15" hidden="1" x14ac:dyDescent="0.15">
      <c r="A416" s="154"/>
      <c r="B416" s="151"/>
      <c r="C416" s="152"/>
      <c r="D416" s="323"/>
      <c r="E416" s="154"/>
      <c r="F416" s="157"/>
      <c r="G416" s="152"/>
      <c r="H416" s="323"/>
      <c r="I416" s="152"/>
      <c r="J416" s="157"/>
      <c r="K416" s="157"/>
      <c r="L416" s="227"/>
      <c r="M416" s="157"/>
      <c r="N416" s="227">
        <f t="shared" si="44"/>
        <v>323366.06536201196</v>
      </c>
      <c r="O416" s="152">
        <f t="shared" si="45"/>
        <v>1642253.4603620095</v>
      </c>
    </row>
    <row r="417" spans="1:15" hidden="1" x14ac:dyDescent="0.15">
      <c r="A417" s="154"/>
      <c r="B417" s="151"/>
      <c r="C417" s="152"/>
      <c r="D417" s="323"/>
      <c r="E417" s="154"/>
      <c r="F417" s="157"/>
      <c r="G417" s="152"/>
      <c r="H417" s="323"/>
      <c r="I417" s="152"/>
      <c r="J417" s="157"/>
      <c r="K417" s="157"/>
      <c r="L417" s="227"/>
      <c r="M417" s="157"/>
      <c r="N417" s="227">
        <f t="shared" si="44"/>
        <v>323366.06536201196</v>
      </c>
      <c r="O417" s="152">
        <f t="shared" si="45"/>
        <v>1642253.4603620095</v>
      </c>
    </row>
    <row r="418" spans="1:15" hidden="1" x14ac:dyDescent="0.15">
      <c r="A418" s="154"/>
      <c r="B418" s="151"/>
      <c r="C418" s="152"/>
      <c r="D418" s="323"/>
      <c r="E418" s="154"/>
      <c r="F418" s="157"/>
      <c r="G418" s="152"/>
      <c r="H418" s="323"/>
      <c r="I418" s="152"/>
      <c r="J418" s="157"/>
      <c r="K418" s="157"/>
      <c r="L418" s="227"/>
      <c r="M418" s="157"/>
      <c r="N418" s="227">
        <f t="shared" si="44"/>
        <v>323366.06536201196</v>
      </c>
      <c r="O418" s="152">
        <f t="shared" si="45"/>
        <v>1642253.4603620095</v>
      </c>
    </row>
    <row r="419" spans="1:15" hidden="1" x14ac:dyDescent="0.15">
      <c r="A419" s="154"/>
      <c r="B419" s="151"/>
      <c r="C419" s="152"/>
      <c r="D419" s="323"/>
      <c r="E419" s="154"/>
      <c r="F419" s="157"/>
      <c r="G419" s="152"/>
      <c r="H419" s="323"/>
      <c r="I419" s="152"/>
      <c r="J419" s="157"/>
      <c r="K419" s="157"/>
      <c r="L419" s="227"/>
      <c r="M419" s="157"/>
      <c r="N419" s="227">
        <f t="shared" si="44"/>
        <v>323366.06536201196</v>
      </c>
      <c r="O419" s="152">
        <f t="shared" si="45"/>
        <v>1642253.4603620095</v>
      </c>
    </row>
    <row r="420" spans="1:15" hidden="1" x14ac:dyDescent="0.15">
      <c r="A420" s="154"/>
      <c r="B420" s="151"/>
      <c r="C420" s="152"/>
      <c r="D420" s="323"/>
      <c r="E420" s="154"/>
      <c r="F420" s="157"/>
      <c r="G420" s="152"/>
      <c r="H420" s="323"/>
      <c r="I420" s="152"/>
      <c r="J420" s="157"/>
      <c r="K420" s="157"/>
      <c r="L420" s="227"/>
      <c r="M420" s="157"/>
      <c r="N420" s="227">
        <f t="shared" si="44"/>
        <v>323366.06536201196</v>
      </c>
      <c r="O420" s="152">
        <f t="shared" si="45"/>
        <v>1642253.4603620095</v>
      </c>
    </row>
    <row r="421" spans="1:15" hidden="1" x14ac:dyDescent="0.15">
      <c r="A421" s="154"/>
      <c r="B421" s="151"/>
      <c r="C421" s="152"/>
      <c r="D421" s="323"/>
      <c r="E421" s="154"/>
      <c r="F421" s="157"/>
      <c r="G421" s="152"/>
      <c r="H421" s="323"/>
      <c r="I421" s="152"/>
      <c r="J421" s="157"/>
      <c r="K421" s="157"/>
      <c r="L421" s="227"/>
      <c r="M421" s="157"/>
      <c r="N421" s="227">
        <f t="shared" si="44"/>
        <v>323366.06536201196</v>
      </c>
      <c r="O421" s="152">
        <f t="shared" si="45"/>
        <v>1642253.4603620095</v>
      </c>
    </row>
    <row r="422" spans="1:15" hidden="1" x14ac:dyDescent="0.15">
      <c r="A422" s="154"/>
      <c r="B422" s="151"/>
      <c r="C422" s="152"/>
      <c r="D422" s="323"/>
      <c r="E422" s="154"/>
      <c r="F422" s="157"/>
      <c r="G422" s="152"/>
      <c r="H422" s="323"/>
      <c r="I422" s="152"/>
      <c r="J422" s="157"/>
      <c r="K422" s="157"/>
      <c r="L422" s="227"/>
      <c r="M422" s="157"/>
      <c r="N422" s="227">
        <f t="shared" si="44"/>
        <v>323366.06536201196</v>
      </c>
      <c r="O422" s="152">
        <f t="shared" si="45"/>
        <v>1642253.4603620095</v>
      </c>
    </row>
    <row r="423" spans="1:15" hidden="1" x14ac:dyDescent="0.15">
      <c r="A423" s="154"/>
      <c r="B423" s="151"/>
      <c r="C423" s="152"/>
      <c r="D423" s="323"/>
      <c r="E423" s="154"/>
      <c r="F423" s="157"/>
      <c r="G423" s="152"/>
      <c r="H423" s="323"/>
      <c r="I423" s="152"/>
      <c r="J423" s="157"/>
      <c r="K423" s="157"/>
      <c r="L423" s="227"/>
      <c r="M423" s="157"/>
      <c r="N423" s="227">
        <f t="shared" si="44"/>
        <v>323366.06536201196</v>
      </c>
      <c r="O423" s="152">
        <f t="shared" si="45"/>
        <v>1642253.4603620095</v>
      </c>
    </row>
    <row r="424" spans="1:15" hidden="1" x14ac:dyDescent="0.15">
      <c r="A424" s="154"/>
      <c r="B424" s="151"/>
      <c r="C424" s="152"/>
      <c r="D424" s="323"/>
      <c r="E424" s="154"/>
      <c r="F424" s="157"/>
      <c r="G424" s="152"/>
      <c r="H424" s="323"/>
      <c r="I424" s="152"/>
      <c r="J424" s="157"/>
      <c r="K424" s="157"/>
      <c r="L424" s="227"/>
      <c r="M424" s="157"/>
      <c r="N424" s="227">
        <f t="shared" si="44"/>
        <v>323366.06536201196</v>
      </c>
      <c r="O424" s="152">
        <f t="shared" si="45"/>
        <v>1642253.4603620095</v>
      </c>
    </row>
    <row r="425" spans="1:15" hidden="1" x14ac:dyDescent="0.15">
      <c r="A425" s="154"/>
      <c r="B425" s="151"/>
      <c r="C425" s="152"/>
      <c r="D425" s="323"/>
      <c r="E425" s="154"/>
      <c r="F425" s="157"/>
      <c r="G425" s="152"/>
      <c r="H425" s="323"/>
      <c r="I425" s="152"/>
      <c r="J425" s="157"/>
      <c r="K425" s="157"/>
      <c r="L425" s="227"/>
      <c r="M425" s="157"/>
      <c r="N425" s="227">
        <f t="shared" si="44"/>
        <v>323366.06536201196</v>
      </c>
      <c r="O425" s="152">
        <f t="shared" si="45"/>
        <v>1642253.4603620095</v>
      </c>
    </row>
    <row r="426" spans="1:15" hidden="1" x14ac:dyDescent="0.15">
      <c r="A426" s="154"/>
      <c r="B426" s="151"/>
      <c r="C426" s="152"/>
      <c r="D426" s="323"/>
      <c r="E426" s="154"/>
      <c r="F426" s="157"/>
      <c r="G426" s="152"/>
      <c r="H426" s="323"/>
      <c r="I426" s="152"/>
      <c r="J426" s="157"/>
      <c r="K426" s="157"/>
      <c r="L426" s="227"/>
      <c r="M426" s="157"/>
      <c r="N426" s="227">
        <f t="shared" si="44"/>
        <v>323366.06536201196</v>
      </c>
      <c r="O426" s="152">
        <f t="shared" si="45"/>
        <v>1642253.4603620095</v>
      </c>
    </row>
    <row r="427" spans="1:15" hidden="1" x14ac:dyDescent="0.15">
      <c r="A427" s="154"/>
      <c r="B427" s="151"/>
      <c r="C427" s="152"/>
      <c r="D427" s="323"/>
      <c r="E427" s="154"/>
      <c r="F427" s="157"/>
      <c r="G427" s="152"/>
      <c r="H427" s="323"/>
      <c r="I427" s="152"/>
      <c r="J427" s="157"/>
      <c r="K427" s="157"/>
      <c r="L427" s="227"/>
      <c r="M427" s="157"/>
      <c r="N427" s="227">
        <f t="shared" si="44"/>
        <v>323366.06536201196</v>
      </c>
      <c r="O427" s="152">
        <f t="shared" si="45"/>
        <v>1642253.4603620095</v>
      </c>
    </row>
    <row r="428" spans="1:15" hidden="1" x14ac:dyDescent="0.15">
      <c r="A428" s="154"/>
      <c r="B428" s="151"/>
      <c r="C428" s="152"/>
      <c r="D428" s="323"/>
      <c r="E428" s="154"/>
      <c r="F428" s="157"/>
      <c r="G428" s="152"/>
      <c r="H428" s="323"/>
      <c r="I428" s="152"/>
      <c r="J428" s="157"/>
      <c r="K428" s="157"/>
      <c r="L428" s="227"/>
      <c r="M428" s="157"/>
      <c r="N428" s="227">
        <f t="shared" si="44"/>
        <v>323366.06536201196</v>
      </c>
      <c r="O428" s="152">
        <f t="shared" si="45"/>
        <v>1642253.4603620095</v>
      </c>
    </row>
    <row r="429" spans="1:15" hidden="1" x14ac:dyDescent="0.15">
      <c r="A429" s="154"/>
      <c r="B429" s="151"/>
      <c r="C429" s="152"/>
      <c r="D429" s="323"/>
      <c r="E429" s="154"/>
      <c r="F429" s="157"/>
      <c r="G429" s="152"/>
      <c r="H429" s="323"/>
      <c r="I429" s="152"/>
      <c r="J429" s="157"/>
      <c r="K429" s="157"/>
      <c r="L429" s="227"/>
      <c r="M429" s="157"/>
      <c r="N429" s="227">
        <f t="shared" si="44"/>
        <v>323366.06536201196</v>
      </c>
      <c r="O429" s="152">
        <f t="shared" si="45"/>
        <v>1642253.4603620095</v>
      </c>
    </row>
    <row r="430" spans="1:15" hidden="1" x14ac:dyDescent="0.15">
      <c r="A430" s="154"/>
      <c r="B430" s="151"/>
      <c r="C430" s="152"/>
      <c r="D430" s="323"/>
      <c r="E430" s="154"/>
      <c r="F430" s="157"/>
      <c r="G430" s="152"/>
      <c r="H430" s="323"/>
      <c r="I430" s="152"/>
      <c r="J430" s="157"/>
      <c r="K430" s="157"/>
      <c r="L430" s="227"/>
      <c r="M430" s="157"/>
      <c r="N430" s="227">
        <f t="shared" si="44"/>
        <v>323366.06536201196</v>
      </c>
      <c r="O430" s="152">
        <f t="shared" si="45"/>
        <v>1642253.4603620095</v>
      </c>
    </row>
    <row r="431" spans="1:15" hidden="1" x14ac:dyDescent="0.15">
      <c r="A431" s="154"/>
      <c r="B431" s="151"/>
      <c r="C431" s="152"/>
      <c r="D431" s="323"/>
      <c r="E431" s="154"/>
      <c r="F431" s="157"/>
      <c r="G431" s="152"/>
      <c r="H431" s="323"/>
      <c r="I431" s="152"/>
      <c r="J431" s="157"/>
      <c r="K431" s="157"/>
      <c r="L431" s="227"/>
      <c r="M431" s="157"/>
      <c r="N431" s="227">
        <f t="shared" si="44"/>
        <v>323366.06536201196</v>
      </c>
      <c r="O431" s="152">
        <f t="shared" si="45"/>
        <v>1642253.4603620095</v>
      </c>
    </row>
    <row r="432" spans="1:15" hidden="1" x14ac:dyDescent="0.15">
      <c r="A432" s="154"/>
      <c r="B432" s="151"/>
      <c r="C432" s="152"/>
      <c r="D432" s="323"/>
      <c r="E432" s="154"/>
      <c r="F432" s="157"/>
      <c r="G432" s="152"/>
      <c r="H432" s="323"/>
      <c r="I432" s="152"/>
      <c r="J432" s="157"/>
      <c r="K432" s="157"/>
      <c r="L432" s="227"/>
      <c r="M432" s="157"/>
      <c r="N432" s="227">
        <f t="shared" si="44"/>
        <v>323366.06536201196</v>
      </c>
      <c r="O432" s="152">
        <f t="shared" si="45"/>
        <v>1642253.4603620095</v>
      </c>
    </row>
    <row r="433" spans="1:15" hidden="1" x14ac:dyDescent="0.15">
      <c r="A433" s="154"/>
      <c r="B433" s="151"/>
      <c r="C433" s="152"/>
      <c r="D433" s="323"/>
      <c r="E433" s="154"/>
      <c r="F433" s="157"/>
      <c r="G433" s="152"/>
      <c r="H433" s="323"/>
      <c r="I433" s="152"/>
      <c r="J433" s="157"/>
      <c r="K433" s="157"/>
      <c r="L433" s="227"/>
      <c r="M433" s="157"/>
      <c r="N433" s="227">
        <f t="shared" si="44"/>
        <v>323366.06536201196</v>
      </c>
      <c r="O433" s="152">
        <f t="shared" si="45"/>
        <v>1642253.4603620095</v>
      </c>
    </row>
    <row r="434" spans="1:15" hidden="1" x14ac:dyDescent="0.15">
      <c r="A434" s="154"/>
      <c r="B434" s="151"/>
      <c r="C434" s="152"/>
      <c r="D434" s="323"/>
      <c r="E434" s="154"/>
      <c r="F434" s="157"/>
      <c r="G434" s="152"/>
      <c r="H434" s="323"/>
      <c r="I434" s="152"/>
      <c r="J434" s="157"/>
      <c r="K434" s="157"/>
      <c r="L434" s="227"/>
      <c r="M434" s="157"/>
      <c r="N434" s="227">
        <f t="shared" si="44"/>
        <v>323366.06536201196</v>
      </c>
      <c r="O434" s="152">
        <f t="shared" si="45"/>
        <v>1642253.4603620095</v>
      </c>
    </row>
    <row r="435" spans="1:15" hidden="1" x14ac:dyDescent="0.15">
      <c r="A435" s="154"/>
      <c r="B435" s="151"/>
      <c r="C435" s="152"/>
      <c r="D435" s="323"/>
      <c r="E435" s="154"/>
      <c r="F435" s="157"/>
      <c r="G435" s="152"/>
      <c r="H435" s="323"/>
      <c r="I435" s="152"/>
      <c r="J435" s="157"/>
      <c r="K435" s="157"/>
      <c r="L435" s="227"/>
      <c r="M435" s="157"/>
      <c r="N435" s="227">
        <f t="shared" si="44"/>
        <v>323366.06536201196</v>
      </c>
      <c r="O435" s="152">
        <f t="shared" si="45"/>
        <v>1642253.4603620095</v>
      </c>
    </row>
    <row r="436" spans="1:15" hidden="1" x14ac:dyDescent="0.15">
      <c r="A436" s="154"/>
      <c r="B436" s="151"/>
      <c r="C436" s="152"/>
      <c r="D436" s="323"/>
      <c r="E436" s="154"/>
      <c r="F436" s="157"/>
      <c r="G436" s="152"/>
      <c r="H436" s="323"/>
      <c r="I436" s="152"/>
      <c r="J436" s="157"/>
      <c r="K436" s="157"/>
      <c r="L436" s="227"/>
      <c r="M436" s="157"/>
      <c r="N436" s="227">
        <f t="shared" si="44"/>
        <v>323366.06536201196</v>
      </c>
      <c r="O436" s="152">
        <f t="shared" si="45"/>
        <v>1642253.4603620095</v>
      </c>
    </row>
    <row r="437" spans="1:15" hidden="1" x14ac:dyDescent="0.15">
      <c r="A437" s="154"/>
      <c r="B437" s="151"/>
      <c r="C437" s="152"/>
      <c r="D437" s="323"/>
      <c r="E437" s="154"/>
      <c r="F437" s="157"/>
      <c r="G437" s="152"/>
      <c r="H437" s="323"/>
      <c r="I437" s="152"/>
      <c r="J437" s="157"/>
      <c r="K437" s="157"/>
      <c r="L437" s="227"/>
      <c r="M437" s="157"/>
      <c r="N437" s="227">
        <f t="shared" si="44"/>
        <v>323366.06536201196</v>
      </c>
      <c r="O437" s="152">
        <f t="shared" si="45"/>
        <v>1642253.4603620095</v>
      </c>
    </row>
    <row r="438" spans="1:15" hidden="1" x14ac:dyDescent="0.15">
      <c r="A438" s="154"/>
      <c r="B438" s="151"/>
      <c r="C438" s="152"/>
      <c r="D438" s="323"/>
      <c r="E438" s="154"/>
      <c r="F438" s="157"/>
      <c r="G438" s="152"/>
      <c r="H438" s="323"/>
      <c r="I438" s="152"/>
      <c r="J438" s="157"/>
      <c r="K438" s="157"/>
      <c r="L438" s="227"/>
      <c r="M438" s="157"/>
      <c r="N438" s="227">
        <f t="shared" si="44"/>
        <v>323366.06536201196</v>
      </c>
      <c r="O438" s="152">
        <f t="shared" si="45"/>
        <v>1642253.4603620095</v>
      </c>
    </row>
    <row r="439" spans="1:15" hidden="1" x14ac:dyDescent="0.15">
      <c r="A439" s="154"/>
      <c r="B439" s="151"/>
      <c r="C439" s="152"/>
      <c r="D439" s="323"/>
      <c r="E439" s="154"/>
      <c r="F439" s="157"/>
      <c r="G439" s="152"/>
      <c r="H439" s="323"/>
      <c r="I439" s="152"/>
      <c r="J439" s="157"/>
      <c r="K439" s="157"/>
      <c r="L439" s="227"/>
      <c r="M439" s="157"/>
      <c r="N439" s="227">
        <f t="shared" si="44"/>
        <v>323366.06536201196</v>
      </c>
      <c r="O439" s="152">
        <f t="shared" si="45"/>
        <v>1642253.4603620095</v>
      </c>
    </row>
    <row r="440" spans="1:15" hidden="1" x14ac:dyDescent="0.15">
      <c r="A440" s="154"/>
      <c r="B440" s="151"/>
      <c r="C440" s="152"/>
      <c r="D440" s="323"/>
      <c r="E440" s="154"/>
      <c r="F440" s="157"/>
      <c r="G440" s="152"/>
      <c r="H440" s="323"/>
      <c r="I440" s="152"/>
      <c r="J440" s="157"/>
      <c r="K440" s="157"/>
      <c r="L440" s="227"/>
      <c r="M440" s="157"/>
      <c r="N440" s="227">
        <f t="shared" si="44"/>
        <v>323366.06536201196</v>
      </c>
      <c r="O440" s="152">
        <f t="shared" si="45"/>
        <v>1642253.4603620095</v>
      </c>
    </row>
    <row r="441" spans="1:15" hidden="1" x14ac:dyDescent="0.15">
      <c r="A441" s="154"/>
      <c r="B441" s="151"/>
      <c r="C441" s="152"/>
      <c r="D441" s="323"/>
      <c r="E441" s="154"/>
      <c r="F441" s="157"/>
      <c r="G441" s="152"/>
      <c r="H441" s="323"/>
      <c r="I441" s="152"/>
      <c r="J441" s="157"/>
      <c r="K441" s="157"/>
      <c r="L441" s="227"/>
      <c r="M441" s="157"/>
      <c r="N441" s="227">
        <f t="shared" si="44"/>
        <v>323366.06536201196</v>
      </c>
      <c r="O441" s="152">
        <f t="shared" si="45"/>
        <v>1642253.4603620095</v>
      </c>
    </row>
    <row r="442" spans="1:15" hidden="1" x14ac:dyDescent="0.15">
      <c r="A442" s="154"/>
      <c r="B442" s="151"/>
      <c r="C442" s="152"/>
      <c r="D442" s="323"/>
      <c r="E442" s="154"/>
      <c r="F442" s="157"/>
      <c r="G442" s="152"/>
      <c r="H442" s="323"/>
      <c r="I442" s="152"/>
      <c r="J442" s="157"/>
      <c r="K442" s="157"/>
      <c r="L442" s="227"/>
      <c r="M442" s="157"/>
      <c r="N442" s="227">
        <f t="shared" si="44"/>
        <v>323366.06536201196</v>
      </c>
      <c r="O442" s="152">
        <f t="shared" si="45"/>
        <v>1642253.4603620095</v>
      </c>
    </row>
    <row r="443" spans="1:15" hidden="1" x14ac:dyDescent="0.15">
      <c r="A443" s="154"/>
      <c r="B443" s="151"/>
      <c r="C443" s="152"/>
      <c r="D443" s="323"/>
      <c r="E443" s="154"/>
      <c r="F443" s="157"/>
      <c r="G443" s="152"/>
      <c r="H443" s="323"/>
      <c r="I443" s="152"/>
      <c r="J443" s="157"/>
      <c r="K443" s="157"/>
      <c r="L443" s="227"/>
      <c r="M443" s="157"/>
      <c r="N443" s="227">
        <f t="shared" si="44"/>
        <v>323366.06536201196</v>
      </c>
      <c r="O443" s="152">
        <f t="shared" si="45"/>
        <v>1642253.4603620095</v>
      </c>
    </row>
    <row r="444" spans="1:15" hidden="1" x14ac:dyDescent="0.15">
      <c r="A444" s="154"/>
      <c r="B444" s="151"/>
      <c r="C444" s="152"/>
      <c r="D444" s="323"/>
      <c r="E444" s="154"/>
      <c r="F444" s="157"/>
      <c r="G444" s="152"/>
      <c r="H444" s="323"/>
      <c r="I444" s="152"/>
      <c r="J444" s="157"/>
      <c r="K444" s="157"/>
      <c r="L444" s="227"/>
      <c r="M444" s="157"/>
      <c r="N444" s="227">
        <f t="shared" si="44"/>
        <v>323366.06536201196</v>
      </c>
      <c r="O444" s="152">
        <f t="shared" si="45"/>
        <v>1642253.4603620095</v>
      </c>
    </row>
    <row r="445" spans="1:15" hidden="1" x14ac:dyDescent="0.15">
      <c r="A445" s="154"/>
      <c r="B445" s="151"/>
      <c r="C445" s="152"/>
      <c r="D445" s="323"/>
      <c r="E445" s="154"/>
      <c r="F445" s="157"/>
      <c r="G445" s="152"/>
      <c r="H445" s="323"/>
      <c r="I445" s="152"/>
      <c r="J445" s="157"/>
      <c r="K445" s="157"/>
      <c r="L445" s="227"/>
      <c r="M445" s="157"/>
      <c r="N445" s="227">
        <f t="shared" si="44"/>
        <v>323366.06536201196</v>
      </c>
      <c r="O445" s="152">
        <f t="shared" si="45"/>
        <v>1642253.4603620095</v>
      </c>
    </row>
    <row r="446" spans="1:15" hidden="1" x14ac:dyDescent="0.15">
      <c r="A446" s="154"/>
      <c r="B446" s="151"/>
      <c r="C446" s="152"/>
      <c r="D446" s="323"/>
      <c r="E446" s="154"/>
      <c r="F446" s="157"/>
      <c r="G446" s="152"/>
      <c r="H446" s="323"/>
      <c r="I446" s="152"/>
      <c r="J446" s="157"/>
      <c r="K446" s="154"/>
      <c r="L446" s="227"/>
      <c r="M446" s="157"/>
      <c r="N446" s="227">
        <f t="shared" si="44"/>
        <v>323366.06536201196</v>
      </c>
      <c r="O446" s="152">
        <f t="shared" si="45"/>
        <v>1642253.4603620095</v>
      </c>
    </row>
    <row r="447" spans="1:15" hidden="1" x14ac:dyDescent="0.15">
      <c r="A447" s="154"/>
      <c r="B447" s="151"/>
      <c r="C447" s="152"/>
      <c r="D447" s="323"/>
      <c r="E447" s="154"/>
      <c r="F447" s="157"/>
      <c r="G447" s="152"/>
      <c r="H447" s="323"/>
      <c r="I447" s="152"/>
      <c r="J447" s="154"/>
      <c r="K447" s="154"/>
      <c r="L447" s="227"/>
      <c r="M447" s="157"/>
      <c r="N447" s="227">
        <f t="shared" si="44"/>
        <v>323366.06536201196</v>
      </c>
      <c r="O447" s="152">
        <f t="shared" si="45"/>
        <v>1642253.4603620095</v>
      </c>
    </row>
    <row r="448" spans="1:15" hidden="1" x14ac:dyDescent="0.15">
      <c r="A448" s="154"/>
      <c r="B448" s="151"/>
      <c r="C448" s="151"/>
      <c r="D448" s="323"/>
      <c r="E448" s="154"/>
      <c r="F448" s="157"/>
      <c r="G448" s="152"/>
      <c r="H448" s="323"/>
      <c r="I448" s="152"/>
      <c r="J448" s="154"/>
      <c r="K448" s="154"/>
      <c r="L448" s="227"/>
      <c r="M448" s="157"/>
      <c r="N448" s="227">
        <f t="shared" si="44"/>
        <v>323366.06536201196</v>
      </c>
      <c r="O448" s="152">
        <f t="shared" si="45"/>
        <v>1642253.4603620095</v>
      </c>
    </row>
    <row r="449" spans="1:15" hidden="1" x14ac:dyDescent="0.15">
      <c r="A449" s="154"/>
      <c r="B449" s="151"/>
      <c r="C449" s="151"/>
      <c r="D449" s="323"/>
      <c r="E449" s="155"/>
      <c r="F449" s="157"/>
      <c r="G449" s="152"/>
      <c r="H449" s="323"/>
      <c r="I449" s="152"/>
      <c r="J449" s="154"/>
      <c r="K449" s="154"/>
      <c r="L449" s="227"/>
      <c r="M449" s="157"/>
      <c r="N449" s="227">
        <f t="shared" si="44"/>
        <v>323366.06536201196</v>
      </c>
      <c r="O449" s="152">
        <f t="shared" si="45"/>
        <v>1642253.4603620095</v>
      </c>
    </row>
    <row r="450" spans="1:15" hidden="1" x14ac:dyDescent="0.15">
      <c r="A450" s="154"/>
      <c r="B450" s="151"/>
      <c r="C450" s="151"/>
      <c r="D450" s="323"/>
      <c r="E450" s="154"/>
      <c r="F450" s="160"/>
      <c r="G450" s="152"/>
      <c r="H450" s="323"/>
      <c r="I450" s="152"/>
      <c r="J450" s="157"/>
      <c r="K450" s="154"/>
      <c r="L450" s="227"/>
      <c r="M450" s="157"/>
      <c r="N450" s="227">
        <f t="shared" si="44"/>
        <v>323366.06536201196</v>
      </c>
      <c r="O450" s="152">
        <f t="shared" si="45"/>
        <v>1642253.4603620095</v>
      </c>
    </row>
    <row r="451" spans="1:15" hidden="1" x14ac:dyDescent="0.15">
      <c r="A451" s="154"/>
      <c r="B451" s="151"/>
      <c r="C451" s="151"/>
      <c r="D451" s="323"/>
      <c r="E451" s="154"/>
      <c r="F451" s="160"/>
      <c r="G451" s="152"/>
      <c r="H451" s="323"/>
      <c r="I451" s="152"/>
      <c r="J451" s="150"/>
      <c r="K451" s="154"/>
      <c r="L451" s="227"/>
      <c r="M451" s="157"/>
      <c r="N451" s="227">
        <f t="shared" si="44"/>
        <v>323366.06536201196</v>
      </c>
      <c r="O451" s="152">
        <f t="shared" si="45"/>
        <v>1642253.4603620095</v>
      </c>
    </row>
    <row r="452" spans="1:15" x14ac:dyDescent="0.15">
      <c r="A452" s="173"/>
      <c r="B452" s="173"/>
      <c r="C452" s="174"/>
      <c r="D452" s="323"/>
      <c r="E452" s="173"/>
      <c r="F452" s="173"/>
      <c r="G452" s="174"/>
      <c r="H452" s="323"/>
      <c r="I452" s="174"/>
      <c r="J452" s="173"/>
      <c r="K452" s="154"/>
      <c r="L452" s="228"/>
      <c r="M452" s="173"/>
      <c r="N452" s="227">
        <f t="shared" si="44"/>
        <v>323366.06536201196</v>
      </c>
      <c r="O452" s="152">
        <f t="shared" si="45"/>
        <v>1642253.4603620095</v>
      </c>
    </row>
    <row r="453" spans="1:15" x14ac:dyDescent="0.15">
      <c r="A453" s="177"/>
      <c r="B453" s="177"/>
      <c r="C453" s="178">
        <f>SUM(C7:C451)</f>
        <v>972696.72236201167</v>
      </c>
      <c r="D453" s="177"/>
      <c r="E453" s="177"/>
      <c r="F453" s="177"/>
      <c r="G453" s="178">
        <f>SUM(G7:G452)</f>
        <v>6373133.4500000002</v>
      </c>
      <c r="H453" s="179"/>
      <c r="I453" s="178">
        <f>SUM(I7:I452)</f>
        <v>363781.99799999991</v>
      </c>
      <c r="J453" s="177"/>
      <c r="K453" s="177"/>
      <c r="L453" s="178">
        <f>SUM(L7:L452)</f>
        <v>5339794.7139999969</v>
      </c>
      <c r="M453" s="177"/>
      <c r="N453" s="180"/>
      <c r="O453" s="181">
        <f>C453+G453-I453-L453</f>
        <v>1642253.4603620153</v>
      </c>
    </row>
    <row r="454" spans="1:15" x14ac:dyDescent="0.15">
      <c r="A454" s="182"/>
      <c r="B454" s="465"/>
      <c r="C454" s="465"/>
      <c r="D454" s="465"/>
      <c r="E454" s="183"/>
      <c r="F454" s="284"/>
      <c r="G454" s="185"/>
      <c r="H454" s="186"/>
      <c r="I454" s="187"/>
      <c r="J454" s="188"/>
      <c r="K454" s="189" t="s">
        <v>139</v>
      </c>
      <c r="L454" s="190">
        <f>+L453+I453</f>
        <v>5703576.7119999966</v>
      </c>
      <c r="M454" s="197"/>
      <c r="N454" s="230">
        <f>+N452</f>
        <v>323366.06536201196</v>
      </c>
      <c r="O454" s="195" t="s">
        <v>3357</v>
      </c>
    </row>
    <row r="455" spans="1:15" x14ac:dyDescent="0.15">
      <c r="A455" s="188" t="s">
        <v>3349</v>
      </c>
      <c r="B455" s="131" t="s">
        <v>3363</v>
      </c>
      <c r="E455" s="183" t="s">
        <v>55</v>
      </c>
      <c r="F455" s="417">
        <v>31053331.289999999</v>
      </c>
      <c r="G455" s="219" t="s">
        <v>56</v>
      </c>
      <c r="H455" s="186">
        <v>42230</v>
      </c>
      <c r="I455" s="187" t="s">
        <v>71</v>
      </c>
      <c r="J455" s="210">
        <v>222687.69300000093</v>
      </c>
      <c r="N455" s="230">
        <v>219761.408</v>
      </c>
      <c r="O455" s="334" t="s">
        <v>3358</v>
      </c>
    </row>
    <row r="456" spans="1:15" x14ac:dyDescent="0.15">
      <c r="A456" s="188" t="s">
        <v>3352</v>
      </c>
      <c r="B456" s="131" t="s">
        <v>3364</v>
      </c>
      <c r="E456" s="183" t="s">
        <v>55</v>
      </c>
      <c r="F456" s="417">
        <v>98453871.939999998</v>
      </c>
      <c r="G456" s="219" t="s">
        <v>56</v>
      </c>
      <c r="H456" s="186">
        <v>42237</v>
      </c>
      <c r="I456" s="187" t="s">
        <v>71</v>
      </c>
      <c r="J456" s="210">
        <v>419928.08900000004</v>
      </c>
      <c r="N456" s="230">
        <v>551345.94199999899</v>
      </c>
      <c r="O456" s="334" t="s">
        <v>3359</v>
      </c>
    </row>
    <row r="457" spans="1:15" x14ac:dyDescent="0.15">
      <c r="A457" s="188" t="s">
        <v>3353</v>
      </c>
      <c r="B457" s="131" t="s">
        <v>3365</v>
      </c>
      <c r="E457" s="183" t="s">
        <v>55</v>
      </c>
      <c r="F457" s="417">
        <v>26700018.780000001</v>
      </c>
      <c r="G457" s="219" t="s">
        <v>56</v>
      </c>
      <c r="H457" s="186">
        <v>42241</v>
      </c>
      <c r="I457" s="187" t="s">
        <v>71</v>
      </c>
      <c r="J457" s="210">
        <v>244251.005</v>
      </c>
      <c r="K457" s="297"/>
      <c r="N457" s="230">
        <v>152064.279000001</v>
      </c>
      <c r="O457" s="195" t="s">
        <v>3360</v>
      </c>
    </row>
    <row r="458" spans="1:15" ht="12" thickBot="1" x14ac:dyDescent="0.2">
      <c r="A458" s="133"/>
      <c r="B458" s="431"/>
      <c r="C458" s="431"/>
      <c r="D458" s="431"/>
      <c r="E458" s="183"/>
      <c r="F458" s="432"/>
      <c r="G458" s="219"/>
      <c r="H458" s="186"/>
      <c r="I458" s="217" t="s">
        <v>856</v>
      </c>
      <c r="J458" s="211">
        <f>SUM(J455:J457)</f>
        <v>886866.78700000094</v>
      </c>
      <c r="K458" s="333"/>
      <c r="N458" s="230">
        <v>219895.16</v>
      </c>
      <c r="O458" s="195" t="s">
        <v>3361</v>
      </c>
    </row>
    <row r="459" spans="1:15" ht="12" thickTop="1" x14ac:dyDescent="0.15">
      <c r="A459" s="193" t="s">
        <v>2729</v>
      </c>
      <c r="B459" s="131" t="s">
        <v>3366</v>
      </c>
      <c r="E459" s="183" t="s">
        <v>55</v>
      </c>
      <c r="F459" s="433">
        <v>97156494.129999995</v>
      </c>
      <c r="G459" s="219" t="s">
        <v>56</v>
      </c>
      <c r="H459" s="186">
        <v>42219</v>
      </c>
      <c r="I459" s="187" t="s">
        <v>71</v>
      </c>
      <c r="J459" s="210">
        <v>311547.80836201069</v>
      </c>
      <c r="N459" s="230">
        <v>175820.606</v>
      </c>
      <c r="O459" s="195" t="s">
        <v>3362</v>
      </c>
    </row>
    <row r="460" spans="1:15" x14ac:dyDescent="0.15">
      <c r="A460" s="193" t="s">
        <v>2730</v>
      </c>
      <c r="B460" s="131" t="s">
        <v>3367</v>
      </c>
      <c r="E460" s="183" t="s">
        <v>55</v>
      </c>
      <c r="F460" s="433">
        <v>113814996.15000001</v>
      </c>
      <c r="G460" s="219" t="s">
        <v>56</v>
      </c>
      <c r="H460" s="186">
        <v>42219</v>
      </c>
      <c r="I460" s="187" t="s">
        <v>71</v>
      </c>
      <c r="J460" s="210">
        <v>226531.63400000092</v>
      </c>
      <c r="N460" s="230"/>
      <c r="O460" s="195"/>
    </row>
    <row r="461" spans="1:15" x14ac:dyDescent="0.15">
      <c r="A461" s="193" t="s">
        <v>2731</v>
      </c>
      <c r="B461" s="131" t="s">
        <v>3368</v>
      </c>
      <c r="E461" s="183" t="s">
        <v>55</v>
      </c>
      <c r="F461" s="439">
        <v>114811467.44</v>
      </c>
      <c r="G461" s="219" t="s">
        <v>56</v>
      </c>
      <c r="H461" s="186">
        <v>42219</v>
      </c>
      <c r="I461" s="187" t="s">
        <v>71</v>
      </c>
      <c r="J461" s="210">
        <v>175822.26399999997</v>
      </c>
      <c r="K461" s="333"/>
      <c r="N461" s="206" t="s">
        <v>33</v>
      </c>
      <c r="O461" s="207">
        <f>SUM(N454:N460)</f>
        <v>1642253.4603620118</v>
      </c>
    </row>
    <row r="462" spans="1:15" x14ac:dyDescent="0.15">
      <c r="A462" s="193" t="s">
        <v>2732</v>
      </c>
      <c r="B462" s="131" t="s">
        <v>3369</v>
      </c>
      <c r="E462" s="183" t="s">
        <v>55</v>
      </c>
      <c r="F462" s="439">
        <v>44015175.310000002</v>
      </c>
      <c r="G462" s="219" t="s">
        <v>56</v>
      </c>
      <c r="H462" s="186">
        <v>42219</v>
      </c>
      <c r="I462" s="187" t="s">
        <v>71</v>
      </c>
      <c r="J462" s="210">
        <v>323380.98799999984</v>
      </c>
      <c r="O462" s="190">
        <f>+O453-O461</f>
        <v>3.4924596548080444E-9</v>
      </c>
    </row>
    <row r="463" spans="1:15" s="132" customFormat="1" x14ac:dyDescent="0.15">
      <c r="A463" s="193" t="s">
        <v>3345</v>
      </c>
      <c r="B463" s="131" t="s">
        <v>3370</v>
      </c>
      <c r="D463" s="133"/>
      <c r="E463" s="183" t="s">
        <v>55</v>
      </c>
      <c r="F463" s="439">
        <v>40781404.590000004</v>
      </c>
      <c r="G463" s="219" t="s">
        <v>56</v>
      </c>
      <c r="H463" s="186">
        <v>42221</v>
      </c>
      <c r="I463" s="187" t="s">
        <v>71</v>
      </c>
      <c r="J463" s="210">
        <v>205345.16200000013</v>
      </c>
      <c r="K463" s="193"/>
      <c r="M463" s="134"/>
    </row>
    <row r="464" spans="1:15" s="132" customFormat="1" x14ac:dyDescent="0.15">
      <c r="A464" s="193" t="s">
        <v>3346</v>
      </c>
      <c r="B464" s="131" t="s">
        <v>3371</v>
      </c>
      <c r="D464" s="133"/>
      <c r="E464" s="183" t="s">
        <v>55</v>
      </c>
      <c r="F464" s="439">
        <v>95183321.959999993</v>
      </c>
      <c r="G464" s="219" t="s">
        <v>56</v>
      </c>
      <c r="H464" s="186">
        <v>42223</v>
      </c>
      <c r="I464" s="187" t="s">
        <v>71</v>
      </c>
      <c r="J464" s="210">
        <v>381581.08999999927</v>
      </c>
      <c r="K464" s="193"/>
      <c r="M464" s="134"/>
    </row>
    <row r="465" spans="1:15" s="132" customFormat="1" x14ac:dyDescent="0.15">
      <c r="A465" s="193" t="s">
        <v>3347</v>
      </c>
      <c r="B465" s="131" t="s">
        <v>3372</v>
      </c>
      <c r="D465" s="133"/>
      <c r="E465" s="183" t="s">
        <v>55</v>
      </c>
      <c r="F465" s="439">
        <v>73232578.75</v>
      </c>
      <c r="G465" s="219" t="s">
        <v>56</v>
      </c>
      <c r="H465" s="186">
        <v>42226</v>
      </c>
      <c r="I465" s="187" t="s">
        <v>71</v>
      </c>
      <c r="J465" s="210">
        <v>300733.00800000114</v>
      </c>
      <c r="K465" s="133"/>
      <c r="M465" s="134"/>
    </row>
    <row r="466" spans="1:15" s="132" customFormat="1" x14ac:dyDescent="0.15">
      <c r="A466" s="193" t="s">
        <v>3348</v>
      </c>
      <c r="B466" s="131" t="s">
        <v>3373</v>
      </c>
      <c r="D466" s="133"/>
      <c r="E466" s="183" t="s">
        <v>55</v>
      </c>
      <c r="F466" s="439">
        <v>114236149.83</v>
      </c>
      <c r="G466" s="219" t="s">
        <v>56</v>
      </c>
      <c r="H466" s="186">
        <v>42227</v>
      </c>
      <c r="I466" s="187" t="s">
        <v>71</v>
      </c>
      <c r="J466" s="210">
        <v>492249.64399999921</v>
      </c>
      <c r="K466" s="193"/>
      <c r="M466" s="134"/>
    </row>
    <row r="467" spans="1:15" s="132" customFormat="1" x14ac:dyDescent="0.15">
      <c r="A467" s="193" t="s">
        <v>3350</v>
      </c>
      <c r="B467" s="131" t="s">
        <v>3374</v>
      </c>
      <c r="D467" s="133"/>
      <c r="E467" s="183" t="s">
        <v>55</v>
      </c>
      <c r="F467" s="439">
        <v>56705270.850000001</v>
      </c>
      <c r="G467" s="219" t="s">
        <v>56</v>
      </c>
      <c r="H467" s="186">
        <v>42233</v>
      </c>
      <c r="I467" s="187" t="s">
        <v>71</v>
      </c>
      <c r="J467" s="210">
        <v>690623.05899999978</v>
      </c>
      <c r="K467" s="193"/>
      <c r="M467" s="134"/>
    </row>
    <row r="468" spans="1:15" s="132" customFormat="1" x14ac:dyDescent="0.15">
      <c r="A468" s="193" t="s">
        <v>3351</v>
      </c>
      <c r="B468" s="131" t="s">
        <v>3375</v>
      </c>
      <c r="D468" s="133"/>
      <c r="E468" s="183" t="s">
        <v>55</v>
      </c>
      <c r="F468" s="439">
        <v>101434339.88</v>
      </c>
      <c r="G468" s="219" t="s">
        <v>56</v>
      </c>
      <c r="H468" s="186">
        <v>42233</v>
      </c>
      <c r="I468" s="187" t="s">
        <v>71</v>
      </c>
      <c r="J468" s="210">
        <v>241891.451</v>
      </c>
      <c r="K468" s="193"/>
      <c r="M468" s="134"/>
    </row>
    <row r="469" spans="1:15" s="132" customFormat="1" x14ac:dyDescent="0.15">
      <c r="A469" s="193" t="s">
        <v>3354</v>
      </c>
      <c r="B469" s="131" t="s">
        <v>3376</v>
      </c>
      <c r="D469" s="133"/>
      <c r="E469" s="183" t="s">
        <v>55</v>
      </c>
      <c r="F469" s="439">
        <v>54476052.219999999</v>
      </c>
      <c r="G469" s="219" t="s">
        <v>56</v>
      </c>
      <c r="H469" s="186">
        <v>42240</v>
      </c>
      <c r="I469" s="187" t="s">
        <v>71</v>
      </c>
      <c r="J469" s="210">
        <v>249923.67999999996</v>
      </c>
      <c r="K469" s="193"/>
      <c r="M469" s="134"/>
    </row>
    <row r="470" spans="1:15" s="132" customFormat="1" x14ac:dyDescent="0.15">
      <c r="A470" s="193" t="s">
        <v>3355</v>
      </c>
      <c r="B470" s="131" t="s">
        <v>3377</v>
      </c>
      <c r="D470" s="133"/>
      <c r="E470" s="183" t="s">
        <v>55</v>
      </c>
      <c r="F470" s="439">
        <v>147021264.91999999</v>
      </c>
      <c r="G470" s="219" t="s">
        <v>56</v>
      </c>
      <c r="H470" s="186">
        <v>42240</v>
      </c>
      <c r="I470" s="187" t="s">
        <v>71</v>
      </c>
      <c r="J470" s="210">
        <v>494251.95799999993</v>
      </c>
      <c r="K470" s="133"/>
      <c r="M470" s="134"/>
    </row>
    <row r="471" spans="1:15" s="132" customFormat="1" x14ac:dyDescent="0.15">
      <c r="A471" s="193" t="s">
        <v>3356</v>
      </c>
      <c r="B471" s="131" t="s">
        <v>3378</v>
      </c>
      <c r="D471" s="133"/>
      <c r="E471" s="183" t="s">
        <v>55</v>
      </c>
      <c r="F471" s="439">
        <v>71406639.099999994</v>
      </c>
      <c r="G471" s="219" t="s">
        <v>56</v>
      </c>
      <c r="H471" s="186">
        <v>42242</v>
      </c>
      <c r="I471" s="187" t="s">
        <v>71</v>
      </c>
      <c r="J471" s="210">
        <v>210409.96000000002</v>
      </c>
      <c r="K471" s="193"/>
      <c r="M471" s="134"/>
    </row>
    <row r="472" spans="1:15" s="132" customFormat="1" x14ac:dyDescent="0.15">
      <c r="A472" s="193" t="s">
        <v>3357</v>
      </c>
      <c r="B472" s="131" t="s">
        <v>3379</v>
      </c>
      <c r="D472" s="133"/>
      <c r="E472" s="183" t="s">
        <v>55</v>
      </c>
      <c r="F472" s="439">
        <v>110490571.79000001</v>
      </c>
      <c r="G472" s="219" t="s">
        <v>56</v>
      </c>
      <c r="H472" s="186">
        <v>42243</v>
      </c>
      <c r="I472" s="187" t="s">
        <v>71</v>
      </c>
      <c r="J472" s="210">
        <v>148636.22063798807</v>
      </c>
      <c r="K472" s="193"/>
      <c r="M472" s="134"/>
    </row>
    <row r="473" spans="1:15" s="132" customFormat="1" ht="12" thickBot="1" x14ac:dyDescent="0.2">
      <c r="A473" s="133"/>
      <c r="B473" s="431"/>
      <c r="C473" s="431"/>
      <c r="D473" s="431"/>
      <c r="E473" s="183"/>
      <c r="F473" s="432"/>
      <c r="G473" s="219"/>
      <c r="H473" s="186"/>
      <c r="I473" s="217" t="s">
        <v>106</v>
      </c>
      <c r="J473" s="211">
        <f>SUM(J459:J472)</f>
        <v>4452927.9270000001</v>
      </c>
      <c r="K473" s="193"/>
      <c r="M473" s="134"/>
    </row>
    <row r="474" spans="1:15" s="132" customFormat="1" ht="12" thickTop="1" x14ac:dyDescent="0.15">
      <c r="A474" s="133"/>
      <c r="B474" s="431"/>
      <c r="C474" s="431"/>
      <c r="D474" s="431"/>
      <c r="E474" s="183"/>
      <c r="F474" s="432"/>
      <c r="G474" s="219"/>
      <c r="H474" s="186"/>
      <c r="I474" s="187"/>
      <c r="J474" s="210"/>
      <c r="K474" s="193"/>
      <c r="M474" s="134"/>
    </row>
    <row r="475" spans="1:15" s="132" customFormat="1" x14ac:dyDescent="0.15">
      <c r="A475" s="133"/>
      <c r="B475" s="431"/>
      <c r="C475" s="431"/>
      <c r="D475" s="431"/>
      <c r="E475" s="183"/>
      <c r="F475" s="432"/>
      <c r="G475" s="219"/>
      <c r="H475" s="186"/>
      <c r="I475" s="187"/>
      <c r="J475" s="210"/>
      <c r="K475" s="193"/>
      <c r="M475" s="134"/>
    </row>
    <row r="476" spans="1:15" s="132" customFormat="1" x14ac:dyDescent="0.15">
      <c r="A476" s="133"/>
      <c r="B476" s="431"/>
      <c r="C476" s="431"/>
      <c r="D476" s="431"/>
      <c r="E476" s="183"/>
      <c r="F476" s="432"/>
      <c r="G476" s="219"/>
      <c r="H476" s="186"/>
      <c r="I476" s="187"/>
      <c r="J476" s="210"/>
      <c r="K476" s="193"/>
      <c r="M476" s="134"/>
    </row>
    <row r="477" spans="1:15" s="132" customFormat="1" x14ac:dyDescent="0.15">
      <c r="A477" s="133"/>
      <c r="B477" s="431"/>
      <c r="C477" s="431"/>
      <c r="D477" s="431"/>
      <c r="E477" s="183"/>
      <c r="F477" s="432"/>
      <c r="G477" s="219"/>
      <c r="H477" s="186"/>
      <c r="I477" s="187"/>
      <c r="J477" s="210"/>
      <c r="K477" s="193"/>
      <c r="M477" s="134"/>
    </row>
    <row r="478" spans="1:15" s="133" customFormat="1" x14ac:dyDescent="0.15">
      <c r="B478" s="133" t="s">
        <v>9</v>
      </c>
      <c r="C478" s="220" t="s">
        <v>2311</v>
      </c>
      <c r="D478" s="133" t="s">
        <v>570</v>
      </c>
      <c r="E478" s="133" t="s">
        <v>571</v>
      </c>
      <c r="F478" s="133" t="s">
        <v>16</v>
      </c>
      <c r="G478" s="134"/>
      <c r="H478" s="134"/>
      <c r="I478" s="187"/>
      <c r="J478" s="210"/>
      <c r="K478" s="193"/>
      <c r="L478" s="132"/>
      <c r="M478" s="134"/>
      <c r="N478" s="132"/>
      <c r="O478" s="132"/>
    </row>
    <row r="479" spans="1:15" s="132" customFormat="1" x14ac:dyDescent="0.15">
      <c r="A479" s="188" t="s">
        <v>3349</v>
      </c>
      <c r="B479" s="210">
        <v>222688</v>
      </c>
      <c r="C479" s="221">
        <v>0.2</v>
      </c>
      <c r="D479" s="235">
        <f>+B479*C479</f>
        <v>44537.600000000006</v>
      </c>
      <c r="E479" s="235">
        <f t="shared" ref="E479:E481" si="46">+D479*0.1</f>
        <v>4453.7600000000011</v>
      </c>
      <c r="F479" s="236">
        <f t="shared" ref="F479:F481" si="47">SUM(D479:E479)</f>
        <v>48991.360000000008</v>
      </c>
      <c r="G479" s="134"/>
      <c r="H479" s="134"/>
      <c r="J479" s="205"/>
      <c r="K479" s="133"/>
      <c r="M479" s="134"/>
    </row>
    <row r="480" spans="1:15" s="132" customFormat="1" x14ac:dyDescent="0.15">
      <c r="A480" s="188" t="s">
        <v>3352</v>
      </c>
      <c r="B480" s="210">
        <v>419928</v>
      </c>
      <c r="C480" s="221">
        <v>0.2</v>
      </c>
      <c r="D480" s="235">
        <f t="shared" ref="D480:D481" si="48">+B480*C480</f>
        <v>83985.600000000006</v>
      </c>
      <c r="E480" s="235">
        <f t="shared" si="46"/>
        <v>8398.5600000000013</v>
      </c>
      <c r="F480" s="236">
        <f t="shared" si="47"/>
        <v>92384.16</v>
      </c>
      <c r="G480" s="186"/>
      <c r="H480" s="133"/>
      <c r="J480" s="205"/>
      <c r="K480" s="133"/>
      <c r="M480" s="134"/>
    </row>
    <row r="481" spans="1:13" s="132" customFormat="1" x14ac:dyDescent="0.15">
      <c r="A481" s="188" t="s">
        <v>3353</v>
      </c>
      <c r="B481" s="210">
        <v>244251</v>
      </c>
      <c r="C481" s="221">
        <v>0.2</v>
      </c>
      <c r="D481" s="235">
        <f t="shared" si="48"/>
        <v>48850.200000000004</v>
      </c>
      <c r="E481" s="235">
        <f t="shared" si="46"/>
        <v>4885.0200000000004</v>
      </c>
      <c r="F481" s="236">
        <f t="shared" si="47"/>
        <v>53735.22</v>
      </c>
      <c r="G481" s="133"/>
      <c r="H481" s="133"/>
      <c r="J481" s="205"/>
      <c r="K481" s="133"/>
      <c r="M481" s="134"/>
    </row>
    <row r="482" spans="1:13" s="132" customFormat="1" ht="12" thickBot="1" x14ac:dyDescent="0.2">
      <c r="A482" s="133"/>
      <c r="B482" s="211">
        <f>SUM(B479:B481)</f>
        <v>886867</v>
      </c>
      <c r="C482" s="221"/>
      <c r="D482" s="242">
        <f>SUM(D479:D481)</f>
        <v>177373.40000000002</v>
      </c>
      <c r="E482" s="242">
        <f t="shared" ref="E482:F482" si="49">SUM(E479:E481)</f>
        <v>17737.340000000004</v>
      </c>
      <c r="F482" s="242">
        <f t="shared" si="49"/>
        <v>195110.74000000002</v>
      </c>
      <c r="G482" s="134"/>
      <c r="H482" s="134"/>
      <c r="J482" s="205"/>
      <c r="K482" s="133"/>
      <c r="M482" s="134"/>
    </row>
    <row r="483" spans="1:13" s="132" customFormat="1" ht="12" thickTop="1" x14ac:dyDescent="0.15">
      <c r="A483" s="193" t="s">
        <v>2729</v>
      </c>
      <c r="B483" s="210">
        <v>311548</v>
      </c>
      <c r="C483" s="221">
        <v>0.2</v>
      </c>
      <c r="D483" s="235">
        <f t="shared" ref="D483:D488" si="50">+B483*C483</f>
        <v>62309.600000000006</v>
      </c>
      <c r="E483" s="235">
        <f t="shared" ref="E483:E488" si="51">+D483*0.1</f>
        <v>6230.9600000000009</v>
      </c>
      <c r="F483" s="236">
        <f t="shared" ref="F483:F488" si="52">SUM(D483:E483)</f>
        <v>68540.560000000012</v>
      </c>
      <c r="G483" s="186"/>
      <c r="H483" s="186"/>
      <c r="J483" s="205"/>
      <c r="K483" s="133"/>
      <c r="M483" s="134"/>
    </row>
    <row r="484" spans="1:13" s="132" customFormat="1" x14ac:dyDescent="0.15">
      <c r="A484" s="193" t="s">
        <v>2730</v>
      </c>
      <c r="B484" s="210">
        <v>226532</v>
      </c>
      <c r="C484" s="221">
        <v>0.2</v>
      </c>
      <c r="D484" s="235">
        <f t="shared" si="50"/>
        <v>45306.400000000001</v>
      </c>
      <c r="E484" s="235">
        <f t="shared" si="51"/>
        <v>4530.6400000000003</v>
      </c>
      <c r="F484" s="236">
        <f t="shared" si="52"/>
        <v>49837.04</v>
      </c>
      <c r="G484" s="186"/>
      <c r="H484" s="186"/>
      <c r="J484" s="205"/>
      <c r="K484" s="133"/>
      <c r="M484" s="134"/>
    </row>
    <row r="485" spans="1:13" s="132" customFormat="1" x14ac:dyDescent="0.15">
      <c r="A485" s="193" t="s">
        <v>2731</v>
      </c>
      <c r="B485" s="210">
        <v>175822</v>
      </c>
      <c r="C485" s="221">
        <v>0.2</v>
      </c>
      <c r="D485" s="235">
        <f t="shared" si="50"/>
        <v>35164.400000000001</v>
      </c>
      <c r="E485" s="235">
        <f t="shared" si="51"/>
        <v>3516.4400000000005</v>
      </c>
      <c r="F485" s="236">
        <f t="shared" si="52"/>
        <v>38680.840000000004</v>
      </c>
      <c r="G485" s="186"/>
      <c r="H485" s="186"/>
      <c r="J485" s="134"/>
      <c r="K485" s="133"/>
      <c r="M485" s="134"/>
    </row>
    <row r="486" spans="1:13" s="132" customFormat="1" x14ac:dyDescent="0.15">
      <c r="A486" s="193" t="s">
        <v>2732</v>
      </c>
      <c r="B486" s="210">
        <v>323381</v>
      </c>
      <c r="C486" s="221">
        <v>0.2</v>
      </c>
      <c r="D486" s="235">
        <f t="shared" si="50"/>
        <v>64676.200000000004</v>
      </c>
      <c r="E486" s="235">
        <f t="shared" si="51"/>
        <v>6467.6200000000008</v>
      </c>
      <c r="F486" s="236">
        <f t="shared" si="52"/>
        <v>71143.820000000007</v>
      </c>
      <c r="G486" s="186"/>
      <c r="H486" s="186"/>
      <c r="J486" s="134"/>
      <c r="K486" s="133"/>
      <c r="M486" s="134"/>
    </row>
    <row r="487" spans="1:13" s="132" customFormat="1" x14ac:dyDescent="0.15">
      <c r="A487" s="193" t="s">
        <v>3345</v>
      </c>
      <c r="B487" s="210">
        <v>205345</v>
      </c>
      <c r="C487" s="221">
        <v>0.2</v>
      </c>
      <c r="D487" s="235">
        <f t="shared" si="50"/>
        <v>41069</v>
      </c>
      <c r="E487" s="235">
        <f t="shared" si="51"/>
        <v>4106.9000000000005</v>
      </c>
      <c r="F487" s="236">
        <f t="shared" si="52"/>
        <v>45175.9</v>
      </c>
      <c r="G487" s="186"/>
      <c r="H487" s="186"/>
      <c r="J487" s="134"/>
      <c r="K487" s="133"/>
      <c r="M487" s="134"/>
    </row>
    <row r="488" spans="1:13" s="132" customFormat="1" x14ac:dyDescent="0.15">
      <c r="A488" s="193" t="s">
        <v>3346</v>
      </c>
      <c r="B488" s="210">
        <v>381581</v>
      </c>
      <c r="C488" s="221">
        <v>0.2</v>
      </c>
      <c r="D488" s="235">
        <f t="shared" si="50"/>
        <v>76316.2</v>
      </c>
      <c r="E488" s="235">
        <f t="shared" si="51"/>
        <v>7631.62</v>
      </c>
      <c r="F488" s="236">
        <f t="shared" si="52"/>
        <v>83947.819999999992</v>
      </c>
      <c r="G488" s="186"/>
      <c r="H488" s="186"/>
      <c r="J488" s="134"/>
      <c r="K488" s="133"/>
      <c r="M488" s="134"/>
    </row>
    <row r="489" spans="1:13" s="132" customFormat="1" x14ac:dyDescent="0.15">
      <c r="A489" s="193" t="s">
        <v>3347</v>
      </c>
      <c r="B489" s="210">
        <v>300733</v>
      </c>
      <c r="C489" s="221">
        <v>0.2</v>
      </c>
      <c r="D489" s="235">
        <f t="shared" ref="D489:D493" si="53">+B489*C489</f>
        <v>60146.600000000006</v>
      </c>
      <c r="E489" s="235">
        <f t="shared" ref="E489:E493" si="54">+D489*0.1</f>
        <v>6014.6600000000008</v>
      </c>
      <c r="F489" s="236">
        <f t="shared" ref="F489:F493" si="55">SUM(D489:E489)</f>
        <v>66161.260000000009</v>
      </c>
      <c r="G489" s="186"/>
      <c r="H489" s="186"/>
      <c r="J489" s="210"/>
      <c r="K489" s="133"/>
      <c r="M489" s="134"/>
    </row>
    <row r="490" spans="1:13" s="132" customFormat="1" x14ac:dyDescent="0.15">
      <c r="A490" s="193" t="s">
        <v>3348</v>
      </c>
      <c r="B490" s="210">
        <v>492250</v>
      </c>
      <c r="C490" s="221">
        <v>0.2</v>
      </c>
      <c r="D490" s="235">
        <f t="shared" si="53"/>
        <v>98450</v>
      </c>
      <c r="E490" s="235">
        <f t="shared" si="54"/>
        <v>9845</v>
      </c>
      <c r="F490" s="236">
        <f t="shared" si="55"/>
        <v>108295</v>
      </c>
      <c r="G490" s="186"/>
      <c r="H490" s="186"/>
      <c r="J490" s="134"/>
      <c r="K490" s="133"/>
      <c r="M490" s="134"/>
    </row>
    <row r="491" spans="1:13" s="132" customFormat="1" x14ac:dyDescent="0.15">
      <c r="A491" s="193" t="s">
        <v>3350</v>
      </c>
      <c r="B491" s="210">
        <v>690623</v>
      </c>
      <c r="C491" s="221">
        <v>0.2</v>
      </c>
      <c r="D491" s="235">
        <f t="shared" si="53"/>
        <v>138124.6</v>
      </c>
      <c r="E491" s="235">
        <f t="shared" si="54"/>
        <v>13812.460000000001</v>
      </c>
      <c r="F491" s="236">
        <f t="shared" si="55"/>
        <v>151937.06</v>
      </c>
      <c r="G491" s="186"/>
      <c r="H491" s="186"/>
      <c r="J491" s="134"/>
      <c r="K491" s="133"/>
      <c r="M491" s="134"/>
    </row>
    <row r="492" spans="1:13" s="132" customFormat="1" x14ac:dyDescent="0.15">
      <c r="A492" s="193" t="s">
        <v>3351</v>
      </c>
      <c r="B492" s="210">
        <v>241891</v>
      </c>
      <c r="C492" s="221">
        <v>0.2</v>
      </c>
      <c r="D492" s="235">
        <f t="shared" si="53"/>
        <v>48378.200000000004</v>
      </c>
      <c r="E492" s="235">
        <f t="shared" si="54"/>
        <v>4837.8200000000006</v>
      </c>
      <c r="F492" s="236">
        <f t="shared" si="55"/>
        <v>53216.020000000004</v>
      </c>
      <c r="G492" s="186"/>
      <c r="H492" s="186"/>
      <c r="J492" s="134"/>
      <c r="K492" s="133"/>
      <c r="M492" s="134"/>
    </row>
    <row r="493" spans="1:13" s="132" customFormat="1" x14ac:dyDescent="0.15">
      <c r="A493" s="193" t="s">
        <v>3354</v>
      </c>
      <c r="B493" s="210">
        <v>249924</v>
      </c>
      <c r="C493" s="221">
        <v>0.2</v>
      </c>
      <c r="D493" s="235">
        <f t="shared" si="53"/>
        <v>49984.800000000003</v>
      </c>
      <c r="E493" s="235">
        <f t="shared" si="54"/>
        <v>4998.4800000000005</v>
      </c>
      <c r="F493" s="236">
        <f t="shared" si="55"/>
        <v>54983.280000000006</v>
      </c>
      <c r="G493" s="186"/>
      <c r="H493" s="186"/>
      <c r="J493" s="134"/>
      <c r="K493" s="133"/>
      <c r="M493" s="134"/>
    </row>
    <row r="494" spans="1:13" s="132" customFormat="1" x14ac:dyDescent="0.15">
      <c r="A494" s="193" t="s">
        <v>3355</v>
      </c>
      <c r="B494" s="210">
        <v>494252</v>
      </c>
      <c r="C494" s="221">
        <v>0.2</v>
      </c>
      <c r="D494" s="235">
        <f t="shared" ref="D494:D496" si="56">+B494*C494</f>
        <v>98850.400000000009</v>
      </c>
      <c r="E494" s="235">
        <f t="shared" ref="E494:E496" si="57">+D494*0.1</f>
        <v>9885.0400000000009</v>
      </c>
      <c r="F494" s="236">
        <f t="shared" ref="F494:F496" si="58">SUM(D494:E494)</f>
        <v>108735.44</v>
      </c>
      <c r="G494" s="186"/>
      <c r="H494" s="186"/>
      <c r="J494" s="134"/>
      <c r="K494" s="133"/>
      <c r="M494" s="134"/>
    </row>
    <row r="495" spans="1:13" s="132" customFormat="1" x14ac:dyDescent="0.15">
      <c r="A495" s="193" t="s">
        <v>3356</v>
      </c>
      <c r="B495" s="210">
        <v>210410</v>
      </c>
      <c r="C495" s="221">
        <v>0.2</v>
      </c>
      <c r="D495" s="235">
        <f t="shared" si="56"/>
        <v>42082</v>
      </c>
      <c r="E495" s="235">
        <f t="shared" si="57"/>
        <v>4208.2</v>
      </c>
      <c r="F495" s="236">
        <f t="shared" si="58"/>
        <v>46290.2</v>
      </c>
      <c r="G495" s="186"/>
      <c r="H495" s="133"/>
      <c r="I495" s="187"/>
      <c r="J495" s="134"/>
      <c r="K495" s="133"/>
      <c r="M495" s="134"/>
    </row>
    <row r="496" spans="1:13" s="132" customFormat="1" x14ac:dyDescent="0.15">
      <c r="A496" s="193" t="s">
        <v>3357</v>
      </c>
      <c r="B496" s="210">
        <v>148636</v>
      </c>
      <c r="C496" s="221">
        <v>0.2</v>
      </c>
      <c r="D496" s="235">
        <f t="shared" si="56"/>
        <v>29727.200000000001</v>
      </c>
      <c r="E496" s="235">
        <f t="shared" si="57"/>
        <v>2972.7200000000003</v>
      </c>
      <c r="F496" s="236">
        <f t="shared" si="58"/>
        <v>32699.920000000002</v>
      </c>
      <c r="G496" s="186"/>
      <c r="H496" s="133"/>
      <c r="J496" s="134"/>
      <c r="K496" s="133"/>
      <c r="M496" s="134"/>
    </row>
    <row r="497" spans="1:7" ht="12" thickBot="1" x14ac:dyDescent="0.2">
      <c r="A497" s="133"/>
      <c r="B497" s="211">
        <f>SUM(B483:B496)</f>
        <v>4452928</v>
      </c>
      <c r="C497" s="221"/>
      <c r="D497" s="242">
        <f>SUM(D483:D496)</f>
        <v>890585.59999999998</v>
      </c>
      <c r="E497" s="242">
        <f t="shared" ref="E497:F497" si="59">SUM(E483:E496)</f>
        <v>89058.560000000012</v>
      </c>
      <c r="F497" s="242">
        <f t="shared" si="59"/>
        <v>979644.16</v>
      </c>
      <c r="G497" s="219"/>
    </row>
    <row r="498" spans="1:7" ht="12" thickTop="1" x14ac:dyDescent="0.15"/>
  </sheetData>
  <mergeCells count="7">
    <mergeCell ref="B454:D4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topLeftCell="E1" zoomScale="115" zoomScaleNormal="115" workbookViewId="0">
      <pane ySplit="6" topLeftCell="A62" activePane="bottomLeft" state="frozen"/>
      <selection pane="bottomLeft" activeCell="A200" sqref="A200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2.140625" style="132" bestFit="1" customWidth="1"/>
    <col min="11" max="11" width="11.85546875" style="134" bestFit="1" customWidth="1"/>
    <col min="12" max="12" width="12.7109375" style="133" customWidth="1"/>
    <col min="13" max="13" width="10.8554687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116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97</v>
      </c>
      <c r="B7" s="146"/>
      <c r="C7" s="147">
        <v>16187.407000000007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16187.407000000007</v>
      </c>
      <c r="P7" s="147">
        <f>+C184</f>
        <v>360063.91200000001</v>
      </c>
    </row>
    <row r="8" spans="1:16" x14ac:dyDescent="0.15">
      <c r="A8" s="154" t="s">
        <v>98</v>
      </c>
      <c r="B8" s="151"/>
      <c r="C8" s="152">
        <v>79941.18299999999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16187.407000000007</v>
      </c>
      <c r="P8" s="152">
        <f t="shared" ref="P8" si="0">P7+H8-J8-M8</f>
        <v>360063.91200000001</v>
      </c>
    </row>
    <row r="9" spans="1:16" x14ac:dyDescent="0.15">
      <c r="A9" s="154" t="s">
        <v>99</v>
      </c>
      <c r="B9" s="151"/>
      <c r="C9" s="152">
        <v>61419.754999999997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60" si="1">+O8-J9-M9</f>
        <v>16187.407000000007</v>
      </c>
      <c r="P9" s="152">
        <f t="shared" ref="P9:P60" si="2">P8+H9-J9-M9</f>
        <v>360063.91200000001</v>
      </c>
    </row>
    <row r="10" spans="1:16" x14ac:dyDescent="0.15">
      <c r="A10" s="154" t="s">
        <v>100</v>
      </c>
      <c r="B10" s="151"/>
      <c r="C10" s="152">
        <v>90539.085000000006</v>
      </c>
      <c r="D10" s="153"/>
      <c r="E10" s="154"/>
      <c r="F10" s="157"/>
      <c r="G10" s="154"/>
      <c r="H10" s="152"/>
      <c r="I10" s="158"/>
      <c r="J10" s="152"/>
      <c r="K10" s="150"/>
      <c r="L10" s="154"/>
      <c r="M10" s="152"/>
      <c r="N10" s="150"/>
      <c r="O10" s="152">
        <f t="shared" si="1"/>
        <v>16187.407000000007</v>
      </c>
      <c r="P10" s="152">
        <f t="shared" si="2"/>
        <v>360063.91200000001</v>
      </c>
    </row>
    <row r="11" spans="1:16" x14ac:dyDescent="0.15">
      <c r="A11" s="154" t="s">
        <v>102</v>
      </c>
      <c r="B11" s="151"/>
      <c r="C11" s="152">
        <v>111976.48199999999</v>
      </c>
      <c r="D11" s="153" t="s">
        <v>140</v>
      </c>
      <c r="E11" s="154" t="s">
        <v>72</v>
      </c>
      <c r="F11" s="157" t="s">
        <v>173</v>
      </c>
      <c r="G11" s="154"/>
      <c r="H11" s="152">
        <v>39963.883999999998</v>
      </c>
      <c r="I11" s="153" t="s">
        <v>140</v>
      </c>
      <c r="J11" s="152"/>
      <c r="K11" s="150"/>
      <c r="L11" s="154"/>
      <c r="M11" s="152"/>
      <c r="N11" s="150"/>
      <c r="O11" s="152">
        <f t="shared" si="1"/>
        <v>16187.407000000007</v>
      </c>
      <c r="P11" s="152">
        <f t="shared" si="2"/>
        <v>400027.79600000003</v>
      </c>
    </row>
    <row r="12" spans="1:16" x14ac:dyDescent="0.15">
      <c r="A12" s="154"/>
      <c r="B12" s="151"/>
      <c r="C12" s="152"/>
      <c r="D12" s="153" t="s">
        <v>117</v>
      </c>
      <c r="E12" s="154" t="s">
        <v>72</v>
      </c>
      <c r="F12" s="157" t="s">
        <v>173</v>
      </c>
      <c r="G12" s="154"/>
      <c r="H12" s="152">
        <v>40069.392</v>
      </c>
      <c r="I12" s="158" t="s">
        <v>117</v>
      </c>
      <c r="J12" s="152"/>
      <c r="K12" s="150"/>
      <c r="L12" s="154" t="s">
        <v>156</v>
      </c>
      <c r="M12" s="152">
        <v>16187</v>
      </c>
      <c r="N12" s="150" t="s">
        <v>97</v>
      </c>
      <c r="O12" s="152">
        <f t="shared" ref="O12:O16" si="3">+O11-J12-M12</f>
        <v>0.40700000000651926</v>
      </c>
      <c r="P12" s="152">
        <f t="shared" ref="P12:P16" si="4">P11+H12-J12-M12</f>
        <v>423910.18800000002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8" t="s">
        <v>117</v>
      </c>
      <c r="J13" s="152"/>
      <c r="K13" s="150"/>
      <c r="L13" s="154" t="s">
        <v>157</v>
      </c>
      <c r="M13" s="152">
        <v>58519</v>
      </c>
      <c r="N13" s="154" t="s">
        <v>98</v>
      </c>
      <c r="O13" s="152">
        <f>C8+O12-J13-M13</f>
        <v>21422.589999999997</v>
      </c>
      <c r="P13" s="152">
        <f t="shared" si="4"/>
        <v>365391.18800000002</v>
      </c>
    </row>
    <row r="14" spans="1:16" x14ac:dyDescent="0.15">
      <c r="A14" s="154"/>
      <c r="B14" s="151"/>
      <c r="C14" s="152"/>
      <c r="D14" s="153" t="s">
        <v>141</v>
      </c>
      <c r="E14" s="154" t="s">
        <v>72</v>
      </c>
      <c r="F14" s="157" t="s">
        <v>142</v>
      </c>
      <c r="G14" s="154"/>
      <c r="H14" s="152">
        <v>39959.449999999997</v>
      </c>
      <c r="I14" s="153" t="s">
        <v>141</v>
      </c>
      <c r="J14" s="152"/>
      <c r="K14" s="150"/>
      <c r="L14" s="154"/>
      <c r="M14" s="152"/>
      <c r="N14" s="150"/>
      <c r="O14" s="152">
        <f t="shared" si="3"/>
        <v>21422.589999999997</v>
      </c>
      <c r="P14" s="152">
        <f t="shared" si="4"/>
        <v>405350.63800000004</v>
      </c>
    </row>
    <row r="15" spans="1:16" x14ac:dyDescent="0.15">
      <c r="A15" s="154"/>
      <c r="B15" s="151"/>
      <c r="C15" s="152"/>
      <c r="D15" s="158" t="s">
        <v>118</v>
      </c>
      <c r="E15" s="154" t="s">
        <v>72</v>
      </c>
      <c r="F15" s="157" t="s">
        <v>142</v>
      </c>
      <c r="G15" s="154"/>
      <c r="H15" s="152">
        <v>39964.315999999999</v>
      </c>
      <c r="I15" s="158" t="s">
        <v>118</v>
      </c>
      <c r="J15" s="152"/>
      <c r="K15" s="150"/>
      <c r="L15" s="154" t="s">
        <v>157</v>
      </c>
      <c r="M15" s="152">
        <v>17726</v>
      </c>
      <c r="N15" s="154" t="s">
        <v>98</v>
      </c>
      <c r="O15" s="152">
        <f t="shared" si="3"/>
        <v>3696.5899999999965</v>
      </c>
      <c r="P15" s="152">
        <f t="shared" si="4"/>
        <v>427588.95400000003</v>
      </c>
    </row>
    <row r="16" spans="1:16" x14ac:dyDescent="0.15">
      <c r="A16" s="154"/>
      <c r="B16" s="151"/>
      <c r="C16" s="152"/>
      <c r="D16" s="158"/>
      <c r="E16" s="154"/>
      <c r="F16" s="157"/>
      <c r="G16" s="154"/>
      <c r="H16" s="152"/>
      <c r="I16" s="158" t="s">
        <v>119</v>
      </c>
      <c r="J16" s="152">
        <v>654</v>
      </c>
      <c r="K16" s="154" t="s">
        <v>98</v>
      </c>
      <c r="L16" s="154"/>
      <c r="M16" s="152"/>
      <c r="N16" s="150"/>
      <c r="O16" s="152">
        <f t="shared" si="3"/>
        <v>3042.5899999999965</v>
      </c>
      <c r="P16" s="152">
        <f t="shared" si="4"/>
        <v>426934.95400000003</v>
      </c>
    </row>
    <row r="17" spans="1:16" x14ac:dyDescent="0.15">
      <c r="A17" s="154"/>
      <c r="B17" s="151"/>
      <c r="C17" s="152"/>
      <c r="D17" s="158"/>
      <c r="E17" s="154"/>
      <c r="F17" s="157"/>
      <c r="G17" s="154"/>
      <c r="H17" s="152"/>
      <c r="I17" s="158" t="s">
        <v>119</v>
      </c>
      <c r="J17" s="152"/>
      <c r="K17" s="150"/>
      <c r="L17" s="154" t="s">
        <v>157</v>
      </c>
      <c r="M17" s="152">
        <v>3043</v>
      </c>
      <c r="N17" s="154" t="s">
        <v>98</v>
      </c>
      <c r="O17" s="152">
        <f t="shared" ref="O17:O19" si="5">+O16-J17-M17</f>
        <v>-0.41000000000349246</v>
      </c>
      <c r="P17" s="152">
        <f t="shared" ref="P17:P19" si="6">P16+H17-J17-M17</f>
        <v>423891.95400000003</v>
      </c>
    </row>
    <row r="18" spans="1:16" x14ac:dyDescent="0.15">
      <c r="A18" s="154"/>
      <c r="B18" s="151"/>
      <c r="C18" s="152"/>
      <c r="D18" s="158"/>
      <c r="E18" s="154"/>
      <c r="F18" s="157"/>
      <c r="G18" s="154"/>
      <c r="H18" s="152"/>
      <c r="I18" s="158" t="s">
        <v>119</v>
      </c>
      <c r="J18" s="152"/>
      <c r="K18" s="150"/>
      <c r="L18" s="154" t="s">
        <v>156</v>
      </c>
      <c r="M18" s="152">
        <v>48872</v>
      </c>
      <c r="N18" s="154" t="s">
        <v>99</v>
      </c>
      <c r="O18" s="152">
        <f>C9+O17-J18-M18</f>
        <v>12547.344999999994</v>
      </c>
      <c r="P18" s="152">
        <f t="shared" si="6"/>
        <v>375019.95400000003</v>
      </c>
    </row>
    <row r="19" spans="1:16" x14ac:dyDescent="0.15">
      <c r="A19" s="154"/>
      <c r="B19" s="151"/>
      <c r="C19" s="152"/>
      <c r="D19" s="158"/>
      <c r="E19" s="154"/>
      <c r="F19" s="157"/>
      <c r="G19" s="154"/>
      <c r="H19" s="152"/>
      <c r="I19" s="158" t="s">
        <v>119</v>
      </c>
      <c r="J19" s="152"/>
      <c r="K19" s="150"/>
      <c r="L19" s="154" t="s">
        <v>156</v>
      </c>
      <c r="M19" s="152">
        <v>12547</v>
      </c>
      <c r="N19" s="154" t="s">
        <v>99</v>
      </c>
      <c r="O19" s="152">
        <f t="shared" si="5"/>
        <v>0.3449999999938882</v>
      </c>
      <c r="P19" s="152">
        <f t="shared" si="6"/>
        <v>362472.95400000003</v>
      </c>
    </row>
    <row r="20" spans="1:16" x14ac:dyDescent="0.15">
      <c r="A20" s="154"/>
      <c r="B20" s="151"/>
      <c r="C20" s="152"/>
      <c r="D20" s="158"/>
      <c r="E20" s="154"/>
      <c r="F20" s="157"/>
      <c r="G20" s="154"/>
      <c r="H20" s="152"/>
      <c r="I20" s="158" t="s">
        <v>119</v>
      </c>
      <c r="J20" s="152"/>
      <c r="K20" s="150"/>
      <c r="L20" s="154" t="s">
        <v>156</v>
      </c>
      <c r="M20" s="152">
        <v>70965</v>
      </c>
      <c r="N20" s="154" t="s">
        <v>100</v>
      </c>
      <c r="O20" s="152">
        <f>C10+O19-J20-M20</f>
        <v>19574.429999999993</v>
      </c>
      <c r="P20" s="152">
        <f t="shared" ref="P20:P21" si="7">P19+H20-J20-M20</f>
        <v>291507.95400000003</v>
      </c>
    </row>
    <row r="21" spans="1:16" x14ac:dyDescent="0.15">
      <c r="A21" s="154"/>
      <c r="B21" s="151"/>
      <c r="C21" s="152"/>
      <c r="D21" s="158" t="s">
        <v>120</v>
      </c>
      <c r="E21" s="154" t="s">
        <v>72</v>
      </c>
      <c r="F21" s="157" t="s">
        <v>142</v>
      </c>
      <c r="G21" s="154"/>
      <c r="H21" s="152">
        <v>40080.697999999997</v>
      </c>
      <c r="I21" s="158" t="s">
        <v>120</v>
      </c>
      <c r="J21" s="152"/>
      <c r="K21" s="150"/>
      <c r="L21" s="154" t="s">
        <v>156</v>
      </c>
      <c r="M21" s="152">
        <v>19574</v>
      </c>
      <c r="N21" s="154" t="s">
        <v>100</v>
      </c>
      <c r="O21" s="152">
        <f t="shared" ref="O21" si="8">+O20-J21-M21</f>
        <v>0.42999999999301508</v>
      </c>
      <c r="P21" s="152">
        <f t="shared" si="7"/>
        <v>312014.652</v>
      </c>
    </row>
    <row r="22" spans="1:16" x14ac:dyDescent="0.15">
      <c r="A22" s="154"/>
      <c r="B22" s="151"/>
      <c r="C22" s="152"/>
      <c r="D22" s="158"/>
      <c r="E22" s="154"/>
      <c r="F22" s="157"/>
      <c r="G22" s="154"/>
      <c r="H22" s="152"/>
      <c r="I22" s="158" t="s">
        <v>120</v>
      </c>
      <c r="J22" s="152"/>
      <c r="K22" s="150"/>
      <c r="L22" s="154" t="s">
        <v>156</v>
      </c>
      <c r="M22" s="152">
        <v>32939</v>
      </c>
      <c r="N22" s="154" t="s">
        <v>102</v>
      </c>
      <c r="O22" s="152">
        <f>C11+O21-J22-M22</f>
        <v>79037.911999999982</v>
      </c>
      <c r="P22" s="152">
        <f t="shared" ref="P22:P25" si="9">P21+H22-J22-M22</f>
        <v>279075.652</v>
      </c>
    </row>
    <row r="23" spans="1:16" x14ac:dyDescent="0.15">
      <c r="A23" s="154"/>
      <c r="B23" s="151"/>
      <c r="C23" s="152"/>
      <c r="D23" s="153"/>
      <c r="E23" s="154"/>
      <c r="F23" s="157"/>
      <c r="G23" s="154"/>
      <c r="H23" s="152"/>
      <c r="I23" s="158" t="s">
        <v>120</v>
      </c>
      <c r="J23" s="152"/>
      <c r="K23" s="150"/>
      <c r="L23" s="154" t="s">
        <v>156</v>
      </c>
      <c r="M23" s="152">
        <v>63095</v>
      </c>
      <c r="N23" s="154" t="s">
        <v>102</v>
      </c>
      <c r="O23" s="152">
        <f t="shared" ref="O23:O25" si="10">+O22-J23-M23</f>
        <v>15942.911999999982</v>
      </c>
      <c r="P23" s="152">
        <f t="shared" si="9"/>
        <v>215980.652</v>
      </c>
    </row>
    <row r="24" spans="1:16" x14ac:dyDescent="0.15">
      <c r="A24" s="154"/>
      <c r="B24" s="151"/>
      <c r="C24" s="152"/>
      <c r="D24" s="158" t="s">
        <v>121</v>
      </c>
      <c r="E24" s="154" t="s">
        <v>72</v>
      </c>
      <c r="F24" s="157" t="s">
        <v>144</v>
      </c>
      <c r="G24" s="154"/>
      <c r="H24" s="152">
        <v>42029.226999999999</v>
      </c>
      <c r="I24" s="158" t="s">
        <v>121</v>
      </c>
      <c r="J24" s="152">
        <v>815</v>
      </c>
      <c r="K24" s="154" t="s">
        <v>102</v>
      </c>
      <c r="L24" s="154"/>
      <c r="M24" s="152"/>
      <c r="N24" s="150"/>
      <c r="O24" s="152">
        <f t="shared" si="10"/>
        <v>15127.911999999982</v>
      </c>
      <c r="P24" s="152">
        <f t="shared" si="9"/>
        <v>257194.87900000002</v>
      </c>
    </row>
    <row r="25" spans="1:16" x14ac:dyDescent="0.15">
      <c r="A25" s="154"/>
      <c r="B25" s="151"/>
      <c r="C25" s="152"/>
      <c r="D25" s="158"/>
      <c r="E25" s="154"/>
      <c r="F25" s="157"/>
      <c r="G25" s="154"/>
      <c r="H25" s="152"/>
      <c r="I25" s="158" t="s">
        <v>121</v>
      </c>
      <c r="J25" s="152">
        <v>690</v>
      </c>
      <c r="K25" s="154" t="s">
        <v>102</v>
      </c>
      <c r="L25" s="154"/>
      <c r="M25" s="152"/>
      <c r="N25" s="150"/>
      <c r="O25" s="152">
        <f t="shared" si="10"/>
        <v>14437.911999999982</v>
      </c>
      <c r="P25" s="152">
        <f t="shared" si="9"/>
        <v>256504.87900000002</v>
      </c>
    </row>
    <row r="26" spans="1:16" x14ac:dyDescent="0.15">
      <c r="A26" s="154"/>
      <c r="B26" s="151"/>
      <c r="C26" s="152"/>
      <c r="D26" s="158"/>
      <c r="E26" s="154"/>
      <c r="F26" s="157"/>
      <c r="G26" s="151"/>
      <c r="H26" s="152"/>
      <c r="I26" s="158" t="s">
        <v>121</v>
      </c>
      <c r="J26" s="152"/>
      <c r="K26" s="150"/>
      <c r="L26" s="154" t="s">
        <v>156</v>
      </c>
      <c r="M26" s="152">
        <v>14438</v>
      </c>
      <c r="N26" s="154" t="s">
        <v>102</v>
      </c>
      <c r="O26" s="152">
        <f t="shared" ref="O26:O29" si="11">+O25-J26-M26</f>
        <v>-8.800000001792796E-2</v>
      </c>
      <c r="P26" s="152">
        <f t="shared" ref="P26:P29" si="12">P25+H26-J26-M26</f>
        <v>242066.87900000002</v>
      </c>
    </row>
    <row r="27" spans="1:16" x14ac:dyDescent="0.15">
      <c r="A27" s="154"/>
      <c r="B27" s="151"/>
      <c r="C27" s="152"/>
      <c r="D27" s="158"/>
      <c r="E27" s="154"/>
      <c r="F27" s="157"/>
      <c r="G27" s="151"/>
      <c r="H27" s="152"/>
      <c r="I27" s="158" t="s">
        <v>121</v>
      </c>
      <c r="J27" s="152"/>
      <c r="K27" s="150"/>
      <c r="L27" s="154" t="s">
        <v>156</v>
      </c>
      <c r="M27" s="152">
        <v>48055</v>
      </c>
      <c r="N27" s="157" t="s">
        <v>173</v>
      </c>
      <c r="O27" s="152">
        <f>H11+H12+O26-J27-M27</f>
        <v>31978.18799999998</v>
      </c>
      <c r="P27" s="152">
        <f t="shared" si="12"/>
        <v>194011.87900000002</v>
      </c>
    </row>
    <row r="28" spans="1:16" x14ac:dyDescent="0.15">
      <c r="A28" s="154"/>
      <c r="B28" s="151"/>
      <c r="C28" s="152"/>
      <c r="D28" s="158" t="s">
        <v>122</v>
      </c>
      <c r="E28" s="154" t="s">
        <v>72</v>
      </c>
      <c r="F28" s="157" t="s">
        <v>144</v>
      </c>
      <c r="G28" s="151"/>
      <c r="H28" s="152">
        <v>41976.252999999997</v>
      </c>
      <c r="I28" s="158" t="s">
        <v>122</v>
      </c>
      <c r="J28" s="152">
        <v>3279</v>
      </c>
      <c r="K28" s="157" t="s">
        <v>173</v>
      </c>
      <c r="L28" s="154"/>
      <c r="M28" s="152"/>
      <c r="N28" s="157" t="s">
        <v>173</v>
      </c>
      <c r="O28" s="152">
        <f t="shared" si="11"/>
        <v>28699.18799999998</v>
      </c>
      <c r="P28" s="152">
        <f t="shared" si="12"/>
        <v>232709.13200000001</v>
      </c>
    </row>
    <row r="29" spans="1:16" x14ac:dyDescent="0.15">
      <c r="A29" s="154"/>
      <c r="B29" s="151"/>
      <c r="C29" s="152"/>
      <c r="D29" s="153"/>
      <c r="E29" s="154"/>
      <c r="F29" s="157"/>
      <c r="G29" s="151"/>
      <c r="H29" s="152"/>
      <c r="I29" s="153" t="s">
        <v>122</v>
      </c>
      <c r="J29" s="152"/>
      <c r="K29" s="159"/>
      <c r="L29" s="154" t="s">
        <v>156</v>
      </c>
      <c r="M29" s="152">
        <v>28699</v>
      </c>
      <c r="N29" s="157" t="s">
        <v>173</v>
      </c>
      <c r="O29" s="152">
        <f t="shared" si="11"/>
        <v>0.18799999998009298</v>
      </c>
      <c r="P29" s="152">
        <f t="shared" si="12"/>
        <v>204010.13200000001</v>
      </c>
    </row>
    <row r="30" spans="1:16" x14ac:dyDescent="0.15">
      <c r="A30" s="154"/>
      <c r="B30" s="151"/>
      <c r="C30" s="152"/>
      <c r="D30" s="153"/>
      <c r="E30" s="154"/>
      <c r="F30" s="157"/>
      <c r="G30" s="151"/>
      <c r="H30" s="152"/>
      <c r="I30" s="153" t="s">
        <v>122</v>
      </c>
      <c r="J30" s="152"/>
      <c r="K30" s="159"/>
      <c r="L30" s="154" t="s">
        <v>156</v>
      </c>
      <c r="M30" s="152">
        <v>45226</v>
      </c>
      <c r="N30" s="157" t="s">
        <v>142</v>
      </c>
      <c r="O30" s="152">
        <f>H14+H15+H21+O29-J30-M30</f>
        <v>74778.651999999987</v>
      </c>
      <c r="P30" s="152">
        <f t="shared" ref="P30:P32" si="13">P29+H30-J30-M30</f>
        <v>158784.13200000001</v>
      </c>
    </row>
    <row r="31" spans="1:16" x14ac:dyDescent="0.15">
      <c r="A31" s="154"/>
      <c r="B31" s="151"/>
      <c r="C31" s="152"/>
      <c r="D31" s="153" t="s">
        <v>143</v>
      </c>
      <c r="E31" s="154" t="s">
        <v>72</v>
      </c>
      <c r="F31" s="157" t="s">
        <v>144</v>
      </c>
      <c r="G31" s="151"/>
      <c r="H31" s="152">
        <v>124015.29</v>
      </c>
      <c r="I31" s="153" t="s">
        <v>143</v>
      </c>
      <c r="J31" s="152"/>
      <c r="K31" s="159"/>
      <c r="L31" s="154"/>
      <c r="M31" s="152"/>
      <c r="N31" s="150"/>
      <c r="O31" s="152">
        <f t="shared" ref="O31:O32" si="14">+O30-J31-M31</f>
        <v>74778.651999999987</v>
      </c>
      <c r="P31" s="152">
        <f t="shared" si="13"/>
        <v>282799.42200000002</v>
      </c>
    </row>
    <row r="32" spans="1:16" x14ac:dyDescent="0.15">
      <c r="A32" s="154"/>
      <c r="B32" s="151"/>
      <c r="C32" s="152"/>
      <c r="D32" s="153" t="s">
        <v>123</v>
      </c>
      <c r="E32" s="154" t="s">
        <v>72</v>
      </c>
      <c r="F32" s="157" t="s">
        <v>145</v>
      </c>
      <c r="G32" s="151"/>
      <c r="H32" s="152">
        <v>82034.773000000001</v>
      </c>
      <c r="I32" s="158" t="s">
        <v>123</v>
      </c>
      <c r="J32" s="152"/>
      <c r="K32" s="159"/>
      <c r="L32" s="154" t="s">
        <v>156</v>
      </c>
      <c r="M32" s="152">
        <v>17606</v>
      </c>
      <c r="N32" s="157" t="s">
        <v>142</v>
      </c>
      <c r="O32" s="152">
        <f t="shared" si="14"/>
        <v>57172.651999999987</v>
      </c>
      <c r="P32" s="152">
        <f t="shared" si="13"/>
        <v>347228.19500000001</v>
      </c>
    </row>
    <row r="33" spans="1:16" x14ac:dyDescent="0.15">
      <c r="A33" s="154"/>
      <c r="B33" s="151"/>
      <c r="C33" s="152"/>
      <c r="D33" s="153" t="s">
        <v>146</v>
      </c>
      <c r="E33" s="154" t="s">
        <v>72</v>
      </c>
      <c r="F33" s="157" t="s">
        <v>145</v>
      </c>
      <c r="G33" s="151"/>
      <c r="H33" s="152">
        <v>39987.832999999999</v>
      </c>
      <c r="I33" s="153" t="s">
        <v>146</v>
      </c>
      <c r="J33" s="152"/>
      <c r="K33" s="159"/>
      <c r="L33" s="154"/>
      <c r="M33" s="152"/>
      <c r="N33" s="150"/>
      <c r="O33" s="152">
        <f t="shared" si="1"/>
        <v>57172.651999999987</v>
      </c>
      <c r="P33" s="152">
        <f t="shared" si="2"/>
        <v>387216.02799999999</v>
      </c>
    </row>
    <row r="34" spans="1:16" x14ac:dyDescent="0.15">
      <c r="A34" s="154"/>
      <c r="B34" s="151"/>
      <c r="C34" s="152"/>
      <c r="D34" s="158" t="s">
        <v>124</v>
      </c>
      <c r="E34" s="154" t="s">
        <v>72</v>
      </c>
      <c r="F34" s="157" t="s">
        <v>145</v>
      </c>
      <c r="G34" s="151"/>
      <c r="H34" s="152">
        <v>39989.860999999997</v>
      </c>
      <c r="I34" s="158" t="s">
        <v>124</v>
      </c>
      <c r="J34" s="152"/>
      <c r="K34" s="159"/>
      <c r="L34" s="154" t="s">
        <v>156</v>
      </c>
      <c r="M34" s="152">
        <v>57173</v>
      </c>
      <c r="N34" s="157" t="s">
        <v>142</v>
      </c>
      <c r="O34" s="152">
        <f t="shared" ref="O34:O37" si="15">+O33-J34-M34</f>
        <v>-0.34800000001268927</v>
      </c>
      <c r="P34" s="152">
        <f t="shared" ref="P34:P37" si="16">P33+H34-J34-M34</f>
        <v>370032.88899999997</v>
      </c>
    </row>
    <row r="35" spans="1:16" x14ac:dyDescent="0.15">
      <c r="A35" s="154"/>
      <c r="B35" s="151"/>
      <c r="C35" s="152"/>
      <c r="D35" s="158"/>
      <c r="E35" s="154"/>
      <c r="F35" s="157"/>
      <c r="G35" s="151"/>
      <c r="H35" s="152"/>
      <c r="I35" s="158" t="s">
        <v>124</v>
      </c>
      <c r="J35" s="152"/>
      <c r="K35" s="159"/>
      <c r="L35" s="154" t="s">
        <v>157</v>
      </c>
      <c r="M35" s="152">
        <v>29838</v>
      </c>
      <c r="N35" s="157" t="s">
        <v>144</v>
      </c>
      <c r="O35" s="152">
        <f>H24+H28+H31+O34-J35-M35</f>
        <v>178182.42199999996</v>
      </c>
      <c r="P35" s="152">
        <f t="shared" si="16"/>
        <v>340194.88899999997</v>
      </c>
    </row>
    <row r="36" spans="1:16" x14ac:dyDescent="0.15">
      <c r="A36" s="154"/>
      <c r="B36" s="151"/>
      <c r="C36" s="152"/>
      <c r="D36" s="153" t="s">
        <v>125</v>
      </c>
      <c r="E36" s="154" t="s">
        <v>72</v>
      </c>
      <c r="F36" s="157" t="s">
        <v>147</v>
      </c>
      <c r="G36" s="151"/>
      <c r="H36" s="152">
        <v>82018.150999999998</v>
      </c>
      <c r="I36" s="153" t="s">
        <v>125</v>
      </c>
      <c r="J36" s="152">
        <v>1289</v>
      </c>
      <c r="K36" s="157" t="s">
        <v>144</v>
      </c>
      <c r="L36" s="154"/>
      <c r="M36" s="152"/>
      <c r="N36" s="150"/>
      <c r="O36" s="152">
        <f t="shared" si="15"/>
        <v>176893.42199999996</v>
      </c>
      <c r="P36" s="152">
        <f t="shared" si="16"/>
        <v>420924.04</v>
      </c>
    </row>
    <row r="37" spans="1:16" x14ac:dyDescent="0.15">
      <c r="A37" s="154"/>
      <c r="B37" s="151"/>
      <c r="C37" s="152"/>
      <c r="D37" s="153"/>
      <c r="E37" s="154"/>
      <c r="F37" s="157"/>
      <c r="G37" s="151"/>
      <c r="H37" s="152"/>
      <c r="I37" s="153" t="s">
        <v>125</v>
      </c>
      <c r="J37" s="152">
        <v>4736</v>
      </c>
      <c r="K37" s="157" t="s">
        <v>144</v>
      </c>
      <c r="L37" s="154"/>
      <c r="M37" s="152"/>
      <c r="N37" s="150"/>
      <c r="O37" s="152">
        <f t="shared" si="15"/>
        <v>172157.42199999996</v>
      </c>
      <c r="P37" s="152">
        <f t="shared" si="16"/>
        <v>416188.04</v>
      </c>
    </row>
    <row r="38" spans="1:16" x14ac:dyDescent="0.15">
      <c r="A38" s="154"/>
      <c r="B38" s="151"/>
      <c r="C38" s="152"/>
      <c r="D38" s="153"/>
      <c r="E38" s="154"/>
      <c r="F38" s="160"/>
      <c r="G38" s="151"/>
      <c r="H38" s="152"/>
      <c r="I38" s="153" t="s">
        <v>125</v>
      </c>
      <c r="J38" s="152"/>
      <c r="K38" s="159"/>
      <c r="L38" s="154" t="s">
        <v>157</v>
      </c>
      <c r="M38" s="152">
        <v>65394</v>
      </c>
      <c r="N38" s="157" t="s">
        <v>144</v>
      </c>
      <c r="O38" s="152">
        <f t="shared" si="1"/>
        <v>106763.42199999996</v>
      </c>
      <c r="P38" s="152">
        <f t="shared" si="2"/>
        <v>350794.04</v>
      </c>
    </row>
    <row r="39" spans="1:16" x14ac:dyDescent="0.15">
      <c r="A39" s="154"/>
      <c r="B39" s="151"/>
      <c r="C39" s="152"/>
      <c r="D39" s="153" t="s">
        <v>126</v>
      </c>
      <c r="E39" s="154" t="s">
        <v>72</v>
      </c>
      <c r="F39" s="157" t="s">
        <v>147</v>
      </c>
      <c r="G39" s="151"/>
      <c r="H39" s="152">
        <v>161901.04399999999</v>
      </c>
      <c r="I39" s="153" t="s">
        <v>126</v>
      </c>
      <c r="J39" s="152"/>
      <c r="K39" s="150"/>
      <c r="L39" s="154" t="s">
        <v>157</v>
      </c>
      <c r="M39" s="152">
        <v>70063</v>
      </c>
      <c r="N39" s="157" t="s">
        <v>144</v>
      </c>
      <c r="O39" s="152">
        <f t="shared" si="1"/>
        <v>36700.421999999962</v>
      </c>
      <c r="P39" s="152">
        <f t="shared" si="2"/>
        <v>442632.08399999997</v>
      </c>
    </row>
    <row r="40" spans="1:16" x14ac:dyDescent="0.15">
      <c r="A40" s="154"/>
      <c r="B40" s="151"/>
      <c r="C40" s="152"/>
      <c r="D40" s="153" t="s">
        <v>127</v>
      </c>
      <c r="E40" s="154" t="s">
        <v>72</v>
      </c>
      <c r="F40" s="157" t="s">
        <v>147</v>
      </c>
      <c r="G40" s="151"/>
      <c r="H40" s="152">
        <v>110045.715</v>
      </c>
      <c r="I40" s="153" t="s">
        <v>127</v>
      </c>
      <c r="J40" s="152">
        <v>1969</v>
      </c>
      <c r="K40" s="157" t="s">
        <v>144</v>
      </c>
      <c r="L40" s="154"/>
      <c r="M40" s="152"/>
      <c r="N40" s="150"/>
      <c r="O40" s="152">
        <f t="shared" si="1"/>
        <v>34731.421999999962</v>
      </c>
      <c r="P40" s="152">
        <f t="shared" si="2"/>
        <v>550708.799</v>
      </c>
    </row>
    <row r="41" spans="1:16" x14ac:dyDescent="0.15">
      <c r="A41" s="154"/>
      <c r="B41" s="151"/>
      <c r="C41" s="152"/>
      <c r="D41" s="153"/>
      <c r="E41" s="154"/>
      <c r="F41" s="160"/>
      <c r="G41" s="151"/>
      <c r="H41" s="152"/>
      <c r="I41" s="153" t="s">
        <v>127</v>
      </c>
      <c r="J41" s="152"/>
      <c r="K41" s="150"/>
      <c r="L41" s="154" t="s">
        <v>157</v>
      </c>
      <c r="M41" s="152">
        <v>34731</v>
      </c>
      <c r="N41" s="157" t="s">
        <v>144</v>
      </c>
      <c r="O41" s="152">
        <f t="shared" ref="O41:O44" si="17">+O40-J41-M41</f>
        <v>0.42199999996228144</v>
      </c>
      <c r="P41" s="152">
        <f t="shared" ref="P41:P44" si="18">P40+H41-J41-M41</f>
        <v>515977.799</v>
      </c>
    </row>
    <row r="42" spans="1:16" x14ac:dyDescent="0.15">
      <c r="A42" s="154"/>
      <c r="B42" s="151"/>
      <c r="C42" s="152"/>
      <c r="D42" s="153"/>
      <c r="E42" s="154"/>
      <c r="F42" s="160"/>
      <c r="G42" s="151"/>
      <c r="H42" s="152"/>
      <c r="I42" s="153" t="s">
        <v>127</v>
      </c>
      <c r="J42" s="152"/>
      <c r="K42" s="150"/>
      <c r="L42" s="154" t="s">
        <v>156</v>
      </c>
      <c r="M42" s="152">
        <v>40509</v>
      </c>
      <c r="N42" s="157" t="s">
        <v>145</v>
      </c>
      <c r="O42" s="152">
        <f>H32+H33+H34+O41-J42-M42</f>
        <v>121503.88899999997</v>
      </c>
      <c r="P42" s="152">
        <f t="shared" si="18"/>
        <v>475468.799</v>
      </c>
    </row>
    <row r="43" spans="1:16" x14ac:dyDescent="0.15">
      <c r="A43" s="154"/>
      <c r="B43" s="151"/>
      <c r="C43" s="152"/>
      <c r="D43" s="153"/>
      <c r="E43" s="154"/>
      <c r="F43" s="157"/>
      <c r="G43" s="151"/>
      <c r="H43" s="152"/>
      <c r="I43" s="153" t="s">
        <v>127</v>
      </c>
      <c r="J43" s="152"/>
      <c r="K43" s="150"/>
      <c r="L43" s="154" t="s">
        <v>156</v>
      </c>
      <c r="M43" s="152">
        <v>76719</v>
      </c>
      <c r="N43" s="157" t="s">
        <v>145</v>
      </c>
      <c r="O43" s="152">
        <f t="shared" si="17"/>
        <v>44784.888999999966</v>
      </c>
      <c r="P43" s="152">
        <f t="shared" si="18"/>
        <v>398749.799</v>
      </c>
    </row>
    <row r="44" spans="1:16" x14ac:dyDescent="0.15">
      <c r="A44" s="154"/>
      <c r="B44" s="151"/>
      <c r="C44" s="152"/>
      <c r="D44" s="153" t="s">
        <v>148</v>
      </c>
      <c r="E44" s="154" t="s">
        <v>72</v>
      </c>
      <c r="F44" s="157" t="s">
        <v>149</v>
      </c>
      <c r="G44" s="151"/>
      <c r="H44" s="152">
        <v>123998.887</v>
      </c>
      <c r="I44" s="153" t="s">
        <v>148</v>
      </c>
      <c r="J44" s="152"/>
      <c r="K44" s="150"/>
      <c r="L44" s="154"/>
      <c r="M44" s="152"/>
      <c r="N44" s="150"/>
      <c r="O44" s="152">
        <f t="shared" si="17"/>
        <v>44784.888999999966</v>
      </c>
      <c r="P44" s="152">
        <f t="shared" si="18"/>
        <v>522748.68599999999</v>
      </c>
    </row>
    <row r="45" spans="1:16" x14ac:dyDescent="0.15">
      <c r="A45" s="154"/>
      <c r="B45" s="151"/>
      <c r="C45" s="152"/>
      <c r="D45" s="158" t="s">
        <v>128</v>
      </c>
      <c r="E45" s="154" t="s">
        <v>72</v>
      </c>
      <c r="F45" s="157" t="s">
        <v>149</v>
      </c>
      <c r="G45" s="151"/>
      <c r="H45" s="152">
        <v>39972.417999999998</v>
      </c>
      <c r="I45" s="158" t="s">
        <v>128</v>
      </c>
      <c r="J45" s="152"/>
      <c r="K45" s="150"/>
      <c r="L45" s="154" t="s">
        <v>156</v>
      </c>
      <c r="M45" s="152">
        <v>16643</v>
      </c>
      <c r="N45" s="157" t="s">
        <v>145</v>
      </c>
      <c r="O45" s="152">
        <f t="shared" si="1"/>
        <v>28141.888999999966</v>
      </c>
      <c r="P45" s="152">
        <f t="shared" si="2"/>
        <v>546078.10399999993</v>
      </c>
    </row>
    <row r="46" spans="1:16" x14ac:dyDescent="0.15">
      <c r="A46" s="154"/>
      <c r="B46" s="151"/>
      <c r="C46" s="152"/>
      <c r="D46" s="153"/>
      <c r="E46" s="154"/>
      <c r="F46" s="160"/>
      <c r="G46" s="151"/>
      <c r="H46" s="152"/>
      <c r="I46" s="153" t="s">
        <v>129</v>
      </c>
      <c r="J46" s="152"/>
      <c r="K46" s="150"/>
      <c r="L46" s="154" t="s">
        <v>156</v>
      </c>
      <c r="M46" s="152">
        <v>1812</v>
      </c>
      <c r="N46" s="157" t="s">
        <v>145</v>
      </c>
      <c r="O46" s="152">
        <f t="shared" si="1"/>
        <v>26329.888999999966</v>
      </c>
      <c r="P46" s="152">
        <f t="shared" si="2"/>
        <v>544266.10399999993</v>
      </c>
    </row>
    <row r="47" spans="1:16" x14ac:dyDescent="0.15">
      <c r="A47" s="154"/>
      <c r="B47" s="151"/>
      <c r="C47" s="152"/>
      <c r="D47" s="153"/>
      <c r="E47" s="154"/>
      <c r="F47" s="160"/>
      <c r="G47" s="151"/>
      <c r="H47" s="152"/>
      <c r="I47" s="158" t="s">
        <v>129</v>
      </c>
      <c r="J47" s="152"/>
      <c r="K47" s="150"/>
      <c r="L47" s="154" t="s">
        <v>156</v>
      </c>
      <c r="M47" s="152">
        <v>26330</v>
      </c>
      <c r="N47" s="157" t="s">
        <v>145</v>
      </c>
      <c r="O47" s="152">
        <f t="shared" ref="O47:O52" si="19">+O46-J47-M47</f>
        <v>-0.11100000003352761</v>
      </c>
      <c r="P47" s="152">
        <f t="shared" ref="P47:P52" si="20">P46+H47-J47-M47</f>
        <v>517936.10399999993</v>
      </c>
    </row>
    <row r="48" spans="1:16" x14ac:dyDescent="0.15">
      <c r="A48" s="154"/>
      <c r="B48" s="151"/>
      <c r="C48" s="152"/>
      <c r="D48" s="153"/>
      <c r="E48" s="154"/>
      <c r="F48" s="160"/>
      <c r="G48" s="151"/>
      <c r="H48" s="152"/>
      <c r="I48" s="158" t="s">
        <v>129</v>
      </c>
      <c r="J48" s="152"/>
      <c r="K48" s="150"/>
      <c r="L48" s="154" t="s">
        <v>156</v>
      </c>
      <c r="M48" s="152">
        <v>19683</v>
      </c>
      <c r="N48" s="157" t="s">
        <v>147</v>
      </c>
      <c r="O48" s="152">
        <f>H36+H39+H40+O47-J48-M48</f>
        <v>334281.799</v>
      </c>
      <c r="P48" s="152">
        <f t="shared" si="20"/>
        <v>498253.10399999993</v>
      </c>
    </row>
    <row r="49" spans="1:16" x14ac:dyDescent="0.15">
      <c r="A49" s="154"/>
      <c r="B49" s="151"/>
      <c r="C49" s="152"/>
      <c r="D49" s="153"/>
      <c r="E49" s="154"/>
      <c r="F49" s="160"/>
      <c r="G49" s="151"/>
      <c r="H49" s="152"/>
      <c r="I49" s="153" t="s">
        <v>129</v>
      </c>
      <c r="J49" s="152"/>
      <c r="K49" s="150"/>
      <c r="L49" s="154" t="s">
        <v>156</v>
      </c>
      <c r="M49" s="152">
        <v>84796</v>
      </c>
      <c r="N49" s="157" t="s">
        <v>147</v>
      </c>
      <c r="O49" s="152">
        <f t="shared" si="19"/>
        <v>249485.799</v>
      </c>
      <c r="P49" s="152">
        <f t="shared" si="20"/>
        <v>413457.10399999993</v>
      </c>
    </row>
    <row r="50" spans="1:16" x14ac:dyDescent="0.15">
      <c r="A50" s="154"/>
      <c r="B50" s="151"/>
      <c r="C50" s="152"/>
      <c r="D50" s="153" t="s">
        <v>130</v>
      </c>
      <c r="E50" s="154" t="s">
        <v>172</v>
      </c>
      <c r="F50" s="157" t="s">
        <v>150</v>
      </c>
      <c r="G50" s="151"/>
      <c r="H50" s="152">
        <v>36010.949999999997</v>
      </c>
      <c r="I50" s="153" t="s">
        <v>130</v>
      </c>
      <c r="J50" s="152"/>
      <c r="K50" s="150"/>
      <c r="L50" s="154" t="s">
        <v>156</v>
      </c>
      <c r="M50" s="152">
        <v>74023</v>
      </c>
      <c r="N50" s="157" t="s">
        <v>147</v>
      </c>
      <c r="O50" s="152">
        <f t="shared" si="19"/>
        <v>175462.799</v>
      </c>
      <c r="P50" s="152">
        <f t="shared" si="20"/>
        <v>375445.05399999995</v>
      </c>
    </row>
    <row r="51" spans="1:16" x14ac:dyDescent="0.15">
      <c r="A51" s="154"/>
      <c r="B51" s="151"/>
      <c r="C51" s="152"/>
      <c r="D51" s="153" t="s">
        <v>130</v>
      </c>
      <c r="E51" s="154" t="s">
        <v>72</v>
      </c>
      <c r="F51" s="157" t="s">
        <v>151</v>
      </c>
      <c r="G51" s="151"/>
      <c r="H51" s="152">
        <f>39955.36+70014.607</f>
        <v>109969.967</v>
      </c>
      <c r="I51" s="153" t="s">
        <v>130</v>
      </c>
      <c r="J51" s="152"/>
      <c r="K51" s="150"/>
      <c r="L51" s="154" t="s">
        <v>156</v>
      </c>
      <c r="M51" s="152">
        <v>49678</v>
      </c>
      <c r="N51" s="157" t="s">
        <v>147</v>
      </c>
      <c r="O51" s="152">
        <f t="shared" si="19"/>
        <v>125784.799</v>
      </c>
      <c r="P51" s="152">
        <f t="shared" si="20"/>
        <v>435737.02099999995</v>
      </c>
    </row>
    <row r="52" spans="1:16" x14ac:dyDescent="0.15">
      <c r="A52" s="154"/>
      <c r="B52" s="151"/>
      <c r="C52" s="152"/>
      <c r="D52" s="153" t="s">
        <v>131</v>
      </c>
      <c r="E52" s="154" t="s">
        <v>72</v>
      </c>
      <c r="F52" s="157" t="s">
        <v>151</v>
      </c>
      <c r="G52" s="151"/>
      <c r="H52" s="152">
        <v>57995.535000000003</v>
      </c>
      <c r="I52" s="153" t="s">
        <v>131</v>
      </c>
      <c r="J52" s="152"/>
      <c r="K52" s="150"/>
      <c r="L52" s="154" t="s">
        <v>156</v>
      </c>
      <c r="M52" s="152">
        <v>2575</v>
      </c>
      <c r="N52" s="157" t="s">
        <v>147</v>
      </c>
      <c r="O52" s="152">
        <f t="shared" si="19"/>
        <v>123209.799</v>
      </c>
      <c r="P52" s="152">
        <f t="shared" si="20"/>
        <v>491157.55599999998</v>
      </c>
    </row>
    <row r="53" spans="1:16" x14ac:dyDescent="0.15">
      <c r="A53" s="154"/>
      <c r="B53" s="151"/>
      <c r="C53" s="152"/>
      <c r="D53" s="153"/>
      <c r="E53" s="154"/>
      <c r="F53" s="160"/>
      <c r="G53" s="151"/>
      <c r="H53" s="152"/>
      <c r="I53" s="158" t="s">
        <v>131</v>
      </c>
      <c r="J53" s="152"/>
      <c r="K53" s="150"/>
      <c r="L53" s="154" t="s">
        <v>156</v>
      </c>
      <c r="M53" s="152">
        <v>80983</v>
      </c>
      <c r="N53" s="157" t="s">
        <v>147</v>
      </c>
      <c r="O53" s="152">
        <f t="shared" si="1"/>
        <v>42226.798999999999</v>
      </c>
      <c r="P53" s="152">
        <f t="shared" si="2"/>
        <v>410174.55599999998</v>
      </c>
    </row>
    <row r="54" spans="1:16" x14ac:dyDescent="0.15">
      <c r="A54" s="154"/>
      <c r="B54" s="151"/>
      <c r="C54" s="152"/>
      <c r="D54" s="153"/>
      <c r="E54" s="154"/>
      <c r="F54" s="160"/>
      <c r="G54" s="151"/>
      <c r="H54" s="152"/>
      <c r="I54" s="153" t="s">
        <v>132</v>
      </c>
      <c r="J54" s="152"/>
      <c r="K54" s="150"/>
      <c r="L54" s="154" t="s">
        <v>156</v>
      </c>
      <c r="M54" s="152">
        <v>42227</v>
      </c>
      <c r="N54" s="157" t="s">
        <v>147</v>
      </c>
      <c r="O54" s="152">
        <f t="shared" ref="O54:O58" si="21">+O53-J54-M54</f>
        <v>-0.20100000000093132</v>
      </c>
      <c r="P54" s="152">
        <f t="shared" ref="P54:P58" si="22">P53+H54-J54-M54</f>
        <v>367947.55599999998</v>
      </c>
    </row>
    <row r="55" spans="1:16" x14ac:dyDescent="0.15">
      <c r="A55" s="154"/>
      <c r="B55" s="151"/>
      <c r="C55" s="152"/>
      <c r="D55" s="153"/>
      <c r="E55" s="154"/>
      <c r="F55" s="160"/>
      <c r="G55" s="151"/>
      <c r="H55" s="152"/>
      <c r="I55" s="153" t="s">
        <v>132</v>
      </c>
      <c r="J55" s="152"/>
      <c r="K55" s="150"/>
      <c r="L55" s="154" t="s">
        <v>157</v>
      </c>
      <c r="M55" s="152">
        <v>40423</v>
      </c>
      <c r="N55" s="157" t="s">
        <v>149</v>
      </c>
      <c r="O55" s="152">
        <f>H44+H45+O54-J55-M55</f>
        <v>123548.10399999999</v>
      </c>
      <c r="P55" s="152">
        <f t="shared" si="22"/>
        <v>327524.55599999998</v>
      </c>
    </row>
    <row r="56" spans="1:16" x14ac:dyDescent="0.15">
      <c r="A56" s="154"/>
      <c r="B56" s="151"/>
      <c r="C56" s="152"/>
      <c r="D56" s="153" t="s">
        <v>132</v>
      </c>
      <c r="E56" s="154" t="s">
        <v>72</v>
      </c>
      <c r="F56" s="157" t="s">
        <v>153</v>
      </c>
      <c r="G56" s="151"/>
      <c r="H56" s="152">
        <v>76002.436000000002</v>
      </c>
      <c r="I56" s="153" t="s">
        <v>132</v>
      </c>
      <c r="J56" s="152"/>
      <c r="K56" s="150"/>
      <c r="L56" s="154" t="s">
        <v>157</v>
      </c>
      <c r="M56" s="152">
        <v>81865</v>
      </c>
      <c r="N56" s="157" t="s">
        <v>149</v>
      </c>
      <c r="O56" s="152">
        <f t="shared" si="21"/>
        <v>41683.103999999992</v>
      </c>
      <c r="P56" s="152">
        <f t="shared" si="22"/>
        <v>321661.99199999997</v>
      </c>
    </row>
    <row r="57" spans="1:16" x14ac:dyDescent="0.15">
      <c r="A57" s="154"/>
      <c r="B57" s="151"/>
      <c r="C57" s="152"/>
      <c r="D57" s="153" t="s">
        <v>152</v>
      </c>
      <c r="E57" s="154" t="s">
        <v>72</v>
      </c>
      <c r="F57" s="157" t="s">
        <v>153</v>
      </c>
      <c r="G57" s="151"/>
      <c r="H57" s="152">
        <v>75978.489000000001</v>
      </c>
      <c r="I57" s="153" t="s">
        <v>152</v>
      </c>
      <c r="J57" s="152"/>
      <c r="K57" s="150"/>
      <c r="L57" s="154"/>
      <c r="M57" s="152"/>
      <c r="N57" s="150"/>
      <c r="O57" s="152">
        <f t="shared" si="21"/>
        <v>41683.103999999992</v>
      </c>
      <c r="P57" s="152">
        <f t="shared" si="22"/>
        <v>397640.48099999997</v>
      </c>
    </row>
    <row r="58" spans="1:16" x14ac:dyDescent="0.15">
      <c r="A58" s="154"/>
      <c r="B58" s="151"/>
      <c r="C58" s="152"/>
      <c r="D58" s="153" t="s">
        <v>133</v>
      </c>
      <c r="E58" s="154" t="s">
        <v>72</v>
      </c>
      <c r="F58" s="157" t="s">
        <v>154</v>
      </c>
      <c r="G58" s="151"/>
      <c r="H58" s="152">
        <v>173914.22</v>
      </c>
      <c r="I58" s="153" t="s">
        <v>133</v>
      </c>
      <c r="J58" s="152"/>
      <c r="K58" s="150"/>
      <c r="L58" s="154" t="s">
        <v>157</v>
      </c>
      <c r="M58" s="152">
        <v>22217</v>
      </c>
      <c r="N58" s="157" t="s">
        <v>149</v>
      </c>
      <c r="O58" s="152">
        <f t="shared" si="21"/>
        <v>19466.103999999992</v>
      </c>
      <c r="P58" s="152">
        <f t="shared" si="22"/>
        <v>549337.701</v>
      </c>
    </row>
    <row r="59" spans="1:16" x14ac:dyDescent="0.15">
      <c r="A59" s="154"/>
      <c r="B59" s="151"/>
      <c r="C59" s="152"/>
      <c r="D59" s="153"/>
      <c r="E59" s="154"/>
      <c r="F59" s="160"/>
      <c r="G59" s="151"/>
      <c r="H59" s="152"/>
      <c r="I59" s="153" t="s">
        <v>134</v>
      </c>
      <c r="J59" s="152"/>
      <c r="K59" s="150"/>
      <c r="L59" s="154" t="s">
        <v>157</v>
      </c>
      <c r="M59" s="152">
        <v>2961</v>
      </c>
      <c r="N59" s="157" t="s">
        <v>149</v>
      </c>
      <c r="O59" s="152">
        <f t="shared" si="1"/>
        <v>16505.103999999992</v>
      </c>
      <c r="P59" s="152">
        <f t="shared" si="2"/>
        <v>546376.701</v>
      </c>
    </row>
    <row r="60" spans="1:16" x14ac:dyDescent="0.15">
      <c r="A60" s="154"/>
      <c r="B60" s="161"/>
      <c r="C60" s="152"/>
      <c r="D60" s="153" t="s">
        <v>135</v>
      </c>
      <c r="E60" s="154" t="s">
        <v>72</v>
      </c>
      <c r="F60" s="157" t="s">
        <v>154</v>
      </c>
      <c r="G60" s="151"/>
      <c r="H60" s="152">
        <v>75993.509999999995</v>
      </c>
      <c r="I60" s="153" t="s">
        <v>135</v>
      </c>
      <c r="J60" s="152"/>
      <c r="K60" s="150"/>
      <c r="L60" s="154" t="s">
        <v>157</v>
      </c>
      <c r="M60" s="152">
        <v>16505</v>
      </c>
      <c r="N60" s="157" t="s">
        <v>149</v>
      </c>
      <c r="O60" s="152">
        <f t="shared" si="1"/>
        <v>0.10399999999208376</v>
      </c>
      <c r="P60" s="152">
        <f t="shared" si="2"/>
        <v>605865.21100000001</v>
      </c>
    </row>
    <row r="61" spans="1:16" x14ac:dyDescent="0.15">
      <c r="A61" s="154"/>
      <c r="B61" s="161"/>
      <c r="C61" s="152"/>
      <c r="D61" s="153"/>
      <c r="E61" s="154"/>
      <c r="F61" s="157"/>
      <c r="G61" s="151"/>
      <c r="H61" s="152"/>
      <c r="I61" s="153" t="s">
        <v>135</v>
      </c>
      <c r="J61" s="152"/>
      <c r="K61" s="150"/>
      <c r="L61" s="154" t="s">
        <v>157</v>
      </c>
      <c r="M61" s="152">
        <v>36011</v>
      </c>
      <c r="N61" s="157" t="s">
        <v>150</v>
      </c>
      <c r="O61" s="152">
        <f>H50+O60-J61-M61</f>
        <v>5.3999999989173375E-2</v>
      </c>
      <c r="P61" s="152">
        <f t="shared" ref="P61:P64" si="23">P60+H61-J61-M61</f>
        <v>569854.21100000001</v>
      </c>
    </row>
    <row r="62" spans="1:16" x14ac:dyDescent="0.15">
      <c r="A62" s="154"/>
      <c r="B62" s="161"/>
      <c r="C62" s="152"/>
      <c r="D62" s="153"/>
      <c r="E62" s="154"/>
      <c r="F62" s="157"/>
      <c r="G62" s="151"/>
      <c r="H62" s="152"/>
      <c r="I62" s="153" t="s">
        <v>135</v>
      </c>
      <c r="J62" s="152"/>
      <c r="K62" s="150"/>
      <c r="L62" s="154" t="s">
        <v>157</v>
      </c>
      <c r="M62" s="152">
        <v>32143</v>
      </c>
      <c r="N62" s="157" t="s">
        <v>151</v>
      </c>
      <c r="O62" s="152">
        <f>H51+H52+O61-J62-M62</f>
        <v>135822.55599999998</v>
      </c>
      <c r="P62" s="152">
        <f t="shared" si="23"/>
        <v>537711.21100000001</v>
      </c>
    </row>
    <row r="63" spans="1:16" x14ac:dyDescent="0.15">
      <c r="A63" s="154"/>
      <c r="B63" s="163"/>
      <c r="C63" s="152"/>
      <c r="D63" s="158" t="s">
        <v>136</v>
      </c>
      <c r="E63" s="154" t="s">
        <v>72</v>
      </c>
      <c r="F63" s="157" t="s">
        <v>154</v>
      </c>
      <c r="G63" s="163"/>
      <c r="H63" s="152">
        <v>75919.039999999994</v>
      </c>
      <c r="I63" s="158" t="s">
        <v>136</v>
      </c>
      <c r="J63" s="152"/>
      <c r="K63" s="159"/>
      <c r="L63" s="154" t="s">
        <v>157</v>
      </c>
      <c r="M63" s="152">
        <v>72133</v>
      </c>
      <c r="N63" s="157" t="s">
        <v>151</v>
      </c>
      <c r="O63" s="152">
        <f t="shared" ref="O63:O64" si="24">+O62-J63-M63</f>
        <v>63689.555999999982</v>
      </c>
      <c r="P63" s="152">
        <f t="shared" si="23"/>
        <v>541497.25100000005</v>
      </c>
    </row>
    <row r="64" spans="1:16" x14ac:dyDescent="0.15">
      <c r="A64" s="154"/>
      <c r="B64" s="163"/>
      <c r="C64" s="152"/>
      <c r="D64" s="158"/>
      <c r="E64" s="154"/>
      <c r="F64" s="154"/>
      <c r="G64" s="163"/>
      <c r="H64" s="152"/>
      <c r="I64" s="158" t="s">
        <v>137</v>
      </c>
      <c r="J64" s="152"/>
      <c r="K64" s="150"/>
      <c r="L64" s="154" t="s">
        <v>157</v>
      </c>
      <c r="M64" s="152">
        <v>63690</v>
      </c>
      <c r="N64" s="157" t="s">
        <v>151</v>
      </c>
      <c r="O64" s="152">
        <f t="shared" si="24"/>
        <v>-0.44400000001769513</v>
      </c>
      <c r="P64" s="152">
        <f t="shared" si="23"/>
        <v>477807.25100000005</v>
      </c>
    </row>
    <row r="65" spans="1:16" x14ac:dyDescent="0.15">
      <c r="A65" s="154"/>
      <c r="B65" s="163"/>
      <c r="C65" s="152"/>
      <c r="D65" s="158"/>
      <c r="E65" s="154"/>
      <c r="F65" s="154"/>
      <c r="G65" s="163"/>
      <c r="H65" s="152"/>
      <c r="I65" s="158" t="s">
        <v>137</v>
      </c>
      <c r="J65" s="152"/>
      <c r="K65" s="150"/>
      <c r="L65" s="154" t="s">
        <v>157</v>
      </c>
      <c r="M65" s="152">
        <v>13057</v>
      </c>
      <c r="N65" s="157" t="s">
        <v>153</v>
      </c>
      <c r="O65" s="152">
        <f>H56+H57+O64-J65-M65</f>
        <v>138923.48099999997</v>
      </c>
      <c r="P65" s="152">
        <f t="shared" ref="P65:P66" si="25">P64+H65-J65-M65</f>
        <v>464750.25100000005</v>
      </c>
    </row>
    <row r="66" spans="1:16" x14ac:dyDescent="0.15">
      <c r="A66" s="154"/>
      <c r="B66" s="163"/>
      <c r="C66" s="152"/>
      <c r="D66" s="153" t="s">
        <v>138</v>
      </c>
      <c r="E66" s="154" t="s">
        <v>72</v>
      </c>
      <c r="F66" s="157" t="s">
        <v>155</v>
      </c>
      <c r="G66" s="163"/>
      <c r="H66" s="152">
        <v>75947.447</v>
      </c>
      <c r="I66" s="158" t="s">
        <v>138</v>
      </c>
      <c r="J66" s="152"/>
      <c r="K66" s="150"/>
      <c r="L66" s="154" t="s">
        <v>157</v>
      </c>
      <c r="M66" s="152">
        <v>79892</v>
      </c>
      <c r="N66" s="157" t="s">
        <v>153</v>
      </c>
      <c r="O66" s="152">
        <f t="shared" ref="O66" si="26">+O65-J66-M66</f>
        <v>59031.480999999971</v>
      </c>
      <c r="P66" s="152">
        <f t="shared" si="25"/>
        <v>460805.69800000009</v>
      </c>
    </row>
    <row r="67" spans="1:16" x14ac:dyDescent="0.15">
      <c r="A67" s="154"/>
      <c r="B67" s="163"/>
      <c r="C67" s="152"/>
      <c r="D67" s="153"/>
      <c r="E67" s="154"/>
      <c r="F67" s="157"/>
      <c r="G67" s="163"/>
      <c r="H67" s="152"/>
      <c r="I67" s="158" t="s">
        <v>138</v>
      </c>
      <c r="J67" s="152"/>
      <c r="K67" s="150"/>
      <c r="L67" s="154" t="s">
        <v>157</v>
      </c>
      <c r="M67" s="152">
        <v>59031</v>
      </c>
      <c r="N67" s="157" t="s">
        <v>153</v>
      </c>
      <c r="O67" s="152">
        <f t="shared" ref="O67:O130" si="27">+O66-J67-M67</f>
        <v>0.48099999997066334</v>
      </c>
      <c r="P67" s="152">
        <f t="shared" ref="P67:P130" si="28">P66+H67-J67-M67</f>
        <v>401774.69800000009</v>
      </c>
    </row>
    <row r="68" spans="1:16" x14ac:dyDescent="0.15">
      <c r="A68" s="164"/>
      <c r="B68" s="164"/>
      <c r="C68" s="152"/>
      <c r="D68" s="158"/>
      <c r="E68" s="154"/>
      <c r="F68" s="165"/>
      <c r="G68" s="166"/>
      <c r="H68" s="152"/>
      <c r="I68" s="158" t="s">
        <v>138</v>
      </c>
      <c r="J68" s="152"/>
      <c r="K68" s="150"/>
      <c r="L68" s="154" t="s">
        <v>156</v>
      </c>
      <c r="M68" s="152">
        <v>30902</v>
      </c>
      <c r="N68" s="159" t="s">
        <v>154</v>
      </c>
      <c r="O68" s="152">
        <f>H58+H60+H63+O67-J68-M68</f>
        <v>294925.25099999993</v>
      </c>
      <c r="P68" s="152">
        <f t="shared" si="28"/>
        <v>370872.69800000009</v>
      </c>
    </row>
    <row r="69" spans="1:16" hidden="1" x14ac:dyDescent="0.15">
      <c r="A69" s="150"/>
      <c r="B69" s="161"/>
      <c r="C69" s="152"/>
      <c r="D69" s="153"/>
      <c r="E69" s="154"/>
      <c r="F69" s="157"/>
      <c r="G69" s="151"/>
      <c r="H69" s="152"/>
      <c r="I69" s="158"/>
      <c r="J69" s="152"/>
      <c r="K69" s="159"/>
      <c r="L69" s="154"/>
      <c r="M69" s="152"/>
      <c r="N69" s="159"/>
      <c r="O69" s="152">
        <f t="shared" si="27"/>
        <v>294925.25099999993</v>
      </c>
      <c r="P69" s="152">
        <f t="shared" si="28"/>
        <v>370872.69800000009</v>
      </c>
    </row>
    <row r="70" spans="1:16" hidden="1" x14ac:dyDescent="0.15">
      <c r="A70" s="150"/>
      <c r="B70" s="161"/>
      <c r="C70" s="152"/>
      <c r="D70" s="158"/>
      <c r="E70" s="154"/>
      <c r="F70" s="165"/>
      <c r="G70" s="151"/>
      <c r="H70" s="152"/>
      <c r="I70" s="158"/>
      <c r="J70" s="152"/>
      <c r="K70" s="159"/>
      <c r="L70" s="154"/>
      <c r="M70" s="152"/>
      <c r="N70" s="159"/>
      <c r="O70" s="152">
        <f t="shared" si="27"/>
        <v>294925.25099999993</v>
      </c>
      <c r="P70" s="152">
        <f t="shared" si="28"/>
        <v>370872.69800000009</v>
      </c>
    </row>
    <row r="71" spans="1:16" hidden="1" x14ac:dyDescent="0.15">
      <c r="A71" s="150"/>
      <c r="B71" s="161"/>
      <c r="C71" s="152"/>
      <c r="D71" s="158"/>
      <c r="E71" s="154"/>
      <c r="F71" s="165"/>
      <c r="G71" s="151"/>
      <c r="H71" s="152"/>
      <c r="I71" s="158"/>
      <c r="J71" s="152"/>
      <c r="K71" s="159"/>
      <c r="L71" s="154"/>
      <c r="M71" s="152"/>
      <c r="N71" s="159"/>
      <c r="O71" s="152">
        <f t="shared" si="27"/>
        <v>294925.25099999993</v>
      </c>
      <c r="P71" s="152">
        <f t="shared" si="28"/>
        <v>370872.69800000009</v>
      </c>
    </row>
    <row r="72" spans="1:16" hidden="1" x14ac:dyDescent="0.15">
      <c r="A72" s="150"/>
      <c r="B72" s="161"/>
      <c r="C72" s="152"/>
      <c r="D72" s="153"/>
      <c r="E72" s="154"/>
      <c r="F72" s="165"/>
      <c r="G72" s="151"/>
      <c r="H72" s="152"/>
      <c r="I72" s="158"/>
      <c r="J72" s="152"/>
      <c r="K72" s="159"/>
      <c r="L72" s="154"/>
      <c r="M72" s="152"/>
      <c r="N72" s="159"/>
      <c r="O72" s="152">
        <f t="shared" si="27"/>
        <v>294925.25099999993</v>
      </c>
      <c r="P72" s="152">
        <f t="shared" si="28"/>
        <v>370872.69800000009</v>
      </c>
    </row>
    <row r="73" spans="1:16" hidden="1" x14ac:dyDescent="0.15">
      <c r="A73" s="154"/>
      <c r="B73" s="154"/>
      <c r="C73" s="152"/>
      <c r="D73" s="153"/>
      <c r="E73" s="154"/>
      <c r="F73" s="165"/>
      <c r="G73" s="151"/>
      <c r="H73" s="152"/>
      <c r="I73" s="158"/>
      <c r="J73" s="152"/>
      <c r="K73" s="159"/>
      <c r="L73" s="154"/>
      <c r="M73" s="152"/>
      <c r="N73" s="159"/>
      <c r="O73" s="152">
        <f t="shared" si="27"/>
        <v>294925.25099999993</v>
      </c>
      <c r="P73" s="152">
        <f t="shared" si="28"/>
        <v>370872.69800000009</v>
      </c>
    </row>
    <row r="74" spans="1:16" hidden="1" x14ac:dyDescent="0.15">
      <c r="A74" s="154"/>
      <c r="B74" s="154"/>
      <c r="C74" s="152"/>
      <c r="D74" s="153"/>
      <c r="E74" s="154"/>
      <c r="F74" s="154"/>
      <c r="G74" s="163"/>
      <c r="H74" s="152"/>
      <c r="I74" s="158"/>
      <c r="J74" s="152"/>
      <c r="K74" s="154"/>
      <c r="L74" s="154"/>
      <c r="M74" s="152"/>
      <c r="N74" s="159"/>
      <c r="O74" s="152">
        <f t="shared" si="27"/>
        <v>294925.25099999993</v>
      </c>
      <c r="P74" s="152">
        <f t="shared" si="28"/>
        <v>370872.69800000009</v>
      </c>
    </row>
    <row r="75" spans="1:16" hidden="1" x14ac:dyDescent="0.15">
      <c r="A75" s="154"/>
      <c r="B75" s="154"/>
      <c r="C75" s="152"/>
      <c r="D75" s="153"/>
      <c r="E75" s="154"/>
      <c r="F75" s="154"/>
      <c r="G75" s="163"/>
      <c r="H75" s="152"/>
      <c r="I75" s="158"/>
      <c r="J75" s="152"/>
      <c r="K75" s="154"/>
      <c r="L75" s="154"/>
      <c r="M75" s="152"/>
      <c r="N75" s="159"/>
      <c r="O75" s="152">
        <f t="shared" si="27"/>
        <v>294925.25099999993</v>
      </c>
      <c r="P75" s="152">
        <f t="shared" si="28"/>
        <v>370872.69800000009</v>
      </c>
    </row>
    <row r="76" spans="1:16" hidden="1" x14ac:dyDescent="0.15">
      <c r="A76" s="154"/>
      <c r="B76" s="154"/>
      <c r="C76" s="152"/>
      <c r="D76" s="153"/>
      <c r="E76" s="154"/>
      <c r="F76" s="154"/>
      <c r="G76" s="163"/>
      <c r="H76" s="152"/>
      <c r="I76" s="153"/>
      <c r="J76" s="152"/>
      <c r="K76" s="154"/>
      <c r="L76" s="154"/>
      <c r="M76" s="152"/>
      <c r="N76" s="159"/>
      <c r="O76" s="152">
        <f t="shared" si="27"/>
        <v>294925.25099999993</v>
      </c>
      <c r="P76" s="152">
        <f t="shared" si="28"/>
        <v>370872.69800000009</v>
      </c>
    </row>
    <row r="77" spans="1:16" hidden="1" x14ac:dyDescent="0.15">
      <c r="A77" s="154"/>
      <c r="B77" s="154"/>
      <c r="C77" s="152"/>
      <c r="D77" s="158"/>
      <c r="E77" s="154"/>
      <c r="F77" s="165"/>
      <c r="G77" s="163"/>
      <c r="H77" s="152"/>
      <c r="I77" s="158"/>
      <c r="J77" s="152"/>
      <c r="K77" s="154"/>
      <c r="L77" s="154"/>
      <c r="M77" s="152"/>
      <c r="N77" s="154"/>
      <c r="O77" s="152">
        <f t="shared" si="27"/>
        <v>294925.25099999993</v>
      </c>
      <c r="P77" s="152">
        <f t="shared" si="28"/>
        <v>370872.69800000009</v>
      </c>
    </row>
    <row r="78" spans="1:16" hidden="1" x14ac:dyDescent="0.15">
      <c r="A78" s="154"/>
      <c r="B78" s="154"/>
      <c r="C78" s="152"/>
      <c r="D78" s="158"/>
      <c r="E78" s="154"/>
      <c r="F78" s="165"/>
      <c r="G78" s="163"/>
      <c r="H78" s="152"/>
      <c r="I78" s="158"/>
      <c r="J78" s="152"/>
      <c r="K78" s="154"/>
      <c r="L78" s="154"/>
      <c r="M78" s="152"/>
      <c r="N78" s="154"/>
      <c r="O78" s="152">
        <f t="shared" si="27"/>
        <v>294925.25099999993</v>
      </c>
      <c r="P78" s="152">
        <f t="shared" si="28"/>
        <v>370872.69800000009</v>
      </c>
    </row>
    <row r="79" spans="1:16" hidden="1" x14ac:dyDescent="0.15">
      <c r="A79" s="154"/>
      <c r="B79" s="154"/>
      <c r="C79" s="152"/>
      <c r="D79" s="153"/>
      <c r="E79" s="154"/>
      <c r="F79" s="154"/>
      <c r="G79" s="163"/>
      <c r="H79" s="152"/>
      <c r="I79" s="158"/>
      <c r="J79" s="152"/>
      <c r="K79" s="154"/>
      <c r="L79" s="154"/>
      <c r="M79" s="152"/>
      <c r="N79" s="154"/>
      <c r="O79" s="152">
        <f t="shared" si="27"/>
        <v>294925.25099999993</v>
      </c>
      <c r="P79" s="152">
        <f t="shared" si="28"/>
        <v>370872.69800000009</v>
      </c>
    </row>
    <row r="80" spans="1:16" hidden="1" x14ac:dyDescent="0.15">
      <c r="A80" s="154"/>
      <c r="B80" s="154"/>
      <c r="C80" s="152"/>
      <c r="D80" s="158"/>
      <c r="E80" s="154"/>
      <c r="F80" s="154"/>
      <c r="G80" s="163"/>
      <c r="H80" s="152"/>
      <c r="I80" s="158"/>
      <c r="J80" s="152"/>
      <c r="K80" s="159"/>
      <c r="L80" s="154"/>
      <c r="M80" s="152"/>
      <c r="N80" s="159"/>
      <c r="O80" s="152">
        <f t="shared" si="27"/>
        <v>294925.25099999993</v>
      </c>
      <c r="P80" s="152">
        <f t="shared" si="28"/>
        <v>370872.69800000009</v>
      </c>
    </row>
    <row r="81" spans="1:16" hidden="1" x14ac:dyDescent="0.15">
      <c r="A81" s="154"/>
      <c r="B81" s="154"/>
      <c r="C81" s="152"/>
      <c r="D81" s="158"/>
      <c r="E81" s="154"/>
      <c r="F81" s="154"/>
      <c r="G81" s="163"/>
      <c r="H81" s="152"/>
      <c r="I81" s="153"/>
      <c r="J81" s="152"/>
      <c r="K81" s="159"/>
      <c r="L81" s="154"/>
      <c r="M81" s="152"/>
      <c r="N81" s="159"/>
      <c r="O81" s="152">
        <f t="shared" si="27"/>
        <v>294925.25099999993</v>
      </c>
      <c r="P81" s="152">
        <f t="shared" si="28"/>
        <v>370872.69800000009</v>
      </c>
    </row>
    <row r="82" spans="1:16" hidden="1" x14ac:dyDescent="0.15">
      <c r="A82" s="154"/>
      <c r="B82" s="154"/>
      <c r="C82" s="152"/>
      <c r="D82" s="158"/>
      <c r="E82" s="154"/>
      <c r="F82" s="154"/>
      <c r="G82" s="163"/>
      <c r="H82" s="152"/>
      <c r="I82" s="153"/>
      <c r="J82" s="152"/>
      <c r="K82" s="159"/>
      <c r="L82" s="154"/>
      <c r="M82" s="152"/>
      <c r="N82" s="159"/>
      <c r="O82" s="152">
        <f t="shared" si="27"/>
        <v>294925.25099999993</v>
      </c>
      <c r="P82" s="152">
        <f t="shared" si="28"/>
        <v>370872.69800000009</v>
      </c>
    </row>
    <row r="83" spans="1:16" hidden="1" x14ac:dyDescent="0.15">
      <c r="A83" s="154"/>
      <c r="B83" s="154"/>
      <c r="C83" s="152"/>
      <c r="D83" s="158"/>
      <c r="E83" s="154"/>
      <c r="F83" s="154"/>
      <c r="G83" s="163"/>
      <c r="H83" s="152"/>
      <c r="I83" s="153"/>
      <c r="J83" s="152"/>
      <c r="K83" s="159"/>
      <c r="L83" s="154"/>
      <c r="M83" s="152"/>
      <c r="N83" s="159"/>
      <c r="O83" s="152">
        <f t="shared" si="27"/>
        <v>294925.25099999993</v>
      </c>
      <c r="P83" s="152">
        <f t="shared" si="28"/>
        <v>370872.69800000009</v>
      </c>
    </row>
    <row r="84" spans="1:16" hidden="1" x14ac:dyDescent="0.15">
      <c r="A84" s="154"/>
      <c r="B84" s="154"/>
      <c r="C84" s="152"/>
      <c r="D84" s="158"/>
      <c r="E84" s="154"/>
      <c r="F84" s="154"/>
      <c r="G84" s="163"/>
      <c r="H84" s="152"/>
      <c r="I84" s="158"/>
      <c r="J84" s="152"/>
      <c r="K84" s="154"/>
      <c r="L84" s="154"/>
      <c r="M84" s="152"/>
      <c r="N84" s="154"/>
      <c r="O84" s="152">
        <f t="shared" si="27"/>
        <v>294925.25099999993</v>
      </c>
      <c r="P84" s="152">
        <f t="shared" si="28"/>
        <v>370872.69800000009</v>
      </c>
    </row>
    <row r="85" spans="1:16" hidden="1" x14ac:dyDescent="0.15">
      <c r="A85" s="154"/>
      <c r="B85" s="154"/>
      <c r="C85" s="152"/>
      <c r="D85" s="153"/>
      <c r="E85" s="154"/>
      <c r="F85" s="154"/>
      <c r="G85" s="163"/>
      <c r="H85" s="152"/>
      <c r="I85" s="158"/>
      <c r="J85" s="152"/>
      <c r="K85" s="154"/>
      <c r="L85" s="154"/>
      <c r="M85" s="152"/>
      <c r="N85" s="154"/>
      <c r="O85" s="152">
        <f t="shared" si="27"/>
        <v>294925.25099999993</v>
      </c>
      <c r="P85" s="152">
        <f t="shared" si="28"/>
        <v>370872.69800000009</v>
      </c>
    </row>
    <row r="86" spans="1:16" hidden="1" x14ac:dyDescent="0.15">
      <c r="A86" s="154"/>
      <c r="B86" s="154"/>
      <c r="C86" s="152"/>
      <c r="D86" s="153"/>
      <c r="E86" s="154"/>
      <c r="F86" s="154"/>
      <c r="G86" s="163"/>
      <c r="H86" s="152"/>
      <c r="I86" s="158"/>
      <c r="J86" s="152"/>
      <c r="K86" s="154"/>
      <c r="L86" s="154"/>
      <c r="M86" s="152"/>
      <c r="N86" s="159"/>
      <c r="O86" s="152">
        <f t="shared" si="27"/>
        <v>294925.25099999993</v>
      </c>
      <c r="P86" s="152">
        <f t="shared" si="28"/>
        <v>370872.69800000009</v>
      </c>
    </row>
    <row r="87" spans="1:16" hidden="1" x14ac:dyDescent="0.15">
      <c r="A87" s="154"/>
      <c r="B87" s="154"/>
      <c r="C87" s="152"/>
      <c r="D87" s="153"/>
      <c r="E87" s="154"/>
      <c r="F87" s="154"/>
      <c r="G87" s="163"/>
      <c r="H87" s="152"/>
      <c r="I87" s="158"/>
      <c r="J87" s="152"/>
      <c r="K87" s="154"/>
      <c r="L87" s="154"/>
      <c r="M87" s="152"/>
      <c r="N87" s="154"/>
      <c r="O87" s="152">
        <f t="shared" si="27"/>
        <v>294925.25099999993</v>
      </c>
      <c r="P87" s="152">
        <f t="shared" si="28"/>
        <v>370872.69800000009</v>
      </c>
    </row>
    <row r="88" spans="1:16" s="167" customFormat="1" hidden="1" x14ac:dyDescent="0.15">
      <c r="A88" s="154"/>
      <c r="B88" s="154"/>
      <c r="C88" s="152"/>
      <c r="D88" s="153"/>
      <c r="E88" s="154"/>
      <c r="F88" s="154"/>
      <c r="G88" s="163"/>
      <c r="H88" s="152"/>
      <c r="I88" s="158"/>
      <c r="J88" s="152"/>
      <c r="K88" s="154"/>
      <c r="L88" s="154"/>
      <c r="M88" s="152"/>
      <c r="N88" s="154"/>
      <c r="O88" s="152">
        <f t="shared" si="27"/>
        <v>294925.25099999993</v>
      </c>
      <c r="P88" s="152">
        <f t="shared" si="28"/>
        <v>370872.69800000009</v>
      </c>
    </row>
    <row r="89" spans="1:16" s="167" customFormat="1" hidden="1" x14ac:dyDescent="0.15">
      <c r="A89" s="154"/>
      <c r="B89" s="154"/>
      <c r="C89" s="152"/>
      <c r="D89" s="158"/>
      <c r="E89" s="154"/>
      <c r="F89" s="154"/>
      <c r="G89" s="163"/>
      <c r="H89" s="152"/>
      <c r="I89" s="158"/>
      <c r="J89" s="152"/>
      <c r="K89" s="154"/>
      <c r="L89" s="154"/>
      <c r="M89" s="152"/>
      <c r="N89" s="154"/>
      <c r="O89" s="152">
        <f t="shared" si="27"/>
        <v>294925.25099999993</v>
      </c>
      <c r="P89" s="152">
        <f t="shared" si="28"/>
        <v>370872.69800000009</v>
      </c>
    </row>
    <row r="90" spans="1:16" s="167" customFormat="1" hidden="1" x14ac:dyDescent="0.15">
      <c r="A90" s="154"/>
      <c r="B90" s="151"/>
      <c r="C90" s="152"/>
      <c r="D90" s="153"/>
      <c r="E90" s="154"/>
      <c r="F90" s="154"/>
      <c r="G90" s="151"/>
      <c r="H90" s="152"/>
      <c r="I90" s="158"/>
      <c r="J90" s="152"/>
      <c r="K90" s="154"/>
      <c r="L90" s="154"/>
      <c r="M90" s="152"/>
      <c r="N90" s="154"/>
      <c r="O90" s="152">
        <f t="shared" si="27"/>
        <v>294925.25099999993</v>
      </c>
      <c r="P90" s="152">
        <f t="shared" si="28"/>
        <v>370872.69800000009</v>
      </c>
    </row>
    <row r="91" spans="1:16" s="167" customFormat="1" hidden="1" x14ac:dyDescent="0.15">
      <c r="A91" s="154"/>
      <c r="B91" s="151"/>
      <c r="C91" s="152"/>
      <c r="D91" s="153"/>
      <c r="E91" s="154"/>
      <c r="F91" s="150"/>
      <c r="G91" s="151"/>
      <c r="H91" s="152"/>
      <c r="I91" s="158"/>
      <c r="J91" s="152"/>
      <c r="K91" s="154"/>
      <c r="L91" s="154"/>
      <c r="M91" s="152"/>
      <c r="N91" s="154"/>
      <c r="O91" s="152">
        <f t="shared" si="27"/>
        <v>294925.25099999993</v>
      </c>
      <c r="P91" s="152">
        <f t="shared" si="28"/>
        <v>370872.69800000009</v>
      </c>
    </row>
    <row r="92" spans="1:16" s="167" customFormat="1" hidden="1" x14ac:dyDescent="0.15">
      <c r="A92" s="154"/>
      <c r="B92" s="151"/>
      <c r="C92" s="152"/>
      <c r="D92" s="153"/>
      <c r="E92" s="154"/>
      <c r="F92" s="150"/>
      <c r="G92" s="151"/>
      <c r="H92" s="152"/>
      <c r="I92" s="158"/>
      <c r="J92" s="152"/>
      <c r="K92" s="154"/>
      <c r="L92" s="154"/>
      <c r="M92" s="152"/>
      <c r="N92" s="154"/>
      <c r="O92" s="152">
        <f t="shared" si="27"/>
        <v>294925.25099999993</v>
      </c>
      <c r="P92" s="152">
        <f t="shared" si="28"/>
        <v>370872.69800000009</v>
      </c>
    </row>
    <row r="93" spans="1:16" s="167" customFormat="1" hidden="1" x14ac:dyDescent="0.15">
      <c r="A93" s="154"/>
      <c r="B93" s="151"/>
      <c r="C93" s="152"/>
      <c r="D93" s="153"/>
      <c r="E93" s="154"/>
      <c r="F93" s="150"/>
      <c r="G93" s="151"/>
      <c r="H93" s="152"/>
      <c r="I93" s="153"/>
      <c r="J93" s="152"/>
      <c r="K93" s="154"/>
      <c r="L93" s="154"/>
      <c r="M93" s="152"/>
      <c r="N93" s="154"/>
      <c r="O93" s="152">
        <f t="shared" si="27"/>
        <v>294925.25099999993</v>
      </c>
      <c r="P93" s="152">
        <f t="shared" si="28"/>
        <v>370872.69800000009</v>
      </c>
    </row>
    <row r="94" spans="1:16" s="167" customFormat="1" hidden="1" x14ac:dyDescent="0.15">
      <c r="A94" s="154"/>
      <c r="B94" s="151"/>
      <c r="C94" s="152"/>
      <c r="D94" s="153"/>
      <c r="E94" s="154"/>
      <c r="F94" s="150"/>
      <c r="G94" s="151"/>
      <c r="H94" s="152"/>
      <c r="I94" s="153"/>
      <c r="J94" s="152"/>
      <c r="K94" s="154"/>
      <c r="L94" s="154"/>
      <c r="M94" s="152"/>
      <c r="N94" s="154"/>
      <c r="O94" s="152">
        <f t="shared" si="27"/>
        <v>294925.25099999993</v>
      </c>
      <c r="P94" s="152">
        <f t="shared" si="28"/>
        <v>370872.69800000009</v>
      </c>
    </row>
    <row r="95" spans="1:16" s="167" customFormat="1" hidden="1" x14ac:dyDescent="0.15">
      <c r="A95" s="154"/>
      <c r="B95" s="151"/>
      <c r="C95" s="152"/>
      <c r="D95" s="158"/>
      <c r="E95" s="154"/>
      <c r="F95" s="150"/>
      <c r="G95" s="151"/>
      <c r="H95" s="152"/>
      <c r="I95" s="158"/>
      <c r="J95" s="152"/>
      <c r="K95" s="159"/>
      <c r="L95" s="154"/>
      <c r="M95" s="152"/>
      <c r="N95" s="154"/>
      <c r="O95" s="152">
        <f t="shared" si="27"/>
        <v>294925.25099999993</v>
      </c>
      <c r="P95" s="152">
        <f t="shared" si="28"/>
        <v>370872.69800000009</v>
      </c>
    </row>
    <row r="96" spans="1:16" s="167" customFormat="1" hidden="1" x14ac:dyDescent="0.15">
      <c r="A96" s="154"/>
      <c r="B96" s="154"/>
      <c r="C96" s="152"/>
      <c r="D96" s="158"/>
      <c r="E96" s="154"/>
      <c r="F96" s="157"/>
      <c r="G96" s="163"/>
      <c r="H96" s="152"/>
      <c r="I96" s="158"/>
      <c r="J96" s="152"/>
      <c r="K96" s="154"/>
      <c r="L96" s="154"/>
      <c r="M96" s="152"/>
      <c r="N96" s="154"/>
      <c r="O96" s="152">
        <f t="shared" si="27"/>
        <v>294925.25099999993</v>
      </c>
      <c r="P96" s="152">
        <f t="shared" si="28"/>
        <v>370872.69800000009</v>
      </c>
    </row>
    <row r="97" spans="1:16" s="167" customFormat="1" hidden="1" x14ac:dyDescent="0.15">
      <c r="A97" s="154"/>
      <c r="B97" s="154"/>
      <c r="C97" s="152"/>
      <c r="D97" s="153"/>
      <c r="E97" s="154"/>
      <c r="F97" s="150"/>
      <c r="G97" s="151"/>
      <c r="H97" s="152"/>
      <c r="I97" s="158"/>
      <c r="J97" s="152"/>
      <c r="K97" s="154"/>
      <c r="L97" s="154"/>
      <c r="M97" s="152"/>
      <c r="N97" s="154"/>
      <c r="O97" s="152">
        <f t="shared" si="27"/>
        <v>294925.25099999993</v>
      </c>
      <c r="P97" s="152">
        <f t="shared" si="28"/>
        <v>370872.69800000009</v>
      </c>
    </row>
    <row r="98" spans="1:16" s="167" customFormat="1" hidden="1" x14ac:dyDescent="0.15">
      <c r="A98" s="154"/>
      <c r="B98" s="154"/>
      <c r="C98" s="152"/>
      <c r="D98" s="158"/>
      <c r="E98" s="154"/>
      <c r="F98" s="154"/>
      <c r="G98" s="163"/>
      <c r="H98" s="152"/>
      <c r="I98" s="158"/>
      <c r="J98" s="152"/>
      <c r="K98" s="154"/>
      <c r="L98" s="154"/>
      <c r="M98" s="152"/>
      <c r="N98" s="154"/>
      <c r="O98" s="152">
        <f t="shared" si="27"/>
        <v>294925.25099999993</v>
      </c>
      <c r="P98" s="152">
        <f t="shared" si="28"/>
        <v>370872.69800000009</v>
      </c>
    </row>
    <row r="99" spans="1:16" s="167" customFormat="1" hidden="1" x14ac:dyDescent="0.15">
      <c r="A99" s="154"/>
      <c r="B99" s="154"/>
      <c r="C99" s="152"/>
      <c r="D99" s="158"/>
      <c r="E99" s="154"/>
      <c r="F99" s="157"/>
      <c r="G99" s="163"/>
      <c r="H99" s="152"/>
      <c r="I99" s="158"/>
      <c r="J99" s="152"/>
      <c r="K99" s="154"/>
      <c r="L99" s="154"/>
      <c r="M99" s="152"/>
      <c r="N99" s="154"/>
      <c r="O99" s="152">
        <f t="shared" si="27"/>
        <v>294925.25099999993</v>
      </c>
      <c r="P99" s="152">
        <f t="shared" si="28"/>
        <v>370872.69800000009</v>
      </c>
    </row>
    <row r="100" spans="1:16" s="167" customFormat="1" hidden="1" x14ac:dyDescent="0.15">
      <c r="A100" s="154"/>
      <c r="B100" s="154"/>
      <c r="C100" s="152"/>
      <c r="D100" s="158"/>
      <c r="E100" s="154"/>
      <c r="F100" s="154"/>
      <c r="G100" s="151"/>
      <c r="H100" s="152"/>
      <c r="I100" s="158"/>
      <c r="J100" s="152"/>
      <c r="K100" s="154"/>
      <c r="L100" s="154"/>
      <c r="M100" s="152"/>
      <c r="N100" s="154"/>
      <c r="O100" s="152">
        <f t="shared" si="27"/>
        <v>294925.25099999993</v>
      </c>
      <c r="P100" s="152">
        <f t="shared" si="28"/>
        <v>370872.69800000009</v>
      </c>
    </row>
    <row r="101" spans="1:16" s="167" customFormat="1" hidden="1" x14ac:dyDescent="0.15">
      <c r="A101" s="154"/>
      <c r="B101" s="154"/>
      <c r="C101" s="152"/>
      <c r="D101" s="153"/>
      <c r="E101" s="154"/>
      <c r="F101" s="154"/>
      <c r="G101" s="151"/>
      <c r="H101" s="152"/>
      <c r="I101" s="158"/>
      <c r="J101" s="152"/>
      <c r="K101" s="154"/>
      <c r="L101" s="154"/>
      <c r="M101" s="152"/>
      <c r="N101" s="154"/>
      <c r="O101" s="152">
        <f t="shared" si="27"/>
        <v>294925.25099999993</v>
      </c>
      <c r="P101" s="152">
        <f t="shared" si="28"/>
        <v>370872.69800000009</v>
      </c>
    </row>
    <row r="102" spans="1:16" s="167" customFormat="1" hidden="1" x14ac:dyDescent="0.15">
      <c r="A102" s="154"/>
      <c r="B102" s="154"/>
      <c r="C102" s="152"/>
      <c r="D102" s="158"/>
      <c r="E102" s="154"/>
      <c r="F102" s="157"/>
      <c r="G102" s="168"/>
      <c r="H102" s="152"/>
      <c r="I102" s="158"/>
      <c r="J102" s="152"/>
      <c r="K102" s="154"/>
      <c r="L102" s="154"/>
      <c r="M102" s="152"/>
      <c r="N102" s="154"/>
      <c r="O102" s="152">
        <f t="shared" si="27"/>
        <v>294925.25099999993</v>
      </c>
      <c r="P102" s="152">
        <f t="shared" si="28"/>
        <v>370872.69800000009</v>
      </c>
    </row>
    <row r="103" spans="1:16" s="167" customFormat="1" hidden="1" x14ac:dyDescent="0.15">
      <c r="A103" s="154"/>
      <c r="B103" s="154"/>
      <c r="C103" s="152"/>
      <c r="D103" s="153"/>
      <c r="E103" s="154"/>
      <c r="F103" s="154"/>
      <c r="G103" s="151"/>
      <c r="H103" s="152"/>
      <c r="I103" s="158"/>
      <c r="J103" s="152"/>
      <c r="K103" s="159"/>
      <c r="L103" s="154"/>
      <c r="M103" s="152"/>
      <c r="N103" s="154"/>
      <c r="O103" s="152">
        <f t="shared" si="27"/>
        <v>294925.25099999993</v>
      </c>
      <c r="P103" s="152">
        <f t="shared" si="28"/>
        <v>370872.69800000009</v>
      </c>
    </row>
    <row r="104" spans="1:16" s="167" customFormat="1" hidden="1" x14ac:dyDescent="0.15">
      <c r="A104" s="154"/>
      <c r="B104" s="154"/>
      <c r="C104" s="152"/>
      <c r="D104" s="158"/>
      <c r="E104" s="154"/>
      <c r="F104" s="154"/>
      <c r="G104" s="151"/>
      <c r="H104" s="152"/>
      <c r="I104" s="158"/>
      <c r="J104" s="152"/>
      <c r="K104" s="154"/>
      <c r="L104" s="154"/>
      <c r="M104" s="152"/>
      <c r="N104" s="154"/>
      <c r="O104" s="152">
        <f t="shared" si="27"/>
        <v>294925.25099999993</v>
      </c>
      <c r="P104" s="152">
        <f t="shared" si="28"/>
        <v>370872.69800000009</v>
      </c>
    </row>
    <row r="105" spans="1:16" s="167" customFormat="1" hidden="1" x14ac:dyDescent="0.15">
      <c r="A105" s="154"/>
      <c r="B105" s="154"/>
      <c r="C105" s="152"/>
      <c r="D105" s="158"/>
      <c r="E105" s="154"/>
      <c r="F105" s="154"/>
      <c r="G105" s="151"/>
      <c r="H105" s="152"/>
      <c r="I105" s="158"/>
      <c r="J105" s="152"/>
      <c r="K105" s="154"/>
      <c r="L105" s="154"/>
      <c r="M105" s="152"/>
      <c r="N105" s="154"/>
      <c r="O105" s="152">
        <f t="shared" si="27"/>
        <v>294925.25099999993</v>
      </c>
      <c r="P105" s="152">
        <f t="shared" si="28"/>
        <v>370872.69800000009</v>
      </c>
    </row>
    <row r="106" spans="1:16" s="167" customFormat="1" hidden="1" x14ac:dyDescent="0.15">
      <c r="A106" s="154"/>
      <c r="B106" s="154"/>
      <c r="C106" s="152"/>
      <c r="D106" s="153"/>
      <c r="E106" s="154"/>
      <c r="F106" s="154"/>
      <c r="G106" s="151"/>
      <c r="H106" s="152"/>
      <c r="I106" s="158"/>
      <c r="J106" s="152"/>
      <c r="K106" s="159"/>
      <c r="L106" s="154"/>
      <c r="M106" s="152"/>
      <c r="N106" s="154"/>
      <c r="O106" s="152">
        <f t="shared" si="27"/>
        <v>294925.25099999993</v>
      </c>
      <c r="P106" s="152">
        <f t="shared" si="28"/>
        <v>370872.69800000009</v>
      </c>
    </row>
    <row r="107" spans="1:16" s="167" customFormat="1" hidden="1" x14ac:dyDescent="0.15">
      <c r="A107" s="154"/>
      <c r="B107" s="154"/>
      <c r="C107" s="152"/>
      <c r="D107" s="158"/>
      <c r="E107" s="154"/>
      <c r="F107" s="157"/>
      <c r="G107" s="163"/>
      <c r="H107" s="152"/>
      <c r="I107" s="158"/>
      <c r="J107" s="152"/>
      <c r="K107" s="154"/>
      <c r="L107" s="154"/>
      <c r="M107" s="152"/>
      <c r="N107" s="154"/>
      <c r="O107" s="152">
        <f t="shared" si="27"/>
        <v>294925.25099999993</v>
      </c>
      <c r="P107" s="152">
        <f t="shared" si="28"/>
        <v>370872.69800000009</v>
      </c>
    </row>
    <row r="108" spans="1:16" s="167" customFormat="1" hidden="1" x14ac:dyDescent="0.15">
      <c r="A108" s="154"/>
      <c r="B108" s="154"/>
      <c r="C108" s="152"/>
      <c r="D108" s="158"/>
      <c r="E108" s="154"/>
      <c r="F108" s="154"/>
      <c r="G108" s="151"/>
      <c r="H108" s="152"/>
      <c r="I108" s="158"/>
      <c r="J108" s="152"/>
      <c r="K108" s="150"/>
      <c r="L108" s="154"/>
      <c r="M108" s="152"/>
      <c r="N108" s="154"/>
      <c r="O108" s="152">
        <f t="shared" si="27"/>
        <v>294925.25099999993</v>
      </c>
      <c r="P108" s="152">
        <f t="shared" si="28"/>
        <v>370872.69800000009</v>
      </c>
    </row>
    <row r="109" spans="1:16" s="167" customFormat="1" hidden="1" x14ac:dyDescent="0.15">
      <c r="A109" s="154"/>
      <c r="B109" s="154"/>
      <c r="C109" s="152"/>
      <c r="D109" s="158"/>
      <c r="E109" s="154"/>
      <c r="F109" s="154"/>
      <c r="G109" s="151"/>
      <c r="H109" s="152"/>
      <c r="I109" s="158"/>
      <c r="J109" s="152"/>
      <c r="K109" s="150"/>
      <c r="L109" s="154"/>
      <c r="M109" s="152"/>
      <c r="N109" s="154"/>
      <c r="O109" s="152">
        <f t="shared" si="27"/>
        <v>294925.25099999993</v>
      </c>
      <c r="P109" s="152">
        <f t="shared" si="28"/>
        <v>370872.69800000009</v>
      </c>
    </row>
    <row r="110" spans="1:16" s="167" customFormat="1" hidden="1" x14ac:dyDescent="0.15">
      <c r="A110" s="154"/>
      <c r="B110" s="154"/>
      <c r="C110" s="152"/>
      <c r="D110" s="158"/>
      <c r="E110" s="154"/>
      <c r="F110" s="154"/>
      <c r="G110" s="151"/>
      <c r="H110" s="152"/>
      <c r="I110" s="158"/>
      <c r="J110" s="152"/>
      <c r="K110" s="154"/>
      <c r="L110" s="154"/>
      <c r="M110" s="152"/>
      <c r="N110" s="154"/>
      <c r="O110" s="152">
        <f t="shared" si="27"/>
        <v>294925.25099999993</v>
      </c>
      <c r="P110" s="152">
        <f t="shared" si="28"/>
        <v>370872.69800000009</v>
      </c>
    </row>
    <row r="111" spans="1:16" s="167" customFormat="1" hidden="1" x14ac:dyDescent="0.15">
      <c r="A111" s="154"/>
      <c r="B111" s="154"/>
      <c r="C111" s="152"/>
      <c r="D111" s="158"/>
      <c r="E111" s="154"/>
      <c r="F111" s="150"/>
      <c r="G111" s="151"/>
      <c r="H111" s="152"/>
      <c r="I111" s="158"/>
      <c r="J111" s="152"/>
      <c r="K111" s="154"/>
      <c r="L111" s="154"/>
      <c r="M111" s="152"/>
      <c r="N111" s="154"/>
      <c r="O111" s="152">
        <f t="shared" si="27"/>
        <v>294925.25099999993</v>
      </c>
      <c r="P111" s="152">
        <f t="shared" si="28"/>
        <v>370872.69800000009</v>
      </c>
    </row>
    <row r="112" spans="1:16" s="167" customFormat="1" hidden="1" x14ac:dyDescent="0.15">
      <c r="A112" s="154"/>
      <c r="B112" s="154"/>
      <c r="C112" s="152"/>
      <c r="D112" s="153"/>
      <c r="E112" s="154"/>
      <c r="F112" s="150"/>
      <c r="G112" s="151"/>
      <c r="H112" s="152"/>
      <c r="I112" s="158"/>
      <c r="J112" s="152"/>
      <c r="K112" s="154"/>
      <c r="L112" s="154"/>
      <c r="M112" s="152"/>
      <c r="N112" s="154"/>
      <c r="O112" s="152">
        <f t="shared" si="27"/>
        <v>294925.25099999993</v>
      </c>
      <c r="P112" s="152">
        <f t="shared" si="28"/>
        <v>370872.69800000009</v>
      </c>
    </row>
    <row r="113" spans="1:16" s="167" customFormat="1" hidden="1" x14ac:dyDescent="0.15">
      <c r="A113" s="154"/>
      <c r="B113" s="154"/>
      <c r="C113" s="152"/>
      <c r="D113" s="158"/>
      <c r="E113" s="154"/>
      <c r="F113" s="157"/>
      <c r="G113" s="151"/>
      <c r="H113" s="152"/>
      <c r="I113" s="158"/>
      <c r="J113" s="152"/>
      <c r="K113" s="154"/>
      <c r="L113" s="154"/>
      <c r="M113" s="152"/>
      <c r="N113" s="154"/>
      <c r="O113" s="152">
        <f t="shared" si="27"/>
        <v>294925.25099999993</v>
      </c>
      <c r="P113" s="152">
        <f t="shared" si="28"/>
        <v>370872.69800000009</v>
      </c>
    </row>
    <row r="114" spans="1:16" s="167" customFormat="1" hidden="1" x14ac:dyDescent="0.15">
      <c r="A114" s="154"/>
      <c r="B114" s="154"/>
      <c r="C114" s="152"/>
      <c r="D114" s="158"/>
      <c r="E114" s="154"/>
      <c r="F114" s="154"/>
      <c r="G114" s="151"/>
      <c r="H114" s="152"/>
      <c r="I114" s="158"/>
      <c r="J114" s="152"/>
      <c r="K114" s="154"/>
      <c r="L114" s="154"/>
      <c r="M114" s="152"/>
      <c r="N114" s="154"/>
      <c r="O114" s="152">
        <f t="shared" si="27"/>
        <v>294925.25099999993</v>
      </c>
      <c r="P114" s="152">
        <f t="shared" si="28"/>
        <v>370872.69800000009</v>
      </c>
    </row>
    <row r="115" spans="1:16" s="167" customFormat="1" hidden="1" x14ac:dyDescent="0.15">
      <c r="A115" s="154"/>
      <c r="B115" s="154"/>
      <c r="C115" s="152"/>
      <c r="D115" s="153"/>
      <c r="E115" s="154"/>
      <c r="F115" s="154"/>
      <c r="G115" s="151"/>
      <c r="H115" s="152"/>
      <c r="I115" s="158"/>
      <c r="J115" s="152"/>
      <c r="K115" s="154"/>
      <c r="L115" s="154"/>
      <c r="M115" s="152"/>
      <c r="N115" s="154"/>
      <c r="O115" s="152">
        <f t="shared" si="27"/>
        <v>294925.25099999993</v>
      </c>
      <c r="P115" s="152">
        <f t="shared" si="28"/>
        <v>370872.69800000009</v>
      </c>
    </row>
    <row r="116" spans="1:16" s="167" customFormat="1" hidden="1" x14ac:dyDescent="0.15">
      <c r="A116" s="154"/>
      <c r="B116" s="154"/>
      <c r="C116" s="152"/>
      <c r="D116" s="153"/>
      <c r="E116" s="154"/>
      <c r="F116" s="157"/>
      <c r="G116" s="168"/>
      <c r="H116" s="152"/>
      <c r="I116" s="158"/>
      <c r="J116" s="152"/>
      <c r="K116" s="154"/>
      <c r="L116" s="154"/>
      <c r="M116" s="152"/>
      <c r="N116" s="154"/>
      <c r="O116" s="152">
        <f t="shared" si="27"/>
        <v>294925.25099999993</v>
      </c>
      <c r="P116" s="152">
        <f t="shared" si="28"/>
        <v>370872.69800000009</v>
      </c>
    </row>
    <row r="117" spans="1:16" s="167" customFormat="1" hidden="1" x14ac:dyDescent="0.15">
      <c r="A117" s="154"/>
      <c r="B117" s="154"/>
      <c r="C117" s="152"/>
      <c r="D117" s="153"/>
      <c r="E117" s="154"/>
      <c r="F117" s="157"/>
      <c r="G117" s="168"/>
      <c r="H117" s="152"/>
      <c r="I117" s="153"/>
      <c r="J117" s="152"/>
      <c r="K117" s="154"/>
      <c r="L117" s="154"/>
      <c r="M117" s="152"/>
      <c r="N117" s="154"/>
      <c r="O117" s="152">
        <f t="shared" si="27"/>
        <v>294925.25099999993</v>
      </c>
      <c r="P117" s="152">
        <f t="shared" si="28"/>
        <v>370872.69800000009</v>
      </c>
    </row>
    <row r="118" spans="1:16" hidden="1" x14ac:dyDescent="0.15">
      <c r="A118" s="154"/>
      <c r="B118" s="154"/>
      <c r="C118" s="152"/>
      <c r="D118" s="158"/>
      <c r="E118" s="154"/>
      <c r="F118" s="150"/>
      <c r="G118" s="151"/>
      <c r="H118" s="152"/>
      <c r="I118" s="158"/>
      <c r="J118" s="152"/>
      <c r="K118" s="154"/>
      <c r="L118" s="154"/>
      <c r="M118" s="152"/>
      <c r="N118" s="154"/>
      <c r="O118" s="152">
        <f t="shared" si="27"/>
        <v>294925.25099999993</v>
      </c>
      <c r="P118" s="152">
        <f t="shared" si="28"/>
        <v>370872.69800000009</v>
      </c>
    </row>
    <row r="119" spans="1:16" hidden="1" x14ac:dyDescent="0.15">
      <c r="A119" s="154"/>
      <c r="B119" s="154"/>
      <c r="C119" s="152"/>
      <c r="D119" s="158"/>
      <c r="E119" s="154"/>
      <c r="F119" s="150"/>
      <c r="G119" s="151"/>
      <c r="H119" s="152"/>
      <c r="I119" s="158"/>
      <c r="J119" s="152"/>
      <c r="K119" s="154"/>
      <c r="L119" s="154"/>
      <c r="M119" s="152"/>
      <c r="N119" s="154"/>
      <c r="O119" s="152">
        <f t="shared" si="27"/>
        <v>294925.25099999993</v>
      </c>
      <c r="P119" s="152">
        <f t="shared" si="28"/>
        <v>370872.69800000009</v>
      </c>
    </row>
    <row r="120" spans="1:16" hidden="1" x14ac:dyDescent="0.15">
      <c r="A120" s="154"/>
      <c r="B120" s="154"/>
      <c r="C120" s="152"/>
      <c r="D120" s="158"/>
      <c r="E120" s="154"/>
      <c r="F120" s="157"/>
      <c r="G120" s="151"/>
      <c r="H120" s="152"/>
      <c r="I120" s="158"/>
      <c r="J120" s="152"/>
      <c r="K120" s="154"/>
      <c r="L120" s="154"/>
      <c r="M120" s="152"/>
      <c r="N120" s="154"/>
      <c r="O120" s="152">
        <f t="shared" si="27"/>
        <v>294925.25099999993</v>
      </c>
      <c r="P120" s="152">
        <f t="shared" si="28"/>
        <v>370872.69800000009</v>
      </c>
    </row>
    <row r="121" spans="1:16" hidden="1" x14ac:dyDescent="0.15">
      <c r="A121" s="154"/>
      <c r="B121" s="154"/>
      <c r="C121" s="152"/>
      <c r="D121" s="153"/>
      <c r="E121" s="154"/>
      <c r="F121" s="154"/>
      <c r="G121" s="163"/>
      <c r="H121" s="152"/>
      <c r="I121" s="158"/>
      <c r="J121" s="152"/>
      <c r="K121" s="154"/>
      <c r="L121" s="154"/>
      <c r="M121" s="152"/>
      <c r="N121" s="154"/>
      <c r="O121" s="152">
        <f t="shared" si="27"/>
        <v>294925.25099999993</v>
      </c>
      <c r="P121" s="152">
        <f t="shared" si="28"/>
        <v>370872.69800000009</v>
      </c>
    </row>
    <row r="122" spans="1:16" hidden="1" x14ac:dyDescent="0.15">
      <c r="A122" s="154"/>
      <c r="B122" s="154"/>
      <c r="C122" s="152"/>
      <c r="D122" s="158"/>
      <c r="E122" s="154"/>
      <c r="F122" s="154"/>
      <c r="G122" s="163"/>
      <c r="H122" s="152"/>
      <c r="I122" s="158"/>
      <c r="J122" s="152"/>
      <c r="K122" s="154"/>
      <c r="L122" s="154"/>
      <c r="M122" s="152"/>
      <c r="N122" s="154"/>
      <c r="O122" s="152">
        <f t="shared" si="27"/>
        <v>294925.25099999993</v>
      </c>
      <c r="P122" s="152">
        <f t="shared" si="28"/>
        <v>370872.69800000009</v>
      </c>
    </row>
    <row r="123" spans="1:16" hidden="1" x14ac:dyDescent="0.15">
      <c r="A123" s="154"/>
      <c r="B123" s="154"/>
      <c r="C123" s="152"/>
      <c r="D123" s="153"/>
      <c r="E123" s="154"/>
      <c r="F123" s="157"/>
      <c r="G123" s="151"/>
      <c r="H123" s="152"/>
      <c r="I123" s="158"/>
      <c r="J123" s="152"/>
      <c r="K123" s="154"/>
      <c r="L123" s="154"/>
      <c r="M123" s="152"/>
      <c r="N123" s="154"/>
      <c r="O123" s="152">
        <f t="shared" si="27"/>
        <v>294925.25099999993</v>
      </c>
      <c r="P123" s="152">
        <f t="shared" si="28"/>
        <v>370872.69800000009</v>
      </c>
    </row>
    <row r="124" spans="1:16" hidden="1" x14ac:dyDescent="0.15">
      <c r="A124" s="154"/>
      <c r="B124" s="154"/>
      <c r="C124" s="152"/>
      <c r="D124" s="158"/>
      <c r="E124" s="154"/>
      <c r="F124" s="154"/>
      <c r="G124" s="163"/>
      <c r="H124" s="152"/>
      <c r="I124" s="158"/>
      <c r="J124" s="152"/>
      <c r="K124" s="164"/>
      <c r="L124" s="154"/>
      <c r="M124" s="152"/>
      <c r="N124" s="154"/>
      <c r="O124" s="152">
        <f t="shared" si="27"/>
        <v>294925.25099999993</v>
      </c>
      <c r="P124" s="152">
        <f t="shared" si="28"/>
        <v>370872.69800000009</v>
      </c>
    </row>
    <row r="125" spans="1:16" hidden="1" x14ac:dyDescent="0.15">
      <c r="A125" s="154"/>
      <c r="B125" s="154"/>
      <c r="C125" s="152"/>
      <c r="D125" s="153"/>
      <c r="E125" s="154"/>
      <c r="F125" s="154"/>
      <c r="G125" s="169"/>
      <c r="H125" s="152"/>
      <c r="I125" s="158"/>
      <c r="J125" s="152"/>
      <c r="K125" s="154"/>
      <c r="L125" s="154"/>
      <c r="M125" s="152"/>
      <c r="N125" s="154"/>
      <c r="O125" s="152">
        <f t="shared" si="27"/>
        <v>294925.25099999993</v>
      </c>
      <c r="P125" s="152">
        <f t="shared" si="28"/>
        <v>370872.69800000009</v>
      </c>
    </row>
    <row r="126" spans="1:16" hidden="1" x14ac:dyDescent="0.15">
      <c r="A126" s="154"/>
      <c r="B126" s="154"/>
      <c r="C126" s="152"/>
      <c r="D126" s="158"/>
      <c r="E126" s="154"/>
      <c r="F126" s="157"/>
      <c r="G126" s="168"/>
      <c r="H126" s="152"/>
      <c r="I126" s="158"/>
      <c r="J126" s="152"/>
      <c r="K126" s="154"/>
      <c r="L126" s="154"/>
      <c r="M126" s="152"/>
      <c r="N126" s="154"/>
      <c r="O126" s="152">
        <f t="shared" si="27"/>
        <v>294925.25099999993</v>
      </c>
      <c r="P126" s="152">
        <f t="shared" si="28"/>
        <v>370872.69800000009</v>
      </c>
    </row>
    <row r="127" spans="1:16" hidden="1" x14ac:dyDescent="0.15">
      <c r="A127" s="154"/>
      <c r="B127" s="154"/>
      <c r="C127" s="152"/>
      <c r="D127" s="158"/>
      <c r="E127" s="154"/>
      <c r="F127" s="154"/>
      <c r="G127" s="163"/>
      <c r="H127" s="152"/>
      <c r="I127" s="158"/>
      <c r="J127" s="152"/>
      <c r="K127" s="154"/>
      <c r="L127" s="154"/>
      <c r="M127" s="152"/>
      <c r="N127" s="154"/>
      <c r="O127" s="152">
        <f t="shared" si="27"/>
        <v>294925.25099999993</v>
      </c>
      <c r="P127" s="152">
        <f t="shared" si="28"/>
        <v>370872.69800000009</v>
      </c>
    </row>
    <row r="128" spans="1:16" hidden="1" x14ac:dyDescent="0.15">
      <c r="A128" s="154"/>
      <c r="B128" s="154"/>
      <c r="C128" s="152"/>
      <c r="D128" s="158"/>
      <c r="E128" s="154"/>
      <c r="F128" s="154"/>
      <c r="G128" s="163"/>
      <c r="H128" s="152"/>
      <c r="I128" s="158"/>
      <c r="J128" s="152"/>
      <c r="K128" s="154"/>
      <c r="L128" s="154"/>
      <c r="M128" s="152"/>
      <c r="N128" s="154"/>
      <c r="O128" s="152">
        <f t="shared" si="27"/>
        <v>294925.25099999993</v>
      </c>
      <c r="P128" s="152">
        <f t="shared" si="28"/>
        <v>370872.69800000009</v>
      </c>
    </row>
    <row r="129" spans="1:16" hidden="1" x14ac:dyDescent="0.15">
      <c r="A129" s="154"/>
      <c r="B129" s="154"/>
      <c r="C129" s="152"/>
      <c r="D129" s="158"/>
      <c r="E129" s="154"/>
      <c r="F129" s="157"/>
      <c r="G129" s="151"/>
      <c r="H129" s="152"/>
      <c r="I129" s="158"/>
      <c r="J129" s="152"/>
      <c r="K129" s="154"/>
      <c r="L129" s="154"/>
      <c r="M129" s="152"/>
      <c r="N129" s="154"/>
      <c r="O129" s="152">
        <f t="shared" si="27"/>
        <v>294925.25099999993</v>
      </c>
      <c r="P129" s="152">
        <f t="shared" si="28"/>
        <v>370872.69800000009</v>
      </c>
    </row>
    <row r="130" spans="1:16" hidden="1" x14ac:dyDescent="0.15">
      <c r="A130" s="154"/>
      <c r="B130" s="154"/>
      <c r="C130" s="152"/>
      <c r="D130" s="153"/>
      <c r="E130" s="154"/>
      <c r="F130" s="154"/>
      <c r="G130" s="163"/>
      <c r="H130" s="152"/>
      <c r="I130" s="158"/>
      <c r="J130" s="152"/>
      <c r="K130" s="154"/>
      <c r="L130" s="154"/>
      <c r="M130" s="152"/>
      <c r="N130" s="154"/>
      <c r="O130" s="152">
        <f t="shared" si="27"/>
        <v>294925.25099999993</v>
      </c>
      <c r="P130" s="152">
        <f t="shared" si="28"/>
        <v>370872.69800000009</v>
      </c>
    </row>
    <row r="131" spans="1:16" hidden="1" x14ac:dyDescent="0.15">
      <c r="A131" s="154"/>
      <c r="B131" s="154"/>
      <c r="C131" s="152"/>
      <c r="D131" s="158"/>
      <c r="E131" s="154"/>
      <c r="F131" s="154"/>
      <c r="G131" s="163"/>
      <c r="H131" s="152"/>
      <c r="I131" s="158"/>
      <c r="J131" s="152"/>
      <c r="K131" s="164"/>
      <c r="L131" s="154"/>
      <c r="M131" s="152"/>
      <c r="N131" s="154"/>
      <c r="O131" s="152">
        <f t="shared" ref="O131:O182" si="29">+O130-J131-M131</f>
        <v>294925.25099999993</v>
      </c>
      <c r="P131" s="152">
        <f t="shared" ref="P131:P182" si="30">P130+H131-J131-M131</f>
        <v>370872.69800000009</v>
      </c>
    </row>
    <row r="132" spans="1:16" hidden="1" x14ac:dyDescent="0.15">
      <c r="A132" s="154"/>
      <c r="B132" s="154"/>
      <c r="C132" s="152"/>
      <c r="D132" s="158"/>
      <c r="E132" s="154"/>
      <c r="F132" s="154"/>
      <c r="G132" s="163"/>
      <c r="H132" s="152"/>
      <c r="I132" s="158"/>
      <c r="J132" s="152"/>
      <c r="K132" s="164"/>
      <c r="L132" s="154"/>
      <c r="M132" s="152"/>
      <c r="N132" s="154"/>
      <c r="O132" s="152">
        <f t="shared" si="29"/>
        <v>294925.25099999993</v>
      </c>
      <c r="P132" s="152">
        <f t="shared" si="30"/>
        <v>370872.69800000009</v>
      </c>
    </row>
    <row r="133" spans="1:16" hidden="1" x14ac:dyDescent="0.15">
      <c r="A133" s="154"/>
      <c r="B133" s="154"/>
      <c r="C133" s="152"/>
      <c r="D133" s="153"/>
      <c r="E133" s="154"/>
      <c r="F133" s="150"/>
      <c r="G133" s="151"/>
      <c r="H133" s="152"/>
      <c r="I133" s="158"/>
      <c r="J133" s="152"/>
      <c r="K133" s="154"/>
      <c r="L133" s="154"/>
      <c r="M133" s="152"/>
      <c r="N133" s="154"/>
      <c r="O133" s="152">
        <f t="shared" si="29"/>
        <v>294925.25099999993</v>
      </c>
      <c r="P133" s="152">
        <f t="shared" si="30"/>
        <v>370872.69800000009</v>
      </c>
    </row>
    <row r="134" spans="1:16" hidden="1" x14ac:dyDescent="0.15">
      <c r="A134" s="154"/>
      <c r="B134" s="154"/>
      <c r="C134" s="152"/>
      <c r="D134" s="158"/>
      <c r="E134" s="154"/>
      <c r="F134" s="150"/>
      <c r="G134" s="151"/>
      <c r="H134" s="152"/>
      <c r="I134" s="158"/>
      <c r="J134" s="152"/>
      <c r="K134" s="154"/>
      <c r="L134" s="154"/>
      <c r="M134" s="152"/>
      <c r="N134" s="154"/>
      <c r="O134" s="152">
        <f t="shared" si="29"/>
        <v>294925.25099999993</v>
      </c>
      <c r="P134" s="152">
        <f t="shared" si="30"/>
        <v>370872.69800000009</v>
      </c>
    </row>
    <row r="135" spans="1:16" hidden="1" x14ac:dyDescent="0.15">
      <c r="A135" s="154"/>
      <c r="B135" s="154"/>
      <c r="C135" s="152"/>
      <c r="D135" s="158"/>
      <c r="E135" s="154"/>
      <c r="F135" s="150"/>
      <c r="G135" s="151"/>
      <c r="H135" s="152"/>
      <c r="I135" s="158"/>
      <c r="J135" s="152"/>
      <c r="K135" s="154"/>
      <c r="L135" s="154"/>
      <c r="M135" s="152"/>
      <c r="N135" s="154"/>
      <c r="O135" s="152">
        <f t="shared" si="29"/>
        <v>294925.25099999993</v>
      </c>
      <c r="P135" s="152">
        <f t="shared" si="30"/>
        <v>370872.69800000009</v>
      </c>
    </row>
    <row r="136" spans="1:16" hidden="1" x14ac:dyDescent="0.15">
      <c r="A136" s="154"/>
      <c r="B136" s="154"/>
      <c r="C136" s="152"/>
      <c r="D136" s="158"/>
      <c r="E136" s="154"/>
      <c r="F136" s="150"/>
      <c r="G136" s="151"/>
      <c r="H136" s="152"/>
      <c r="I136" s="158"/>
      <c r="J136" s="152"/>
      <c r="K136" s="154"/>
      <c r="L136" s="154"/>
      <c r="M136" s="152"/>
      <c r="N136" s="154"/>
      <c r="O136" s="152">
        <f t="shared" si="29"/>
        <v>294925.25099999993</v>
      </c>
      <c r="P136" s="152">
        <f t="shared" si="30"/>
        <v>370872.69800000009</v>
      </c>
    </row>
    <row r="137" spans="1:16" hidden="1" x14ac:dyDescent="0.15">
      <c r="A137" s="154"/>
      <c r="B137" s="154"/>
      <c r="C137" s="152"/>
      <c r="D137" s="158"/>
      <c r="E137" s="154"/>
      <c r="F137" s="150"/>
      <c r="G137" s="151"/>
      <c r="H137" s="152"/>
      <c r="I137" s="153"/>
      <c r="J137" s="152"/>
      <c r="K137" s="154"/>
      <c r="L137" s="154"/>
      <c r="M137" s="152"/>
      <c r="N137" s="154"/>
      <c r="O137" s="152">
        <f t="shared" si="29"/>
        <v>294925.25099999993</v>
      </c>
      <c r="P137" s="152">
        <f t="shared" si="30"/>
        <v>370872.69800000009</v>
      </c>
    </row>
    <row r="138" spans="1:16" hidden="1" x14ac:dyDescent="0.15">
      <c r="A138" s="154"/>
      <c r="B138" s="154"/>
      <c r="C138" s="152"/>
      <c r="D138" s="158"/>
      <c r="E138" s="154"/>
      <c r="F138" s="150"/>
      <c r="G138" s="151"/>
      <c r="H138" s="152"/>
      <c r="I138" s="158"/>
      <c r="J138" s="152"/>
      <c r="K138" s="154"/>
      <c r="L138" s="154"/>
      <c r="M138" s="152"/>
      <c r="N138" s="154"/>
      <c r="O138" s="152">
        <f t="shared" si="29"/>
        <v>294925.25099999993</v>
      </c>
      <c r="P138" s="152">
        <f t="shared" si="30"/>
        <v>370872.69800000009</v>
      </c>
    </row>
    <row r="139" spans="1:16" hidden="1" x14ac:dyDescent="0.15">
      <c r="A139" s="154"/>
      <c r="B139" s="154"/>
      <c r="C139" s="152"/>
      <c r="D139" s="158"/>
      <c r="E139" s="154"/>
      <c r="F139" s="170"/>
      <c r="G139" s="151"/>
      <c r="H139" s="152"/>
      <c r="I139" s="158"/>
      <c r="J139" s="152"/>
      <c r="K139" s="154"/>
      <c r="L139" s="154"/>
      <c r="M139" s="152"/>
      <c r="N139" s="154"/>
      <c r="O139" s="152">
        <f t="shared" si="29"/>
        <v>294925.25099999993</v>
      </c>
      <c r="P139" s="152">
        <f t="shared" si="30"/>
        <v>370872.69800000009</v>
      </c>
    </row>
    <row r="140" spans="1:16" hidden="1" x14ac:dyDescent="0.15">
      <c r="A140" s="154"/>
      <c r="B140" s="154"/>
      <c r="C140" s="152"/>
      <c r="D140" s="158"/>
      <c r="E140" s="154"/>
      <c r="F140" s="170"/>
      <c r="G140" s="151"/>
      <c r="H140" s="152"/>
      <c r="I140" s="153"/>
      <c r="J140" s="152"/>
      <c r="K140" s="154"/>
      <c r="L140" s="154"/>
      <c r="M140" s="152"/>
      <c r="N140" s="154"/>
      <c r="O140" s="152">
        <f t="shared" si="29"/>
        <v>294925.25099999993</v>
      </c>
      <c r="P140" s="152">
        <f t="shared" si="30"/>
        <v>370872.69800000009</v>
      </c>
    </row>
    <row r="141" spans="1:16" hidden="1" x14ac:dyDescent="0.15">
      <c r="A141" s="154"/>
      <c r="B141" s="154"/>
      <c r="C141" s="152"/>
      <c r="D141" s="158"/>
      <c r="E141" s="154"/>
      <c r="F141" s="150"/>
      <c r="G141" s="151"/>
      <c r="H141" s="152"/>
      <c r="I141" s="158"/>
      <c r="J141" s="152"/>
      <c r="K141" s="154"/>
      <c r="L141" s="154"/>
      <c r="M141" s="152"/>
      <c r="N141" s="154"/>
      <c r="O141" s="152">
        <f t="shared" si="29"/>
        <v>294925.25099999993</v>
      </c>
      <c r="P141" s="152">
        <f t="shared" si="30"/>
        <v>370872.69800000009</v>
      </c>
    </row>
    <row r="142" spans="1:16" hidden="1" x14ac:dyDescent="0.15">
      <c r="A142" s="154"/>
      <c r="B142" s="154"/>
      <c r="C142" s="152"/>
      <c r="D142" s="153"/>
      <c r="E142" s="154"/>
      <c r="F142" s="157"/>
      <c r="G142" s="168"/>
      <c r="H142" s="152"/>
      <c r="I142" s="158"/>
      <c r="J142" s="152"/>
      <c r="K142" s="154"/>
      <c r="L142" s="154"/>
      <c r="M142" s="152"/>
      <c r="N142" s="154"/>
      <c r="O142" s="152">
        <f t="shared" si="29"/>
        <v>294925.25099999993</v>
      </c>
      <c r="P142" s="152">
        <f t="shared" si="30"/>
        <v>370872.69800000009</v>
      </c>
    </row>
    <row r="143" spans="1:16" hidden="1" x14ac:dyDescent="0.15">
      <c r="A143" s="154"/>
      <c r="B143" s="154"/>
      <c r="C143" s="152"/>
      <c r="D143" s="158"/>
      <c r="E143" s="154"/>
      <c r="F143" s="157"/>
      <c r="G143" s="168"/>
      <c r="H143" s="152"/>
      <c r="I143" s="158"/>
      <c r="J143" s="152"/>
      <c r="K143" s="154"/>
      <c r="L143" s="154"/>
      <c r="M143" s="152"/>
      <c r="N143" s="154"/>
      <c r="O143" s="152">
        <f t="shared" si="29"/>
        <v>294925.25099999993</v>
      </c>
      <c r="P143" s="152">
        <f t="shared" si="30"/>
        <v>370872.69800000009</v>
      </c>
    </row>
    <row r="144" spans="1:16" hidden="1" x14ac:dyDescent="0.15">
      <c r="A144" s="154"/>
      <c r="B144" s="154"/>
      <c r="C144" s="152"/>
      <c r="D144" s="158"/>
      <c r="E144" s="154"/>
      <c r="F144" s="157"/>
      <c r="G144" s="168"/>
      <c r="H144" s="152"/>
      <c r="I144" s="158"/>
      <c r="J144" s="152"/>
      <c r="K144" s="154"/>
      <c r="L144" s="154"/>
      <c r="M144" s="152"/>
      <c r="N144" s="154"/>
      <c r="O144" s="152">
        <f t="shared" si="29"/>
        <v>294925.25099999993</v>
      </c>
      <c r="P144" s="152">
        <f t="shared" si="30"/>
        <v>370872.69800000009</v>
      </c>
    </row>
    <row r="145" spans="1:16" hidden="1" x14ac:dyDescent="0.15">
      <c r="A145" s="154"/>
      <c r="B145" s="154"/>
      <c r="C145" s="152"/>
      <c r="D145" s="158"/>
      <c r="E145" s="154"/>
      <c r="F145" s="157"/>
      <c r="G145" s="168"/>
      <c r="H145" s="152"/>
      <c r="I145" s="158"/>
      <c r="J145" s="152"/>
      <c r="K145" s="154"/>
      <c r="L145" s="154"/>
      <c r="M145" s="152"/>
      <c r="N145" s="154"/>
      <c r="O145" s="152">
        <f t="shared" si="29"/>
        <v>294925.25099999993</v>
      </c>
      <c r="P145" s="152">
        <f t="shared" si="30"/>
        <v>370872.69800000009</v>
      </c>
    </row>
    <row r="146" spans="1:16" hidden="1" x14ac:dyDescent="0.15">
      <c r="A146" s="154"/>
      <c r="B146" s="154"/>
      <c r="C146" s="152"/>
      <c r="D146" s="158"/>
      <c r="E146" s="154"/>
      <c r="F146" s="154"/>
      <c r="G146" s="163"/>
      <c r="H146" s="152"/>
      <c r="I146" s="158"/>
      <c r="J146" s="152"/>
      <c r="K146" s="150"/>
      <c r="L146" s="154"/>
      <c r="M146" s="152"/>
      <c r="N146" s="154"/>
      <c r="O146" s="152">
        <f t="shared" si="29"/>
        <v>294925.25099999993</v>
      </c>
      <c r="P146" s="152">
        <f t="shared" si="30"/>
        <v>370872.69800000009</v>
      </c>
    </row>
    <row r="147" spans="1:16" hidden="1" x14ac:dyDescent="0.15">
      <c r="A147" s="154"/>
      <c r="B147" s="154"/>
      <c r="C147" s="152"/>
      <c r="D147" s="158"/>
      <c r="E147" s="154"/>
      <c r="F147" s="170"/>
      <c r="G147" s="171"/>
      <c r="H147" s="152"/>
      <c r="I147" s="158"/>
      <c r="J147" s="152"/>
      <c r="K147" s="154"/>
      <c r="L147" s="154"/>
      <c r="M147" s="152"/>
      <c r="N147" s="154"/>
      <c r="O147" s="152">
        <f t="shared" si="29"/>
        <v>294925.25099999993</v>
      </c>
      <c r="P147" s="152">
        <f t="shared" si="30"/>
        <v>370872.69800000009</v>
      </c>
    </row>
    <row r="148" spans="1:16" hidden="1" x14ac:dyDescent="0.15">
      <c r="A148" s="154"/>
      <c r="B148" s="154"/>
      <c r="C148" s="152"/>
      <c r="D148" s="158"/>
      <c r="E148" s="154"/>
      <c r="F148" s="154"/>
      <c r="G148" s="163"/>
      <c r="H148" s="152"/>
      <c r="I148" s="158"/>
      <c r="J148" s="152"/>
      <c r="K148" s="154"/>
      <c r="L148" s="154"/>
      <c r="M148" s="152"/>
      <c r="N148" s="154"/>
      <c r="O148" s="152">
        <f t="shared" si="29"/>
        <v>294925.25099999993</v>
      </c>
      <c r="P148" s="152">
        <f t="shared" si="30"/>
        <v>370872.69800000009</v>
      </c>
    </row>
    <row r="149" spans="1:16" hidden="1" x14ac:dyDescent="0.15">
      <c r="A149" s="154"/>
      <c r="B149" s="154"/>
      <c r="C149" s="152"/>
      <c r="D149" s="158"/>
      <c r="E149" s="154"/>
      <c r="F149" s="154"/>
      <c r="G149" s="163"/>
      <c r="H149" s="152"/>
      <c r="I149" s="158"/>
      <c r="J149" s="152"/>
      <c r="K149" s="154"/>
      <c r="L149" s="154"/>
      <c r="M149" s="152"/>
      <c r="N149" s="154"/>
      <c r="O149" s="152">
        <f t="shared" si="29"/>
        <v>294925.25099999993</v>
      </c>
      <c r="P149" s="152">
        <f t="shared" si="30"/>
        <v>370872.69800000009</v>
      </c>
    </row>
    <row r="150" spans="1:16" hidden="1" x14ac:dyDescent="0.15">
      <c r="A150" s="154"/>
      <c r="B150" s="154"/>
      <c r="C150" s="152"/>
      <c r="D150" s="158"/>
      <c r="E150" s="154"/>
      <c r="F150" s="154"/>
      <c r="G150" s="163"/>
      <c r="H150" s="152"/>
      <c r="I150" s="158"/>
      <c r="J150" s="152"/>
      <c r="K150" s="154"/>
      <c r="L150" s="154"/>
      <c r="M150" s="152"/>
      <c r="N150" s="154"/>
      <c r="O150" s="152">
        <f t="shared" si="29"/>
        <v>294925.25099999993</v>
      </c>
      <c r="P150" s="152">
        <f t="shared" si="30"/>
        <v>370872.69800000009</v>
      </c>
    </row>
    <row r="151" spans="1:16" hidden="1" x14ac:dyDescent="0.15">
      <c r="A151" s="154"/>
      <c r="B151" s="154"/>
      <c r="C151" s="152"/>
      <c r="D151" s="158"/>
      <c r="E151" s="154"/>
      <c r="F151" s="157"/>
      <c r="G151" s="171"/>
      <c r="H151" s="152"/>
      <c r="I151" s="158"/>
      <c r="J151" s="152"/>
      <c r="K151" s="154"/>
      <c r="L151" s="154"/>
      <c r="M151" s="152"/>
      <c r="N151" s="154"/>
      <c r="O151" s="152">
        <f t="shared" si="29"/>
        <v>294925.25099999993</v>
      </c>
      <c r="P151" s="152">
        <f t="shared" si="30"/>
        <v>370872.69800000009</v>
      </c>
    </row>
    <row r="152" spans="1:16" hidden="1" x14ac:dyDescent="0.15">
      <c r="A152" s="154"/>
      <c r="B152" s="154"/>
      <c r="C152" s="152"/>
      <c r="D152" s="158"/>
      <c r="E152" s="154"/>
      <c r="F152" s="150"/>
      <c r="G152" s="151"/>
      <c r="H152" s="152"/>
      <c r="I152" s="158"/>
      <c r="J152" s="152"/>
      <c r="K152" s="150"/>
      <c r="L152" s="154"/>
      <c r="M152" s="152"/>
      <c r="N152" s="154"/>
      <c r="O152" s="152">
        <f t="shared" si="29"/>
        <v>294925.25099999993</v>
      </c>
      <c r="P152" s="152">
        <f t="shared" si="30"/>
        <v>370872.69800000009</v>
      </c>
    </row>
    <row r="153" spans="1:16" hidden="1" x14ac:dyDescent="0.15">
      <c r="A153" s="154"/>
      <c r="B153" s="154"/>
      <c r="C153" s="152"/>
      <c r="D153" s="158"/>
      <c r="E153" s="154"/>
      <c r="F153" s="150"/>
      <c r="G153" s="151"/>
      <c r="H153" s="152"/>
      <c r="I153" s="158"/>
      <c r="J153" s="152"/>
      <c r="K153" s="154"/>
      <c r="L153" s="154"/>
      <c r="M153" s="152"/>
      <c r="N153" s="150"/>
      <c r="O153" s="152">
        <f t="shared" si="29"/>
        <v>294925.25099999993</v>
      </c>
      <c r="P153" s="152">
        <f t="shared" si="30"/>
        <v>370872.69800000009</v>
      </c>
    </row>
    <row r="154" spans="1:16" hidden="1" x14ac:dyDescent="0.15">
      <c r="A154" s="154"/>
      <c r="B154" s="154"/>
      <c r="C154" s="152"/>
      <c r="D154" s="158"/>
      <c r="E154" s="154"/>
      <c r="F154" s="170"/>
      <c r="G154" s="171"/>
      <c r="H154" s="152"/>
      <c r="I154" s="158"/>
      <c r="J154" s="152"/>
      <c r="K154" s="154"/>
      <c r="L154" s="154"/>
      <c r="M154" s="152"/>
      <c r="N154" s="154"/>
      <c r="O154" s="152">
        <f t="shared" si="29"/>
        <v>294925.25099999993</v>
      </c>
      <c r="P154" s="152">
        <f t="shared" si="30"/>
        <v>370872.69800000009</v>
      </c>
    </row>
    <row r="155" spans="1:16" hidden="1" x14ac:dyDescent="0.15">
      <c r="A155" s="154"/>
      <c r="B155" s="154"/>
      <c r="C155" s="152"/>
      <c r="D155" s="158"/>
      <c r="E155" s="154"/>
      <c r="F155" s="159"/>
      <c r="G155" s="151"/>
      <c r="H155" s="152"/>
      <c r="I155" s="158"/>
      <c r="J155" s="152"/>
      <c r="K155" s="157"/>
      <c r="L155" s="154"/>
      <c r="M155" s="152"/>
      <c r="N155" s="154"/>
      <c r="O155" s="152">
        <f t="shared" si="29"/>
        <v>294925.25099999993</v>
      </c>
      <c r="P155" s="152">
        <f t="shared" si="30"/>
        <v>370872.69800000009</v>
      </c>
    </row>
    <row r="156" spans="1:16" hidden="1" x14ac:dyDescent="0.15">
      <c r="A156" s="154"/>
      <c r="B156" s="154"/>
      <c r="C156" s="152"/>
      <c r="D156" s="158"/>
      <c r="E156" s="154"/>
      <c r="F156" s="159"/>
      <c r="G156" s="151"/>
      <c r="H156" s="152"/>
      <c r="I156" s="158"/>
      <c r="J156" s="152"/>
      <c r="K156" s="157"/>
      <c r="L156" s="154"/>
      <c r="M156" s="152"/>
      <c r="N156" s="157"/>
      <c r="O156" s="152">
        <f t="shared" si="29"/>
        <v>294925.25099999993</v>
      </c>
      <c r="P156" s="152">
        <f t="shared" si="30"/>
        <v>370872.69800000009</v>
      </c>
    </row>
    <row r="157" spans="1:16" hidden="1" x14ac:dyDescent="0.15">
      <c r="A157" s="154"/>
      <c r="B157" s="154"/>
      <c r="C157" s="152"/>
      <c r="D157" s="158"/>
      <c r="E157" s="154"/>
      <c r="F157" s="159"/>
      <c r="G157" s="151"/>
      <c r="H157" s="152"/>
      <c r="I157" s="158"/>
      <c r="J157" s="152"/>
      <c r="K157" s="157"/>
      <c r="L157" s="154"/>
      <c r="M157" s="152"/>
      <c r="N157" s="157"/>
      <c r="O157" s="152">
        <f t="shared" si="29"/>
        <v>294925.25099999993</v>
      </c>
      <c r="P157" s="152">
        <f t="shared" si="30"/>
        <v>370872.69800000009</v>
      </c>
    </row>
    <row r="158" spans="1:16" hidden="1" x14ac:dyDescent="0.15">
      <c r="A158" s="154"/>
      <c r="B158" s="154"/>
      <c r="C158" s="152"/>
      <c r="D158" s="158"/>
      <c r="E158" s="154"/>
      <c r="F158" s="159"/>
      <c r="G158" s="151"/>
      <c r="H158" s="152"/>
      <c r="I158" s="158"/>
      <c r="J158" s="152"/>
      <c r="K158" s="154"/>
      <c r="L158" s="154"/>
      <c r="M158" s="152"/>
      <c r="N158" s="157"/>
      <c r="O158" s="152">
        <f t="shared" si="29"/>
        <v>294925.25099999993</v>
      </c>
      <c r="P158" s="152">
        <f t="shared" si="30"/>
        <v>370872.69800000009</v>
      </c>
    </row>
    <row r="159" spans="1:16" hidden="1" x14ac:dyDescent="0.15">
      <c r="A159" s="154"/>
      <c r="B159" s="154"/>
      <c r="C159" s="152"/>
      <c r="D159" s="158"/>
      <c r="E159" s="154"/>
      <c r="F159" s="170"/>
      <c r="G159" s="171"/>
      <c r="H159" s="152"/>
      <c r="I159" s="158"/>
      <c r="J159" s="152"/>
      <c r="K159" s="157"/>
      <c r="L159" s="154"/>
      <c r="M159" s="152"/>
      <c r="N159" s="157"/>
      <c r="O159" s="152">
        <f t="shared" si="29"/>
        <v>294925.25099999993</v>
      </c>
      <c r="P159" s="152">
        <f t="shared" si="30"/>
        <v>370872.69800000009</v>
      </c>
    </row>
    <row r="160" spans="1:16" hidden="1" x14ac:dyDescent="0.15">
      <c r="A160" s="154"/>
      <c r="B160" s="154"/>
      <c r="C160" s="152"/>
      <c r="D160" s="158"/>
      <c r="E160" s="154"/>
      <c r="F160" s="154"/>
      <c r="G160" s="163"/>
      <c r="H160" s="152"/>
      <c r="I160" s="158"/>
      <c r="J160" s="152"/>
      <c r="K160" s="150"/>
      <c r="L160" s="154"/>
      <c r="M160" s="152"/>
      <c r="N160" s="157"/>
      <c r="O160" s="152">
        <f t="shared" si="29"/>
        <v>294925.25099999993</v>
      </c>
      <c r="P160" s="152">
        <f t="shared" si="30"/>
        <v>370872.69800000009</v>
      </c>
    </row>
    <row r="161" spans="1:16" hidden="1" x14ac:dyDescent="0.15">
      <c r="A161" s="154"/>
      <c r="B161" s="154"/>
      <c r="C161" s="152"/>
      <c r="D161" s="158"/>
      <c r="E161" s="154"/>
      <c r="F161" s="154"/>
      <c r="G161" s="163"/>
      <c r="H161" s="152"/>
      <c r="I161" s="158"/>
      <c r="J161" s="152"/>
      <c r="K161" s="150"/>
      <c r="L161" s="154"/>
      <c r="M161" s="152"/>
      <c r="N161" s="157"/>
      <c r="O161" s="152">
        <f t="shared" si="29"/>
        <v>294925.25099999993</v>
      </c>
      <c r="P161" s="152">
        <f t="shared" si="30"/>
        <v>370872.69800000009</v>
      </c>
    </row>
    <row r="162" spans="1:16" hidden="1" x14ac:dyDescent="0.15">
      <c r="A162" s="154"/>
      <c r="B162" s="154"/>
      <c r="C162" s="152"/>
      <c r="D162" s="158"/>
      <c r="E162" s="154"/>
      <c r="F162" s="150"/>
      <c r="G162" s="171"/>
      <c r="H162" s="152"/>
      <c r="I162" s="158"/>
      <c r="J162" s="152"/>
      <c r="K162" s="157"/>
      <c r="L162" s="154"/>
      <c r="M162" s="152"/>
      <c r="N162" s="157"/>
      <c r="O162" s="152">
        <f t="shared" si="29"/>
        <v>294925.25099999993</v>
      </c>
      <c r="P162" s="152">
        <f t="shared" si="30"/>
        <v>370872.69800000009</v>
      </c>
    </row>
    <row r="163" spans="1:16" hidden="1" x14ac:dyDescent="0.15">
      <c r="A163" s="154"/>
      <c r="B163" s="154"/>
      <c r="C163" s="152"/>
      <c r="D163" s="158"/>
      <c r="E163" s="154"/>
      <c r="F163" s="150"/>
      <c r="G163" s="151"/>
      <c r="H163" s="152"/>
      <c r="I163" s="158"/>
      <c r="J163" s="152"/>
      <c r="K163" s="154"/>
      <c r="L163" s="154"/>
      <c r="M163" s="152"/>
      <c r="N163" s="157"/>
      <c r="O163" s="152">
        <f t="shared" si="29"/>
        <v>294925.25099999993</v>
      </c>
      <c r="P163" s="152">
        <f t="shared" si="30"/>
        <v>370872.69800000009</v>
      </c>
    </row>
    <row r="164" spans="1:16" hidden="1" x14ac:dyDescent="0.15">
      <c r="A164" s="154"/>
      <c r="B164" s="154"/>
      <c r="C164" s="152"/>
      <c r="D164" s="158"/>
      <c r="E164" s="154"/>
      <c r="F164" s="150"/>
      <c r="G164" s="151"/>
      <c r="H164" s="152"/>
      <c r="I164" s="158"/>
      <c r="J164" s="152"/>
      <c r="K164" s="154"/>
      <c r="L164" s="154"/>
      <c r="M164" s="152"/>
      <c r="N164" s="154"/>
      <c r="O164" s="152">
        <f t="shared" si="29"/>
        <v>294925.25099999993</v>
      </c>
      <c r="P164" s="152">
        <f t="shared" si="30"/>
        <v>370872.69800000009</v>
      </c>
    </row>
    <row r="165" spans="1:16" hidden="1" x14ac:dyDescent="0.15">
      <c r="A165" s="154"/>
      <c r="B165" s="154"/>
      <c r="C165" s="152"/>
      <c r="D165" s="158"/>
      <c r="E165" s="154"/>
      <c r="F165" s="170"/>
      <c r="G165" s="171"/>
      <c r="H165" s="152"/>
      <c r="I165" s="158"/>
      <c r="J165" s="152"/>
      <c r="K165" s="157"/>
      <c r="L165" s="154"/>
      <c r="M165" s="152"/>
      <c r="N165" s="157"/>
      <c r="O165" s="152">
        <f t="shared" si="29"/>
        <v>294925.25099999993</v>
      </c>
      <c r="P165" s="152">
        <f t="shared" si="30"/>
        <v>370872.69800000009</v>
      </c>
    </row>
    <row r="166" spans="1:16" hidden="1" x14ac:dyDescent="0.15">
      <c r="A166" s="154"/>
      <c r="B166" s="154"/>
      <c r="C166" s="152"/>
      <c r="D166" s="158"/>
      <c r="E166" s="154"/>
      <c r="F166" s="170"/>
      <c r="G166" s="168"/>
      <c r="H166" s="152"/>
      <c r="I166" s="158"/>
      <c r="J166" s="152"/>
      <c r="K166" s="157"/>
      <c r="L166" s="154"/>
      <c r="M166" s="152"/>
      <c r="N166" s="157"/>
      <c r="O166" s="152">
        <f t="shared" si="29"/>
        <v>294925.25099999993</v>
      </c>
      <c r="P166" s="152">
        <f t="shared" si="30"/>
        <v>370872.69800000009</v>
      </c>
    </row>
    <row r="167" spans="1:16" hidden="1" x14ac:dyDescent="0.15">
      <c r="A167" s="154"/>
      <c r="B167" s="154"/>
      <c r="C167" s="152"/>
      <c r="D167" s="158"/>
      <c r="E167" s="154"/>
      <c r="F167" s="170"/>
      <c r="G167" s="168"/>
      <c r="H167" s="152"/>
      <c r="I167" s="158"/>
      <c r="J167" s="152"/>
      <c r="K167" s="154"/>
      <c r="L167" s="154"/>
      <c r="M167" s="152"/>
      <c r="N167" s="157"/>
      <c r="O167" s="152">
        <f t="shared" si="29"/>
        <v>294925.25099999993</v>
      </c>
      <c r="P167" s="152">
        <f t="shared" si="30"/>
        <v>370872.69800000009</v>
      </c>
    </row>
    <row r="168" spans="1:16" hidden="1" x14ac:dyDescent="0.15">
      <c r="A168" s="154"/>
      <c r="B168" s="154"/>
      <c r="C168" s="152"/>
      <c r="D168" s="158"/>
      <c r="E168" s="154"/>
      <c r="F168" s="170"/>
      <c r="G168" s="171"/>
      <c r="H168" s="152"/>
      <c r="I168" s="158"/>
      <c r="J168" s="152"/>
      <c r="K168" s="157"/>
      <c r="L168" s="154"/>
      <c r="M168" s="152"/>
      <c r="N168" s="157"/>
      <c r="O168" s="152">
        <f t="shared" si="29"/>
        <v>294925.25099999993</v>
      </c>
      <c r="P168" s="152">
        <f t="shared" si="30"/>
        <v>370872.69800000009</v>
      </c>
    </row>
    <row r="169" spans="1:16" hidden="1" x14ac:dyDescent="0.15">
      <c r="A169" s="154"/>
      <c r="B169" s="154"/>
      <c r="C169" s="152"/>
      <c r="D169" s="158"/>
      <c r="E169" s="154"/>
      <c r="F169" s="154"/>
      <c r="G169" s="151"/>
      <c r="H169" s="152"/>
      <c r="I169" s="158"/>
      <c r="J169" s="152"/>
      <c r="K169" s="154"/>
      <c r="L169" s="154"/>
      <c r="M169" s="152"/>
      <c r="N169" s="157"/>
      <c r="O169" s="152">
        <f t="shared" si="29"/>
        <v>294925.25099999993</v>
      </c>
      <c r="P169" s="152">
        <f t="shared" si="30"/>
        <v>370872.69800000009</v>
      </c>
    </row>
    <row r="170" spans="1:16" hidden="1" x14ac:dyDescent="0.15">
      <c r="A170" s="154"/>
      <c r="B170" s="154"/>
      <c r="C170" s="152"/>
      <c r="D170" s="158"/>
      <c r="E170" s="154"/>
      <c r="F170" s="154"/>
      <c r="G170" s="151"/>
      <c r="H170" s="152"/>
      <c r="I170" s="158"/>
      <c r="J170" s="152"/>
      <c r="K170" s="154"/>
      <c r="L170" s="154"/>
      <c r="M170" s="152"/>
      <c r="N170" s="157"/>
      <c r="O170" s="152">
        <f t="shared" si="29"/>
        <v>294925.25099999993</v>
      </c>
      <c r="P170" s="152">
        <f t="shared" si="30"/>
        <v>370872.69800000009</v>
      </c>
    </row>
    <row r="171" spans="1:16" hidden="1" x14ac:dyDescent="0.15">
      <c r="A171" s="154"/>
      <c r="B171" s="154"/>
      <c r="C171" s="152"/>
      <c r="D171" s="158"/>
      <c r="E171" s="154"/>
      <c r="F171" s="170"/>
      <c r="G171" s="171"/>
      <c r="H171" s="152"/>
      <c r="I171" s="158"/>
      <c r="J171" s="152"/>
      <c r="K171" s="157"/>
      <c r="L171" s="154"/>
      <c r="M171" s="152"/>
      <c r="N171" s="157"/>
      <c r="O171" s="152">
        <f t="shared" si="29"/>
        <v>294925.25099999993</v>
      </c>
      <c r="P171" s="152">
        <f t="shared" si="30"/>
        <v>370872.69800000009</v>
      </c>
    </row>
    <row r="172" spans="1:16" hidden="1" x14ac:dyDescent="0.15">
      <c r="A172" s="154"/>
      <c r="B172" s="154"/>
      <c r="C172" s="152"/>
      <c r="D172" s="158"/>
      <c r="E172" s="154"/>
      <c r="F172" s="170"/>
      <c r="G172" s="151"/>
      <c r="H172" s="152"/>
      <c r="I172" s="158"/>
      <c r="J172" s="152"/>
      <c r="K172" s="154"/>
      <c r="L172" s="154"/>
      <c r="M172" s="152"/>
      <c r="N172" s="157"/>
      <c r="O172" s="152">
        <f t="shared" si="29"/>
        <v>294925.25099999993</v>
      </c>
      <c r="P172" s="152">
        <f t="shared" si="30"/>
        <v>370872.69800000009</v>
      </c>
    </row>
    <row r="173" spans="1:16" hidden="1" x14ac:dyDescent="0.15">
      <c r="A173" s="154"/>
      <c r="B173" s="154"/>
      <c r="C173" s="152"/>
      <c r="D173" s="158"/>
      <c r="E173" s="154"/>
      <c r="F173" s="170"/>
      <c r="G173" s="151"/>
      <c r="H173" s="152"/>
      <c r="I173" s="158"/>
      <c r="J173" s="152"/>
      <c r="K173" s="154"/>
      <c r="L173" s="154"/>
      <c r="M173" s="152"/>
      <c r="N173" s="157"/>
      <c r="O173" s="152">
        <f t="shared" si="29"/>
        <v>294925.25099999993</v>
      </c>
      <c r="P173" s="152">
        <f t="shared" si="30"/>
        <v>370872.69800000009</v>
      </c>
    </row>
    <row r="174" spans="1:16" hidden="1" x14ac:dyDescent="0.15">
      <c r="A174" s="154"/>
      <c r="B174" s="154"/>
      <c r="C174" s="152"/>
      <c r="D174" s="158"/>
      <c r="E174" s="154"/>
      <c r="F174" s="157"/>
      <c r="G174" s="171"/>
      <c r="H174" s="152"/>
      <c r="I174" s="158"/>
      <c r="J174" s="152"/>
      <c r="K174" s="157"/>
      <c r="L174" s="154"/>
      <c r="M174" s="152"/>
      <c r="N174" s="157"/>
      <c r="O174" s="152">
        <f t="shared" si="29"/>
        <v>294925.25099999993</v>
      </c>
      <c r="P174" s="152">
        <f t="shared" si="30"/>
        <v>370872.69800000009</v>
      </c>
    </row>
    <row r="175" spans="1:16" hidden="1" x14ac:dyDescent="0.15">
      <c r="A175" s="154"/>
      <c r="B175" s="154"/>
      <c r="C175" s="152"/>
      <c r="D175" s="158"/>
      <c r="E175" s="154"/>
      <c r="F175" s="157"/>
      <c r="G175" s="172"/>
      <c r="H175" s="152"/>
      <c r="I175" s="158"/>
      <c r="J175" s="152"/>
      <c r="K175" s="154"/>
      <c r="L175" s="154"/>
      <c r="M175" s="152"/>
      <c r="N175" s="157"/>
      <c r="O175" s="152">
        <f t="shared" si="29"/>
        <v>294925.25099999993</v>
      </c>
      <c r="P175" s="152">
        <f t="shared" si="30"/>
        <v>370872.69800000009</v>
      </c>
    </row>
    <row r="176" spans="1:16" hidden="1" x14ac:dyDescent="0.15">
      <c r="A176" s="154"/>
      <c r="B176" s="154"/>
      <c r="C176" s="152"/>
      <c r="D176" s="158"/>
      <c r="E176" s="154"/>
      <c r="F176" s="157"/>
      <c r="G176" s="172"/>
      <c r="H176" s="152"/>
      <c r="I176" s="158"/>
      <c r="J176" s="152"/>
      <c r="K176" s="157"/>
      <c r="L176" s="154"/>
      <c r="M176" s="152"/>
      <c r="N176" s="157"/>
      <c r="O176" s="152">
        <f t="shared" si="29"/>
        <v>294925.25099999993</v>
      </c>
      <c r="P176" s="152">
        <f t="shared" si="30"/>
        <v>370872.69800000009</v>
      </c>
    </row>
    <row r="177" spans="1:16" hidden="1" x14ac:dyDescent="0.15">
      <c r="A177" s="154"/>
      <c r="B177" s="154"/>
      <c r="C177" s="152"/>
      <c r="D177" s="158"/>
      <c r="E177" s="154"/>
      <c r="F177" s="157"/>
      <c r="G177" s="172"/>
      <c r="H177" s="152"/>
      <c r="I177" s="158"/>
      <c r="J177" s="152"/>
      <c r="K177" s="154"/>
      <c r="L177" s="154"/>
      <c r="M177" s="152"/>
      <c r="N177" s="157"/>
      <c r="O177" s="152">
        <f t="shared" si="29"/>
        <v>294925.25099999993</v>
      </c>
      <c r="P177" s="152">
        <f t="shared" si="30"/>
        <v>370872.69800000009</v>
      </c>
    </row>
    <row r="178" spans="1:16" hidden="1" x14ac:dyDescent="0.15">
      <c r="A178" s="154"/>
      <c r="B178" s="154"/>
      <c r="C178" s="152"/>
      <c r="D178" s="158"/>
      <c r="E178" s="154"/>
      <c r="F178" s="154"/>
      <c r="G178" s="151"/>
      <c r="H178" s="152"/>
      <c r="I178" s="158"/>
      <c r="J178" s="152"/>
      <c r="K178" s="154"/>
      <c r="L178" s="154"/>
      <c r="M178" s="152"/>
      <c r="N178" s="157"/>
      <c r="O178" s="152">
        <f t="shared" si="29"/>
        <v>294925.25099999993</v>
      </c>
      <c r="P178" s="152">
        <f t="shared" si="30"/>
        <v>370872.69800000009</v>
      </c>
    </row>
    <row r="179" spans="1:16" hidden="1" x14ac:dyDescent="0.15">
      <c r="A179" s="154"/>
      <c r="B179" s="154"/>
      <c r="C179" s="152"/>
      <c r="D179" s="158"/>
      <c r="E179" s="154"/>
      <c r="F179" s="157"/>
      <c r="G179" s="172"/>
      <c r="H179" s="152"/>
      <c r="I179" s="158"/>
      <c r="J179" s="152"/>
      <c r="K179" s="154"/>
      <c r="L179" s="154"/>
      <c r="M179" s="152"/>
      <c r="N179" s="154"/>
      <c r="O179" s="152">
        <f t="shared" si="29"/>
        <v>294925.25099999993</v>
      </c>
      <c r="P179" s="152">
        <f t="shared" si="30"/>
        <v>370872.69800000009</v>
      </c>
    </row>
    <row r="180" spans="1:16" hidden="1" x14ac:dyDescent="0.15">
      <c r="A180" s="154"/>
      <c r="B180" s="154"/>
      <c r="C180" s="152"/>
      <c r="D180" s="158"/>
      <c r="E180" s="154"/>
      <c r="F180" s="157"/>
      <c r="G180" s="172"/>
      <c r="H180" s="152"/>
      <c r="I180" s="158"/>
      <c r="J180" s="152"/>
      <c r="K180" s="154"/>
      <c r="L180" s="154"/>
      <c r="M180" s="152"/>
      <c r="N180" s="154"/>
      <c r="O180" s="152">
        <f t="shared" si="29"/>
        <v>294925.25099999993</v>
      </c>
      <c r="P180" s="152">
        <f t="shared" si="30"/>
        <v>370872.69800000009</v>
      </c>
    </row>
    <row r="181" spans="1:16" hidden="1" x14ac:dyDescent="0.15">
      <c r="A181" s="154"/>
      <c r="B181" s="154"/>
      <c r="C181" s="152"/>
      <c r="D181" s="158"/>
      <c r="E181" s="154"/>
      <c r="F181" s="157"/>
      <c r="G181" s="172"/>
      <c r="H181" s="152"/>
      <c r="I181" s="158"/>
      <c r="J181" s="152"/>
      <c r="K181" s="154"/>
      <c r="L181" s="154"/>
      <c r="M181" s="152"/>
      <c r="N181" s="154"/>
      <c r="O181" s="152">
        <f t="shared" si="29"/>
        <v>294925.25099999993</v>
      </c>
      <c r="P181" s="152">
        <f t="shared" si="30"/>
        <v>370872.69800000009</v>
      </c>
    </row>
    <row r="182" spans="1:16" hidden="1" x14ac:dyDescent="0.15">
      <c r="A182" s="154"/>
      <c r="B182" s="154"/>
      <c r="C182" s="152"/>
      <c r="D182" s="158"/>
      <c r="E182" s="154"/>
      <c r="F182" s="154"/>
      <c r="G182" s="163"/>
      <c r="H182" s="152"/>
      <c r="I182" s="158"/>
      <c r="J182" s="152"/>
      <c r="K182" s="154"/>
      <c r="L182" s="154"/>
      <c r="M182" s="152"/>
      <c r="N182" s="154"/>
      <c r="O182" s="152">
        <f t="shared" si="29"/>
        <v>294925.25099999993</v>
      </c>
      <c r="P182" s="152">
        <f t="shared" si="30"/>
        <v>370872.69800000009</v>
      </c>
    </row>
    <row r="183" spans="1:16" x14ac:dyDescent="0.15">
      <c r="A183" s="173"/>
      <c r="B183" s="173"/>
      <c r="C183" s="174"/>
      <c r="D183" s="175"/>
      <c r="E183" s="173"/>
      <c r="F183" s="173"/>
      <c r="G183" s="176"/>
      <c r="H183" s="174"/>
      <c r="I183" s="175"/>
      <c r="J183" s="174"/>
      <c r="K183" s="173"/>
      <c r="L183" s="173"/>
      <c r="M183" s="174"/>
      <c r="N183" s="173"/>
      <c r="O183" s="152">
        <f t="shared" ref="O183" si="31">+O182-J183-M183</f>
        <v>294925.25099999993</v>
      </c>
      <c r="P183" s="152">
        <f t="shared" ref="P183" si="32">P182+H183-J183-M183</f>
        <v>370872.69800000009</v>
      </c>
    </row>
    <row r="184" spans="1:16" x14ac:dyDescent="0.15">
      <c r="A184" s="177"/>
      <c r="B184" s="177"/>
      <c r="C184" s="178">
        <f>SUM(C7:C170)</f>
        <v>360063.91200000001</v>
      </c>
      <c r="D184" s="177"/>
      <c r="E184" s="177"/>
      <c r="F184" s="177"/>
      <c r="G184" s="177"/>
      <c r="H184" s="178">
        <f>SUM(H7:H182)</f>
        <v>1845738.7859999996</v>
      </c>
      <c r="I184" s="179"/>
      <c r="J184" s="178">
        <f>SUM(J7:J182)</f>
        <v>13432</v>
      </c>
      <c r="K184" s="177"/>
      <c r="L184" s="177"/>
      <c r="M184" s="178">
        <f>SUM(M9:M182)</f>
        <v>1821498</v>
      </c>
      <c r="N184" s="177"/>
      <c r="O184" s="180"/>
      <c r="P184" s="181">
        <f>C184+H184-J184-M184</f>
        <v>370872.69799999986</v>
      </c>
    </row>
    <row r="185" spans="1:16" x14ac:dyDescent="0.15">
      <c r="A185" s="182"/>
      <c r="B185" s="465"/>
      <c r="C185" s="465"/>
      <c r="D185" s="465"/>
      <c r="E185" s="183"/>
      <c r="F185" s="472"/>
      <c r="G185" s="472"/>
      <c r="H185" s="185"/>
      <c r="I185" s="186"/>
      <c r="J185" s="187"/>
      <c r="K185" s="188"/>
      <c r="L185" s="189" t="s">
        <v>139</v>
      </c>
      <c r="M185" s="190">
        <f>+M184+J184</f>
        <v>1834930</v>
      </c>
      <c r="N185" s="188"/>
      <c r="O185" s="191">
        <f>+O183</f>
        <v>294925.25099999993</v>
      </c>
      <c r="P185" s="192" t="s">
        <v>154</v>
      </c>
    </row>
    <row r="186" spans="1:16" s="167" customFormat="1" x14ac:dyDescent="0.15">
      <c r="A186" s="193" t="s">
        <v>97</v>
      </c>
      <c r="B186" s="470" t="s">
        <v>158</v>
      </c>
      <c r="C186" s="470"/>
      <c r="D186" s="470"/>
      <c r="E186" s="183" t="s">
        <v>55</v>
      </c>
      <c r="F186" s="472">
        <v>31565425.690000001</v>
      </c>
      <c r="G186" s="472"/>
      <c r="H186" s="185" t="s">
        <v>56</v>
      </c>
      <c r="I186" s="186">
        <v>40130</v>
      </c>
      <c r="J186" s="187" t="s">
        <v>71</v>
      </c>
      <c r="K186" s="210">
        <f>SUM(M12)</f>
        <v>16187</v>
      </c>
      <c r="L186" s="188"/>
      <c r="M186" s="190"/>
      <c r="N186" s="188"/>
      <c r="O186" s="191">
        <v>75947.447</v>
      </c>
      <c r="P186" s="192" t="s">
        <v>155</v>
      </c>
    </row>
    <row r="187" spans="1:16" s="167" customFormat="1" x14ac:dyDescent="0.15">
      <c r="A187" s="193" t="s">
        <v>98</v>
      </c>
      <c r="B187" s="470" t="s">
        <v>166</v>
      </c>
      <c r="C187" s="470"/>
      <c r="D187" s="470"/>
      <c r="E187" s="183" t="s">
        <v>55</v>
      </c>
      <c r="F187" s="472">
        <v>18647608.760000002</v>
      </c>
      <c r="G187" s="472"/>
      <c r="H187" s="185" t="s">
        <v>56</v>
      </c>
      <c r="I187" s="186">
        <v>40135</v>
      </c>
      <c r="J187" s="187" t="s">
        <v>71</v>
      </c>
      <c r="K187" s="210">
        <f>SUM(M13:M17)</f>
        <v>79288</v>
      </c>
      <c r="L187" s="188"/>
      <c r="M187" s="190"/>
      <c r="N187" s="188"/>
      <c r="O187" s="191"/>
      <c r="P187" s="192"/>
    </row>
    <row r="188" spans="1:16" s="167" customFormat="1" x14ac:dyDescent="0.15">
      <c r="A188" s="193" t="s">
        <v>99</v>
      </c>
      <c r="B188" s="470" t="s">
        <v>159</v>
      </c>
      <c r="C188" s="470"/>
      <c r="D188" s="470"/>
      <c r="E188" s="183" t="s">
        <v>55</v>
      </c>
      <c r="F188" s="472">
        <v>191870597.78999999</v>
      </c>
      <c r="G188" s="472"/>
      <c r="H188" s="185" t="s">
        <v>56</v>
      </c>
      <c r="I188" s="186">
        <v>40141</v>
      </c>
      <c r="J188" s="187" t="s">
        <v>71</v>
      </c>
      <c r="K188" s="210">
        <f>SUM(M18:M19)</f>
        <v>61419</v>
      </c>
      <c r="L188" s="188"/>
      <c r="M188" s="190"/>
      <c r="N188" s="188"/>
      <c r="O188" s="191"/>
      <c r="P188" s="195"/>
    </row>
    <row r="189" spans="1:16" s="167" customFormat="1" ht="11.25" customHeight="1" x14ac:dyDescent="0.15">
      <c r="A189" s="193" t="s">
        <v>100</v>
      </c>
      <c r="B189" s="470" t="s">
        <v>160</v>
      </c>
      <c r="C189" s="470"/>
      <c r="D189" s="470"/>
      <c r="E189" s="183" t="s">
        <v>55</v>
      </c>
      <c r="F189" s="472">
        <v>56746290.57</v>
      </c>
      <c r="G189" s="472"/>
      <c r="H189" s="185" t="s">
        <v>56</v>
      </c>
      <c r="I189" s="186">
        <v>40144</v>
      </c>
      <c r="J189" s="187" t="s">
        <v>71</v>
      </c>
      <c r="K189" s="210">
        <f>SUM(M20:M21)</f>
        <v>90539</v>
      </c>
      <c r="L189" s="188"/>
      <c r="M189" s="190"/>
      <c r="N189" s="188"/>
      <c r="O189" s="191"/>
      <c r="P189" s="195"/>
    </row>
    <row r="190" spans="1:16" s="167" customFormat="1" ht="11.25" customHeight="1" x14ac:dyDescent="0.15">
      <c r="A190" s="193" t="s">
        <v>102</v>
      </c>
      <c r="B190" s="470" t="s">
        <v>161</v>
      </c>
      <c r="C190" s="470"/>
      <c r="D190" s="470"/>
      <c r="E190" s="183" t="s">
        <v>55</v>
      </c>
      <c r="F190" s="472">
        <v>201049347.36000001</v>
      </c>
      <c r="G190" s="472"/>
      <c r="H190" s="185" t="s">
        <v>56</v>
      </c>
      <c r="I190" s="186">
        <v>40138</v>
      </c>
      <c r="J190" s="187" t="s">
        <v>71</v>
      </c>
      <c r="K190" s="210">
        <f>SUM(M22:M26)</f>
        <v>110472</v>
      </c>
      <c r="L190" s="188"/>
      <c r="M190" s="190"/>
      <c r="N190" s="188"/>
      <c r="O190" s="191"/>
      <c r="P190" s="195"/>
    </row>
    <row r="191" spans="1:16" s="167" customFormat="1" ht="11.25" customHeight="1" x14ac:dyDescent="0.15">
      <c r="A191" s="193" t="s">
        <v>173</v>
      </c>
      <c r="B191" s="470" t="s">
        <v>162</v>
      </c>
      <c r="C191" s="470"/>
      <c r="D191" s="470"/>
      <c r="E191" s="183" t="s">
        <v>55</v>
      </c>
      <c r="F191" s="472">
        <v>56746091.030000001</v>
      </c>
      <c r="G191" s="472"/>
      <c r="H191" s="185" t="s">
        <v>56</v>
      </c>
      <c r="I191" s="186">
        <v>40155</v>
      </c>
      <c r="J191" s="187" t="s">
        <v>71</v>
      </c>
      <c r="K191" s="210">
        <f>SUM(M27:M29)</f>
        <v>76754</v>
      </c>
      <c r="L191" s="188"/>
      <c r="M191" s="190"/>
      <c r="N191" s="188"/>
      <c r="O191" s="191"/>
      <c r="P191" s="195"/>
    </row>
    <row r="192" spans="1:16" s="167" customFormat="1" ht="11.25" customHeight="1" x14ac:dyDescent="0.15">
      <c r="A192" s="193" t="s">
        <v>142</v>
      </c>
      <c r="B192" s="470" t="s">
        <v>163</v>
      </c>
      <c r="C192" s="470"/>
      <c r="D192" s="470"/>
      <c r="E192" s="183" t="s">
        <v>55</v>
      </c>
      <c r="F192" s="472">
        <v>66826529.850000001</v>
      </c>
      <c r="G192" s="472"/>
      <c r="H192" s="185" t="s">
        <v>56</v>
      </c>
      <c r="I192" s="186">
        <v>40156</v>
      </c>
      <c r="J192" s="187" t="s">
        <v>71</v>
      </c>
      <c r="K192" s="210">
        <f>SUM(M30:M34)</f>
        <v>120005</v>
      </c>
      <c r="L192" s="188"/>
      <c r="M192" s="190"/>
      <c r="N192" s="188"/>
      <c r="O192" s="191"/>
      <c r="P192" s="195"/>
    </row>
    <row r="193" spans="1:16" s="167" customFormat="1" ht="11.25" customHeight="1" x14ac:dyDescent="0.15">
      <c r="A193" s="193" t="s">
        <v>144</v>
      </c>
      <c r="B193" s="470" t="s">
        <v>167</v>
      </c>
      <c r="C193" s="470"/>
      <c r="D193" s="470"/>
      <c r="E193" s="183" t="s">
        <v>55</v>
      </c>
      <c r="F193" s="472">
        <v>18731549.579999998</v>
      </c>
      <c r="G193" s="472"/>
      <c r="H193" s="185" t="s">
        <v>56</v>
      </c>
      <c r="I193" s="186">
        <v>40161</v>
      </c>
      <c r="J193" s="187" t="s">
        <v>71</v>
      </c>
      <c r="K193" s="210">
        <f>SUM(M35:M41)</f>
        <v>200026</v>
      </c>
      <c r="L193" s="188"/>
      <c r="M193" s="190"/>
      <c r="N193" s="188"/>
      <c r="O193" s="191"/>
      <c r="P193" s="195"/>
    </row>
    <row r="194" spans="1:16" s="167" customFormat="1" ht="11.25" customHeight="1" x14ac:dyDescent="0.15">
      <c r="A194" s="193" t="s">
        <v>145</v>
      </c>
      <c r="B194" s="470" t="s">
        <v>164</v>
      </c>
      <c r="C194" s="470"/>
      <c r="D194" s="470"/>
      <c r="E194" s="183" t="s">
        <v>55</v>
      </c>
      <c r="F194" s="472">
        <v>149745723.84999999</v>
      </c>
      <c r="G194" s="472"/>
      <c r="H194" s="185" t="s">
        <v>56</v>
      </c>
      <c r="I194" s="186">
        <v>40162</v>
      </c>
      <c r="J194" s="187" t="s">
        <v>71</v>
      </c>
      <c r="K194" s="210">
        <f>SUM(M42:M47)</f>
        <v>162013</v>
      </c>
      <c r="L194" s="188"/>
      <c r="M194" s="190"/>
      <c r="N194" s="188"/>
      <c r="O194" s="191"/>
      <c r="P194" s="195"/>
    </row>
    <row r="195" spans="1:16" s="167" customFormat="1" x14ac:dyDescent="0.15">
      <c r="A195" s="193" t="s">
        <v>147</v>
      </c>
      <c r="B195" s="470" t="s">
        <v>165</v>
      </c>
      <c r="C195" s="470"/>
      <c r="D195" s="470"/>
      <c r="E195" s="183" t="s">
        <v>55</v>
      </c>
      <c r="F195" s="472">
        <v>40943818.829999998</v>
      </c>
      <c r="G195" s="472"/>
      <c r="H195" s="185" t="s">
        <v>56</v>
      </c>
      <c r="I195" s="186">
        <v>40165</v>
      </c>
      <c r="J195" s="187" t="s">
        <v>71</v>
      </c>
      <c r="K195" s="210">
        <f>SUM(M48:M54)</f>
        <v>353965</v>
      </c>
      <c r="L195" s="188"/>
      <c r="M195" s="190"/>
      <c r="N195" s="188"/>
      <c r="O195" s="206" t="s">
        <v>33</v>
      </c>
      <c r="P195" s="207">
        <f>SUM(O185:O194)</f>
        <v>370872.69799999992</v>
      </c>
    </row>
    <row r="196" spans="1:16" s="167" customFormat="1" x14ac:dyDescent="0.15">
      <c r="A196" s="193" t="s">
        <v>149</v>
      </c>
      <c r="B196" s="470" t="s">
        <v>168</v>
      </c>
      <c r="C196" s="470"/>
      <c r="D196" s="470"/>
      <c r="E196" s="183" t="s">
        <v>55</v>
      </c>
      <c r="F196" s="472">
        <v>30343512.539999999</v>
      </c>
      <c r="G196" s="472"/>
      <c r="H196" s="185" t="s">
        <v>56</v>
      </c>
      <c r="I196" s="186">
        <v>40169</v>
      </c>
      <c r="J196" s="187" t="s">
        <v>71</v>
      </c>
      <c r="K196" s="210">
        <f>SUM(M55:M60)</f>
        <v>163971</v>
      </c>
      <c r="L196" s="188"/>
      <c r="M196" s="190"/>
      <c r="N196" s="188"/>
      <c r="O196" s="190"/>
      <c r="P196" s="197">
        <f>+P184-P195</f>
        <v>0</v>
      </c>
    </row>
    <row r="197" spans="1:16" s="167" customFormat="1" x14ac:dyDescent="0.15">
      <c r="A197" s="193" t="s">
        <v>150</v>
      </c>
      <c r="B197" s="470" t="s">
        <v>170</v>
      </c>
      <c r="C197" s="470"/>
      <c r="D197" s="470"/>
      <c r="E197" s="183" t="s">
        <v>55</v>
      </c>
      <c r="F197" s="472">
        <v>15782650.880000001</v>
      </c>
      <c r="G197" s="472"/>
      <c r="H197" s="185" t="s">
        <v>56</v>
      </c>
      <c r="I197" s="186">
        <v>40136</v>
      </c>
      <c r="J197" s="187" t="s">
        <v>71</v>
      </c>
      <c r="K197" s="210">
        <f>SUM(M61)</f>
        <v>36011</v>
      </c>
      <c r="L197" s="188"/>
      <c r="M197" s="190"/>
      <c r="N197" s="188"/>
      <c r="O197" s="188"/>
      <c r="P197" s="198"/>
    </row>
    <row r="198" spans="1:16" s="167" customFormat="1" x14ac:dyDescent="0.15">
      <c r="A198" s="193" t="s">
        <v>151</v>
      </c>
      <c r="B198" s="470" t="s">
        <v>169</v>
      </c>
      <c r="C198" s="470"/>
      <c r="D198" s="470"/>
      <c r="E198" s="183" t="s">
        <v>55</v>
      </c>
      <c r="F198" s="472">
        <v>68483154.890000001</v>
      </c>
      <c r="G198" s="472"/>
      <c r="H198" s="185" t="s">
        <v>56</v>
      </c>
      <c r="I198" s="186">
        <v>40175</v>
      </c>
      <c r="J198" s="187" t="s">
        <v>71</v>
      </c>
      <c r="K198" s="210">
        <f>SUM(M62:M64)</f>
        <v>167966</v>
      </c>
      <c r="L198" s="208"/>
      <c r="M198" s="209"/>
      <c r="O198" s="209"/>
      <c r="P198" s="209"/>
    </row>
    <row r="199" spans="1:16" s="167" customFormat="1" x14ac:dyDescent="0.15">
      <c r="A199" s="193" t="s">
        <v>153</v>
      </c>
      <c r="B199" s="470" t="s">
        <v>171</v>
      </c>
      <c r="C199" s="470"/>
      <c r="D199" s="470"/>
      <c r="E199" s="183" t="s">
        <v>55</v>
      </c>
      <c r="F199" s="472">
        <v>34611220.259999998</v>
      </c>
      <c r="G199" s="472"/>
      <c r="H199" s="185" t="s">
        <v>56</v>
      </c>
      <c r="I199" s="186">
        <v>40175</v>
      </c>
      <c r="J199" s="187" t="s">
        <v>71</v>
      </c>
      <c r="K199" s="210">
        <f>SUM(M65:M67)</f>
        <v>151980</v>
      </c>
      <c r="L199" s="208"/>
      <c r="M199" s="209"/>
      <c r="O199" s="209"/>
      <c r="P199" s="209"/>
    </row>
    <row r="200" spans="1:16" s="167" customFormat="1" x14ac:dyDescent="0.15">
      <c r="A200" s="193" t="s">
        <v>154</v>
      </c>
      <c r="B200" s="470" t="s">
        <v>174</v>
      </c>
      <c r="C200" s="470"/>
      <c r="D200" s="470"/>
      <c r="E200" s="183" t="s">
        <v>55</v>
      </c>
      <c r="F200" s="472">
        <v>39344329.090000004</v>
      </c>
      <c r="G200" s="472"/>
      <c r="H200" s="185" t="s">
        <v>56</v>
      </c>
      <c r="I200" s="186">
        <v>40182</v>
      </c>
      <c r="J200" s="187" t="s">
        <v>71</v>
      </c>
      <c r="K200" s="210">
        <f>SUM(M68)</f>
        <v>30902</v>
      </c>
      <c r="L200" s="208"/>
      <c r="M200" s="209"/>
      <c r="O200" s="209"/>
      <c r="P200" s="209"/>
    </row>
    <row r="201" spans="1:16" s="167" customFormat="1" ht="12" thickBot="1" x14ac:dyDescent="0.2">
      <c r="B201" s="204"/>
      <c r="C201" s="204"/>
      <c r="D201" s="204"/>
      <c r="E201" s="183"/>
      <c r="F201" s="203"/>
      <c r="G201" s="203"/>
      <c r="H201" s="185"/>
      <c r="I201" s="186"/>
      <c r="J201" s="187"/>
      <c r="K201" s="211">
        <f>SUM(K186:K200)</f>
        <v>1821498</v>
      </c>
      <c r="L201" s="208"/>
      <c r="M201" s="209"/>
      <c r="O201" s="209"/>
      <c r="P201" s="209"/>
    </row>
    <row r="202" spans="1:16" ht="12" thickTop="1" x14ac:dyDescent="0.15">
      <c r="J202" s="132" t="s">
        <v>105</v>
      </c>
      <c r="K202" s="205">
        <v>875996</v>
      </c>
    </row>
    <row r="203" spans="1:16" x14ac:dyDescent="0.15">
      <c r="J203" s="132" t="s">
        <v>106</v>
      </c>
      <c r="K203" s="205">
        <v>945502</v>
      </c>
    </row>
    <row r="204" spans="1:16" ht="12" thickBot="1" x14ac:dyDescent="0.2">
      <c r="K204" s="212">
        <f>SUM(K202:K203)</f>
        <v>1821498</v>
      </c>
    </row>
    <row r="205" spans="1:16" ht="12" thickTop="1" x14ac:dyDescent="0.15"/>
  </sheetData>
  <sortState ref="A206:P220">
    <sortCondition ref="I206:I220"/>
  </sortState>
  <mergeCells count="38">
    <mergeCell ref="J3:L3"/>
    <mergeCell ref="A4:C4"/>
    <mergeCell ref="D4:H4"/>
    <mergeCell ref="I4:N4"/>
    <mergeCell ref="J5:K5"/>
    <mergeCell ref="L5:N5"/>
    <mergeCell ref="B185:D185"/>
    <mergeCell ref="F185:G185"/>
    <mergeCell ref="B186:D186"/>
    <mergeCell ref="F186:G186"/>
    <mergeCell ref="B187:D187"/>
    <mergeCell ref="F187:G187"/>
    <mergeCell ref="B188:D188"/>
    <mergeCell ref="F188:G188"/>
    <mergeCell ref="B189:D189"/>
    <mergeCell ref="F189:G189"/>
    <mergeCell ref="B190:D190"/>
    <mergeCell ref="F190:G190"/>
    <mergeCell ref="B191:D191"/>
    <mergeCell ref="F191:G191"/>
    <mergeCell ref="B192:D192"/>
    <mergeCell ref="F192:G192"/>
    <mergeCell ref="B193:D193"/>
    <mergeCell ref="F193:G193"/>
    <mergeCell ref="B194:D194"/>
    <mergeCell ref="F194:G194"/>
    <mergeCell ref="B195:D195"/>
    <mergeCell ref="F195:G195"/>
    <mergeCell ref="B196:D196"/>
    <mergeCell ref="F196:G196"/>
    <mergeCell ref="B197:D197"/>
    <mergeCell ref="F197:G197"/>
    <mergeCell ref="B198:D198"/>
    <mergeCell ref="F198:G198"/>
    <mergeCell ref="B200:D200"/>
    <mergeCell ref="F200:G200"/>
    <mergeCell ref="B199:D199"/>
    <mergeCell ref="F199:G199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zoomScale="130" zoomScaleNormal="130" workbookViewId="0">
      <pane ySplit="6" topLeftCell="A166" activePane="bottomLeft" state="frozen"/>
      <selection pane="bottomLeft" activeCell="G181" sqref="G181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0.85546875" style="132" bestFit="1" customWidth="1"/>
    <col min="11" max="11" width="11.85546875" style="134" bestFit="1" customWidth="1"/>
    <col min="12" max="12" width="12.7109375" style="133" customWidth="1"/>
    <col min="13" max="13" width="9.14062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74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104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67</v>
      </c>
      <c r="B7" s="146"/>
      <c r="C7" s="147">
        <v>692.2589999999982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692.2589999999982</v>
      </c>
      <c r="P7" s="147">
        <f>+C165</f>
        <v>584857.99600000004</v>
      </c>
    </row>
    <row r="8" spans="1:16" x14ac:dyDescent="0.15">
      <c r="A8" s="154" t="s">
        <v>66</v>
      </c>
      <c r="B8" s="151"/>
      <c r="C8" s="152">
        <v>39855.624000000003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692.2589999999982</v>
      </c>
      <c r="P8" s="152">
        <f t="shared" ref="P8" si="0">P7+H8-J8-M8</f>
        <v>584857.99600000004</v>
      </c>
    </row>
    <row r="9" spans="1:16" x14ac:dyDescent="0.15">
      <c r="A9" s="154" t="s">
        <v>45</v>
      </c>
      <c r="B9" s="151"/>
      <c r="C9" s="152">
        <v>76029.198999999993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12" si="1">+O8-J9-M9</f>
        <v>692.2589999999982</v>
      </c>
      <c r="P9" s="152">
        <f t="shared" ref="P9:P12" si="2">P8+H9-J9-M9</f>
        <v>584857.99600000004</v>
      </c>
    </row>
    <row r="10" spans="1:16" x14ac:dyDescent="0.15">
      <c r="A10" s="154" t="s">
        <v>47</v>
      </c>
      <c r="B10" s="151"/>
      <c r="C10" s="152">
        <v>152269.55900000001</v>
      </c>
      <c r="D10" s="153"/>
      <c r="E10" s="154"/>
      <c r="F10" s="157"/>
      <c r="G10" s="154"/>
      <c r="H10" s="152"/>
      <c r="I10" s="158"/>
      <c r="J10" s="152"/>
      <c r="K10" s="150"/>
      <c r="L10" s="154"/>
      <c r="M10" s="152"/>
      <c r="N10" s="150"/>
      <c r="O10" s="152">
        <f t="shared" si="1"/>
        <v>692.2589999999982</v>
      </c>
      <c r="P10" s="152">
        <f t="shared" si="2"/>
        <v>584857.99600000004</v>
      </c>
    </row>
    <row r="11" spans="1:16" x14ac:dyDescent="0.15">
      <c r="A11" s="154" t="s">
        <v>59</v>
      </c>
      <c r="B11" s="151"/>
      <c r="C11" s="152">
        <v>39993.506000000001</v>
      </c>
      <c r="D11" s="153"/>
      <c r="E11" s="154"/>
      <c r="F11" s="157"/>
      <c r="G11" s="154"/>
      <c r="H11" s="152"/>
      <c r="I11" s="158"/>
      <c r="J11" s="152"/>
      <c r="K11" s="150"/>
      <c r="L11" s="154"/>
      <c r="M11" s="152"/>
      <c r="N11" s="150"/>
      <c r="O11" s="152">
        <f t="shared" si="1"/>
        <v>692.2589999999982</v>
      </c>
      <c r="P11" s="152">
        <f t="shared" si="2"/>
        <v>584857.99600000004</v>
      </c>
    </row>
    <row r="12" spans="1:16" x14ac:dyDescent="0.15">
      <c r="A12" s="154" t="s">
        <v>63</v>
      </c>
      <c r="B12" s="151"/>
      <c r="C12" s="152">
        <v>160127.82799999998</v>
      </c>
      <c r="D12" s="153"/>
      <c r="E12" s="154"/>
      <c r="F12" s="157"/>
      <c r="G12" s="154"/>
      <c r="H12" s="152"/>
      <c r="I12" s="158"/>
      <c r="J12" s="152"/>
      <c r="K12" s="150"/>
      <c r="L12" s="154"/>
      <c r="M12" s="152"/>
      <c r="N12" s="150"/>
      <c r="O12" s="152">
        <f t="shared" si="1"/>
        <v>692.2589999999982</v>
      </c>
      <c r="P12" s="152">
        <f t="shared" si="2"/>
        <v>584857.99600000004</v>
      </c>
    </row>
    <row r="13" spans="1:16" x14ac:dyDescent="0.15">
      <c r="A13" s="154" t="s">
        <v>64</v>
      </c>
      <c r="B13" s="151"/>
      <c r="C13" s="152">
        <v>115890.02100000001</v>
      </c>
      <c r="D13" s="153"/>
      <c r="E13" s="154"/>
      <c r="F13" s="157"/>
      <c r="G13" s="154"/>
      <c r="H13" s="152"/>
      <c r="I13" s="158"/>
      <c r="J13" s="152"/>
      <c r="K13" s="150"/>
      <c r="L13" s="154"/>
      <c r="M13" s="152"/>
      <c r="N13" s="150"/>
      <c r="O13" s="152">
        <f t="shared" ref="O13:O42" si="3">+O12-J13-M13</f>
        <v>692.2589999999982</v>
      </c>
      <c r="P13" s="152">
        <f t="shared" ref="P13:P42" si="4">P12+H13-J13-M13</f>
        <v>584857.99600000004</v>
      </c>
    </row>
    <row r="14" spans="1:16" x14ac:dyDescent="0.15">
      <c r="A14" s="154"/>
      <c r="B14" s="151"/>
      <c r="C14" s="152"/>
      <c r="D14" s="153" t="s">
        <v>75</v>
      </c>
      <c r="E14" s="154" t="s">
        <v>72</v>
      </c>
      <c r="F14" s="157" t="s">
        <v>64</v>
      </c>
      <c r="G14" s="154"/>
      <c r="H14" s="152">
        <v>39952.955999999998</v>
      </c>
      <c r="I14" s="158" t="s">
        <v>75</v>
      </c>
      <c r="J14" s="152"/>
      <c r="K14" s="150"/>
      <c r="L14" s="154" t="s">
        <v>108</v>
      </c>
      <c r="M14" s="152">
        <v>692</v>
      </c>
      <c r="N14" s="150" t="s">
        <v>67</v>
      </c>
      <c r="O14" s="152">
        <f t="shared" si="3"/>
        <v>0.25899999999819556</v>
      </c>
      <c r="P14" s="152">
        <f t="shared" si="4"/>
        <v>624118.95200000005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8" t="s">
        <v>75</v>
      </c>
      <c r="J15" s="152"/>
      <c r="K15" s="150"/>
      <c r="L15" s="154" t="s">
        <v>108</v>
      </c>
      <c r="M15" s="152">
        <v>39856</v>
      </c>
      <c r="N15" s="150" t="s">
        <v>66</v>
      </c>
      <c r="O15" s="152">
        <f>C8+O14-J15-M15</f>
        <v>-0.11699999999837019</v>
      </c>
      <c r="P15" s="152">
        <f t="shared" ref="P15:P20" si="5">P14+H15-J15-M15</f>
        <v>584262.95200000005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8" t="s">
        <v>75</v>
      </c>
      <c r="J16" s="152"/>
      <c r="K16" s="150"/>
      <c r="L16" s="154" t="s">
        <v>107</v>
      </c>
      <c r="M16" s="152">
        <v>19012</v>
      </c>
      <c r="N16" s="150" t="s">
        <v>45</v>
      </c>
      <c r="O16" s="152">
        <f>C9+O15-J16-M16</f>
        <v>57017.081999999995</v>
      </c>
      <c r="P16" s="152">
        <f t="shared" ref="P16" si="6">P15+H16-J16-M16</f>
        <v>565250.95200000005</v>
      </c>
    </row>
    <row r="17" spans="1:16" x14ac:dyDescent="0.15">
      <c r="A17" s="154"/>
      <c r="B17" s="151"/>
      <c r="C17" s="152"/>
      <c r="D17" s="153" t="s">
        <v>76</v>
      </c>
      <c r="E17" s="154" t="s">
        <v>72</v>
      </c>
      <c r="F17" s="157" t="s">
        <v>95</v>
      </c>
      <c r="G17" s="154"/>
      <c r="H17" s="152">
        <v>76106.255000000005</v>
      </c>
      <c r="I17" s="158" t="s">
        <v>76</v>
      </c>
      <c r="J17" s="152"/>
      <c r="K17" s="150"/>
      <c r="L17" s="154" t="s">
        <v>107</v>
      </c>
      <c r="M17" s="152">
        <v>57017</v>
      </c>
      <c r="N17" s="150" t="s">
        <v>45</v>
      </c>
      <c r="O17" s="152">
        <f>+O16-J17-M17</f>
        <v>8.1999999994877726E-2</v>
      </c>
      <c r="P17" s="152">
        <f t="shared" ref="P17" si="7">P16+H17-J17-M17</f>
        <v>584340.20700000005</v>
      </c>
    </row>
    <row r="18" spans="1:16" x14ac:dyDescent="0.15">
      <c r="A18" s="154"/>
      <c r="B18" s="151"/>
      <c r="C18" s="152"/>
      <c r="D18" s="153"/>
      <c r="E18" s="154"/>
      <c r="F18" s="157"/>
      <c r="G18" s="154"/>
      <c r="H18" s="152"/>
      <c r="I18" s="158" t="s">
        <v>76</v>
      </c>
      <c r="J18" s="152"/>
      <c r="K18" s="150"/>
      <c r="L18" s="154" t="s">
        <v>108</v>
      </c>
      <c r="M18" s="152">
        <v>16483</v>
      </c>
      <c r="N18" s="150" t="s">
        <v>47</v>
      </c>
      <c r="O18" s="152">
        <f>C10+O17-J18-M18</f>
        <v>135786.641</v>
      </c>
      <c r="P18" s="152">
        <f t="shared" ref="P18:P19" si="8">P17+H18-J18-M18</f>
        <v>567857.20700000005</v>
      </c>
    </row>
    <row r="19" spans="1:16" x14ac:dyDescent="0.15">
      <c r="A19" s="154"/>
      <c r="B19" s="151"/>
      <c r="C19" s="152"/>
      <c r="D19" s="153"/>
      <c r="E19" s="154"/>
      <c r="F19" s="157"/>
      <c r="G19" s="154"/>
      <c r="H19" s="152"/>
      <c r="I19" s="158" t="s">
        <v>77</v>
      </c>
      <c r="J19" s="152">
        <v>277</v>
      </c>
      <c r="K19" s="150" t="s">
        <v>47</v>
      </c>
      <c r="L19" s="154"/>
      <c r="M19" s="152"/>
      <c r="N19" s="150"/>
      <c r="O19" s="152">
        <f t="shared" ref="O19" si="9">+O18-J19-M19</f>
        <v>135509.641</v>
      </c>
      <c r="P19" s="152">
        <f t="shared" si="8"/>
        <v>567580.20700000005</v>
      </c>
    </row>
    <row r="20" spans="1:16" x14ac:dyDescent="0.15">
      <c r="A20" s="154"/>
      <c r="B20" s="151"/>
      <c r="C20" s="152"/>
      <c r="D20" s="153" t="s">
        <v>78</v>
      </c>
      <c r="E20" s="154" t="s">
        <v>72</v>
      </c>
      <c r="F20" s="157" t="s">
        <v>95</v>
      </c>
      <c r="G20" s="154"/>
      <c r="H20" s="152">
        <v>76040.149000000005</v>
      </c>
      <c r="I20" s="158" t="s">
        <v>78</v>
      </c>
      <c r="J20" s="152"/>
      <c r="K20" s="150"/>
      <c r="L20" s="154" t="s">
        <v>108</v>
      </c>
      <c r="M20" s="152">
        <v>121870</v>
      </c>
      <c r="N20" s="150" t="s">
        <v>47</v>
      </c>
      <c r="O20" s="152">
        <f t="shared" ref="O20" si="10">+O19-J20-M20</f>
        <v>13639.641000000003</v>
      </c>
      <c r="P20" s="152">
        <f t="shared" si="5"/>
        <v>521750.35600000003</v>
      </c>
    </row>
    <row r="21" spans="1:16" x14ac:dyDescent="0.15">
      <c r="A21" s="154"/>
      <c r="B21" s="151"/>
      <c r="C21" s="152"/>
      <c r="D21" s="153"/>
      <c r="E21" s="154"/>
      <c r="F21" s="157"/>
      <c r="G21" s="151"/>
      <c r="H21" s="152"/>
      <c r="I21" s="158" t="s">
        <v>79</v>
      </c>
      <c r="J21" s="152">
        <v>4570</v>
      </c>
      <c r="K21" s="150" t="s">
        <v>47</v>
      </c>
      <c r="L21" s="154"/>
      <c r="M21" s="152"/>
      <c r="N21" s="150"/>
      <c r="O21" s="152">
        <f t="shared" si="3"/>
        <v>9069.6410000000033</v>
      </c>
      <c r="P21" s="152">
        <f t="shared" si="4"/>
        <v>517180.35600000003</v>
      </c>
    </row>
    <row r="22" spans="1:16" x14ac:dyDescent="0.15">
      <c r="A22" s="154"/>
      <c r="B22" s="151"/>
      <c r="C22" s="152"/>
      <c r="D22" s="153" t="s">
        <v>96</v>
      </c>
      <c r="E22" s="154" t="s">
        <v>72</v>
      </c>
      <c r="F22" s="157" t="s">
        <v>97</v>
      </c>
      <c r="G22" s="151"/>
      <c r="H22" s="152">
        <v>39997.567000000003</v>
      </c>
      <c r="I22" s="153" t="s">
        <v>96</v>
      </c>
      <c r="J22" s="152"/>
      <c r="K22" s="159"/>
      <c r="L22" s="154"/>
      <c r="M22" s="152"/>
      <c r="N22" s="150"/>
      <c r="O22" s="152">
        <f t="shared" si="3"/>
        <v>9069.6410000000033</v>
      </c>
      <c r="P22" s="152">
        <f t="shared" si="4"/>
        <v>557177.92300000007</v>
      </c>
    </row>
    <row r="23" spans="1:16" x14ac:dyDescent="0.15">
      <c r="A23" s="154"/>
      <c r="B23" s="151"/>
      <c r="C23" s="152"/>
      <c r="D23" s="158" t="s">
        <v>80</v>
      </c>
      <c r="E23" s="154" t="s">
        <v>72</v>
      </c>
      <c r="F23" s="157" t="s">
        <v>97</v>
      </c>
      <c r="G23" s="151"/>
      <c r="H23" s="152">
        <v>35949.51</v>
      </c>
      <c r="I23" s="158" t="s">
        <v>80</v>
      </c>
      <c r="J23" s="152"/>
      <c r="K23" s="159"/>
      <c r="L23" s="154" t="s">
        <v>108</v>
      </c>
      <c r="M23" s="152">
        <v>9070</v>
      </c>
      <c r="N23" s="150" t="s">
        <v>47</v>
      </c>
      <c r="O23" s="152">
        <f t="shared" si="3"/>
        <v>-0.35899999999674037</v>
      </c>
      <c r="P23" s="152">
        <f t="shared" si="4"/>
        <v>584057.43300000008</v>
      </c>
    </row>
    <row r="24" spans="1:16" x14ac:dyDescent="0.15">
      <c r="A24" s="154"/>
      <c r="B24" s="151"/>
      <c r="C24" s="152"/>
      <c r="D24" s="158"/>
      <c r="E24" s="154"/>
      <c r="F24" s="157"/>
      <c r="G24" s="151"/>
      <c r="H24" s="152"/>
      <c r="I24" s="158" t="s">
        <v>80</v>
      </c>
      <c r="J24" s="152"/>
      <c r="K24" s="159"/>
      <c r="L24" s="154" t="s">
        <v>108</v>
      </c>
      <c r="M24" s="152">
        <v>39993</v>
      </c>
      <c r="N24" s="150" t="s">
        <v>59</v>
      </c>
      <c r="O24" s="152">
        <f>C11+O23-J24-M24</f>
        <v>0.14700000000448199</v>
      </c>
      <c r="P24" s="152">
        <f t="shared" ref="P24:P28" si="11">P23+H24-J24-M24</f>
        <v>544064.43300000008</v>
      </c>
    </row>
    <row r="25" spans="1:16" x14ac:dyDescent="0.15">
      <c r="A25" s="154"/>
      <c r="B25" s="151"/>
      <c r="C25" s="152"/>
      <c r="D25" s="158"/>
      <c r="E25" s="154"/>
      <c r="F25" s="157"/>
      <c r="G25" s="151"/>
      <c r="H25" s="152"/>
      <c r="I25" s="153" t="s">
        <v>80</v>
      </c>
      <c r="J25" s="152"/>
      <c r="K25" s="159"/>
      <c r="L25" s="154" t="s">
        <v>107</v>
      </c>
      <c r="M25" s="152">
        <v>20887</v>
      </c>
      <c r="N25" s="150" t="s">
        <v>63</v>
      </c>
      <c r="O25" s="152">
        <f>C12+O24-J25-M25</f>
        <v>139240.97499999998</v>
      </c>
      <c r="P25" s="152">
        <f t="shared" ref="P25" si="12">P24+H25-J25-M25</f>
        <v>523177.43300000008</v>
      </c>
    </row>
    <row r="26" spans="1:16" x14ac:dyDescent="0.15">
      <c r="A26" s="154"/>
      <c r="B26" s="151"/>
      <c r="C26" s="152"/>
      <c r="D26" s="153"/>
      <c r="E26" s="154"/>
      <c r="F26" s="160"/>
      <c r="G26" s="151"/>
      <c r="H26" s="152"/>
      <c r="I26" s="153" t="s">
        <v>81</v>
      </c>
      <c r="J26" s="152"/>
      <c r="K26" s="159"/>
      <c r="L26" s="154" t="s">
        <v>107</v>
      </c>
      <c r="M26" s="152">
        <v>1495</v>
      </c>
      <c r="N26" s="150" t="s">
        <v>63</v>
      </c>
      <c r="O26" s="152">
        <f>+O25-J26-M26</f>
        <v>137745.97499999998</v>
      </c>
      <c r="P26" s="152">
        <f t="shared" ref="P26" si="13">P25+H26-J26-M26</f>
        <v>521682.43300000008</v>
      </c>
    </row>
    <row r="27" spans="1:16" x14ac:dyDescent="0.15">
      <c r="A27" s="154"/>
      <c r="B27" s="151"/>
      <c r="C27" s="152"/>
      <c r="D27" s="153" t="s">
        <v>82</v>
      </c>
      <c r="E27" s="154" t="s">
        <v>72</v>
      </c>
      <c r="F27" s="157" t="s">
        <v>97</v>
      </c>
      <c r="G27" s="151"/>
      <c r="H27" s="152">
        <v>35954.974000000002</v>
      </c>
      <c r="I27" s="153" t="s">
        <v>82</v>
      </c>
      <c r="J27" s="152"/>
      <c r="K27" s="159"/>
      <c r="L27" s="154" t="s">
        <v>107</v>
      </c>
      <c r="M27" s="152">
        <v>5808</v>
      </c>
      <c r="N27" s="150" t="s">
        <v>63</v>
      </c>
      <c r="O27" s="152">
        <f t="shared" ref="O27:O28" si="14">+O26-J27-M27</f>
        <v>131937.97499999998</v>
      </c>
      <c r="P27" s="152">
        <f t="shared" si="11"/>
        <v>551829.40700000012</v>
      </c>
    </row>
    <row r="28" spans="1:16" x14ac:dyDescent="0.15">
      <c r="A28" s="154"/>
      <c r="B28" s="151"/>
      <c r="C28" s="152"/>
      <c r="D28" s="153"/>
      <c r="E28" s="154"/>
      <c r="F28" s="160"/>
      <c r="G28" s="151"/>
      <c r="H28" s="152"/>
      <c r="I28" s="153" t="s">
        <v>83</v>
      </c>
      <c r="J28" s="152">
        <v>2254</v>
      </c>
      <c r="K28" s="150" t="s">
        <v>63</v>
      </c>
      <c r="L28" s="154"/>
      <c r="M28" s="152"/>
      <c r="N28" s="150"/>
      <c r="O28" s="152">
        <f t="shared" si="14"/>
        <v>129683.97499999998</v>
      </c>
      <c r="P28" s="152">
        <f t="shared" si="11"/>
        <v>549575.40700000012</v>
      </c>
    </row>
    <row r="29" spans="1:16" x14ac:dyDescent="0.15">
      <c r="A29" s="154"/>
      <c r="B29" s="151"/>
      <c r="C29" s="152"/>
      <c r="D29" s="153" t="s">
        <v>84</v>
      </c>
      <c r="E29" s="154" t="s">
        <v>72</v>
      </c>
      <c r="F29" s="157" t="s">
        <v>98</v>
      </c>
      <c r="G29" s="151"/>
      <c r="H29" s="152">
        <v>39947.267</v>
      </c>
      <c r="I29" s="153" t="s">
        <v>84</v>
      </c>
      <c r="J29" s="152"/>
      <c r="K29" s="159"/>
      <c r="L29" s="154" t="s">
        <v>107</v>
      </c>
      <c r="M29" s="152">
        <v>84020</v>
      </c>
      <c r="N29" s="150" t="s">
        <v>63</v>
      </c>
      <c r="O29" s="152">
        <f t="shared" si="3"/>
        <v>45663.974999999977</v>
      </c>
      <c r="P29" s="152">
        <f t="shared" si="4"/>
        <v>505502.67400000012</v>
      </c>
    </row>
    <row r="30" spans="1:16" x14ac:dyDescent="0.15">
      <c r="A30" s="154"/>
      <c r="B30" s="151"/>
      <c r="C30" s="152"/>
      <c r="D30" s="153"/>
      <c r="E30" s="154"/>
      <c r="F30" s="160"/>
      <c r="G30" s="151"/>
      <c r="H30" s="152"/>
      <c r="I30" s="153" t="s">
        <v>85</v>
      </c>
      <c r="J30" s="152">
        <v>1151</v>
      </c>
      <c r="K30" s="150" t="s">
        <v>63</v>
      </c>
      <c r="L30" s="154"/>
      <c r="M30" s="152"/>
      <c r="N30" s="150"/>
      <c r="O30" s="152">
        <f t="shared" si="3"/>
        <v>44512.974999999977</v>
      </c>
      <c r="P30" s="152">
        <f t="shared" si="4"/>
        <v>504351.67400000012</v>
      </c>
    </row>
    <row r="31" spans="1:16" x14ac:dyDescent="0.15">
      <c r="A31" s="154"/>
      <c r="B31" s="151"/>
      <c r="C31" s="152"/>
      <c r="D31" s="153"/>
      <c r="E31" s="154"/>
      <c r="F31" s="160"/>
      <c r="G31" s="151"/>
      <c r="H31" s="152"/>
      <c r="I31" s="153" t="s">
        <v>86</v>
      </c>
      <c r="J31" s="152">
        <v>1388</v>
      </c>
      <c r="K31" s="150" t="s">
        <v>63</v>
      </c>
      <c r="L31" s="154"/>
      <c r="M31" s="152"/>
      <c r="N31" s="150"/>
      <c r="O31" s="152">
        <f t="shared" si="3"/>
        <v>43124.974999999977</v>
      </c>
      <c r="P31" s="152">
        <f t="shared" si="4"/>
        <v>502963.67400000012</v>
      </c>
    </row>
    <row r="32" spans="1:16" x14ac:dyDescent="0.15">
      <c r="A32" s="154"/>
      <c r="B32" s="151"/>
      <c r="C32" s="152"/>
      <c r="D32" s="153" t="s">
        <v>87</v>
      </c>
      <c r="E32" s="154" t="s">
        <v>72</v>
      </c>
      <c r="F32" s="157" t="s">
        <v>98</v>
      </c>
      <c r="G32" s="151"/>
      <c r="H32" s="152">
        <v>39993.915999999997</v>
      </c>
      <c r="I32" s="158" t="s">
        <v>87</v>
      </c>
      <c r="J32" s="152">
        <v>996</v>
      </c>
      <c r="K32" s="150" t="s">
        <v>63</v>
      </c>
      <c r="L32" s="154" t="s">
        <v>107</v>
      </c>
      <c r="M32" s="152">
        <v>42129</v>
      </c>
      <c r="N32" s="150" t="s">
        <v>63</v>
      </c>
      <c r="O32" s="152">
        <f t="shared" ref="O32:O36" si="15">+O31-J32-M32</f>
        <v>-2.5000000023283064E-2</v>
      </c>
      <c r="P32" s="152">
        <f t="shared" ref="P32:P36" si="16">P31+H32-J32-M32</f>
        <v>499832.59000000008</v>
      </c>
    </row>
    <row r="33" spans="1:16" x14ac:dyDescent="0.15">
      <c r="A33" s="154"/>
      <c r="B33" s="151"/>
      <c r="C33" s="152"/>
      <c r="D33" s="153"/>
      <c r="E33" s="154"/>
      <c r="F33" s="157"/>
      <c r="G33" s="151"/>
      <c r="H33" s="152"/>
      <c r="I33" s="153" t="s">
        <v>87</v>
      </c>
      <c r="J33" s="152"/>
      <c r="K33" s="150"/>
      <c r="L33" s="154" t="s">
        <v>107</v>
      </c>
      <c r="M33" s="152">
        <v>33031</v>
      </c>
      <c r="N33" s="150" t="s">
        <v>64</v>
      </c>
      <c r="O33" s="152">
        <f>C13+H14+O32-J33-M33</f>
        <v>122811.95199999999</v>
      </c>
      <c r="P33" s="152">
        <f t="shared" si="16"/>
        <v>466801.59000000008</v>
      </c>
    </row>
    <row r="34" spans="1:16" x14ac:dyDescent="0.15">
      <c r="A34" s="154"/>
      <c r="B34" s="151"/>
      <c r="C34" s="152"/>
      <c r="D34" s="153"/>
      <c r="E34" s="154"/>
      <c r="F34" s="160"/>
      <c r="G34" s="151"/>
      <c r="H34" s="152"/>
      <c r="I34" s="158" t="s">
        <v>88</v>
      </c>
      <c r="J34" s="152"/>
      <c r="K34" s="150"/>
      <c r="L34" s="154" t="s">
        <v>107</v>
      </c>
      <c r="M34" s="152">
        <v>8502</v>
      </c>
      <c r="N34" s="150" t="s">
        <v>64</v>
      </c>
      <c r="O34" s="152">
        <f t="shared" si="15"/>
        <v>114309.95199999999</v>
      </c>
      <c r="P34" s="152">
        <f t="shared" si="16"/>
        <v>458299.59000000008</v>
      </c>
    </row>
    <row r="35" spans="1:16" x14ac:dyDescent="0.15">
      <c r="A35" s="154"/>
      <c r="B35" s="151"/>
      <c r="C35" s="152"/>
      <c r="D35" s="153"/>
      <c r="E35" s="154"/>
      <c r="F35" s="160"/>
      <c r="G35" s="151"/>
      <c r="H35" s="152"/>
      <c r="I35" s="153" t="s">
        <v>89</v>
      </c>
      <c r="J35" s="152"/>
      <c r="K35" s="150"/>
      <c r="L35" s="154" t="s">
        <v>107</v>
      </c>
      <c r="M35" s="152">
        <v>953</v>
      </c>
      <c r="N35" s="150" t="s">
        <v>64</v>
      </c>
      <c r="O35" s="152">
        <f t="shared" si="15"/>
        <v>113356.95199999999</v>
      </c>
      <c r="P35" s="152">
        <f t="shared" si="16"/>
        <v>457346.59000000008</v>
      </c>
    </row>
    <row r="36" spans="1:16" x14ac:dyDescent="0.15">
      <c r="A36" s="154"/>
      <c r="B36" s="151"/>
      <c r="C36" s="152"/>
      <c r="D36" s="153" t="s">
        <v>90</v>
      </c>
      <c r="E36" s="154" t="s">
        <v>72</v>
      </c>
      <c r="F36" s="160" t="s">
        <v>99</v>
      </c>
      <c r="G36" s="151"/>
      <c r="H36" s="152">
        <v>61419.754999999997</v>
      </c>
      <c r="I36" s="153" t="s">
        <v>90</v>
      </c>
      <c r="J36" s="152"/>
      <c r="K36" s="150"/>
      <c r="L36" s="154"/>
      <c r="M36" s="152"/>
      <c r="N36" s="159"/>
      <c r="O36" s="152">
        <f t="shared" si="15"/>
        <v>113356.95199999999</v>
      </c>
      <c r="P36" s="152">
        <f t="shared" si="16"/>
        <v>518766.34500000009</v>
      </c>
    </row>
    <row r="37" spans="1:16" x14ac:dyDescent="0.15">
      <c r="A37" s="154"/>
      <c r="B37" s="151"/>
      <c r="C37" s="152"/>
      <c r="D37" s="153" t="s">
        <v>90</v>
      </c>
      <c r="E37" s="154" t="s">
        <v>72</v>
      </c>
      <c r="F37" s="160" t="s">
        <v>100</v>
      </c>
      <c r="G37" s="151"/>
      <c r="H37" s="152">
        <v>14577</v>
      </c>
      <c r="I37" s="153" t="s">
        <v>90</v>
      </c>
      <c r="J37" s="152"/>
      <c r="K37" s="150"/>
      <c r="L37" s="154" t="s">
        <v>107</v>
      </c>
      <c r="M37" s="152">
        <v>113357</v>
      </c>
      <c r="N37" s="150" t="s">
        <v>64</v>
      </c>
      <c r="O37" s="152">
        <f t="shared" ref="O37:O40" si="17">+O36-J37-M37</f>
        <v>-4.8000000009778887E-2</v>
      </c>
      <c r="P37" s="152">
        <f t="shared" ref="P37:P40" si="18">P36+H37-J37-M37</f>
        <v>419986.34500000009</v>
      </c>
    </row>
    <row r="38" spans="1:16" x14ac:dyDescent="0.15">
      <c r="A38" s="154"/>
      <c r="B38" s="151"/>
      <c r="C38" s="152"/>
      <c r="D38" s="153"/>
      <c r="E38" s="154"/>
      <c r="F38" s="160"/>
      <c r="G38" s="151"/>
      <c r="H38" s="152"/>
      <c r="I38" s="153" t="s">
        <v>90</v>
      </c>
      <c r="J38" s="152"/>
      <c r="K38" s="150"/>
      <c r="L38" s="154" t="s">
        <v>108</v>
      </c>
      <c r="M38" s="152">
        <v>19643</v>
      </c>
      <c r="N38" s="150" t="s">
        <v>95</v>
      </c>
      <c r="O38" s="152">
        <f>H17+H20+O37-J38-M38</f>
        <v>132503.356</v>
      </c>
      <c r="P38" s="152">
        <f t="shared" si="18"/>
        <v>400343.34500000009</v>
      </c>
    </row>
    <row r="39" spans="1:16" x14ac:dyDescent="0.15">
      <c r="A39" s="154"/>
      <c r="B39" s="151"/>
      <c r="C39" s="152"/>
      <c r="D39" s="158"/>
      <c r="E39" s="154"/>
      <c r="F39" s="150"/>
      <c r="G39" s="151"/>
      <c r="H39" s="152"/>
      <c r="I39" s="158" t="s">
        <v>91</v>
      </c>
      <c r="J39" s="152"/>
      <c r="K39" s="150"/>
      <c r="L39" s="154" t="s">
        <v>108</v>
      </c>
      <c r="M39" s="152">
        <v>47881</v>
      </c>
      <c r="N39" s="150" t="s">
        <v>95</v>
      </c>
      <c r="O39" s="152">
        <f t="shared" si="17"/>
        <v>84622.356</v>
      </c>
      <c r="P39" s="152">
        <f t="shared" si="18"/>
        <v>352462.34500000009</v>
      </c>
    </row>
    <row r="40" spans="1:16" x14ac:dyDescent="0.15">
      <c r="A40" s="154"/>
      <c r="B40" s="151"/>
      <c r="C40" s="152"/>
      <c r="D40" s="153" t="s">
        <v>92</v>
      </c>
      <c r="E40" s="154" t="s">
        <v>72</v>
      </c>
      <c r="F40" s="160" t="s">
        <v>100</v>
      </c>
      <c r="G40" s="151"/>
      <c r="H40" s="152">
        <v>75962.085000000006</v>
      </c>
      <c r="I40" s="153" t="s">
        <v>92</v>
      </c>
      <c r="J40" s="152"/>
      <c r="K40" s="150"/>
      <c r="L40" s="154" t="s">
        <v>108</v>
      </c>
      <c r="M40" s="152">
        <v>74052</v>
      </c>
      <c r="N40" s="150" t="s">
        <v>95</v>
      </c>
      <c r="O40" s="152">
        <f t="shared" si="17"/>
        <v>10570.356</v>
      </c>
      <c r="P40" s="152">
        <f t="shared" si="18"/>
        <v>354372.43000000011</v>
      </c>
    </row>
    <row r="41" spans="1:16" x14ac:dyDescent="0.15">
      <c r="A41" s="154"/>
      <c r="B41" s="151"/>
      <c r="C41" s="152"/>
      <c r="D41" s="153" t="s">
        <v>101</v>
      </c>
      <c r="E41" s="154" t="s">
        <v>72</v>
      </c>
      <c r="F41" s="160" t="s">
        <v>102</v>
      </c>
      <c r="G41" s="151"/>
      <c r="H41" s="152">
        <v>35979.928999999996</v>
      </c>
      <c r="I41" s="153" t="s">
        <v>101</v>
      </c>
      <c r="J41" s="152"/>
      <c r="K41" s="150"/>
      <c r="L41" s="154"/>
      <c r="M41" s="152"/>
      <c r="N41" s="150"/>
      <c r="O41" s="152">
        <f t="shared" si="3"/>
        <v>10570.356</v>
      </c>
      <c r="P41" s="152">
        <f t="shared" si="4"/>
        <v>390352.35900000011</v>
      </c>
    </row>
    <row r="42" spans="1:16" x14ac:dyDescent="0.15">
      <c r="A42" s="154"/>
      <c r="B42" s="151"/>
      <c r="C42" s="152"/>
      <c r="D42" s="153"/>
      <c r="E42" s="154"/>
      <c r="F42" s="160"/>
      <c r="G42" s="151"/>
      <c r="H42" s="152"/>
      <c r="I42" s="153" t="s">
        <v>93</v>
      </c>
      <c r="J42" s="152"/>
      <c r="K42" s="150"/>
      <c r="L42" s="154" t="s">
        <v>108</v>
      </c>
      <c r="M42" s="152">
        <v>10570</v>
      </c>
      <c r="N42" s="150" t="s">
        <v>95</v>
      </c>
      <c r="O42" s="152">
        <f t="shared" si="3"/>
        <v>0.35599999999976717</v>
      </c>
      <c r="P42" s="152">
        <f t="shared" si="4"/>
        <v>379782.35900000011</v>
      </c>
    </row>
    <row r="43" spans="1:16" x14ac:dyDescent="0.15">
      <c r="A43" s="154"/>
      <c r="B43" s="151"/>
      <c r="C43" s="152"/>
      <c r="D43" s="153"/>
      <c r="E43" s="154"/>
      <c r="F43" s="160"/>
      <c r="G43" s="151"/>
      <c r="H43" s="152"/>
      <c r="I43" s="153"/>
      <c r="J43" s="152"/>
      <c r="K43" s="150"/>
      <c r="L43" s="154" t="s">
        <v>108</v>
      </c>
      <c r="M43" s="152">
        <v>11365</v>
      </c>
      <c r="N43" s="150" t="s">
        <v>97</v>
      </c>
      <c r="O43" s="152">
        <f>H22+H23+H27+O42-J43-M43</f>
        <v>100537.40700000001</v>
      </c>
      <c r="P43" s="152">
        <f t="shared" ref="P43:P106" si="19">P42+H43-J43-M43</f>
        <v>368417.35900000011</v>
      </c>
    </row>
    <row r="44" spans="1:16" x14ac:dyDescent="0.15">
      <c r="A44" s="154"/>
      <c r="B44" s="151"/>
      <c r="C44" s="152"/>
      <c r="D44" s="153" t="s">
        <v>94</v>
      </c>
      <c r="E44" s="154" t="s">
        <v>72</v>
      </c>
      <c r="F44" s="160" t="s">
        <v>102</v>
      </c>
      <c r="G44" s="151"/>
      <c r="H44" s="152">
        <v>75996.553</v>
      </c>
      <c r="I44" s="153" t="s">
        <v>94</v>
      </c>
      <c r="J44" s="152"/>
      <c r="K44" s="150"/>
      <c r="L44" s="154" t="s">
        <v>108</v>
      </c>
      <c r="M44" s="152">
        <v>84350</v>
      </c>
      <c r="N44" s="150" t="s">
        <v>97</v>
      </c>
      <c r="O44" s="152">
        <f t="shared" ref="O44:O106" si="20">+O43-J44-M44</f>
        <v>16187.407000000007</v>
      </c>
      <c r="P44" s="152">
        <f t="shared" si="19"/>
        <v>360063.91200000013</v>
      </c>
    </row>
    <row r="45" spans="1:16" hidden="1" x14ac:dyDescent="0.15">
      <c r="A45" s="154"/>
      <c r="B45" s="161"/>
      <c r="C45" s="152"/>
      <c r="D45" s="158"/>
      <c r="E45" s="154"/>
      <c r="F45" s="162"/>
      <c r="G45" s="151"/>
      <c r="H45" s="152"/>
      <c r="I45" s="158"/>
      <c r="J45" s="152"/>
      <c r="K45" s="159"/>
      <c r="L45" s="154"/>
      <c r="M45" s="152"/>
      <c r="N45" s="159"/>
      <c r="O45" s="152">
        <f t="shared" si="20"/>
        <v>16187.407000000007</v>
      </c>
      <c r="P45" s="152">
        <f t="shared" si="19"/>
        <v>360063.91200000013</v>
      </c>
    </row>
    <row r="46" spans="1:16" hidden="1" x14ac:dyDescent="0.15">
      <c r="A46" s="154"/>
      <c r="B46" s="163"/>
      <c r="C46" s="152"/>
      <c r="D46" s="158"/>
      <c r="E46" s="154"/>
      <c r="F46" s="154"/>
      <c r="G46" s="163"/>
      <c r="H46" s="152"/>
      <c r="I46" s="158"/>
      <c r="J46" s="152"/>
      <c r="K46" s="150"/>
      <c r="L46" s="154"/>
      <c r="M46" s="152"/>
      <c r="N46" s="159"/>
      <c r="O46" s="152">
        <f t="shared" si="20"/>
        <v>16187.407000000007</v>
      </c>
      <c r="P46" s="152">
        <f t="shared" si="19"/>
        <v>360063.91200000013</v>
      </c>
    </row>
    <row r="47" spans="1:16" hidden="1" x14ac:dyDescent="0.15">
      <c r="A47" s="154"/>
      <c r="B47" s="163"/>
      <c r="C47" s="152"/>
      <c r="D47" s="158"/>
      <c r="E47" s="154"/>
      <c r="F47" s="154"/>
      <c r="G47" s="163"/>
      <c r="H47" s="152"/>
      <c r="I47" s="158"/>
      <c r="J47" s="152"/>
      <c r="K47" s="150"/>
      <c r="L47" s="154"/>
      <c r="M47" s="152"/>
      <c r="N47" s="159"/>
      <c r="O47" s="152">
        <f t="shared" si="20"/>
        <v>16187.407000000007</v>
      </c>
      <c r="P47" s="152">
        <f t="shared" si="19"/>
        <v>360063.91200000013</v>
      </c>
    </row>
    <row r="48" spans="1:16" hidden="1" x14ac:dyDescent="0.15">
      <c r="A48" s="154"/>
      <c r="B48" s="163"/>
      <c r="C48" s="152"/>
      <c r="D48" s="158"/>
      <c r="E48" s="154"/>
      <c r="F48" s="160"/>
      <c r="G48" s="163"/>
      <c r="H48" s="152"/>
      <c r="I48" s="158"/>
      <c r="J48" s="152"/>
      <c r="K48" s="150"/>
      <c r="L48" s="154"/>
      <c r="M48" s="152"/>
      <c r="N48" s="159"/>
      <c r="O48" s="152">
        <f t="shared" si="20"/>
        <v>16187.407000000007</v>
      </c>
      <c r="P48" s="152">
        <f t="shared" si="19"/>
        <v>360063.91200000013</v>
      </c>
    </row>
    <row r="49" spans="1:16" hidden="1" x14ac:dyDescent="0.15">
      <c r="A49" s="164"/>
      <c r="B49" s="164"/>
      <c r="C49" s="152"/>
      <c r="D49" s="158"/>
      <c r="E49" s="154"/>
      <c r="F49" s="165"/>
      <c r="G49" s="166"/>
      <c r="H49" s="152"/>
      <c r="I49" s="158"/>
      <c r="J49" s="152"/>
      <c r="K49" s="154"/>
      <c r="L49" s="154"/>
      <c r="M49" s="152"/>
      <c r="N49" s="150"/>
      <c r="O49" s="152">
        <f t="shared" si="20"/>
        <v>16187.407000000007</v>
      </c>
      <c r="P49" s="152">
        <f t="shared" si="19"/>
        <v>360063.91200000013</v>
      </c>
    </row>
    <row r="50" spans="1:16" hidden="1" x14ac:dyDescent="0.15">
      <c r="A50" s="150"/>
      <c r="B50" s="161"/>
      <c r="C50" s="152"/>
      <c r="D50" s="153"/>
      <c r="E50" s="154"/>
      <c r="F50" s="157"/>
      <c r="G50" s="151"/>
      <c r="H50" s="152"/>
      <c r="I50" s="158"/>
      <c r="J50" s="152"/>
      <c r="K50" s="159"/>
      <c r="L50" s="154"/>
      <c r="M50" s="152"/>
      <c r="N50" s="159"/>
      <c r="O50" s="152">
        <f t="shared" si="20"/>
        <v>16187.407000000007</v>
      </c>
      <c r="P50" s="152">
        <f t="shared" si="19"/>
        <v>360063.91200000013</v>
      </c>
    </row>
    <row r="51" spans="1:16" hidden="1" x14ac:dyDescent="0.15">
      <c r="A51" s="150"/>
      <c r="B51" s="161"/>
      <c r="C51" s="152"/>
      <c r="D51" s="158"/>
      <c r="E51" s="154"/>
      <c r="F51" s="165"/>
      <c r="G51" s="151"/>
      <c r="H51" s="152"/>
      <c r="I51" s="158"/>
      <c r="J51" s="152"/>
      <c r="K51" s="159"/>
      <c r="L51" s="154"/>
      <c r="M51" s="152"/>
      <c r="N51" s="159"/>
      <c r="O51" s="152">
        <f t="shared" si="20"/>
        <v>16187.407000000007</v>
      </c>
      <c r="P51" s="152">
        <f t="shared" si="19"/>
        <v>360063.91200000013</v>
      </c>
    </row>
    <row r="52" spans="1:16" hidden="1" x14ac:dyDescent="0.15">
      <c r="A52" s="150"/>
      <c r="B52" s="161"/>
      <c r="C52" s="152"/>
      <c r="D52" s="158"/>
      <c r="E52" s="154"/>
      <c r="F52" s="165"/>
      <c r="G52" s="151"/>
      <c r="H52" s="152"/>
      <c r="I52" s="158"/>
      <c r="J52" s="152"/>
      <c r="K52" s="159"/>
      <c r="L52" s="154"/>
      <c r="M52" s="152"/>
      <c r="N52" s="159"/>
      <c r="O52" s="152">
        <f t="shared" si="20"/>
        <v>16187.407000000007</v>
      </c>
      <c r="P52" s="152">
        <f t="shared" si="19"/>
        <v>360063.91200000013</v>
      </c>
    </row>
    <row r="53" spans="1:16" hidden="1" x14ac:dyDescent="0.15">
      <c r="A53" s="150"/>
      <c r="B53" s="161"/>
      <c r="C53" s="152"/>
      <c r="D53" s="153"/>
      <c r="E53" s="154"/>
      <c r="F53" s="165"/>
      <c r="G53" s="151"/>
      <c r="H53" s="152"/>
      <c r="I53" s="158"/>
      <c r="J53" s="152"/>
      <c r="K53" s="159"/>
      <c r="L53" s="154"/>
      <c r="M53" s="152"/>
      <c r="N53" s="159"/>
      <c r="O53" s="152">
        <f t="shared" si="20"/>
        <v>16187.407000000007</v>
      </c>
      <c r="P53" s="152">
        <f t="shared" si="19"/>
        <v>360063.91200000013</v>
      </c>
    </row>
    <row r="54" spans="1:16" hidden="1" x14ac:dyDescent="0.15">
      <c r="A54" s="154"/>
      <c r="B54" s="154"/>
      <c r="C54" s="152"/>
      <c r="D54" s="153"/>
      <c r="E54" s="154"/>
      <c r="F54" s="165"/>
      <c r="G54" s="151"/>
      <c r="H54" s="152"/>
      <c r="I54" s="158"/>
      <c r="J54" s="152"/>
      <c r="K54" s="159"/>
      <c r="L54" s="154"/>
      <c r="M54" s="152"/>
      <c r="N54" s="159"/>
      <c r="O54" s="152">
        <f t="shared" si="20"/>
        <v>16187.407000000007</v>
      </c>
      <c r="P54" s="152">
        <f t="shared" si="19"/>
        <v>360063.91200000013</v>
      </c>
    </row>
    <row r="55" spans="1:16" hidden="1" x14ac:dyDescent="0.15">
      <c r="A55" s="154"/>
      <c r="B55" s="154"/>
      <c r="C55" s="152"/>
      <c r="D55" s="153"/>
      <c r="E55" s="154"/>
      <c r="F55" s="154"/>
      <c r="G55" s="163"/>
      <c r="H55" s="152"/>
      <c r="I55" s="158"/>
      <c r="J55" s="152"/>
      <c r="K55" s="154"/>
      <c r="L55" s="154"/>
      <c r="M55" s="152"/>
      <c r="N55" s="159"/>
      <c r="O55" s="152">
        <f t="shared" si="20"/>
        <v>16187.407000000007</v>
      </c>
      <c r="P55" s="152">
        <f t="shared" si="19"/>
        <v>360063.91200000013</v>
      </c>
    </row>
    <row r="56" spans="1:16" hidden="1" x14ac:dyDescent="0.15">
      <c r="A56" s="154"/>
      <c r="B56" s="154"/>
      <c r="C56" s="152"/>
      <c r="D56" s="153"/>
      <c r="E56" s="154"/>
      <c r="F56" s="154"/>
      <c r="G56" s="163"/>
      <c r="H56" s="152"/>
      <c r="I56" s="158"/>
      <c r="J56" s="152"/>
      <c r="K56" s="154"/>
      <c r="L56" s="154"/>
      <c r="M56" s="152"/>
      <c r="N56" s="159"/>
      <c r="O56" s="152">
        <f t="shared" si="20"/>
        <v>16187.407000000007</v>
      </c>
      <c r="P56" s="152">
        <f t="shared" si="19"/>
        <v>360063.91200000013</v>
      </c>
    </row>
    <row r="57" spans="1:16" hidden="1" x14ac:dyDescent="0.15">
      <c r="A57" s="154"/>
      <c r="B57" s="154"/>
      <c r="C57" s="152"/>
      <c r="D57" s="153"/>
      <c r="E57" s="154"/>
      <c r="F57" s="154"/>
      <c r="G57" s="163"/>
      <c r="H57" s="152"/>
      <c r="I57" s="153"/>
      <c r="J57" s="152"/>
      <c r="K57" s="154"/>
      <c r="L57" s="154"/>
      <c r="M57" s="152"/>
      <c r="N57" s="159"/>
      <c r="O57" s="152">
        <f t="shared" si="20"/>
        <v>16187.407000000007</v>
      </c>
      <c r="P57" s="152">
        <f t="shared" si="19"/>
        <v>360063.91200000013</v>
      </c>
    </row>
    <row r="58" spans="1:16" hidden="1" x14ac:dyDescent="0.15">
      <c r="A58" s="154"/>
      <c r="B58" s="154"/>
      <c r="C58" s="152"/>
      <c r="D58" s="158"/>
      <c r="E58" s="154"/>
      <c r="F58" s="165"/>
      <c r="G58" s="163"/>
      <c r="H58" s="152"/>
      <c r="I58" s="158"/>
      <c r="J58" s="152"/>
      <c r="K58" s="154"/>
      <c r="L58" s="154"/>
      <c r="M58" s="152"/>
      <c r="N58" s="154"/>
      <c r="O58" s="152">
        <f t="shared" si="20"/>
        <v>16187.407000000007</v>
      </c>
      <c r="P58" s="152">
        <f t="shared" si="19"/>
        <v>360063.91200000013</v>
      </c>
    </row>
    <row r="59" spans="1:16" hidden="1" x14ac:dyDescent="0.15">
      <c r="A59" s="154"/>
      <c r="B59" s="154"/>
      <c r="C59" s="152"/>
      <c r="D59" s="158"/>
      <c r="E59" s="154"/>
      <c r="F59" s="165"/>
      <c r="G59" s="163"/>
      <c r="H59" s="152"/>
      <c r="I59" s="158"/>
      <c r="J59" s="152"/>
      <c r="K59" s="154"/>
      <c r="L59" s="154"/>
      <c r="M59" s="152"/>
      <c r="N59" s="154"/>
      <c r="O59" s="152">
        <f t="shared" si="20"/>
        <v>16187.407000000007</v>
      </c>
      <c r="P59" s="152">
        <f t="shared" si="19"/>
        <v>360063.91200000013</v>
      </c>
    </row>
    <row r="60" spans="1:16" hidden="1" x14ac:dyDescent="0.15">
      <c r="A60" s="154"/>
      <c r="B60" s="154"/>
      <c r="C60" s="152"/>
      <c r="D60" s="153"/>
      <c r="E60" s="154"/>
      <c r="F60" s="154"/>
      <c r="G60" s="163"/>
      <c r="H60" s="152"/>
      <c r="I60" s="158"/>
      <c r="J60" s="152"/>
      <c r="K60" s="154"/>
      <c r="L60" s="154"/>
      <c r="M60" s="152"/>
      <c r="N60" s="154"/>
      <c r="O60" s="152">
        <f t="shared" si="20"/>
        <v>16187.407000000007</v>
      </c>
      <c r="P60" s="152">
        <f t="shared" si="19"/>
        <v>360063.91200000013</v>
      </c>
    </row>
    <row r="61" spans="1:16" hidden="1" x14ac:dyDescent="0.15">
      <c r="A61" s="154"/>
      <c r="B61" s="154"/>
      <c r="C61" s="152"/>
      <c r="D61" s="158"/>
      <c r="E61" s="154"/>
      <c r="F61" s="154"/>
      <c r="G61" s="163"/>
      <c r="H61" s="152"/>
      <c r="I61" s="158"/>
      <c r="J61" s="152"/>
      <c r="K61" s="159"/>
      <c r="L61" s="154"/>
      <c r="M61" s="152"/>
      <c r="N61" s="159"/>
      <c r="O61" s="152">
        <f t="shared" si="20"/>
        <v>16187.407000000007</v>
      </c>
      <c r="P61" s="152">
        <f t="shared" si="19"/>
        <v>360063.91200000013</v>
      </c>
    </row>
    <row r="62" spans="1:16" hidden="1" x14ac:dyDescent="0.15">
      <c r="A62" s="154"/>
      <c r="B62" s="154"/>
      <c r="C62" s="152"/>
      <c r="D62" s="158"/>
      <c r="E62" s="154"/>
      <c r="F62" s="154"/>
      <c r="G62" s="163"/>
      <c r="H62" s="152"/>
      <c r="I62" s="153"/>
      <c r="J62" s="152"/>
      <c r="K62" s="159"/>
      <c r="L62" s="154"/>
      <c r="M62" s="152"/>
      <c r="N62" s="159"/>
      <c r="O62" s="152">
        <f t="shared" si="20"/>
        <v>16187.407000000007</v>
      </c>
      <c r="P62" s="152">
        <f t="shared" si="19"/>
        <v>360063.91200000013</v>
      </c>
    </row>
    <row r="63" spans="1:16" hidden="1" x14ac:dyDescent="0.15">
      <c r="A63" s="154"/>
      <c r="B63" s="154"/>
      <c r="C63" s="152"/>
      <c r="D63" s="158"/>
      <c r="E63" s="154"/>
      <c r="F63" s="154"/>
      <c r="G63" s="163"/>
      <c r="H63" s="152"/>
      <c r="I63" s="153"/>
      <c r="J63" s="152"/>
      <c r="K63" s="159"/>
      <c r="L63" s="154"/>
      <c r="M63" s="152"/>
      <c r="N63" s="159"/>
      <c r="O63" s="152">
        <f t="shared" si="20"/>
        <v>16187.407000000007</v>
      </c>
      <c r="P63" s="152">
        <f t="shared" si="19"/>
        <v>360063.91200000013</v>
      </c>
    </row>
    <row r="64" spans="1:16" hidden="1" x14ac:dyDescent="0.15">
      <c r="A64" s="154"/>
      <c r="B64" s="154"/>
      <c r="C64" s="152"/>
      <c r="D64" s="158"/>
      <c r="E64" s="154"/>
      <c r="F64" s="154"/>
      <c r="G64" s="163"/>
      <c r="H64" s="152"/>
      <c r="I64" s="153"/>
      <c r="J64" s="152"/>
      <c r="K64" s="159"/>
      <c r="L64" s="154"/>
      <c r="M64" s="152"/>
      <c r="N64" s="159"/>
      <c r="O64" s="152">
        <f t="shared" si="20"/>
        <v>16187.407000000007</v>
      </c>
      <c r="P64" s="152">
        <f t="shared" si="19"/>
        <v>360063.91200000013</v>
      </c>
    </row>
    <row r="65" spans="1:16" hidden="1" x14ac:dyDescent="0.15">
      <c r="A65" s="154"/>
      <c r="B65" s="154"/>
      <c r="C65" s="152"/>
      <c r="D65" s="158"/>
      <c r="E65" s="154"/>
      <c r="F65" s="154"/>
      <c r="G65" s="163"/>
      <c r="H65" s="152"/>
      <c r="I65" s="158"/>
      <c r="J65" s="152"/>
      <c r="K65" s="154"/>
      <c r="L65" s="154"/>
      <c r="M65" s="152"/>
      <c r="N65" s="154"/>
      <c r="O65" s="152">
        <f t="shared" si="20"/>
        <v>16187.407000000007</v>
      </c>
      <c r="P65" s="152">
        <f t="shared" si="19"/>
        <v>360063.91200000013</v>
      </c>
    </row>
    <row r="66" spans="1:16" hidden="1" x14ac:dyDescent="0.15">
      <c r="A66" s="154"/>
      <c r="B66" s="154"/>
      <c r="C66" s="152"/>
      <c r="D66" s="153"/>
      <c r="E66" s="154"/>
      <c r="F66" s="154"/>
      <c r="G66" s="163"/>
      <c r="H66" s="152"/>
      <c r="I66" s="158"/>
      <c r="J66" s="152"/>
      <c r="K66" s="154"/>
      <c r="L66" s="154"/>
      <c r="M66" s="152"/>
      <c r="N66" s="154"/>
      <c r="O66" s="152">
        <f t="shared" si="20"/>
        <v>16187.407000000007</v>
      </c>
      <c r="P66" s="152">
        <f t="shared" si="19"/>
        <v>360063.91200000013</v>
      </c>
    </row>
    <row r="67" spans="1:16" hidden="1" x14ac:dyDescent="0.15">
      <c r="A67" s="154"/>
      <c r="B67" s="154"/>
      <c r="C67" s="152"/>
      <c r="D67" s="153"/>
      <c r="E67" s="154"/>
      <c r="F67" s="154"/>
      <c r="G67" s="163"/>
      <c r="H67" s="152"/>
      <c r="I67" s="158"/>
      <c r="J67" s="152"/>
      <c r="K67" s="154"/>
      <c r="L67" s="154"/>
      <c r="M67" s="152"/>
      <c r="N67" s="159"/>
      <c r="O67" s="152">
        <f t="shared" si="20"/>
        <v>16187.407000000007</v>
      </c>
      <c r="P67" s="152">
        <f t="shared" si="19"/>
        <v>360063.91200000013</v>
      </c>
    </row>
    <row r="68" spans="1:16" hidden="1" x14ac:dyDescent="0.15">
      <c r="A68" s="154"/>
      <c r="B68" s="154"/>
      <c r="C68" s="152"/>
      <c r="D68" s="153"/>
      <c r="E68" s="154"/>
      <c r="F68" s="154"/>
      <c r="G68" s="163"/>
      <c r="H68" s="152"/>
      <c r="I68" s="158"/>
      <c r="J68" s="152"/>
      <c r="K68" s="154"/>
      <c r="L68" s="154"/>
      <c r="M68" s="152"/>
      <c r="N68" s="154"/>
      <c r="O68" s="152">
        <f t="shared" si="20"/>
        <v>16187.407000000007</v>
      </c>
      <c r="P68" s="152">
        <f t="shared" si="19"/>
        <v>360063.91200000013</v>
      </c>
    </row>
    <row r="69" spans="1:16" s="167" customFormat="1" hidden="1" x14ac:dyDescent="0.15">
      <c r="A69" s="154"/>
      <c r="B69" s="154"/>
      <c r="C69" s="152"/>
      <c r="D69" s="153"/>
      <c r="E69" s="154"/>
      <c r="F69" s="154"/>
      <c r="G69" s="163"/>
      <c r="H69" s="152"/>
      <c r="I69" s="158"/>
      <c r="J69" s="152"/>
      <c r="K69" s="154"/>
      <c r="L69" s="154"/>
      <c r="M69" s="152"/>
      <c r="N69" s="154"/>
      <c r="O69" s="152">
        <f t="shared" si="20"/>
        <v>16187.407000000007</v>
      </c>
      <c r="P69" s="152">
        <f t="shared" si="19"/>
        <v>360063.91200000013</v>
      </c>
    </row>
    <row r="70" spans="1:16" s="167" customFormat="1" hidden="1" x14ac:dyDescent="0.15">
      <c r="A70" s="154"/>
      <c r="B70" s="154"/>
      <c r="C70" s="152"/>
      <c r="D70" s="158"/>
      <c r="E70" s="154"/>
      <c r="F70" s="154"/>
      <c r="G70" s="163"/>
      <c r="H70" s="152"/>
      <c r="I70" s="158"/>
      <c r="J70" s="152"/>
      <c r="K70" s="154"/>
      <c r="L70" s="154"/>
      <c r="M70" s="152"/>
      <c r="N70" s="154"/>
      <c r="O70" s="152">
        <f t="shared" si="20"/>
        <v>16187.407000000007</v>
      </c>
      <c r="P70" s="152">
        <f t="shared" si="19"/>
        <v>360063.91200000013</v>
      </c>
    </row>
    <row r="71" spans="1:16" s="167" customFormat="1" hidden="1" x14ac:dyDescent="0.15">
      <c r="A71" s="154"/>
      <c r="B71" s="151"/>
      <c r="C71" s="152"/>
      <c r="D71" s="153"/>
      <c r="E71" s="154"/>
      <c r="F71" s="154"/>
      <c r="G71" s="151"/>
      <c r="H71" s="152"/>
      <c r="I71" s="158"/>
      <c r="J71" s="152"/>
      <c r="K71" s="154"/>
      <c r="L71" s="154"/>
      <c r="M71" s="152"/>
      <c r="N71" s="154"/>
      <c r="O71" s="152">
        <f t="shared" si="20"/>
        <v>16187.407000000007</v>
      </c>
      <c r="P71" s="152">
        <f t="shared" si="19"/>
        <v>360063.91200000013</v>
      </c>
    </row>
    <row r="72" spans="1:16" s="167" customFormat="1" hidden="1" x14ac:dyDescent="0.15">
      <c r="A72" s="154"/>
      <c r="B72" s="151"/>
      <c r="C72" s="152"/>
      <c r="D72" s="153"/>
      <c r="E72" s="154"/>
      <c r="F72" s="150"/>
      <c r="G72" s="151"/>
      <c r="H72" s="152"/>
      <c r="I72" s="158"/>
      <c r="J72" s="152"/>
      <c r="K72" s="154"/>
      <c r="L72" s="154"/>
      <c r="M72" s="152"/>
      <c r="N72" s="154"/>
      <c r="O72" s="152">
        <f t="shared" si="20"/>
        <v>16187.407000000007</v>
      </c>
      <c r="P72" s="152">
        <f t="shared" si="19"/>
        <v>360063.91200000013</v>
      </c>
    </row>
    <row r="73" spans="1:16" s="167" customFormat="1" hidden="1" x14ac:dyDescent="0.15">
      <c r="A73" s="154"/>
      <c r="B73" s="151"/>
      <c r="C73" s="152"/>
      <c r="D73" s="153"/>
      <c r="E73" s="154"/>
      <c r="F73" s="150"/>
      <c r="G73" s="151"/>
      <c r="H73" s="152"/>
      <c r="I73" s="158"/>
      <c r="J73" s="152"/>
      <c r="K73" s="154"/>
      <c r="L73" s="154"/>
      <c r="M73" s="152"/>
      <c r="N73" s="154"/>
      <c r="O73" s="152">
        <f t="shared" si="20"/>
        <v>16187.407000000007</v>
      </c>
      <c r="P73" s="152">
        <f t="shared" si="19"/>
        <v>360063.91200000013</v>
      </c>
    </row>
    <row r="74" spans="1:16" s="167" customFormat="1" hidden="1" x14ac:dyDescent="0.15">
      <c r="A74" s="154"/>
      <c r="B74" s="151"/>
      <c r="C74" s="152"/>
      <c r="D74" s="153"/>
      <c r="E74" s="154"/>
      <c r="F74" s="150"/>
      <c r="G74" s="151"/>
      <c r="H74" s="152"/>
      <c r="I74" s="153"/>
      <c r="J74" s="152"/>
      <c r="K74" s="154"/>
      <c r="L74" s="154"/>
      <c r="M74" s="152"/>
      <c r="N74" s="154"/>
      <c r="O74" s="152">
        <f t="shared" si="20"/>
        <v>16187.407000000007</v>
      </c>
      <c r="P74" s="152">
        <f t="shared" si="19"/>
        <v>360063.91200000013</v>
      </c>
    </row>
    <row r="75" spans="1:16" s="167" customFormat="1" hidden="1" x14ac:dyDescent="0.15">
      <c r="A75" s="154"/>
      <c r="B75" s="151"/>
      <c r="C75" s="152"/>
      <c r="D75" s="153"/>
      <c r="E75" s="154"/>
      <c r="F75" s="150"/>
      <c r="G75" s="151"/>
      <c r="H75" s="152"/>
      <c r="I75" s="153"/>
      <c r="J75" s="152"/>
      <c r="K75" s="154"/>
      <c r="L75" s="154"/>
      <c r="M75" s="152"/>
      <c r="N75" s="154"/>
      <c r="O75" s="152">
        <f t="shared" si="20"/>
        <v>16187.407000000007</v>
      </c>
      <c r="P75" s="152">
        <f t="shared" si="19"/>
        <v>360063.91200000013</v>
      </c>
    </row>
    <row r="76" spans="1:16" s="167" customFormat="1" hidden="1" x14ac:dyDescent="0.15">
      <c r="A76" s="154"/>
      <c r="B76" s="151"/>
      <c r="C76" s="152"/>
      <c r="D76" s="158"/>
      <c r="E76" s="154"/>
      <c r="F76" s="150"/>
      <c r="G76" s="151"/>
      <c r="H76" s="152"/>
      <c r="I76" s="158"/>
      <c r="J76" s="152"/>
      <c r="K76" s="159"/>
      <c r="L76" s="154"/>
      <c r="M76" s="152"/>
      <c r="N76" s="154"/>
      <c r="O76" s="152">
        <f t="shared" si="20"/>
        <v>16187.407000000007</v>
      </c>
      <c r="P76" s="152">
        <f t="shared" si="19"/>
        <v>360063.91200000013</v>
      </c>
    </row>
    <row r="77" spans="1:16" s="167" customFormat="1" hidden="1" x14ac:dyDescent="0.15">
      <c r="A77" s="154"/>
      <c r="B77" s="154"/>
      <c r="C77" s="152"/>
      <c r="D77" s="158"/>
      <c r="E77" s="154"/>
      <c r="F77" s="157"/>
      <c r="G77" s="163"/>
      <c r="H77" s="152"/>
      <c r="I77" s="158"/>
      <c r="J77" s="152"/>
      <c r="K77" s="154"/>
      <c r="L77" s="154"/>
      <c r="M77" s="152"/>
      <c r="N77" s="154"/>
      <c r="O77" s="152">
        <f t="shared" si="20"/>
        <v>16187.407000000007</v>
      </c>
      <c r="P77" s="152">
        <f t="shared" si="19"/>
        <v>360063.91200000013</v>
      </c>
    </row>
    <row r="78" spans="1:16" s="167" customFormat="1" hidden="1" x14ac:dyDescent="0.15">
      <c r="A78" s="154"/>
      <c r="B78" s="154"/>
      <c r="C78" s="152"/>
      <c r="D78" s="153"/>
      <c r="E78" s="154"/>
      <c r="F78" s="150"/>
      <c r="G78" s="151"/>
      <c r="H78" s="152"/>
      <c r="I78" s="158"/>
      <c r="J78" s="152"/>
      <c r="K78" s="154"/>
      <c r="L78" s="154"/>
      <c r="M78" s="152"/>
      <c r="N78" s="154"/>
      <c r="O78" s="152">
        <f t="shared" si="20"/>
        <v>16187.407000000007</v>
      </c>
      <c r="P78" s="152">
        <f t="shared" si="19"/>
        <v>360063.91200000013</v>
      </c>
    </row>
    <row r="79" spans="1:16" s="167" customFormat="1" hidden="1" x14ac:dyDescent="0.15">
      <c r="A79" s="154"/>
      <c r="B79" s="154"/>
      <c r="C79" s="152"/>
      <c r="D79" s="158"/>
      <c r="E79" s="154"/>
      <c r="F79" s="154"/>
      <c r="G79" s="163"/>
      <c r="H79" s="152"/>
      <c r="I79" s="158"/>
      <c r="J79" s="152"/>
      <c r="K79" s="154"/>
      <c r="L79" s="154"/>
      <c r="M79" s="152"/>
      <c r="N79" s="154"/>
      <c r="O79" s="152">
        <f t="shared" si="20"/>
        <v>16187.407000000007</v>
      </c>
      <c r="P79" s="152">
        <f t="shared" si="19"/>
        <v>360063.91200000013</v>
      </c>
    </row>
    <row r="80" spans="1:16" s="167" customFormat="1" hidden="1" x14ac:dyDescent="0.15">
      <c r="A80" s="154"/>
      <c r="B80" s="154"/>
      <c r="C80" s="152"/>
      <c r="D80" s="158"/>
      <c r="E80" s="154"/>
      <c r="F80" s="157"/>
      <c r="G80" s="163"/>
      <c r="H80" s="152"/>
      <c r="I80" s="158"/>
      <c r="J80" s="152"/>
      <c r="K80" s="154"/>
      <c r="L80" s="154"/>
      <c r="M80" s="152"/>
      <c r="N80" s="154"/>
      <c r="O80" s="152">
        <f t="shared" si="20"/>
        <v>16187.407000000007</v>
      </c>
      <c r="P80" s="152">
        <f t="shared" si="19"/>
        <v>360063.91200000013</v>
      </c>
    </row>
    <row r="81" spans="1:16" s="167" customFormat="1" hidden="1" x14ac:dyDescent="0.15">
      <c r="A81" s="154"/>
      <c r="B81" s="154"/>
      <c r="C81" s="152"/>
      <c r="D81" s="158"/>
      <c r="E81" s="154"/>
      <c r="F81" s="154"/>
      <c r="G81" s="151"/>
      <c r="H81" s="152"/>
      <c r="I81" s="158"/>
      <c r="J81" s="152"/>
      <c r="K81" s="154"/>
      <c r="L81" s="154"/>
      <c r="M81" s="152"/>
      <c r="N81" s="154"/>
      <c r="O81" s="152">
        <f t="shared" si="20"/>
        <v>16187.407000000007</v>
      </c>
      <c r="P81" s="152">
        <f t="shared" si="19"/>
        <v>360063.91200000013</v>
      </c>
    </row>
    <row r="82" spans="1:16" s="167" customFormat="1" hidden="1" x14ac:dyDescent="0.15">
      <c r="A82" s="154"/>
      <c r="B82" s="154"/>
      <c r="C82" s="152"/>
      <c r="D82" s="153"/>
      <c r="E82" s="154"/>
      <c r="F82" s="154"/>
      <c r="G82" s="151"/>
      <c r="H82" s="152"/>
      <c r="I82" s="158"/>
      <c r="J82" s="152"/>
      <c r="K82" s="154"/>
      <c r="L82" s="154"/>
      <c r="M82" s="152"/>
      <c r="N82" s="154"/>
      <c r="O82" s="152">
        <f t="shared" si="20"/>
        <v>16187.407000000007</v>
      </c>
      <c r="P82" s="152">
        <f t="shared" si="19"/>
        <v>360063.91200000013</v>
      </c>
    </row>
    <row r="83" spans="1:16" s="167" customFormat="1" hidden="1" x14ac:dyDescent="0.15">
      <c r="A83" s="154"/>
      <c r="B83" s="154"/>
      <c r="C83" s="152"/>
      <c r="D83" s="158"/>
      <c r="E83" s="154"/>
      <c r="F83" s="157"/>
      <c r="G83" s="168"/>
      <c r="H83" s="152"/>
      <c r="I83" s="158"/>
      <c r="J83" s="152"/>
      <c r="K83" s="154"/>
      <c r="L83" s="154"/>
      <c r="M83" s="152"/>
      <c r="N83" s="154"/>
      <c r="O83" s="152">
        <f t="shared" si="20"/>
        <v>16187.407000000007</v>
      </c>
      <c r="P83" s="152">
        <f t="shared" si="19"/>
        <v>360063.91200000013</v>
      </c>
    </row>
    <row r="84" spans="1:16" s="167" customFormat="1" hidden="1" x14ac:dyDescent="0.15">
      <c r="A84" s="154"/>
      <c r="B84" s="154"/>
      <c r="C84" s="152"/>
      <c r="D84" s="153"/>
      <c r="E84" s="154"/>
      <c r="F84" s="154"/>
      <c r="G84" s="151"/>
      <c r="H84" s="152"/>
      <c r="I84" s="158"/>
      <c r="J84" s="152"/>
      <c r="K84" s="159"/>
      <c r="L84" s="154"/>
      <c r="M84" s="152"/>
      <c r="N84" s="154"/>
      <c r="O84" s="152">
        <f t="shared" si="20"/>
        <v>16187.407000000007</v>
      </c>
      <c r="P84" s="152">
        <f t="shared" si="19"/>
        <v>360063.91200000013</v>
      </c>
    </row>
    <row r="85" spans="1:16" s="167" customFormat="1" hidden="1" x14ac:dyDescent="0.15">
      <c r="A85" s="154"/>
      <c r="B85" s="154"/>
      <c r="C85" s="152"/>
      <c r="D85" s="158"/>
      <c r="E85" s="154"/>
      <c r="F85" s="154"/>
      <c r="G85" s="151"/>
      <c r="H85" s="152"/>
      <c r="I85" s="158"/>
      <c r="J85" s="152"/>
      <c r="K85" s="154"/>
      <c r="L85" s="154"/>
      <c r="M85" s="152"/>
      <c r="N85" s="154"/>
      <c r="O85" s="152">
        <f t="shared" si="20"/>
        <v>16187.407000000007</v>
      </c>
      <c r="P85" s="152">
        <f t="shared" si="19"/>
        <v>360063.91200000013</v>
      </c>
    </row>
    <row r="86" spans="1:16" s="167" customFormat="1" hidden="1" x14ac:dyDescent="0.15">
      <c r="A86" s="154"/>
      <c r="B86" s="154"/>
      <c r="C86" s="152"/>
      <c r="D86" s="158"/>
      <c r="E86" s="154"/>
      <c r="F86" s="154"/>
      <c r="G86" s="151"/>
      <c r="H86" s="152"/>
      <c r="I86" s="158"/>
      <c r="J86" s="152"/>
      <c r="K86" s="154"/>
      <c r="L86" s="154"/>
      <c r="M86" s="152"/>
      <c r="N86" s="154"/>
      <c r="O86" s="152">
        <f t="shared" si="20"/>
        <v>16187.407000000007</v>
      </c>
      <c r="P86" s="152">
        <f t="shared" si="19"/>
        <v>360063.91200000013</v>
      </c>
    </row>
    <row r="87" spans="1:16" s="167" customFormat="1" hidden="1" x14ac:dyDescent="0.15">
      <c r="A87" s="154"/>
      <c r="B87" s="154"/>
      <c r="C87" s="152"/>
      <c r="D87" s="153"/>
      <c r="E87" s="154"/>
      <c r="F87" s="154"/>
      <c r="G87" s="151"/>
      <c r="H87" s="152"/>
      <c r="I87" s="158"/>
      <c r="J87" s="152"/>
      <c r="K87" s="159"/>
      <c r="L87" s="154"/>
      <c r="M87" s="152"/>
      <c r="N87" s="154"/>
      <c r="O87" s="152">
        <f t="shared" si="20"/>
        <v>16187.407000000007</v>
      </c>
      <c r="P87" s="152">
        <f t="shared" si="19"/>
        <v>360063.91200000013</v>
      </c>
    </row>
    <row r="88" spans="1:16" s="167" customFormat="1" hidden="1" x14ac:dyDescent="0.15">
      <c r="A88" s="154"/>
      <c r="B88" s="154"/>
      <c r="C88" s="152"/>
      <c r="D88" s="158"/>
      <c r="E88" s="154"/>
      <c r="F88" s="157"/>
      <c r="G88" s="163"/>
      <c r="H88" s="152"/>
      <c r="I88" s="158"/>
      <c r="J88" s="152"/>
      <c r="K88" s="154"/>
      <c r="L88" s="154"/>
      <c r="M88" s="152"/>
      <c r="N88" s="154"/>
      <c r="O88" s="152">
        <f t="shared" si="20"/>
        <v>16187.407000000007</v>
      </c>
      <c r="P88" s="152">
        <f t="shared" si="19"/>
        <v>360063.91200000013</v>
      </c>
    </row>
    <row r="89" spans="1:16" s="167" customFormat="1" hidden="1" x14ac:dyDescent="0.15">
      <c r="A89" s="154"/>
      <c r="B89" s="154"/>
      <c r="C89" s="152"/>
      <c r="D89" s="158"/>
      <c r="E89" s="154"/>
      <c r="F89" s="154"/>
      <c r="G89" s="151"/>
      <c r="H89" s="152"/>
      <c r="I89" s="158"/>
      <c r="J89" s="152"/>
      <c r="K89" s="150"/>
      <c r="L89" s="154"/>
      <c r="M89" s="152"/>
      <c r="N89" s="154"/>
      <c r="O89" s="152">
        <f t="shared" si="20"/>
        <v>16187.407000000007</v>
      </c>
      <c r="P89" s="152">
        <f t="shared" si="19"/>
        <v>360063.91200000013</v>
      </c>
    </row>
    <row r="90" spans="1:16" s="167" customFormat="1" hidden="1" x14ac:dyDescent="0.15">
      <c r="A90" s="154"/>
      <c r="B90" s="154"/>
      <c r="C90" s="152"/>
      <c r="D90" s="158"/>
      <c r="E90" s="154"/>
      <c r="F90" s="154"/>
      <c r="G90" s="151"/>
      <c r="H90" s="152"/>
      <c r="I90" s="158"/>
      <c r="J90" s="152"/>
      <c r="K90" s="150"/>
      <c r="L90" s="154"/>
      <c r="M90" s="152"/>
      <c r="N90" s="154"/>
      <c r="O90" s="152">
        <f t="shared" si="20"/>
        <v>16187.407000000007</v>
      </c>
      <c r="P90" s="152">
        <f t="shared" si="19"/>
        <v>360063.91200000013</v>
      </c>
    </row>
    <row r="91" spans="1:16" s="167" customFormat="1" hidden="1" x14ac:dyDescent="0.15">
      <c r="A91" s="154"/>
      <c r="B91" s="154"/>
      <c r="C91" s="152"/>
      <c r="D91" s="158"/>
      <c r="E91" s="154"/>
      <c r="F91" s="154"/>
      <c r="G91" s="151"/>
      <c r="H91" s="152"/>
      <c r="I91" s="158"/>
      <c r="J91" s="152"/>
      <c r="K91" s="154"/>
      <c r="L91" s="154"/>
      <c r="M91" s="152"/>
      <c r="N91" s="154"/>
      <c r="O91" s="152">
        <f t="shared" si="20"/>
        <v>16187.407000000007</v>
      </c>
      <c r="P91" s="152">
        <f t="shared" si="19"/>
        <v>360063.91200000013</v>
      </c>
    </row>
    <row r="92" spans="1:16" s="167" customFormat="1" hidden="1" x14ac:dyDescent="0.15">
      <c r="A92" s="154"/>
      <c r="B92" s="154"/>
      <c r="C92" s="152"/>
      <c r="D92" s="158"/>
      <c r="E92" s="154"/>
      <c r="F92" s="150"/>
      <c r="G92" s="151"/>
      <c r="H92" s="152"/>
      <c r="I92" s="158"/>
      <c r="J92" s="152"/>
      <c r="K92" s="154"/>
      <c r="L92" s="154"/>
      <c r="M92" s="152"/>
      <c r="N92" s="154"/>
      <c r="O92" s="152">
        <f t="shared" si="20"/>
        <v>16187.407000000007</v>
      </c>
      <c r="P92" s="152">
        <f t="shared" si="19"/>
        <v>360063.91200000013</v>
      </c>
    </row>
    <row r="93" spans="1:16" s="167" customFormat="1" hidden="1" x14ac:dyDescent="0.15">
      <c r="A93" s="154"/>
      <c r="B93" s="154"/>
      <c r="C93" s="152"/>
      <c r="D93" s="153"/>
      <c r="E93" s="154"/>
      <c r="F93" s="150"/>
      <c r="G93" s="151"/>
      <c r="H93" s="152"/>
      <c r="I93" s="158"/>
      <c r="J93" s="152"/>
      <c r="K93" s="154"/>
      <c r="L93" s="154"/>
      <c r="M93" s="152"/>
      <c r="N93" s="154"/>
      <c r="O93" s="152">
        <f t="shared" si="20"/>
        <v>16187.407000000007</v>
      </c>
      <c r="P93" s="152">
        <f t="shared" si="19"/>
        <v>360063.91200000013</v>
      </c>
    </row>
    <row r="94" spans="1:16" s="167" customFormat="1" hidden="1" x14ac:dyDescent="0.15">
      <c r="A94" s="154"/>
      <c r="B94" s="154"/>
      <c r="C94" s="152"/>
      <c r="D94" s="158"/>
      <c r="E94" s="154"/>
      <c r="F94" s="157"/>
      <c r="G94" s="151"/>
      <c r="H94" s="152"/>
      <c r="I94" s="158"/>
      <c r="J94" s="152"/>
      <c r="K94" s="154"/>
      <c r="L94" s="154"/>
      <c r="M94" s="152"/>
      <c r="N94" s="154"/>
      <c r="O94" s="152">
        <f t="shared" si="20"/>
        <v>16187.407000000007</v>
      </c>
      <c r="P94" s="152">
        <f t="shared" si="19"/>
        <v>360063.91200000013</v>
      </c>
    </row>
    <row r="95" spans="1:16" s="167" customFormat="1" hidden="1" x14ac:dyDescent="0.15">
      <c r="A95" s="154"/>
      <c r="B95" s="154"/>
      <c r="C95" s="152"/>
      <c r="D95" s="158"/>
      <c r="E95" s="154"/>
      <c r="F95" s="154"/>
      <c r="G95" s="151"/>
      <c r="H95" s="152"/>
      <c r="I95" s="158"/>
      <c r="J95" s="152"/>
      <c r="K95" s="154"/>
      <c r="L95" s="154"/>
      <c r="M95" s="152"/>
      <c r="N95" s="154"/>
      <c r="O95" s="152">
        <f t="shared" si="20"/>
        <v>16187.407000000007</v>
      </c>
      <c r="P95" s="152">
        <f t="shared" si="19"/>
        <v>360063.91200000013</v>
      </c>
    </row>
    <row r="96" spans="1:16" s="167" customFormat="1" hidden="1" x14ac:dyDescent="0.15">
      <c r="A96" s="154"/>
      <c r="B96" s="154"/>
      <c r="C96" s="152"/>
      <c r="D96" s="153"/>
      <c r="E96" s="154"/>
      <c r="F96" s="154"/>
      <c r="G96" s="151"/>
      <c r="H96" s="152"/>
      <c r="I96" s="158"/>
      <c r="J96" s="152"/>
      <c r="K96" s="154"/>
      <c r="L96" s="154"/>
      <c r="M96" s="152"/>
      <c r="N96" s="154"/>
      <c r="O96" s="152">
        <f t="shared" si="20"/>
        <v>16187.407000000007</v>
      </c>
      <c r="P96" s="152">
        <f t="shared" si="19"/>
        <v>360063.91200000013</v>
      </c>
    </row>
    <row r="97" spans="1:16" s="167" customFormat="1" hidden="1" x14ac:dyDescent="0.15">
      <c r="A97" s="154"/>
      <c r="B97" s="154"/>
      <c r="C97" s="152"/>
      <c r="D97" s="153"/>
      <c r="E97" s="154"/>
      <c r="F97" s="157"/>
      <c r="G97" s="168"/>
      <c r="H97" s="152"/>
      <c r="I97" s="158"/>
      <c r="J97" s="152"/>
      <c r="K97" s="154"/>
      <c r="L97" s="154"/>
      <c r="M97" s="152"/>
      <c r="N97" s="154"/>
      <c r="O97" s="152">
        <f t="shared" si="20"/>
        <v>16187.407000000007</v>
      </c>
      <c r="P97" s="152">
        <f t="shared" si="19"/>
        <v>360063.91200000013</v>
      </c>
    </row>
    <row r="98" spans="1:16" s="167" customFormat="1" hidden="1" x14ac:dyDescent="0.15">
      <c r="A98" s="154"/>
      <c r="B98" s="154"/>
      <c r="C98" s="152"/>
      <c r="D98" s="153"/>
      <c r="E98" s="154"/>
      <c r="F98" s="157"/>
      <c r="G98" s="168"/>
      <c r="H98" s="152"/>
      <c r="I98" s="153"/>
      <c r="J98" s="152"/>
      <c r="K98" s="154"/>
      <c r="L98" s="154"/>
      <c r="M98" s="152"/>
      <c r="N98" s="154"/>
      <c r="O98" s="152">
        <f t="shared" si="20"/>
        <v>16187.407000000007</v>
      </c>
      <c r="P98" s="152">
        <f t="shared" si="19"/>
        <v>360063.91200000013</v>
      </c>
    </row>
    <row r="99" spans="1:16" hidden="1" x14ac:dyDescent="0.15">
      <c r="A99" s="154"/>
      <c r="B99" s="154"/>
      <c r="C99" s="152"/>
      <c r="D99" s="158"/>
      <c r="E99" s="154"/>
      <c r="F99" s="150"/>
      <c r="G99" s="151"/>
      <c r="H99" s="152"/>
      <c r="I99" s="158"/>
      <c r="J99" s="152"/>
      <c r="K99" s="154"/>
      <c r="L99" s="154"/>
      <c r="M99" s="152"/>
      <c r="N99" s="154"/>
      <c r="O99" s="152">
        <f t="shared" si="20"/>
        <v>16187.407000000007</v>
      </c>
      <c r="P99" s="152">
        <f t="shared" si="19"/>
        <v>360063.91200000013</v>
      </c>
    </row>
    <row r="100" spans="1:16" hidden="1" x14ac:dyDescent="0.15">
      <c r="A100" s="154"/>
      <c r="B100" s="154"/>
      <c r="C100" s="152"/>
      <c r="D100" s="158"/>
      <c r="E100" s="154"/>
      <c r="F100" s="150"/>
      <c r="G100" s="151"/>
      <c r="H100" s="152"/>
      <c r="I100" s="158"/>
      <c r="J100" s="152"/>
      <c r="K100" s="154"/>
      <c r="L100" s="154"/>
      <c r="M100" s="152"/>
      <c r="N100" s="154"/>
      <c r="O100" s="152">
        <f t="shared" si="20"/>
        <v>16187.407000000007</v>
      </c>
      <c r="P100" s="152">
        <f t="shared" si="19"/>
        <v>360063.91200000013</v>
      </c>
    </row>
    <row r="101" spans="1:16" hidden="1" x14ac:dyDescent="0.15">
      <c r="A101" s="154"/>
      <c r="B101" s="154"/>
      <c r="C101" s="152"/>
      <c r="D101" s="158"/>
      <c r="E101" s="154"/>
      <c r="F101" s="157"/>
      <c r="G101" s="151"/>
      <c r="H101" s="152"/>
      <c r="I101" s="158"/>
      <c r="J101" s="152"/>
      <c r="K101" s="154"/>
      <c r="L101" s="154"/>
      <c r="M101" s="152"/>
      <c r="N101" s="154"/>
      <c r="O101" s="152">
        <f t="shared" si="20"/>
        <v>16187.407000000007</v>
      </c>
      <c r="P101" s="152">
        <f t="shared" si="19"/>
        <v>360063.91200000013</v>
      </c>
    </row>
    <row r="102" spans="1:16" hidden="1" x14ac:dyDescent="0.15">
      <c r="A102" s="154"/>
      <c r="B102" s="154"/>
      <c r="C102" s="152"/>
      <c r="D102" s="153"/>
      <c r="E102" s="154"/>
      <c r="F102" s="154"/>
      <c r="G102" s="163"/>
      <c r="H102" s="152"/>
      <c r="I102" s="158"/>
      <c r="J102" s="152"/>
      <c r="K102" s="154"/>
      <c r="L102" s="154"/>
      <c r="M102" s="152"/>
      <c r="N102" s="154"/>
      <c r="O102" s="152">
        <f t="shared" si="20"/>
        <v>16187.407000000007</v>
      </c>
      <c r="P102" s="152">
        <f t="shared" si="19"/>
        <v>360063.91200000013</v>
      </c>
    </row>
    <row r="103" spans="1:16" hidden="1" x14ac:dyDescent="0.15">
      <c r="A103" s="154"/>
      <c r="B103" s="154"/>
      <c r="C103" s="152"/>
      <c r="D103" s="158"/>
      <c r="E103" s="154"/>
      <c r="F103" s="154"/>
      <c r="G103" s="163"/>
      <c r="H103" s="152"/>
      <c r="I103" s="158"/>
      <c r="J103" s="152"/>
      <c r="K103" s="154"/>
      <c r="L103" s="154"/>
      <c r="M103" s="152"/>
      <c r="N103" s="154"/>
      <c r="O103" s="152">
        <f t="shared" si="20"/>
        <v>16187.407000000007</v>
      </c>
      <c r="P103" s="152">
        <f t="shared" si="19"/>
        <v>360063.91200000013</v>
      </c>
    </row>
    <row r="104" spans="1:16" hidden="1" x14ac:dyDescent="0.15">
      <c r="A104" s="154"/>
      <c r="B104" s="154"/>
      <c r="C104" s="152"/>
      <c r="D104" s="153"/>
      <c r="E104" s="154"/>
      <c r="F104" s="157"/>
      <c r="G104" s="151"/>
      <c r="H104" s="152"/>
      <c r="I104" s="158"/>
      <c r="J104" s="152"/>
      <c r="K104" s="154"/>
      <c r="L104" s="154"/>
      <c r="M104" s="152"/>
      <c r="N104" s="154"/>
      <c r="O104" s="152">
        <f t="shared" si="20"/>
        <v>16187.407000000007</v>
      </c>
      <c r="P104" s="152">
        <f t="shared" si="19"/>
        <v>360063.91200000013</v>
      </c>
    </row>
    <row r="105" spans="1:16" hidden="1" x14ac:dyDescent="0.15">
      <c r="A105" s="154"/>
      <c r="B105" s="154"/>
      <c r="C105" s="152"/>
      <c r="D105" s="158"/>
      <c r="E105" s="154"/>
      <c r="F105" s="154"/>
      <c r="G105" s="163"/>
      <c r="H105" s="152"/>
      <c r="I105" s="158"/>
      <c r="J105" s="152"/>
      <c r="K105" s="164"/>
      <c r="L105" s="154"/>
      <c r="M105" s="152"/>
      <c r="N105" s="154"/>
      <c r="O105" s="152">
        <f t="shared" si="20"/>
        <v>16187.407000000007</v>
      </c>
      <c r="P105" s="152">
        <f t="shared" si="19"/>
        <v>360063.91200000013</v>
      </c>
    </row>
    <row r="106" spans="1:16" hidden="1" x14ac:dyDescent="0.15">
      <c r="A106" s="154"/>
      <c r="B106" s="154"/>
      <c r="C106" s="152"/>
      <c r="D106" s="153"/>
      <c r="E106" s="154"/>
      <c r="F106" s="154"/>
      <c r="G106" s="169"/>
      <c r="H106" s="152"/>
      <c r="I106" s="158"/>
      <c r="J106" s="152"/>
      <c r="K106" s="154"/>
      <c r="L106" s="154"/>
      <c r="M106" s="152"/>
      <c r="N106" s="154"/>
      <c r="O106" s="152">
        <f t="shared" si="20"/>
        <v>16187.407000000007</v>
      </c>
      <c r="P106" s="152">
        <f t="shared" si="19"/>
        <v>360063.91200000013</v>
      </c>
    </row>
    <row r="107" spans="1:16" hidden="1" x14ac:dyDescent="0.15">
      <c r="A107" s="154"/>
      <c r="B107" s="154"/>
      <c r="C107" s="152"/>
      <c r="D107" s="158"/>
      <c r="E107" s="154"/>
      <c r="F107" s="157"/>
      <c r="G107" s="168"/>
      <c r="H107" s="152"/>
      <c r="I107" s="158"/>
      <c r="J107" s="152"/>
      <c r="K107" s="154"/>
      <c r="L107" s="154"/>
      <c r="M107" s="152"/>
      <c r="N107" s="154"/>
      <c r="O107" s="152">
        <f t="shared" ref="O107:O164" si="21">+O106-J107-M107</f>
        <v>16187.407000000007</v>
      </c>
      <c r="P107" s="152">
        <f t="shared" ref="P107:P164" si="22">P106+H107-J107-M107</f>
        <v>360063.91200000013</v>
      </c>
    </row>
    <row r="108" spans="1:16" hidden="1" x14ac:dyDescent="0.15">
      <c r="A108" s="154"/>
      <c r="B108" s="154"/>
      <c r="C108" s="152"/>
      <c r="D108" s="158"/>
      <c r="E108" s="154"/>
      <c r="F108" s="154"/>
      <c r="G108" s="163"/>
      <c r="H108" s="152"/>
      <c r="I108" s="158"/>
      <c r="J108" s="152"/>
      <c r="K108" s="154"/>
      <c r="L108" s="154"/>
      <c r="M108" s="152"/>
      <c r="N108" s="154"/>
      <c r="O108" s="152">
        <f t="shared" si="21"/>
        <v>16187.407000000007</v>
      </c>
      <c r="P108" s="152">
        <f t="shared" si="22"/>
        <v>360063.91200000013</v>
      </c>
    </row>
    <row r="109" spans="1:16" hidden="1" x14ac:dyDescent="0.15">
      <c r="A109" s="154"/>
      <c r="B109" s="154"/>
      <c r="C109" s="152"/>
      <c r="D109" s="158"/>
      <c r="E109" s="154"/>
      <c r="F109" s="154"/>
      <c r="G109" s="163"/>
      <c r="H109" s="152"/>
      <c r="I109" s="158"/>
      <c r="J109" s="152"/>
      <c r="K109" s="154"/>
      <c r="L109" s="154"/>
      <c r="M109" s="152"/>
      <c r="N109" s="154"/>
      <c r="O109" s="152">
        <f t="shared" si="21"/>
        <v>16187.407000000007</v>
      </c>
      <c r="P109" s="152">
        <f t="shared" si="22"/>
        <v>360063.91200000013</v>
      </c>
    </row>
    <row r="110" spans="1:16" hidden="1" x14ac:dyDescent="0.15">
      <c r="A110" s="154"/>
      <c r="B110" s="154"/>
      <c r="C110" s="152"/>
      <c r="D110" s="158"/>
      <c r="E110" s="154"/>
      <c r="F110" s="157"/>
      <c r="G110" s="151"/>
      <c r="H110" s="152"/>
      <c r="I110" s="158"/>
      <c r="J110" s="152"/>
      <c r="K110" s="154"/>
      <c r="L110" s="154"/>
      <c r="M110" s="152"/>
      <c r="N110" s="154"/>
      <c r="O110" s="152">
        <f t="shared" si="21"/>
        <v>16187.407000000007</v>
      </c>
      <c r="P110" s="152">
        <f t="shared" si="22"/>
        <v>360063.91200000013</v>
      </c>
    </row>
    <row r="111" spans="1:16" hidden="1" x14ac:dyDescent="0.15">
      <c r="A111" s="154"/>
      <c r="B111" s="154"/>
      <c r="C111" s="152"/>
      <c r="D111" s="153"/>
      <c r="E111" s="154"/>
      <c r="F111" s="154"/>
      <c r="G111" s="163"/>
      <c r="H111" s="152"/>
      <c r="I111" s="158"/>
      <c r="J111" s="152"/>
      <c r="K111" s="154"/>
      <c r="L111" s="154"/>
      <c r="M111" s="152"/>
      <c r="N111" s="154"/>
      <c r="O111" s="152">
        <f t="shared" si="21"/>
        <v>16187.407000000007</v>
      </c>
      <c r="P111" s="152">
        <f t="shared" si="22"/>
        <v>360063.91200000013</v>
      </c>
    </row>
    <row r="112" spans="1:16" hidden="1" x14ac:dyDescent="0.15">
      <c r="A112" s="154"/>
      <c r="B112" s="154"/>
      <c r="C112" s="152"/>
      <c r="D112" s="158"/>
      <c r="E112" s="154"/>
      <c r="F112" s="154"/>
      <c r="G112" s="163"/>
      <c r="H112" s="152"/>
      <c r="I112" s="158"/>
      <c r="J112" s="152"/>
      <c r="K112" s="164"/>
      <c r="L112" s="154"/>
      <c r="M112" s="152"/>
      <c r="N112" s="154"/>
      <c r="O112" s="152">
        <f t="shared" si="21"/>
        <v>16187.407000000007</v>
      </c>
      <c r="P112" s="152">
        <f t="shared" si="22"/>
        <v>360063.91200000013</v>
      </c>
    </row>
    <row r="113" spans="1:16" hidden="1" x14ac:dyDescent="0.15">
      <c r="A113" s="154"/>
      <c r="B113" s="154"/>
      <c r="C113" s="152"/>
      <c r="D113" s="158"/>
      <c r="E113" s="154"/>
      <c r="F113" s="154"/>
      <c r="G113" s="163"/>
      <c r="H113" s="152"/>
      <c r="I113" s="158"/>
      <c r="J113" s="152"/>
      <c r="K113" s="164"/>
      <c r="L113" s="154"/>
      <c r="M113" s="152"/>
      <c r="N113" s="154"/>
      <c r="O113" s="152">
        <f t="shared" si="21"/>
        <v>16187.407000000007</v>
      </c>
      <c r="P113" s="152">
        <f t="shared" si="22"/>
        <v>360063.91200000013</v>
      </c>
    </row>
    <row r="114" spans="1:16" hidden="1" x14ac:dyDescent="0.15">
      <c r="A114" s="154"/>
      <c r="B114" s="154"/>
      <c r="C114" s="152"/>
      <c r="D114" s="153"/>
      <c r="E114" s="154"/>
      <c r="F114" s="150"/>
      <c r="G114" s="151"/>
      <c r="H114" s="152"/>
      <c r="I114" s="158"/>
      <c r="J114" s="152"/>
      <c r="K114" s="154"/>
      <c r="L114" s="154"/>
      <c r="M114" s="152"/>
      <c r="N114" s="154"/>
      <c r="O114" s="152">
        <f t="shared" si="21"/>
        <v>16187.407000000007</v>
      </c>
      <c r="P114" s="152">
        <f t="shared" si="22"/>
        <v>360063.91200000013</v>
      </c>
    </row>
    <row r="115" spans="1:16" hidden="1" x14ac:dyDescent="0.15">
      <c r="A115" s="154"/>
      <c r="B115" s="154"/>
      <c r="C115" s="152"/>
      <c r="D115" s="158"/>
      <c r="E115" s="154"/>
      <c r="F115" s="150"/>
      <c r="G115" s="151"/>
      <c r="H115" s="152"/>
      <c r="I115" s="158"/>
      <c r="J115" s="152"/>
      <c r="K115" s="154"/>
      <c r="L115" s="154"/>
      <c r="M115" s="152"/>
      <c r="N115" s="154"/>
      <c r="O115" s="152">
        <f t="shared" si="21"/>
        <v>16187.407000000007</v>
      </c>
      <c r="P115" s="152">
        <f t="shared" si="22"/>
        <v>360063.91200000013</v>
      </c>
    </row>
    <row r="116" spans="1:16" hidden="1" x14ac:dyDescent="0.15">
      <c r="A116" s="154"/>
      <c r="B116" s="154"/>
      <c r="C116" s="152"/>
      <c r="D116" s="158"/>
      <c r="E116" s="154"/>
      <c r="F116" s="150"/>
      <c r="G116" s="151"/>
      <c r="H116" s="152"/>
      <c r="I116" s="158"/>
      <c r="J116" s="152"/>
      <c r="K116" s="154"/>
      <c r="L116" s="154"/>
      <c r="M116" s="152"/>
      <c r="N116" s="154"/>
      <c r="O116" s="152">
        <f t="shared" si="21"/>
        <v>16187.407000000007</v>
      </c>
      <c r="P116" s="152">
        <f t="shared" si="22"/>
        <v>360063.91200000013</v>
      </c>
    </row>
    <row r="117" spans="1:16" hidden="1" x14ac:dyDescent="0.15">
      <c r="A117" s="154"/>
      <c r="B117" s="154"/>
      <c r="C117" s="152"/>
      <c r="D117" s="158"/>
      <c r="E117" s="154"/>
      <c r="F117" s="150"/>
      <c r="G117" s="151"/>
      <c r="H117" s="152"/>
      <c r="I117" s="158"/>
      <c r="J117" s="152"/>
      <c r="K117" s="154"/>
      <c r="L117" s="154"/>
      <c r="M117" s="152"/>
      <c r="N117" s="154"/>
      <c r="O117" s="152">
        <f t="shared" si="21"/>
        <v>16187.407000000007</v>
      </c>
      <c r="P117" s="152">
        <f t="shared" si="22"/>
        <v>360063.91200000013</v>
      </c>
    </row>
    <row r="118" spans="1:16" hidden="1" x14ac:dyDescent="0.15">
      <c r="A118" s="154"/>
      <c r="B118" s="154"/>
      <c r="C118" s="152"/>
      <c r="D118" s="158"/>
      <c r="E118" s="154"/>
      <c r="F118" s="150"/>
      <c r="G118" s="151"/>
      <c r="H118" s="152"/>
      <c r="I118" s="153"/>
      <c r="J118" s="152"/>
      <c r="K118" s="154"/>
      <c r="L118" s="154"/>
      <c r="M118" s="152"/>
      <c r="N118" s="154"/>
      <c r="O118" s="152">
        <f t="shared" si="21"/>
        <v>16187.407000000007</v>
      </c>
      <c r="P118" s="152">
        <f t="shared" si="22"/>
        <v>360063.91200000013</v>
      </c>
    </row>
    <row r="119" spans="1:16" hidden="1" x14ac:dyDescent="0.15">
      <c r="A119" s="154"/>
      <c r="B119" s="154"/>
      <c r="C119" s="152"/>
      <c r="D119" s="158"/>
      <c r="E119" s="154"/>
      <c r="F119" s="150"/>
      <c r="G119" s="151"/>
      <c r="H119" s="152"/>
      <c r="I119" s="158"/>
      <c r="J119" s="152"/>
      <c r="K119" s="154"/>
      <c r="L119" s="154"/>
      <c r="M119" s="152"/>
      <c r="N119" s="154"/>
      <c r="O119" s="152">
        <f t="shared" si="21"/>
        <v>16187.407000000007</v>
      </c>
      <c r="P119" s="152">
        <f t="shared" si="22"/>
        <v>360063.91200000013</v>
      </c>
    </row>
    <row r="120" spans="1:16" hidden="1" x14ac:dyDescent="0.15">
      <c r="A120" s="154"/>
      <c r="B120" s="154"/>
      <c r="C120" s="152"/>
      <c r="D120" s="158"/>
      <c r="E120" s="154"/>
      <c r="F120" s="170"/>
      <c r="G120" s="151"/>
      <c r="H120" s="152"/>
      <c r="I120" s="158"/>
      <c r="J120" s="152"/>
      <c r="K120" s="154"/>
      <c r="L120" s="154"/>
      <c r="M120" s="152"/>
      <c r="N120" s="154"/>
      <c r="O120" s="152">
        <f t="shared" si="21"/>
        <v>16187.407000000007</v>
      </c>
      <c r="P120" s="152">
        <f t="shared" si="22"/>
        <v>360063.91200000013</v>
      </c>
    </row>
    <row r="121" spans="1:16" hidden="1" x14ac:dyDescent="0.15">
      <c r="A121" s="154"/>
      <c r="B121" s="154"/>
      <c r="C121" s="152"/>
      <c r="D121" s="158"/>
      <c r="E121" s="154"/>
      <c r="F121" s="170"/>
      <c r="G121" s="151"/>
      <c r="H121" s="152"/>
      <c r="I121" s="153"/>
      <c r="J121" s="152"/>
      <c r="K121" s="154"/>
      <c r="L121" s="154"/>
      <c r="M121" s="152"/>
      <c r="N121" s="154"/>
      <c r="O121" s="152">
        <f t="shared" si="21"/>
        <v>16187.407000000007</v>
      </c>
      <c r="P121" s="152">
        <f t="shared" si="22"/>
        <v>360063.91200000013</v>
      </c>
    </row>
    <row r="122" spans="1:16" hidden="1" x14ac:dyDescent="0.15">
      <c r="A122" s="154"/>
      <c r="B122" s="154"/>
      <c r="C122" s="152"/>
      <c r="D122" s="158"/>
      <c r="E122" s="154"/>
      <c r="F122" s="150"/>
      <c r="G122" s="151"/>
      <c r="H122" s="152"/>
      <c r="I122" s="158"/>
      <c r="J122" s="152"/>
      <c r="K122" s="154"/>
      <c r="L122" s="154"/>
      <c r="M122" s="152"/>
      <c r="N122" s="154"/>
      <c r="O122" s="152">
        <f t="shared" si="21"/>
        <v>16187.407000000007</v>
      </c>
      <c r="P122" s="152">
        <f t="shared" si="22"/>
        <v>360063.91200000013</v>
      </c>
    </row>
    <row r="123" spans="1:16" hidden="1" x14ac:dyDescent="0.15">
      <c r="A123" s="154"/>
      <c r="B123" s="154"/>
      <c r="C123" s="152"/>
      <c r="D123" s="153"/>
      <c r="E123" s="154"/>
      <c r="F123" s="157"/>
      <c r="G123" s="168"/>
      <c r="H123" s="152"/>
      <c r="I123" s="158"/>
      <c r="J123" s="152"/>
      <c r="K123" s="154"/>
      <c r="L123" s="154"/>
      <c r="M123" s="152"/>
      <c r="N123" s="154"/>
      <c r="O123" s="152">
        <f t="shared" si="21"/>
        <v>16187.407000000007</v>
      </c>
      <c r="P123" s="152">
        <f t="shared" si="22"/>
        <v>360063.91200000013</v>
      </c>
    </row>
    <row r="124" spans="1:16" hidden="1" x14ac:dyDescent="0.15">
      <c r="A124" s="154"/>
      <c r="B124" s="154"/>
      <c r="C124" s="152"/>
      <c r="D124" s="158"/>
      <c r="E124" s="154"/>
      <c r="F124" s="157"/>
      <c r="G124" s="168"/>
      <c r="H124" s="152"/>
      <c r="I124" s="158"/>
      <c r="J124" s="152"/>
      <c r="K124" s="154"/>
      <c r="L124" s="154"/>
      <c r="M124" s="152"/>
      <c r="N124" s="154"/>
      <c r="O124" s="152">
        <f t="shared" si="21"/>
        <v>16187.407000000007</v>
      </c>
      <c r="P124" s="152">
        <f t="shared" si="22"/>
        <v>360063.91200000013</v>
      </c>
    </row>
    <row r="125" spans="1:16" hidden="1" x14ac:dyDescent="0.15">
      <c r="A125" s="154"/>
      <c r="B125" s="154"/>
      <c r="C125" s="152"/>
      <c r="D125" s="158"/>
      <c r="E125" s="154"/>
      <c r="F125" s="157"/>
      <c r="G125" s="168"/>
      <c r="H125" s="152"/>
      <c r="I125" s="158"/>
      <c r="J125" s="152"/>
      <c r="K125" s="154"/>
      <c r="L125" s="154"/>
      <c r="M125" s="152"/>
      <c r="N125" s="154"/>
      <c r="O125" s="152">
        <f t="shared" si="21"/>
        <v>16187.407000000007</v>
      </c>
      <c r="P125" s="152">
        <f t="shared" si="22"/>
        <v>360063.91200000013</v>
      </c>
    </row>
    <row r="126" spans="1:16" hidden="1" x14ac:dyDescent="0.15">
      <c r="A126" s="154"/>
      <c r="B126" s="154"/>
      <c r="C126" s="152"/>
      <c r="D126" s="158"/>
      <c r="E126" s="154"/>
      <c r="F126" s="157"/>
      <c r="G126" s="168"/>
      <c r="H126" s="152"/>
      <c r="I126" s="158"/>
      <c r="J126" s="152"/>
      <c r="K126" s="154"/>
      <c r="L126" s="154"/>
      <c r="M126" s="152"/>
      <c r="N126" s="154"/>
      <c r="O126" s="152">
        <f t="shared" si="21"/>
        <v>16187.407000000007</v>
      </c>
      <c r="P126" s="152">
        <f t="shared" si="22"/>
        <v>360063.91200000013</v>
      </c>
    </row>
    <row r="127" spans="1:16" hidden="1" x14ac:dyDescent="0.15">
      <c r="A127" s="154"/>
      <c r="B127" s="154"/>
      <c r="C127" s="152"/>
      <c r="D127" s="158"/>
      <c r="E127" s="154"/>
      <c r="F127" s="154"/>
      <c r="G127" s="163"/>
      <c r="H127" s="152"/>
      <c r="I127" s="158"/>
      <c r="J127" s="152"/>
      <c r="K127" s="150"/>
      <c r="L127" s="154"/>
      <c r="M127" s="152"/>
      <c r="N127" s="154"/>
      <c r="O127" s="152">
        <f t="shared" si="21"/>
        <v>16187.407000000007</v>
      </c>
      <c r="P127" s="152">
        <f t="shared" si="22"/>
        <v>360063.91200000013</v>
      </c>
    </row>
    <row r="128" spans="1:16" hidden="1" x14ac:dyDescent="0.15">
      <c r="A128" s="154"/>
      <c r="B128" s="154"/>
      <c r="C128" s="152"/>
      <c r="D128" s="158"/>
      <c r="E128" s="154"/>
      <c r="F128" s="170"/>
      <c r="G128" s="171"/>
      <c r="H128" s="152"/>
      <c r="I128" s="158"/>
      <c r="J128" s="152"/>
      <c r="K128" s="154"/>
      <c r="L128" s="154"/>
      <c r="M128" s="152"/>
      <c r="N128" s="154"/>
      <c r="O128" s="152">
        <f t="shared" si="21"/>
        <v>16187.407000000007</v>
      </c>
      <c r="P128" s="152">
        <f t="shared" si="22"/>
        <v>360063.91200000013</v>
      </c>
    </row>
    <row r="129" spans="1:16" hidden="1" x14ac:dyDescent="0.15">
      <c r="A129" s="154"/>
      <c r="B129" s="154"/>
      <c r="C129" s="152"/>
      <c r="D129" s="158"/>
      <c r="E129" s="154"/>
      <c r="F129" s="154"/>
      <c r="G129" s="163"/>
      <c r="H129" s="152"/>
      <c r="I129" s="158"/>
      <c r="J129" s="152"/>
      <c r="K129" s="154"/>
      <c r="L129" s="154"/>
      <c r="M129" s="152"/>
      <c r="N129" s="154"/>
      <c r="O129" s="152">
        <f t="shared" si="21"/>
        <v>16187.407000000007</v>
      </c>
      <c r="P129" s="152">
        <f t="shared" si="22"/>
        <v>360063.91200000013</v>
      </c>
    </row>
    <row r="130" spans="1:16" hidden="1" x14ac:dyDescent="0.15">
      <c r="A130" s="154"/>
      <c r="B130" s="154"/>
      <c r="C130" s="152"/>
      <c r="D130" s="158"/>
      <c r="E130" s="154"/>
      <c r="F130" s="154"/>
      <c r="G130" s="163"/>
      <c r="H130" s="152"/>
      <c r="I130" s="158"/>
      <c r="J130" s="152"/>
      <c r="K130" s="154"/>
      <c r="L130" s="154"/>
      <c r="M130" s="152"/>
      <c r="N130" s="154"/>
      <c r="O130" s="152">
        <f t="shared" si="21"/>
        <v>16187.407000000007</v>
      </c>
      <c r="P130" s="152">
        <f t="shared" si="22"/>
        <v>360063.91200000013</v>
      </c>
    </row>
    <row r="131" spans="1:16" hidden="1" x14ac:dyDescent="0.15">
      <c r="A131" s="154"/>
      <c r="B131" s="154"/>
      <c r="C131" s="152"/>
      <c r="D131" s="158"/>
      <c r="E131" s="154"/>
      <c r="F131" s="154"/>
      <c r="G131" s="163"/>
      <c r="H131" s="152"/>
      <c r="I131" s="158"/>
      <c r="J131" s="152"/>
      <c r="K131" s="154"/>
      <c r="L131" s="154"/>
      <c r="M131" s="152"/>
      <c r="N131" s="154"/>
      <c r="O131" s="152">
        <f t="shared" si="21"/>
        <v>16187.407000000007</v>
      </c>
      <c r="P131" s="152">
        <f t="shared" si="22"/>
        <v>360063.91200000013</v>
      </c>
    </row>
    <row r="132" spans="1:16" hidden="1" x14ac:dyDescent="0.15">
      <c r="A132" s="154"/>
      <c r="B132" s="154"/>
      <c r="C132" s="152"/>
      <c r="D132" s="158"/>
      <c r="E132" s="154"/>
      <c r="F132" s="157"/>
      <c r="G132" s="171"/>
      <c r="H132" s="152"/>
      <c r="I132" s="158"/>
      <c r="J132" s="152"/>
      <c r="K132" s="154"/>
      <c r="L132" s="154"/>
      <c r="M132" s="152"/>
      <c r="N132" s="154"/>
      <c r="O132" s="152">
        <f t="shared" si="21"/>
        <v>16187.407000000007</v>
      </c>
      <c r="P132" s="152">
        <f t="shared" si="22"/>
        <v>360063.91200000013</v>
      </c>
    </row>
    <row r="133" spans="1:16" hidden="1" x14ac:dyDescent="0.15">
      <c r="A133" s="154"/>
      <c r="B133" s="154"/>
      <c r="C133" s="152"/>
      <c r="D133" s="158"/>
      <c r="E133" s="154"/>
      <c r="F133" s="150"/>
      <c r="G133" s="151"/>
      <c r="H133" s="152"/>
      <c r="I133" s="158"/>
      <c r="J133" s="152"/>
      <c r="K133" s="150"/>
      <c r="L133" s="154"/>
      <c r="M133" s="152"/>
      <c r="N133" s="154"/>
      <c r="O133" s="152">
        <f t="shared" si="21"/>
        <v>16187.407000000007</v>
      </c>
      <c r="P133" s="152">
        <f t="shared" si="22"/>
        <v>360063.91200000013</v>
      </c>
    </row>
    <row r="134" spans="1:16" hidden="1" x14ac:dyDescent="0.15">
      <c r="A134" s="154"/>
      <c r="B134" s="154"/>
      <c r="C134" s="152"/>
      <c r="D134" s="158"/>
      <c r="E134" s="154"/>
      <c r="F134" s="150"/>
      <c r="G134" s="151"/>
      <c r="H134" s="152"/>
      <c r="I134" s="158"/>
      <c r="J134" s="152"/>
      <c r="K134" s="154"/>
      <c r="L134" s="154"/>
      <c r="M134" s="152"/>
      <c r="N134" s="150"/>
      <c r="O134" s="152">
        <f t="shared" si="21"/>
        <v>16187.407000000007</v>
      </c>
      <c r="P134" s="152">
        <f t="shared" si="22"/>
        <v>360063.91200000013</v>
      </c>
    </row>
    <row r="135" spans="1:16" hidden="1" x14ac:dyDescent="0.15">
      <c r="A135" s="154"/>
      <c r="B135" s="154"/>
      <c r="C135" s="152"/>
      <c r="D135" s="158"/>
      <c r="E135" s="154"/>
      <c r="F135" s="170"/>
      <c r="G135" s="171"/>
      <c r="H135" s="152"/>
      <c r="I135" s="158"/>
      <c r="J135" s="152"/>
      <c r="K135" s="154"/>
      <c r="L135" s="154"/>
      <c r="M135" s="152"/>
      <c r="N135" s="154"/>
      <c r="O135" s="152">
        <f t="shared" si="21"/>
        <v>16187.407000000007</v>
      </c>
      <c r="P135" s="152">
        <f t="shared" si="22"/>
        <v>360063.91200000013</v>
      </c>
    </row>
    <row r="136" spans="1:16" hidden="1" x14ac:dyDescent="0.15">
      <c r="A136" s="154"/>
      <c r="B136" s="154"/>
      <c r="C136" s="152"/>
      <c r="D136" s="158"/>
      <c r="E136" s="154"/>
      <c r="F136" s="159"/>
      <c r="G136" s="151"/>
      <c r="H136" s="152"/>
      <c r="I136" s="158"/>
      <c r="J136" s="152"/>
      <c r="K136" s="157"/>
      <c r="L136" s="154"/>
      <c r="M136" s="152"/>
      <c r="N136" s="154"/>
      <c r="O136" s="152">
        <f t="shared" si="21"/>
        <v>16187.407000000007</v>
      </c>
      <c r="P136" s="152">
        <f t="shared" si="22"/>
        <v>360063.91200000013</v>
      </c>
    </row>
    <row r="137" spans="1:16" hidden="1" x14ac:dyDescent="0.15">
      <c r="A137" s="154"/>
      <c r="B137" s="154"/>
      <c r="C137" s="152"/>
      <c r="D137" s="158"/>
      <c r="E137" s="154"/>
      <c r="F137" s="159"/>
      <c r="G137" s="151"/>
      <c r="H137" s="152"/>
      <c r="I137" s="158"/>
      <c r="J137" s="152"/>
      <c r="K137" s="157"/>
      <c r="L137" s="154"/>
      <c r="M137" s="152"/>
      <c r="N137" s="157"/>
      <c r="O137" s="152">
        <f t="shared" si="21"/>
        <v>16187.407000000007</v>
      </c>
      <c r="P137" s="152">
        <f t="shared" si="22"/>
        <v>360063.91200000013</v>
      </c>
    </row>
    <row r="138" spans="1:16" hidden="1" x14ac:dyDescent="0.15">
      <c r="A138" s="154"/>
      <c r="B138" s="154"/>
      <c r="C138" s="152"/>
      <c r="D138" s="158"/>
      <c r="E138" s="154"/>
      <c r="F138" s="159"/>
      <c r="G138" s="151"/>
      <c r="H138" s="152"/>
      <c r="I138" s="158"/>
      <c r="J138" s="152"/>
      <c r="K138" s="157"/>
      <c r="L138" s="154"/>
      <c r="M138" s="152"/>
      <c r="N138" s="157"/>
      <c r="O138" s="152">
        <f t="shared" si="21"/>
        <v>16187.407000000007</v>
      </c>
      <c r="P138" s="152">
        <f t="shared" si="22"/>
        <v>360063.91200000013</v>
      </c>
    </row>
    <row r="139" spans="1:16" hidden="1" x14ac:dyDescent="0.15">
      <c r="A139" s="154"/>
      <c r="B139" s="154"/>
      <c r="C139" s="152"/>
      <c r="D139" s="158"/>
      <c r="E139" s="154"/>
      <c r="F139" s="159"/>
      <c r="G139" s="151"/>
      <c r="H139" s="152"/>
      <c r="I139" s="158"/>
      <c r="J139" s="152"/>
      <c r="K139" s="154"/>
      <c r="L139" s="154"/>
      <c r="M139" s="152"/>
      <c r="N139" s="157"/>
      <c r="O139" s="152">
        <f t="shared" si="21"/>
        <v>16187.407000000007</v>
      </c>
      <c r="P139" s="152">
        <f t="shared" si="22"/>
        <v>360063.91200000013</v>
      </c>
    </row>
    <row r="140" spans="1:16" hidden="1" x14ac:dyDescent="0.15">
      <c r="A140" s="154"/>
      <c r="B140" s="154"/>
      <c r="C140" s="152"/>
      <c r="D140" s="158"/>
      <c r="E140" s="154"/>
      <c r="F140" s="170"/>
      <c r="G140" s="171"/>
      <c r="H140" s="152"/>
      <c r="I140" s="158"/>
      <c r="J140" s="152"/>
      <c r="K140" s="157"/>
      <c r="L140" s="154"/>
      <c r="M140" s="152"/>
      <c r="N140" s="157"/>
      <c r="O140" s="152">
        <f t="shared" si="21"/>
        <v>16187.407000000007</v>
      </c>
      <c r="P140" s="152">
        <f t="shared" si="22"/>
        <v>360063.91200000013</v>
      </c>
    </row>
    <row r="141" spans="1:16" hidden="1" x14ac:dyDescent="0.15">
      <c r="A141" s="154"/>
      <c r="B141" s="154"/>
      <c r="C141" s="152"/>
      <c r="D141" s="158"/>
      <c r="E141" s="154"/>
      <c r="F141" s="154"/>
      <c r="G141" s="163"/>
      <c r="H141" s="152"/>
      <c r="I141" s="158"/>
      <c r="J141" s="152"/>
      <c r="K141" s="150"/>
      <c r="L141" s="154"/>
      <c r="M141" s="152"/>
      <c r="N141" s="157"/>
      <c r="O141" s="152">
        <f t="shared" si="21"/>
        <v>16187.407000000007</v>
      </c>
      <c r="P141" s="152">
        <f t="shared" si="22"/>
        <v>360063.91200000013</v>
      </c>
    </row>
    <row r="142" spans="1:16" hidden="1" x14ac:dyDescent="0.15">
      <c r="A142" s="154"/>
      <c r="B142" s="154"/>
      <c r="C142" s="152"/>
      <c r="D142" s="158"/>
      <c r="E142" s="154"/>
      <c r="F142" s="154"/>
      <c r="G142" s="163"/>
      <c r="H142" s="152"/>
      <c r="I142" s="158"/>
      <c r="J142" s="152"/>
      <c r="K142" s="150"/>
      <c r="L142" s="154"/>
      <c r="M142" s="152"/>
      <c r="N142" s="157"/>
      <c r="O142" s="152">
        <f t="shared" si="21"/>
        <v>16187.407000000007</v>
      </c>
      <c r="P142" s="152">
        <f t="shared" si="22"/>
        <v>360063.91200000013</v>
      </c>
    </row>
    <row r="143" spans="1:16" hidden="1" x14ac:dyDescent="0.15">
      <c r="A143" s="154"/>
      <c r="B143" s="154"/>
      <c r="C143" s="152"/>
      <c r="D143" s="158"/>
      <c r="E143" s="154"/>
      <c r="F143" s="150"/>
      <c r="G143" s="171"/>
      <c r="H143" s="152"/>
      <c r="I143" s="158"/>
      <c r="J143" s="152"/>
      <c r="K143" s="157"/>
      <c r="L143" s="154"/>
      <c r="M143" s="152"/>
      <c r="N143" s="157"/>
      <c r="O143" s="152">
        <f t="shared" si="21"/>
        <v>16187.407000000007</v>
      </c>
      <c r="P143" s="152">
        <f t="shared" si="22"/>
        <v>360063.91200000013</v>
      </c>
    </row>
    <row r="144" spans="1:16" hidden="1" x14ac:dyDescent="0.15">
      <c r="A144" s="154"/>
      <c r="B144" s="154"/>
      <c r="C144" s="152"/>
      <c r="D144" s="158"/>
      <c r="E144" s="154"/>
      <c r="F144" s="150"/>
      <c r="G144" s="151"/>
      <c r="H144" s="152"/>
      <c r="I144" s="158"/>
      <c r="J144" s="152"/>
      <c r="K144" s="154"/>
      <c r="L144" s="154"/>
      <c r="M144" s="152"/>
      <c r="N144" s="157"/>
      <c r="O144" s="152">
        <f t="shared" si="21"/>
        <v>16187.407000000007</v>
      </c>
      <c r="P144" s="152">
        <f t="shared" si="22"/>
        <v>360063.91200000013</v>
      </c>
    </row>
    <row r="145" spans="1:16" hidden="1" x14ac:dyDescent="0.15">
      <c r="A145" s="154"/>
      <c r="B145" s="154"/>
      <c r="C145" s="152"/>
      <c r="D145" s="158"/>
      <c r="E145" s="154"/>
      <c r="F145" s="150"/>
      <c r="G145" s="151"/>
      <c r="H145" s="152"/>
      <c r="I145" s="158"/>
      <c r="J145" s="152"/>
      <c r="K145" s="154"/>
      <c r="L145" s="154"/>
      <c r="M145" s="152"/>
      <c r="N145" s="154"/>
      <c r="O145" s="152">
        <f t="shared" si="21"/>
        <v>16187.407000000007</v>
      </c>
      <c r="P145" s="152">
        <f t="shared" si="22"/>
        <v>360063.91200000013</v>
      </c>
    </row>
    <row r="146" spans="1:16" hidden="1" x14ac:dyDescent="0.15">
      <c r="A146" s="154"/>
      <c r="B146" s="154"/>
      <c r="C146" s="152"/>
      <c r="D146" s="158"/>
      <c r="E146" s="154"/>
      <c r="F146" s="170"/>
      <c r="G146" s="171"/>
      <c r="H146" s="152"/>
      <c r="I146" s="158"/>
      <c r="J146" s="152"/>
      <c r="K146" s="157"/>
      <c r="L146" s="154"/>
      <c r="M146" s="152"/>
      <c r="N146" s="157"/>
      <c r="O146" s="152">
        <f t="shared" si="21"/>
        <v>16187.407000000007</v>
      </c>
      <c r="P146" s="152">
        <f t="shared" si="22"/>
        <v>360063.91200000013</v>
      </c>
    </row>
    <row r="147" spans="1:16" hidden="1" x14ac:dyDescent="0.15">
      <c r="A147" s="154"/>
      <c r="B147" s="154"/>
      <c r="C147" s="152"/>
      <c r="D147" s="158"/>
      <c r="E147" s="154"/>
      <c r="F147" s="170"/>
      <c r="G147" s="168"/>
      <c r="H147" s="152"/>
      <c r="I147" s="158"/>
      <c r="J147" s="152"/>
      <c r="K147" s="157"/>
      <c r="L147" s="154"/>
      <c r="M147" s="152"/>
      <c r="N147" s="157"/>
      <c r="O147" s="152">
        <f t="shared" si="21"/>
        <v>16187.407000000007</v>
      </c>
      <c r="P147" s="152">
        <f t="shared" si="22"/>
        <v>360063.91200000013</v>
      </c>
    </row>
    <row r="148" spans="1:16" hidden="1" x14ac:dyDescent="0.15">
      <c r="A148" s="154"/>
      <c r="B148" s="154"/>
      <c r="C148" s="152"/>
      <c r="D148" s="158"/>
      <c r="E148" s="154"/>
      <c r="F148" s="170"/>
      <c r="G148" s="168"/>
      <c r="H148" s="152"/>
      <c r="I148" s="158"/>
      <c r="J148" s="152"/>
      <c r="K148" s="154"/>
      <c r="L148" s="154"/>
      <c r="M148" s="152"/>
      <c r="N148" s="157"/>
      <c r="O148" s="152">
        <f t="shared" si="21"/>
        <v>16187.407000000007</v>
      </c>
      <c r="P148" s="152">
        <f t="shared" si="22"/>
        <v>360063.91200000013</v>
      </c>
    </row>
    <row r="149" spans="1:16" hidden="1" x14ac:dyDescent="0.15">
      <c r="A149" s="154"/>
      <c r="B149" s="154"/>
      <c r="C149" s="152"/>
      <c r="D149" s="158"/>
      <c r="E149" s="154"/>
      <c r="F149" s="170"/>
      <c r="G149" s="171"/>
      <c r="H149" s="152"/>
      <c r="I149" s="158"/>
      <c r="J149" s="152"/>
      <c r="K149" s="157"/>
      <c r="L149" s="154"/>
      <c r="M149" s="152"/>
      <c r="N149" s="157"/>
      <c r="O149" s="152">
        <f t="shared" si="21"/>
        <v>16187.407000000007</v>
      </c>
      <c r="P149" s="152">
        <f t="shared" si="22"/>
        <v>360063.91200000013</v>
      </c>
    </row>
    <row r="150" spans="1:16" hidden="1" x14ac:dyDescent="0.15">
      <c r="A150" s="154"/>
      <c r="B150" s="154"/>
      <c r="C150" s="152"/>
      <c r="D150" s="158"/>
      <c r="E150" s="154"/>
      <c r="F150" s="154"/>
      <c r="G150" s="151"/>
      <c r="H150" s="152"/>
      <c r="I150" s="158"/>
      <c r="J150" s="152"/>
      <c r="K150" s="154"/>
      <c r="L150" s="154"/>
      <c r="M150" s="152"/>
      <c r="N150" s="157"/>
      <c r="O150" s="152">
        <f t="shared" si="21"/>
        <v>16187.407000000007</v>
      </c>
      <c r="P150" s="152">
        <f t="shared" si="22"/>
        <v>360063.91200000013</v>
      </c>
    </row>
    <row r="151" spans="1:16" hidden="1" x14ac:dyDescent="0.15">
      <c r="A151" s="154"/>
      <c r="B151" s="154"/>
      <c r="C151" s="152"/>
      <c r="D151" s="158"/>
      <c r="E151" s="154"/>
      <c r="F151" s="154"/>
      <c r="G151" s="151"/>
      <c r="H151" s="152"/>
      <c r="I151" s="158"/>
      <c r="J151" s="152"/>
      <c r="K151" s="154"/>
      <c r="L151" s="154"/>
      <c r="M151" s="152"/>
      <c r="N151" s="157"/>
      <c r="O151" s="152">
        <f t="shared" si="21"/>
        <v>16187.407000000007</v>
      </c>
      <c r="P151" s="152">
        <f t="shared" si="22"/>
        <v>360063.91200000013</v>
      </c>
    </row>
    <row r="152" spans="1:16" hidden="1" x14ac:dyDescent="0.15">
      <c r="A152" s="154"/>
      <c r="B152" s="154"/>
      <c r="C152" s="152"/>
      <c r="D152" s="158"/>
      <c r="E152" s="154"/>
      <c r="F152" s="170"/>
      <c r="G152" s="171"/>
      <c r="H152" s="152"/>
      <c r="I152" s="158"/>
      <c r="J152" s="152"/>
      <c r="K152" s="157"/>
      <c r="L152" s="154"/>
      <c r="M152" s="152"/>
      <c r="N152" s="157"/>
      <c r="O152" s="152">
        <f t="shared" si="21"/>
        <v>16187.407000000007</v>
      </c>
      <c r="P152" s="152">
        <f t="shared" si="22"/>
        <v>360063.91200000013</v>
      </c>
    </row>
    <row r="153" spans="1:16" hidden="1" x14ac:dyDescent="0.15">
      <c r="A153" s="154"/>
      <c r="B153" s="154"/>
      <c r="C153" s="152"/>
      <c r="D153" s="158"/>
      <c r="E153" s="154"/>
      <c r="F153" s="170"/>
      <c r="G153" s="151"/>
      <c r="H153" s="152"/>
      <c r="I153" s="158"/>
      <c r="J153" s="152"/>
      <c r="K153" s="154"/>
      <c r="L153" s="154"/>
      <c r="M153" s="152"/>
      <c r="N153" s="157"/>
      <c r="O153" s="152">
        <f t="shared" si="21"/>
        <v>16187.407000000007</v>
      </c>
      <c r="P153" s="152">
        <f t="shared" si="22"/>
        <v>360063.91200000013</v>
      </c>
    </row>
    <row r="154" spans="1:16" hidden="1" x14ac:dyDescent="0.15">
      <c r="A154" s="154"/>
      <c r="B154" s="154"/>
      <c r="C154" s="152"/>
      <c r="D154" s="158"/>
      <c r="E154" s="154"/>
      <c r="F154" s="170"/>
      <c r="G154" s="151"/>
      <c r="H154" s="152"/>
      <c r="I154" s="158"/>
      <c r="J154" s="152"/>
      <c r="K154" s="154"/>
      <c r="L154" s="154"/>
      <c r="M154" s="152"/>
      <c r="N154" s="157"/>
      <c r="O154" s="152">
        <f t="shared" si="21"/>
        <v>16187.407000000007</v>
      </c>
      <c r="P154" s="152">
        <f t="shared" si="22"/>
        <v>360063.91200000013</v>
      </c>
    </row>
    <row r="155" spans="1:16" hidden="1" x14ac:dyDescent="0.15">
      <c r="A155" s="154"/>
      <c r="B155" s="154"/>
      <c r="C155" s="152"/>
      <c r="D155" s="158"/>
      <c r="E155" s="154"/>
      <c r="F155" s="157"/>
      <c r="G155" s="171"/>
      <c r="H155" s="152"/>
      <c r="I155" s="158"/>
      <c r="J155" s="152"/>
      <c r="K155" s="157"/>
      <c r="L155" s="154"/>
      <c r="M155" s="152"/>
      <c r="N155" s="157"/>
      <c r="O155" s="152">
        <f t="shared" si="21"/>
        <v>16187.407000000007</v>
      </c>
      <c r="P155" s="152">
        <f t="shared" si="22"/>
        <v>360063.91200000013</v>
      </c>
    </row>
    <row r="156" spans="1:16" hidden="1" x14ac:dyDescent="0.15">
      <c r="A156" s="154"/>
      <c r="B156" s="154"/>
      <c r="C156" s="152"/>
      <c r="D156" s="158"/>
      <c r="E156" s="154"/>
      <c r="F156" s="157"/>
      <c r="G156" s="172"/>
      <c r="H156" s="152"/>
      <c r="I156" s="158"/>
      <c r="J156" s="152"/>
      <c r="K156" s="154"/>
      <c r="L156" s="154"/>
      <c r="M156" s="152"/>
      <c r="N156" s="157"/>
      <c r="O156" s="152">
        <f t="shared" si="21"/>
        <v>16187.407000000007</v>
      </c>
      <c r="P156" s="152">
        <f t="shared" si="22"/>
        <v>360063.91200000013</v>
      </c>
    </row>
    <row r="157" spans="1:16" hidden="1" x14ac:dyDescent="0.15">
      <c r="A157" s="154"/>
      <c r="B157" s="154"/>
      <c r="C157" s="152"/>
      <c r="D157" s="158"/>
      <c r="E157" s="154"/>
      <c r="F157" s="157"/>
      <c r="G157" s="172"/>
      <c r="H157" s="152"/>
      <c r="I157" s="158"/>
      <c r="J157" s="152"/>
      <c r="K157" s="157"/>
      <c r="L157" s="154"/>
      <c r="M157" s="152"/>
      <c r="N157" s="157"/>
      <c r="O157" s="152">
        <f t="shared" si="21"/>
        <v>16187.407000000007</v>
      </c>
      <c r="P157" s="152">
        <f t="shared" si="22"/>
        <v>360063.91200000013</v>
      </c>
    </row>
    <row r="158" spans="1:16" hidden="1" x14ac:dyDescent="0.15">
      <c r="A158" s="154"/>
      <c r="B158" s="154"/>
      <c r="C158" s="152"/>
      <c r="D158" s="158"/>
      <c r="E158" s="154"/>
      <c r="F158" s="157"/>
      <c r="G158" s="172"/>
      <c r="H158" s="152"/>
      <c r="I158" s="158"/>
      <c r="J158" s="152"/>
      <c r="K158" s="154"/>
      <c r="L158" s="154"/>
      <c r="M158" s="152"/>
      <c r="N158" s="157"/>
      <c r="O158" s="152">
        <f t="shared" si="21"/>
        <v>16187.407000000007</v>
      </c>
      <c r="P158" s="152">
        <f t="shared" si="22"/>
        <v>360063.91200000013</v>
      </c>
    </row>
    <row r="159" spans="1:16" hidden="1" x14ac:dyDescent="0.15">
      <c r="A159" s="154"/>
      <c r="B159" s="154"/>
      <c r="C159" s="152"/>
      <c r="D159" s="158"/>
      <c r="E159" s="154"/>
      <c r="F159" s="154"/>
      <c r="G159" s="151"/>
      <c r="H159" s="152"/>
      <c r="I159" s="158"/>
      <c r="J159" s="152"/>
      <c r="K159" s="154"/>
      <c r="L159" s="154"/>
      <c r="M159" s="152"/>
      <c r="N159" s="157"/>
      <c r="O159" s="152">
        <f t="shared" si="21"/>
        <v>16187.407000000007</v>
      </c>
      <c r="P159" s="152">
        <f t="shared" si="22"/>
        <v>360063.91200000013</v>
      </c>
    </row>
    <row r="160" spans="1:16" hidden="1" x14ac:dyDescent="0.15">
      <c r="A160" s="154"/>
      <c r="B160" s="154"/>
      <c r="C160" s="152"/>
      <c r="D160" s="158"/>
      <c r="E160" s="154"/>
      <c r="F160" s="157"/>
      <c r="G160" s="172"/>
      <c r="H160" s="152"/>
      <c r="I160" s="158"/>
      <c r="J160" s="152"/>
      <c r="K160" s="154"/>
      <c r="L160" s="154"/>
      <c r="M160" s="152"/>
      <c r="N160" s="154"/>
      <c r="O160" s="152">
        <f t="shared" si="21"/>
        <v>16187.407000000007</v>
      </c>
      <c r="P160" s="152">
        <f t="shared" si="22"/>
        <v>360063.91200000013</v>
      </c>
    </row>
    <row r="161" spans="1:16" hidden="1" x14ac:dyDescent="0.15">
      <c r="A161" s="154"/>
      <c r="B161" s="154"/>
      <c r="C161" s="152"/>
      <c r="D161" s="158"/>
      <c r="E161" s="154"/>
      <c r="F161" s="157"/>
      <c r="G161" s="172"/>
      <c r="H161" s="152"/>
      <c r="I161" s="158"/>
      <c r="J161" s="152"/>
      <c r="K161" s="154"/>
      <c r="L161" s="154"/>
      <c r="M161" s="152"/>
      <c r="N161" s="154"/>
      <c r="O161" s="152">
        <f t="shared" si="21"/>
        <v>16187.407000000007</v>
      </c>
      <c r="P161" s="152">
        <f t="shared" si="22"/>
        <v>360063.91200000013</v>
      </c>
    </row>
    <row r="162" spans="1:16" hidden="1" x14ac:dyDescent="0.15">
      <c r="A162" s="154"/>
      <c r="B162" s="154"/>
      <c r="C162" s="152"/>
      <c r="D162" s="158"/>
      <c r="E162" s="154"/>
      <c r="F162" s="157"/>
      <c r="G162" s="172"/>
      <c r="H162" s="152"/>
      <c r="I162" s="158"/>
      <c r="J162" s="152"/>
      <c r="K162" s="154"/>
      <c r="L162" s="154"/>
      <c r="M162" s="152"/>
      <c r="N162" s="154"/>
      <c r="O162" s="152">
        <f t="shared" si="21"/>
        <v>16187.407000000007</v>
      </c>
      <c r="P162" s="152">
        <f t="shared" si="22"/>
        <v>360063.91200000013</v>
      </c>
    </row>
    <row r="163" spans="1:16" hidden="1" x14ac:dyDescent="0.15">
      <c r="A163" s="154"/>
      <c r="B163" s="154"/>
      <c r="C163" s="152"/>
      <c r="D163" s="158"/>
      <c r="E163" s="154"/>
      <c r="F163" s="154"/>
      <c r="G163" s="163"/>
      <c r="H163" s="152"/>
      <c r="I163" s="158"/>
      <c r="J163" s="152"/>
      <c r="K163" s="154"/>
      <c r="L163" s="154"/>
      <c r="M163" s="152"/>
      <c r="N163" s="154"/>
      <c r="O163" s="152">
        <f t="shared" si="21"/>
        <v>16187.407000000007</v>
      </c>
      <c r="P163" s="152">
        <f t="shared" si="22"/>
        <v>360063.91200000013</v>
      </c>
    </row>
    <row r="164" spans="1:16" x14ac:dyDescent="0.15">
      <c r="A164" s="173"/>
      <c r="B164" s="173"/>
      <c r="C164" s="174"/>
      <c r="D164" s="175"/>
      <c r="E164" s="173"/>
      <c r="F164" s="173"/>
      <c r="G164" s="176"/>
      <c r="H164" s="174"/>
      <c r="I164" s="175"/>
      <c r="J164" s="174"/>
      <c r="K164" s="173"/>
      <c r="L164" s="173"/>
      <c r="M164" s="174"/>
      <c r="N164" s="173"/>
      <c r="O164" s="152">
        <f t="shared" si="21"/>
        <v>16187.407000000007</v>
      </c>
      <c r="P164" s="152">
        <f t="shared" si="22"/>
        <v>360063.91200000013</v>
      </c>
    </row>
    <row r="165" spans="1:16" x14ac:dyDescent="0.15">
      <c r="A165" s="177"/>
      <c r="B165" s="177"/>
      <c r="C165" s="178">
        <f>SUM(C7:C151)</f>
        <v>584857.99600000004</v>
      </c>
      <c r="D165" s="177"/>
      <c r="E165" s="177"/>
      <c r="F165" s="177"/>
      <c r="G165" s="177"/>
      <c r="H165" s="178">
        <f>SUM(H7:H163)</f>
        <v>647877.91599999997</v>
      </c>
      <c r="I165" s="179"/>
      <c r="J165" s="178">
        <f>SUM(J7:J163)</f>
        <v>10636</v>
      </c>
      <c r="K165" s="177"/>
      <c r="L165" s="177"/>
      <c r="M165" s="178">
        <f>SUM(M9:M163)</f>
        <v>862036</v>
      </c>
      <c r="N165" s="177"/>
      <c r="O165" s="180"/>
      <c r="P165" s="181">
        <f>C165+H165-J165-M165</f>
        <v>360063.91200000001</v>
      </c>
    </row>
    <row r="166" spans="1:16" x14ac:dyDescent="0.15">
      <c r="A166" s="182"/>
      <c r="B166" s="465"/>
      <c r="C166" s="465"/>
      <c r="D166" s="465"/>
      <c r="E166" s="183"/>
      <c r="F166" s="472"/>
      <c r="G166" s="472"/>
      <c r="H166" s="185"/>
      <c r="I166" s="186"/>
      <c r="J166" s="187"/>
      <c r="K166" s="188"/>
      <c r="L166" s="189"/>
      <c r="M166" s="190">
        <f>+M165+J165</f>
        <v>872672</v>
      </c>
      <c r="N166" s="188"/>
      <c r="O166" s="191">
        <f>+O164</f>
        <v>16187.407000000007</v>
      </c>
      <c r="P166" s="192" t="s">
        <v>97</v>
      </c>
    </row>
    <row r="167" spans="1:16" s="167" customFormat="1" x14ac:dyDescent="0.15">
      <c r="A167" s="193" t="s">
        <v>67</v>
      </c>
      <c r="B167" s="470" t="s">
        <v>70</v>
      </c>
      <c r="C167" s="470"/>
      <c r="D167" s="470"/>
      <c r="E167" s="183" t="s">
        <v>55</v>
      </c>
      <c r="F167" s="472">
        <v>56518257.159999996</v>
      </c>
      <c r="G167" s="472"/>
      <c r="H167" s="185" t="s">
        <v>56</v>
      </c>
      <c r="I167" s="186">
        <v>39923</v>
      </c>
      <c r="J167" s="187" t="s">
        <v>71</v>
      </c>
      <c r="K167" s="210">
        <f>+M14</f>
        <v>692</v>
      </c>
      <c r="L167" s="188"/>
      <c r="M167" s="190"/>
      <c r="N167" s="188"/>
      <c r="O167" s="191">
        <f>+H29+H32</f>
        <v>79941.18299999999</v>
      </c>
      <c r="P167" s="192" t="s">
        <v>98</v>
      </c>
    </row>
    <row r="168" spans="1:16" s="167" customFormat="1" x14ac:dyDescent="0.15">
      <c r="A168" s="193" t="s">
        <v>66</v>
      </c>
      <c r="B168" s="470" t="s">
        <v>112</v>
      </c>
      <c r="C168" s="470"/>
      <c r="D168" s="470"/>
      <c r="E168" s="183" t="s">
        <v>55</v>
      </c>
      <c r="F168" s="472">
        <v>75657874.689999998</v>
      </c>
      <c r="G168" s="472"/>
      <c r="H168" s="185" t="s">
        <v>56</v>
      </c>
      <c r="I168" s="186">
        <v>40035</v>
      </c>
      <c r="J168" s="187" t="s">
        <v>71</v>
      </c>
      <c r="K168" s="210">
        <f>+M15</f>
        <v>39856</v>
      </c>
      <c r="L168" s="188"/>
      <c r="M168" s="190"/>
      <c r="N168" s="188"/>
      <c r="O168" s="191">
        <f>+H36</f>
        <v>61419.754999999997</v>
      </c>
      <c r="P168" s="192" t="s">
        <v>99</v>
      </c>
    </row>
    <row r="169" spans="1:16" s="167" customFormat="1" x14ac:dyDescent="0.15">
      <c r="A169" s="193" t="s">
        <v>45</v>
      </c>
      <c r="B169" s="470" t="s">
        <v>109</v>
      </c>
      <c r="C169" s="470"/>
      <c r="D169" s="470"/>
      <c r="E169" s="183" t="s">
        <v>55</v>
      </c>
      <c r="F169" s="472">
        <v>6399205.0800000001</v>
      </c>
      <c r="G169" s="472"/>
      <c r="H169" s="185" t="s">
        <v>56</v>
      </c>
      <c r="I169" s="186">
        <v>40070</v>
      </c>
      <c r="J169" s="187" t="s">
        <v>71</v>
      </c>
      <c r="K169" s="210">
        <f>SUM(M16:M17)</f>
        <v>76029</v>
      </c>
      <c r="L169" s="188"/>
      <c r="M169" s="190"/>
      <c r="N169" s="188"/>
      <c r="O169" s="191">
        <f>+H37+H40</f>
        <v>90539.085000000006</v>
      </c>
      <c r="P169" s="195" t="s">
        <v>100</v>
      </c>
    </row>
    <row r="170" spans="1:16" s="167" customFormat="1" ht="11.25" customHeight="1" x14ac:dyDescent="0.15">
      <c r="A170" s="193" t="s">
        <v>47</v>
      </c>
      <c r="B170" s="470" t="s">
        <v>113</v>
      </c>
      <c r="C170" s="470"/>
      <c r="D170" s="470"/>
      <c r="E170" s="183" t="s">
        <v>55</v>
      </c>
      <c r="F170" s="472">
        <v>36224739.409999996</v>
      </c>
      <c r="G170" s="472"/>
      <c r="H170" s="185" t="s">
        <v>56</v>
      </c>
      <c r="I170" s="186">
        <v>40080</v>
      </c>
      <c r="J170" s="187" t="s">
        <v>71</v>
      </c>
      <c r="K170" s="210">
        <f>+M18+M20+M23</f>
        <v>147423</v>
      </c>
      <c r="L170" s="188"/>
      <c r="M170" s="190"/>
      <c r="N170" s="188"/>
      <c r="O170" s="191">
        <f>+H41+H44</f>
        <v>111976.48199999999</v>
      </c>
      <c r="P170" s="195" t="s">
        <v>102</v>
      </c>
    </row>
    <row r="171" spans="1:16" s="167" customFormat="1" ht="11.25" hidden="1" customHeight="1" x14ac:dyDescent="0.15">
      <c r="A171" s="193" t="s">
        <v>59</v>
      </c>
      <c r="B171" s="470" t="s">
        <v>103</v>
      </c>
      <c r="C171" s="470"/>
      <c r="D171" s="470"/>
      <c r="E171" s="183" t="s">
        <v>55</v>
      </c>
      <c r="F171" s="472"/>
      <c r="G171" s="472"/>
      <c r="H171" s="185" t="s">
        <v>56</v>
      </c>
      <c r="I171" s="186"/>
      <c r="J171" s="187" t="s">
        <v>71</v>
      </c>
      <c r="K171" s="210"/>
      <c r="L171" s="188"/>
      <c r="M171" s="190"/>
      <c r="N171" s="188"/>
      <c r="O171" s="191"/>
      <c r="P171" s="195"/>
    </row>
    <row r="172" spans="1:16" s="167" customFormat="1" ht="11.25" hidden="1" customHeight="1" x14ac:dyDescent="0.15">
      <c r="A172" s="193" t="s">
        <v>63</v>
      </c>
      <c r="B172" s="470" t="s">
        <v>103</v>
      </c>
      <c r="C172" s="470"/>
      <c r="D172" s="470"/>
      <c r="E172" s="183" t="s">
        <v>55</v>
      </c>
      <c r="F172" s="472"/>
      <c r="G172" s="472"/>
      <c r="H172" s="185" t="s">
        <v>56</v>
      </c>
      <c r="I172" s="186"/>
      <c r="J172" s="187" t="s">
        <v>71</v>
      </c>
      <c r="K172" s="210"/>
      <c r="L172" s="188"/>
      <c r="M172" s="190"/>
      <c r="N172" s="188"/>
      <c r="O172" s="191"/>
      <c r="P172" s="195"/>
    </row>
    <row r="173" spans="1:16" s="167" customFormat="1" ht="11.25" hidden="1" customHeight="1" x14ac:dyDescent="0.15">
      <c r="A173" s="193" t="s">
        <v>64</v>
      </c>
      <c r="B173" s="470" t="s">
        <v>103</v>
      </c>
      <c r="C173" s="470"/>
      <c r="D173" s="470"/>
      <c r="E173" s="183" t="s">
        <v>55</v>
      </c>
      <c r="F173" s="472"/>
      <c r="G173" s="472"/>
      <c r="H173" s="185" t="s">
        <v>56</v>
      </c>
      <c r="I173" s="186"/>
      <c r="J173" s="187" t="s">
        <v>71</v>
      </c>
      <c r="K173" s="210"/>
      <c r="L173" s="188"/>
      <c r="M173" s="190"/>
      <c r="N173" s="188"/>
      <c r="O173" s="191"/>
      <c r="P173" s="195"/>
    </row>
    <row r="174" spans="1:16" s="167" customFormat="1" ht="11.25" hidden="1" customHeight="1" x14ac:dyDescent="0.15">
      <c r="A174" s="193"/>
      <c r="B174" s="470" t="s">
        <v>103</v>
      </c>
      <c r="C174" s="470"/>
      <c r="D174" s="470"/>
      <c r="E174" s="183" t="s">
        <v>55</v>
      </c>
      <c r="F174" s="472"/>
      <c r="G174" s="472"/>
      <c r="H174" s="185" t="s">
        <v>56</v>
      </c>
      <c r="I174" s="186"/>
      <c r="J174" s="187" t="s">
        <v>71</v>
      </c>
      <c r="K174" s="210"/>
      <c r="L174" s="188"/>
      <c r="M174" s="190"/>
      <c r="N174" s="188"/>
      <c r="O174" s="191"/>
      <c r="P174" s="195"/>
    </row>
    <row r="175" spans="1:16" s="167" customFormat="1" ht="11.25" hidden="1" customHeight="1" x14ac:dyDescent="0.15">
      <c r="A175" s="193"/>
      <c r="B175" s="470" t="s">
        <v>103</v>
      </c>
      <c r="C175" s="470"/>
      <c r="D175" s="470"/>
      <c r="E175" s="183" t="s">
        <v>55</v>
      </c>
      <c r="F175" s="472"/>
      <c r="G175" s="472"/>
      <c r="H175" s="185" t="s">
        <v>56</v>
      </c>
      <c r="I175" s="186"/>
      <c r="J175" s="187" t="s">
        <v>71</v>
      </c>
      <c r="K175" s="210"/>
      <c r="L175" s="188"/>
      <c r="M175" s="190"/>
      <c r="N175" s="188"/>
      <c r="O175" s="191"/>
      <c r="P175" s="195"/>
    </row>
    <row r="176" spans="1:16" s="167" customFormat="1" x14ac:dyDescent="0.15">
      <c r="A176" s="193" t="s">
        <v>59</v>
      </c>
      <c r="B176" s="470" t="s">
        <v>114</v>
      </c>
      <c r="C176" s="470"/>
      <c r="D176" s="470"/>
      <c r="E176" s="183" t="s">
        <v>55</v>
      </c>
      <c r="F176" s="472">
        <v>27467404.600000001</v>
      </c>
      <c r="G176" s="472"/>
      <c r="H176" s="185" t="s">
        <v>56</v>
      </c>
      <c r="I176" s="186">
        <v>40098</v>
      </c>
      <c r="J176" s="187" t="s">
        <v>71</v>
      </c>
      <c r="K176" s="210">
        <f>+M24</f>
        <v>39993</v>
      </c>
      <c r="L176" s="188"/>
      <c r="M176" s="190"/>
      <c r="N176" s="188"/>
      <c r="O176" s="206" t="s">
        <v>33</v>
      </c>
      <c r="P176" s="207">
        <f>SUM(O166:O175)</f>
        <v>360063.91200000001</v>
      </c>
    </row>
    <row r="177" spans="1:16" s="167" customFormat="1" x14ac:dyDescent="0.15">
      <c r="A177" s="193" t="s">
        <v>63</v>
      </c>
      <c r="B177" s="470" t="s">
        <v>110</v>
      </c>
      <c r="C177" s="470"/>
      <c r="D177" s="470"/>
      <c r="E177" s="183" t="s">
        <v>55</v>
      </c>
      <c r="F177" s="472">
        <v>12733502.800000001</v>
      </c>
      <c r="G177" s="472"/>
      <c r="H177" s="185" t="s">
        <v>56</v>
      </c>
      <c r="I177" s="186">
        <v>40102</v>
      </c>
      <c r="J177" s="187" t="s">
        <v>71</v>
      </c>
      <c r="K177" s="210">
        <f>SUM(M25:M32)</f>
        <v>154339</v>
      </c>
      <c r="L177" s="188"/>
      <c r="M177" s="190"/>
      <c r="N177" s="188"/>
      <c r="O177" s="190"/>
      <c r="P177" s="197">
        <f>+P165-P176</f>
        <v>0</v>
      </c>
    </row>
    <row r="178" spans="1:16" s="167" customFormat="1" x14ac:dyDescent="0.15">
      <c r="A178" s="193" t="s">
        <v>64</v>
      </c>
      <c r="B178" s="470" t="s">
        <v>111</v>
      </c>
      <c r="C178" s="470"/>
      <c r="D178" s="470"/>
      <c r="E178" s="183" t="s">
        <v>55</v>
      </c>
      <c r="F178" s="472">
        <v>34250810.729999997</v>
      </c>
      <c r="G178" s="472"/>
      <c r="H178" s="185" t="s">
        <v>56</v>
      </c>
      <c r="I178" s="186">
        <v>40105</v>
      </c>
      <c r="J178" s="187" t="s">
        <v>71</v>
      </c>
      <c r="K178" s="210">
        <f>SUM(M33:M37)</f>
        <v>155843</v>
      </c>
      <c r="L178" s="188"/>
      <c r="M178" s="190"/>
      <c r="N178" s="188"/>
      <c r="O178" s="188"/>
      <c r="P178" s="198"/>
    </row>
    <row r="179" spans="1:16" s="167" customFormat="1" x14ac:dyDescent="0.15">
      <c r="A179" s="167" t="s">
        <v>95</v>
      </c>
      <c r="B179" s="470" t="s">
        <v>115</v>
      </c>
      <c r="C179" s="470"/>
      <c r="D179" s="470"/>
      <c r="E179" s="183" t="s">
        <v>55</v>
      </c>
      <c r="F179" s="472">
        <v>32152289.219999999</v>
      </c>
      <c r="G179" s="472"/>
      <c r="H179" s="185" t="s">
        <v>56</v>
      </c>
      <c r="I179" s="186">
        <v>40112</v>
      </c>
      <c r="J179" s="187" t="s">
        <v>71</v>
      </c>
      <c r="K179" s="210">
        <f>SUM(M38:M42)</f>
        <v>152146</v>
      </c>
      <c r="L179" s="208"/>
      <c r="M179" s="209"/>
      <c r="O179" s="209"/>
      <c r="P179" s="209"/>
    </row>
    <row r="180" spans="1:16" s="167" customFormat="1" x14ac:dyDescent="0.15">
      <c r="A180" s="167" t="s">
        <v>97</v>
      </c>
      <c r="B180" s="470" t="s">
        <v>114</v>
      </c>
      <c r="C180" s="470"/>
      <c r="D180" s="470"/>
      <c r="E180" s="183" t="s">
        <v>55</v>
      </c>
      <c r="F180" s="472">
        <v>31565425.690000001</v>
      </c>
      <c r="G180" s="472"/>
      <c r="H180" s="185" t="s">
        <v>56</v>
      </c>
      <c r="I180" s="186">
        <v>40130</v>
      </c>
      <c r="J180" s="187" t="s">
        <v>71</v>
      </c>
      <c r="K180" s="210">
        <f>SUM(M43:M44)</f>
        <v>95715</v>
      </c>
      <c r="L180" s="208"/>
      <c r="M180" s="209"/>
      <c r="O180" s="209"/>
      <c r="P180" s="209"/>
    </row>
    <row r="181" spans="1:16" s="167" customFormat="1" ht="12" thickBot="1" x14ac:dyDescent="0.2">
      <c r="B181" s="199"/>
      <c r="C181" s="199"/>
      <c r="D181" s="199"/>
      <c r="E181" s="183"/>
      <c r="F181" s="200"/>
      <c r="G181" s="200"/>
      <c r="H181" s="185"/>
      <c r="I181" s="186"/>
      <c r="J181" s="187"/>
      <c r="K181" s="211">
        <f>SUM(K167:K180)</f>
        <v>862036</v>
      </c>
      <c r="L181" s="208"/>
      <c r="M181" s="209"/>
      <c r="O181" s="209"/>
      <c r="P181" s="209"/>
    </row>
    <row r="182" spans="1:16" ht="12" thickTop="1" x14ac:dyDescent="0.15">
      <c r="J182" s="132" t="s">
        <v>105</v>
      </c>
      <c r="K182" s="205">
        <f>+K169+K177+K178</f>
        <v>386211</v>
      </c>
    </row>
    <row r="183" spans="1:16" x14ac:dyDescent="0.15">
      <c r="J183" s="132" t="s">
        <v>106</v>
      </c>
      <c r="K183" s="205">
        <f>+K167+K168+K170+K176+K179+K180</f>
        <v>475825</v>
      </c>
    </row>
    <row r="184" spans="1:16" ht="12" thickBot="1" x14ac:dyDescent="0.2">
      <c r="K184" s="212">
        <f>SUM(K182:K183)</f>
        <v>862036</v>
      </c>
    </row>
    <row r="185" spans="1:16" ht="12" thickTop="1" x14ac:dyDescent="0.15"/>
  </sheetData>
  <mergeCells count="36">
    <mergeCell ref="B179:D179"/>
    <mergeCell ref="F179:G179"/>
    <mergeCell ref="B180:D180"/>
    <mergeCell ref="F180:G180"/>
    <mergeCell ref="B178:D178"/>
    <mergeCell ref="F178:G178"/>
    <mergeCell ref="B175:D175"/>
    <mergeCell ref="F175:G175"/>
    <mergeCell ref="B176:D176"/>
    <mergeCell ref="F176:G176"/>
    <mergeCell ref="B177:D177"/>
    <mergeCell ref="F177:G177"/>
    <mergeCell ref="B169:D169"/>
    <mergeCell ref="F169:G169"/>
    <mergeCell ref="B170:D170"/>
    <mergeCell ref="F170:G170"/>
    <mergeCell ref="B174:D174"/>
    <mergeCell ref="F174:G174"/>
    <mergeCell ref="B171:D171"/>
    <mergeCell ref="F171:G171"/>
    <mergeCell ref="B172:D172"/>
    <mergeCell ref="F172:G172"/>
    <mergeCell ref="B173:D173"/>
    <mergeCell ref="F173:G173"/>
    <mergeCell ref="B166:D166"/>
    <mergeCell ref="F166:G166"/>
    <mergeCell ref="B167:D167"/>
    <mergeCell ref="F167:G167"/>
    <mergeCell ref="B168:D168"/>
    <mergeCell ref="F168:G168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opLeftCell="F1" zoomScale="130" zoomScaleNormal="130" workbookViewId="0">
      <pane ySplit="6" topLeftCell="A7" activePane="bottomLeft" state="frozen"/>
      <selection pane="bottomLeft" activeCell="L26" activeCellId="1" sqref="L18 L26:L27"/>
    </sheetView>
  </sheetViews>
  <sheetFormatPr defaultColWidth="18.5703125" defaultRowHeight="11.25" x14ac:dyDescent="0.15"/>
  <cols>
    <col min="1" max="1" width="12.140625" style="134" customWidth="1"/>
    <col min="2" max="2" width="10.140625" style="131" customWidth="1"/>
    <col min="3" max="3" width="9.85546875" style="132" bestFit="1" customWidth="1"/>
    <col min="4" max="4" width="10.140625" style="133" bestFit="1" customWidth="1"/>
    <col min="5" max="5" width="10" style="133" bestFit="1" customWidth="1"/>
    <col min="6" max="6" width="11.85546875" style="134" bestFit="1" customWidth="1"/>
    <col min="7" max="7" width="10.140625" style="133" customWidth="1"/>
    <col min="8" max="8" width="11.85546875" style="132" bestFit="1" customWidth="1"/>
    <col min="9" max="9" width="10.140625" style="133" bestFit="1" customWidth="1"/>
    <col min="10" max="10" width="10.85546875" style="132" bestFit="1" customWidth="1"/>
    <col min="11" max="11" width="11.85546875" style="134" bestFit="1" customWidth="1"/>
    <col min="12" max="12" width="12.7109375" style="133" customWidth="1"/>
    <col min="13" max="13" width="9.140625" style="132" bestFit="1" customWidth="1"/>
    <col min="14" max="14" width="11.85546875" style="134" bestFit="1" customWidth="1"/>
    <col min="15" max="15" width="10.5703125" style="132" bestFit="1" customWidth="1"/>
    <col min="16" max="16" width="11.5703125" style="132" bestFit="1" customWidth="1"/>
    <col min="17" max="16384" width="18.5703125" style="134"/>
  </cols>
  <sheetData>
    <row r="1" spans="1:16" x14ac:dyDescent="0.15">
      <c r="A1" s="130" t="s">
        <v>38</v>
      </c>
      <c r="N1" s="135"/>
      <c r="P1" s="136"/>
    </row>
    <row r="2" spans="1:16" x14ac:dyDescent="0.15">
      <c r="A2" s="130" t="s">
        <v>57</v>
      </c>
      <c r="P2" s="137"/>
    </row>
    <row r="3" spans="1:16" x14ac:dyDescent="0.15">
      <c r="A3" s="130">
        <v>5523</v>
      </c>
      <c r="B3" s="131">
        <v>500063</v>
      </c>
      <c r="J3" s="466" t="s">
        <v>39</v>
      </c>
      <c r="K3" s="466"/>
      <c r="L3" s="466"/>
      <c r="O3" s="138"/>
      <c r="P3" s="138"/>
    </row>
    <row r="4" spans="1:16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/>
      <c r="I4" s="467" t="s">
        <v>5</v>
      </c>
      <c r="J4" s="467"/>
      <c r="K4" s="467"/>
      <c r="L4" s="467"/>
      <c r="M4" s="467"/>
      <c r="N4" s="467"/>
      <c r="O4" s="139" t="s">
        <v>6</v>
      </c>
      <c r="P4" s="139" t="s">
        <v>6</v>
      </c>
    </row>
    <row r="5" spans="1:16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0" t="s">
        <v>12</v>
      </c>
      <c r="H5" s="141" t="s">
        <v>9</v>
      </c>
      <c r="I5" s="140" t="s">
        <v>41</v>
      </c>
      <c r="J5" s="467" t="s">
        <v>42</v>
      </c>
      <c r="K5" s="467"/>
      <c r="L5" s="467" t="s">
        <v>43</v>
      </c>
      <c r="M5" s="467"/>
      <c r="N5" s="467"/>
      <c r="O5" s="141" t="s">
        <v>15</v>
      </c>
      <c r="P5" s="141" t="s">
        <v>16</v>
      </c>
    </row>
    <row r="6" spans="1:16" x14ac:dyDescent="0.15">
      <c r="A6" s="142"/>
      <c r="B6" s="143"/>
      <c r="C6" s="144"/>
      <c r="D6" s="142"/>
      <c r="E6" s="142" t="s">
        <v>17</v>
      </c>
      <c r="F6" s="142"/>
      <c r="G6" s="142" t="s">
        <v>8</v>
      </c>
      <c r="H6" s="144"/>
      <c r="I6" s="142"/>
      <c r="J6" s="144" t="s">
        <v>9</v>
      </c>
      <c r="K6" s="142" t="s">
        <v>7</v>
      </c>
      <c r="L6" s="142" t="s">
        <v>44</v>
      </c>
      <c r="M6" s="144" t="s">
        <v>9</v>
      </c>
      <c r="N6" s="142" t="s">
        <v>7</v>
      </c>
      <c r="O6" s="144"/>
      <c r="P6" s="144"/>
    </row>
    <row r="7" spans="1:16" x14ac:dyDescent="0.15">
      <c r="A7" s="145" t="s">
        <v>68</v>
      </c>
      <c r="B7" s="146"/>
      <c r="C7" s="147">
        <v>52497.35</v>
      </c>
      <c r="D7" s="148"/>
      <c r="E7" s="149"/>
      <c r="F7" s="149"/>
      <c r="G7" s="149"/>
      <c r="H7" s="147"/>
      <c r="I7" s="148"/>
      <c r="J7" s="147"/>
      <c r="K7" s="149"/>
      <c r="L7" s="149"/>
      <c r="M7" s="147"/>
      <c r="N7" s="149"/>
      <c r="O7" s="147">
        <f>+C7</f>
        <v>52497.35</v>
      </c>
      <c r="P7" s="147">
        <f>+C154</f>
        <v>356572.65</v>
      </c>
    </row>
    <row r="8" spans="1:16" x14ac:dyDescent="0.15">
      <c r="A8" s="154" t="s">
        <v>67</v>
      </c>
      <c r="B8" s="151"/>
      <c r="C8" s="152">
        <v>35920.917999999998</v>
      </c>
      <c r="D8" s="153"/>
      <c r="E8" s="154"/>
      <c r="F8" s="154"/>
      <c r="G8" s="155"/>
      <c r="H8" s="152"/>
      <c r="I8" s="153"/>
      <c r="J8" s="152"/>
      <c r="K8" s="154"/>
      <c r="L8" s="156"/>
      <c r="M8" s="152"/>
      <c r="N8" s="154"/>
      <c r="O8" s="152">
        <f>+O7-J8-M8</f>
        <v>52497.35</v>
      </c>
      <c r="P8" s="152">
        <f t="shared" ref="P8" si="0">P7+H8-J8-M8</f>
        <v>356572.65</v>
      </c>
    </row>
    <row r="9" spans="1:16" x14ac:dyDescent="0.15">
      <c r="A9" s="154" t="s">
        <v>66</v>
      </c>
      <c r="B9" s="151"/>
      <c r="C9" s="152">
        <v>39855.624000000003</v>
      </c>
      <c r="D9" s="154"/>
      <c r="E9" s="154"/>
      <c r="F9" s="154"/>
      <c r="G9" s="154"/>
      <c r="H9" s="152"/>
      <c r="I9" s="154"/>
      <c r="J9" s="152"/>
      <c r="K9" s="154"/>
      <c r="L9" s="154"/>
      <c r="M9" s="152"/>
      <c r="N9" s="154"/>
      <c r="O9" s="152">
        <f t="shared" ref="O9:O73" si="1">+O8-J9-M9</f>
        <v>52497.35</v>
      </c>
      <c r="P9" s="152">
        <f t="shared" ref="P9:P73" si="2">P8+H9-J9-M9</f>
        <v>356572.65</v>
      </c>
    </row>
    <row r="10" spans="1:16" x14ac:dyDescent="0.15">
      <c r="A10" s="154" t="s">
        <v>45</v>
      </c>
      <c r="B10" s="151"/>
      <c r="C10" s="152">
        <v>76029.198999999993</v>
      </c>
      <c r="D10" s="153"/>
      <c r="E10" s="154"/>
      <c r="F10" s="157"/>
      <c r="G10" s="154"/>
      <c r="H10" s="152"/>
      <c r="I10" s="158"/>
      <c r="J10" s="152"/>
      <c r="K10" s="150"/>
      <c r="L10" s="154"/>
      <c r="M10" s="152"/>
      <c r="N10" s="150"/>
      <c r="O10" s="152">
        <f t="shared" si="1"/>
        <v>52497.35</v>
      </c>
      <c r="P10" s="152">
        <f t="shared" si="2"/>
        <v>356572.65</v>
      </c>
    </row>
    <row r="11" spans="1:16" x14ac:dyDescent="0.15">
      <c r="A11" s="154" t="s">
        <v>47</v>
      </c>
      <c r="B11" s="151"/>
      <c r="C11" s="152">
        <f>76029.064+76240.495</f>
        <v>152269.55900000001</v>
      </c>
      <c r="D11" s="153"/>
      <c r="E11" s="154"/>
      <c r="F11" s="157"/>
      <c r="G11" s="154"/>
      <c r="H11" s="152"/>
      <c r="I11" s="158"/>
      <c r="J11" s="152"/>
      <c r="K11" s="150"/>
      <c r="L11" s="154"/>
      <c r="M11" s="152"/>
      <c r="N11" s="150"/>
      <c r="O11" s="152">
        <f t="shared" si="1"/>
        <v>52497.35</v>
      </c>
      <c r="P11" s="152">
        <f t="shared" si="2"/>
        <v>356572.65</v>
      </c>
    </row>
    <row r="12" spans="1:16" x14ac:dyDescent="0.15">
      <c r="A12" s="154"/>
      <c r="B12" s="151"/>
      <c r="C12" s="152"/>
      <c r="D12" s="153"/>
      <c r="E12" s="154"/>
      <c r="F12" s="157"/>
      <c r="G12" s="154"/>
      <c r="H12" s="152"/>
      <c r="I12" s="158"/>
      <c r="J12" s="152"/>
      <c r="K12" s="150"/>
      <c r="L12" s="154"/>
      <c r="M12" s="152"/>
      <c r="N12" s="150"/>
      <c r="O12" s="152">
        <f t="shared" si="1"/>
        <v>52497.35</v>
      </c>
      <c r="P12" s="152">
        <f t="shared" si="2"/>
        <v>356572.65</v>
      </c>
    </row>
    <row r="13" spans="1:16" x14ac:dyDescent="0.15">
      <c r="A13" s="154"/>
      <c r="B13" s="151"/>
      <c r="C13" s="152"/>
      <c r="D13" s="153"/>
      <c r="E13" s="154"/>
      <c r="F13" s="157"/>
      <c r="G13" s="154"/>
      <c r="H13" s="152"/>
      <c r="I13" s="158"/>
      <c r="J13" s="152"/>
      <c r="K13" s="150"/>
      <c r="L13" s="154"/>
      <c r="M13" s="152"/>
      <c r="N13" s="150"/>
      <c r="O13" s="152">
        <f t="shared" si="1"/>
        <v>52497.35</v>
      </c>
      <c r="P13" s="152">
        <f t="shared" si="2"/>
        <v>356572.65</v>
      </c>
    </row>
    <row r="14" spans="1:16" x14ac:dyDescent="0.15">
      <c r="A14" s="154"/>
      <c r="B14" s="151"/>
      <c r="C14" s="152"/>
      <c r="D14" s="153"/>
      <c r="E14" s="154"/>
      <c r="F14" s="157"/>
      <c r="G14" s="154"/>
      <c r="H14" s="152"/>
      <c r="I14" s="158" t="s">
        <v>46</v>
      </c>
      <c r="J14" s="152">
        <v>2053</v>
      </c>
      <c r="K14" s="150" t="s">
        <v>68</v>
      </c>
      <c r="L14" s="154"/>
      <c r="M14" s="152"/>
      <c r="N14" s="150"/>
      <c r="O14" s="152">
        <f t="shared" si="1"/>
        <v>50444.35</v>
      </c>
      <c r="P14" s="152">
        <f t="shared" si="2"/>
        <v>354519.65</v>
      </c>
    </row>
    <row r="15" spans="1:16" x14ac:dyDescent="0.15">
      <c r="A15" s="154"/>
      <c r="B15" s="151"/>
      <c r="C15" s="152"/>
      <c r="D15" s="153"/>
      <c r="E15" s="154"/>
      <c r="F15" s="157"/>
      <c r="G15" s="154"/>
      <c r="H15" s="152"/>
      <c r="I15" s="158" t="s">
        <v>48</v>
      </c>
      <c r="J15" s="152"/>
      <c r="K15" s="150"/>
      <c r="L15" s="154" t="s">
        <v>73</v>
      </c>
      <c r="M15" s="152">
        <v>8037</v>
      </c>
      <c r="N15" s="150" t="s">
        <v>68</v>
      </c>
      <c r="O15" s="152">
        <f t="shared" si="1"/>
        <v>42407.35</v>
      </c>
      <c r="P15" s="152">
        <f t="shared" si="2"/>
        <v>346482.65</v>
      </c>
    </row>
    <row r="16" spans="1:16" x14ac:dyDescent="0.15">
      <c r="A16" s="154"/>
      <c r="B16" s="151"/>
      <c r="C16" s="152"/>
      <c r="D16" s="153"/>
      <c r="E16" s="154"/>
      <c r="F16" s="157"/>
      <c r="G16" s="154"/>
      <c r="H16" s="152"/>
      <c r="I16" s="158" t="s">
        <v>49</v>
      </c>
      <c r="J16" s="152">
        <v>3929</v>
      </c>
      <c r="K16" s="150" t="s">
        <v>68</v>
      </c>
      <c r="L16" s="154"/>
      <c r="M16" s="152"/>
      <c r="N16" s="150"/>
      <c r="O16" s="152">
        <f t="shared" si="1"/>
        <v>38478.35</v>
      </c>
      <c r="P16" s="152">
        <f t="shared" si="2"/>
        <v>342553.65</v>
      </c>
    </row>
    <row r="17" spans="1:16" x14ac:dyDescent="0.15">
      <c r="A17" s="154"/>
      <c r="B17" s="151"/>
      <c r="C17" s="152"/>
      <c r="D17" s="153"/>
      <c r="E17" s="154"/>
      <c r="F17" s="157"/>
      <c r="G17" s="154"/>
      <c r="H17" s="152"/>
      <c r="I17" s="158" t="s">
        <v>49</v>
      </c>
      <c r="J17" s="152">
        <v>552</v>
      </c>
      <c r="K17" s="150" t="s">
        <v>68</v>
      </c>
      <c r="L17" s="154"/>
      <c r="M17" s="152"/>
      <c r="N17" s="150"/>
      <c r="O17" s="152">
        <f t="shared" si="1"/>
        <v>37926.35</v>
      </c>
      <c r="P17" s="152">
        <f t="shared" si="2"/>
        <v>342001.65</v>
      </c>
    </row>
    <row r="18" spans="1:16" x14ac:dyDescent="0.15">
      <c r="A18" s="154"/>
      <c r="B18" s="151"/>
      <c r="C18" s="152"/>
      <c r="D18" s="153"/>
      <c r="E18" s="154"/>
      <c r="F18" s="157"/>
      <c r="G18" s="151"/>
      <c r="H18" s="152"/>
      <c r="I18" s="158" t="s">
        <v>50</v>
      </c>
      <c r="J18" s="152"/>
      <c r="K18" s="159"/>
      <c r="L18" s="154" t="s">
        <v>73</v>
      </c>
      <c r="M18" s="152">
        <v>8171</v>
      </c>
      <c r="N18" s="150" t="s">
        <v>68</v>
      </c>
      <c r="O18" s="152">
        <f t="shared" si="1"/>
        <v>29755.35</v>
      </c>
      <c r="P18" s="152">
        <f t="shared" si="2"/>
        <v>333830.65000000002</v>
      </c>
    </row>
    <row r="19" spans="1:16" x14ac:dyDescent="0.15">
      <c r="A19" s="154"/>
      <c r="B19" s="151"/>
      <c r="C19" s="152"/>
      <c r="D19" s="158"/>
      <c r="E19" s="154"/>
      <c r="F19" s="160"/>
      <c r="G19" s="151"/>
      <c r="H19" s="152"/>
      <c r="I19" s="158" t="s">
        <v>51</v>
      </c>
      <c r="J19" s="152">
        <v>224</v>
      </c>
      <c r="K19" s="159" t="s">
        <v>68</v>
      </c>
      <c r="L19" s="154"/>
      <c r="M19" s="152"/>
      <c r="N19" s="150"/>
      <c r="O19" s="152">
        <f t="shared" si="1"/>
        <v>29531.35</v>
      </c>
      <c r="P19" s="152">
        <f t="shared" si="2"/>
        <v>333606.65000000002</v>
      </c>
    </row>
    <row r="20" spans="1:16" x14ac:dyDescent="0.15">
      <c r="A20" s="154"/>
      <c r="B20" s="151"/>
      <c r="C20" s="152"/>
      <c r="D20" s="153" t="s">
        <v>58</v>
      </c>
      <c r="E20" s="154" t="s">
        <v>72</v>
      </c>
      <c r="F20" s="160" t="s">
        <v>59</v>
      </c>
      <c r="G20" s="151"/>
      <c r="H20" s="152">
        <v>39993.506000000001</v>
      </c>
      <c r="I20" s="153" t="s">
        <v>58</v>
      </c>
      <c r="J20" s="152"/>
      <c r="K20" s="159"/>
      <c r="L20" s="154"/>
      <c r="M20" s="152"/>
      <c r="N20" s="150"/>
      <c r="O20" s="152">
        <f t="shared" si="1"/>
        <v>29531.35</v>
      </c>
      <c r="P20" s="152">
        <f t="shared" si="2"/>
        <v>373600.15600000002</v>
      </c>
    </row>
    <row r="21" spans="1:16" x14ac:dyDescent="0.15">
      <c r="A21" s="154"/>
      <c r="B21" s="151"/>
      <c r="C21" s="152"/>
      <c r="D21" s="153" t="s">
        <v>60</v>
      </c>
      <c r="E21" s="154" t="s">
        <v>72</v>
      </c>
      <c r="F21" s="160" t="s">
        <v>63</v>
      </c>
      <c r="G21" s="151"/>
      <c r="H21" s="152">
        <v>40090.088000000003</v>
      </c>
      <c r="I21" s="153" t="s">
        <v>60</v>
      </c>
      <c r="J21" s="152"/>
      <c r="K21" s="159"/>
      <c r="L21" s="154"/>
      <c r="M21" s="152"/>
      <c r="N21" s="150"/>
      <c r="O21" s="152">
        <f t="shared" si="1"/>
        <v>29531.35</v>
      </c>
      <c r="P21" s="152">
        <f t="shared" si="2"/>
        <v>413690.24400000001</v>
      </c>
    </row>
    <row r="22" spans="1:16" x14ac:dyDescent="0.15">
      <c r="A22" s="154"/>
      <c r="B22" s="151"/>
      <c r="C22" s="152"/>
      <c r="D22" s="153" t="s">
        <v>52</v>
      </c>
      <c r="E22" s="154" t="s">
        <v>72</v>
      </c>
      <c r="F22" s="160" t="s">
        <v>63</v>
      </c>
      <c r="G22" s="151"/>
      <c r="H22" s="152">
        <v>40006.087</v>
      </c>
      <c r="I22" s="153" t="s">
        <v>52</v>
      </c>
      <c r="J22" s="152"/>
      <c r="K22" s="159"/>
      <c r="L22" s="154"/>
      <c r="M22" s="152"/>
      <c r="N22" s="150"/>
      <c r="O22" s="152">
        <f t="shared" si="1"/>
        <v>29531.35</v>
      </c>
      <c r="P22" s="152">
        <f t="shared" si="2"/>
        <v>453696.33100000001</v>
      </c>
    </row>
    <row r="23" spans="1:16" x14ac:dyDescent="0.15">
      <c r="A23" s="154"/>
      <c r="B23" s="151"/>
      <c r="C23" s="152"/>
      <c r="D23" s="153" t="s">
        <v>61</v>
      </c>
      <c r="E23" s="154" t="s">
        <v>72</v>
      </c>
      <c r="F23" s="160" t="s">
        <v>63</v>
      </c>
      <c r="G23" s="151"/>
      <c r="H23" s="152">
        <v>40062.898999999998</v>
      </c>
      <c r="I23" s="153" t="s">
        <v>61</v>
      </c>
      <c r="J23" s="152"/>
      <c r="K23" s="159"/>
      <c r="L23" s="154"/>
      <c r="M23" s="152"/>
      <c r="N23" s="150"/>
      <c r="O23" s="152">
        <f t="shared" si="1"/>
        <v>29531.35</v>
      </c>
      <c r="P23" s="152">
        <f t="shared" si="2"/>
        <v>493759.23</v>
      </c>
    </row>
    <row r="24" spans="1:16" x14ac:dyDescent="0.15">
      <c r="A24" s="154"/>
      <c r="B24" s="151"/>
      <c r="C24" s="152"/>
      <c r="D24" s="153" t="s">
        <v>62</v>
      </c>
      <c r="E24" s="154" t="s">
        <v>72</v>
      </c>
      <c r="F24" s="160" t="s">
        <v>63</v>
      </c>
      <c r="G24" s="151"/>
      <c r="H24" s="152">
        <v>39968.754000000001</v>
      </c>
      <c r="I24" s="153" t="s">
        <v>62</v>
      </c>
      <c r="J24" s="152"/>
      <c r="K24" s="159"/>
      <c r="L24" s="154"/>
      <c r="M24" s="152"/>
      <c r="N24" s="150"/>
      <c r="O24" s="152">
        <f t="shared" si="1"/>
        <v>29531.35</v>
      </c>
      <c r="P24" s="152">
        <f t="shared" si="2"/>
        <v>533727.98399999994</v>
      </c>
    </row>
    <row r="25" spans="1:16" x14ac:dyDescent="0.15">
      <c r="A25" s="154"/>
      <c r="B25" s="151"/>
      <c r="C25" s="152"/>
      <c r="D25" s="153" t="s">
        <v>53</v>
      </c>
      <c r="E25" s="154" t="s">
        <v>72</v>
      </c>
      <c r="F25" s="160" t="s">
        <v>64</v>
      </c>
      <c r="G25" s="151"/>
      <c r="H25" s="152">
        <v>75918.409</v>
      </c>
      <c r="I25" s="153" t="s">
        <v>53</v>
      </c>
      <c r="J25" s="152">
        <v>1591.009</v>
      </c>
      <c r="K25" s="159" t="s">
        <v>68</v>
      </c>
      <c r="L25" s="154"/>
      <c r="M25" s="152"/>
      <c r="N25" s="150"/>
      <c r="O25" s="152">
        <f t="shared" si="1"/>
        <v>27940.341</v>
      </c>
      <c r="P25" s="152">
        <f t="shared" si="2"/>
        <v>608055.38399999996</v>
      </c>
    </row>
    <row r="26" spans="1:16" x14ac:dyDescent="0.15">
      <c r="A26" s="154"/>
      <c r="B26" s="151"/>
      <c r="C26" s="152"/>
      <c r="D26" s="153"/>
      <c r="E26" s="154"/>
      <c r="F26" s="160"/>
      <c r="G26" s="151"/>
      <c r="H26" s="152"/>
      <c r="I26" s="158" t="s">
        <v>53</v>
      </c>
      <c r="J26" s="152"/>
      <c r="K26" s="150"/>
      <c r="L26" s="154" t="s">
        <v>73</v>
      </c>
      <c r="M26" s="152">
        <v>27940</v>
      </c>
      <c r="N26" s="159" t="s">
        <v>68</v>
      </c>
      <c r="O26" s="152">
        <f t="shared" ref="O26:O29" si="3">+O25-J26-M26</f>
        <v>0.34100000000034925</v>
      </c>
      <c r="P26" s="152">
        <f t="shared" ref="P26:P29" si="4">P25+H26-J26-M26</f>
        <v>580115.38399999996</v>
      </c>
    </row>
    <row r="27" spans="1:16" x14ac:dyDescent="0.15">
      <c r="A27" s="154"/>
      <c r="B27" s="151"/>
      <c r="C27" s="152"/>
      <c r="D27" s="153"/>
      <c r="E27" s="154"/>
      <c r="F27" s="160"/>
      <c r="G27" s="151"/>
      <c r="H27" s="152"/>
      <c r="I27" s="158" t="s">
        <v>53</v>
      </c>
      <c r="J27" s="152"/>
      <c r="K27" s="150"/>
      <c r="L27" s="154" t="s">
        <v>73</v>
      </c>
      <c r="M27" s="152">
        <v>33651</v>
      </c>
      <c r="N27" s="159" t="s">
        <v>67</v>
      </c>
      <c r="O27" s="152">
        <f>C8+O26-J27-M27</f>
        <v>2270.2589999999982</v>
      </c>
      <c r="P27" s="152">
        <f t="shared" si="4"/>
        <v>546464.38399999996</v>
      </c>
    </row>
    <row r="28" spans="1:16" x14ac:dyDescent="0.15">
      <c r="A28" s="154"/>
      <c r="B28" s="151"/>
      <c r="C28" s="152"/>
      <c r="D28" s="153" t="s">
        <v>65</v>
      </c>
      <c r="E28" s="154" t="s">
        <v>72</v>
      </c>
      <c r="F28" s="160" t="s">
        <v>64</v>
      </c>
      <c r="G28" s="151"/>
      <c r="H28" s="152">
        <v>39971.612000000001</v>
      </c>
      <c r="I28" s="153" t="s">
        <v>65</v>
      </c>
      <c r="J28" s="152"/>
      <c r="K28" s="150"/>
      <c r="L28" s="154"/>
      <c r="M28" s="152"/>
      <c r="N28" s="159"/>
      <c r="O28" s="152">
        <f t="shared" si="3"/>
        <v>2270.2589999999982</v>
      </c>
      <c r="P28" s="152">
        <f t="shared" si="4"/>
        <v>586435.99599999993</v>
      </c>
    </row>
    <row r="29" spans="1:16" x14ac:dyDescent="0.15">
      <c r="A29" s="154"/>
      <c r="B29" s="151"/>
      <c r="C29" s="152"/>
      <c r="D29" s="153"/>
      <c r="E29" s="154"/>
      <c r="F29" s="160"/>
      <c r="G29" s="151"/>
      <c r="H29" s="152"/>
      <c r="I29" s="153" t="s">
        <v>54</v>
      </c>
      <c r="J29" s="152">
        <v>676</v>
      </c>
      <c r="K29" s="150" t="s">
        <v>67</v>
      </c>
      <c r="L29" s="154"/>
      <c r="M29" s="152"/>
      <c r="N29" s="159"/>
      <c r="O29" s="152">
        <f t="shared" si="3"/>
        <v>1594.2589999999982</v>
      </c>
      <c r="P29" s="152">
        <f t="shared" si="4"/>
        <v>585759.99599999993</v>
      </c>
    </row>
    <row r="30" spans="1:16" x14ac:dyDescent="0.15">
      <c r="A30" s="154"/>
      <c r="B30" s="151"/>
      <c r="C30" s="152"/>
      <c r="D30" s="158"/>
      <c r="E30" s="154"/>
      <c r="F30" s="150"/>
      <c r="G30" s="151"/>
      <c r="H30" s="152"/>
      <c r="I30" s="158" t="s">
        <v>54</v>
      </c>
      <c r="J30" s="152">
        <v>902</v>
      </c>
      <c r="K30" s="150" t="s">
        <v>67</v>
      </c>
      <c r="L30" s="154"/>
      <c r="M30" s="152"/>
      <c r="N30" s="159"/>
      <c r="O30" s="152">
        <f t="shared" si="1"/>
        <v>692.2589999999982</v>
      </c>
      <c r="P30" s="152">
        <f t="shared" si="2"/>
        <v>584857.99599999993</v>
      </c>
    </row>
    <row r="31" spans="1:16" hidden="1" x14ac:dyDescent="0.15">
      <c r="A31" s="154"/>
      <c r="B31" s="151"/>
      <c r="C31" s="152"/>
      <c r="D31" s="153"/>
      <c r="E31" s="154"/>
      <c r="F31" s="150"/>
      <c r="G31" s="151"/>
      <c r="H31" s="152"/>
      <c r="I31" s="153"/>
      <c r="J31" s="152"/>
      <c r="K31" s="150"/>
      <c r="L31" s="154"/>
      <c r="M31" s="152"/>
      <c r="N31" s="150"/>
      <c r="O31" s="152">
        <f t="shared" si="1"/>
        <v>692.2589999999982</v>
      </c>
      <c r="P31" s="152">
        <f t="shared" si="2"/>
        <v>584857.99599999993</v>
      </c>
    </row>
    <row r="32" spans="1:16" hidden="1" x14ac:dyDescent="0.15">
      <c r="A32" s="154"/>
      <c r="B32" s="151"/>
      <c r="C32" s="152"/>
      <c r="D32" s="153"/>
      <c r="E32" s="154"/>
      <c r="F32" s="160"/>
      <c r="G32" s="151"/>
      <c r="H32" s="152"/>
      <c r="I32" s="153"/>
      <c r="J32" s="152"/>
      <c r="K32" s="150"/>
      <c r="L32" s="154"/>
      <c r="M32" s="152"/>
      <c r="N32" s="150"/>
      <c r="O32" s="152">
        <f t="shared" si="1"/>
        <v>692.2589999999982</v>
      </c>
      <c r="P32" s="152">
        <f t="shared" si="2"/>
        <v>584857.99599999993</v>
      </c>
    </row>
    <row r="33" spans="1:16" hidden="1" x14ac:dyDescent="0.15">
      <c r="A33" s="154"/>
      <c r="B33" s="151"/>
      <c r="C33" s="152"/>
      <c r="D33" s="153"/>
      <c r="E33" s="154"/>
      <c r="F33" s="150"/>
      <c r="G33" s="151"/>
      <c r="H33" s="152"/>
      <c r="I33" s="153"/>
      <c r="J33" s="152"/>
      <c r="K33" s="150"/>
      <c r="L33" s="154"/>
      <c r="M33" s="152"/>
      <c r="N33" s="150"/>
      <c r="O33" s="152">
        <f t="shared" si="1"/>
        <v>692.2589999999982</v>
      </c>
      <c r="P33" s="152">
        <f t="shared" si="2"/>
        <v>584857.99599999993</v>
      </c>
    </row>
    <row r="34" spans="1:16" hidden="1" x14ac:dyDescent="0.15">
      <c r="A34" s="154"/>
      <c r="B34" s="161"/>
      <c r="C34" s="152"/>
      <c r="D34" s="158"/>
      <c r="E34" s="154"/>
      <c r="F34" s="162"/>
      <c r="G34" s="151"/>
      <c r="H34" s="152"/>
      <c r="I34" s="158"/>
      <c r="J34" s="152"/>
      <c r="K34" s="159"/>
      <c r="L34" s="154"/>
      <c r="M34" s="152"/>
      <c r="N34" s="159"/>
      <c r="O34" s="152">
        <f t="shared" si="1"/>
        <v>692.2589999999982</v>
      </c>
      <c r="P34" s="152">
        <f t="shared" si="2"/>
        <v>584857.99599999993</v>
      </c>
    </row>
    <row r="35" spans="1:16" hidden="1" x14ac:dyDescent="0.15">
      <c r="A35" s="154"/>
      <c r="B35" s="163"/>
      <c r="C35" s="152"/>
      <c r="D35" s="158"/>
      <c r="E35" s="154"/>
      <c r="F35" s="154"/>
      <c r="G35" s="163"/>
      <c r="H35" s="152"/>
      <c r="I35" s="158"/>
      <c r="J35" s="152"/>
      <c r="K35" s="150"/>
      <c r="L35" s="154"/>
      <c r="M35" s="152"/>
      <c r="N35" s="159"/>
      <c r="O35" s="152">
        <f t="shared" si="1"/>
        <v>692.2589999999982</v>
      </c>
      <c r="P35" s="152">
        <f t="shared" si="2"/>
        <v>584857.99599999993</v>
      </c>
    </row>
    <row r="36" spans="1:16" hidden="1" x14ac:dyDescent="0.15">
      <c r="A36" s="154"/>
      <c r="B36" s="163"/>
      <c r="C36" s="152"/>
      <c r="D36" s="158"/>
      <c r="E36" s="154"/>
      <c r="F36" s="154"/>
      <c r="G36" s="163"/>
      <c r="H36" s="152"/>
      <c r="I36" s="158"/>
      <c r="J36" s="152"/>
      <c r="K36" s="150"/>
      <c r="L36" s="154"/>
      <c r="M36" s="152"/>
      <c r="N36" s="159"/>
      <c r="O36" s="152">
        <f t="shared" si="1"/>
        <v>692.2589999999982</v>
      </c>
      <c r="P36" s="152">
        <f t="shared" si="2"/>
        <v>584857.99599999993</v>
      </c>
    </row>
    <row r="37" spans="1:16" hidden="1" x14ac:dyDescent="0.15">
      <c r="A37" s="154"/>
      <c r="B37" s="163"/>
      <c r="C37" s="152"/>
      <c r="D37" s="158"/>
      <c r="E37" s="154"/>
      <c r="F37" s="160"/>
      <c r="G37" s="163"/>
      <c r="H37" s="152"/>
      <c r="I37" s="158"/>
      <c r="J37" s="152"/>
      <c r="K37" s="150"/>
      <c r="L37" s="154"/>
      <c r="M37" s="152"/>
      <c r="N37" s="159"/>
      <c r="O37" s="152">
        <f t="shared" si="1"/>
        <v>692.2589999999982</v>
      </c>
      <c r="P37" s="152">
        <f t="shared" si="2"/>
        <v>584857.99599999993</v>
      </c>
    </row>
    <row r="38" spans="1:16" hidden="1" x14ac:dyDescent="0.15">
      <c r="A38" s="164"/>
      <c r="B38" s="164"/>
      <c r="C38" s="152"/>
      <c r="D38" s="158"/>
      <c r="E38" s="154"/>
      <c r="F38" s="165"/>
      <c r="G38" s="166"/>
      <c r="H38" s="152"/>
      <c r="I38" s="158"/>
      <c r="J38" s="152"/>
      <c r="K38" s="154"/>
      <c r="L38" s="154"/>
      <c r="M38" s="152"/>
      <c r="N38" s="150"/>
      <c r="O38" s="152">
        <f t="shared" si="1"/>
        <v>692.2589999999982</v>
      </c>
      <c r="P38" s="152">
        <f t="shared" si="2"/>
        <v>584857.99599999993</v>
      </c>
    </row>
    <row r="39" spans="1:16" hidden="1" x14ac:dyDescent="0.15">
      <c r="A39" s="150"/>
      <c r="B39" s="161"/>
      <c r="C39" s="152"/>
      <c r="D39" s="153"/>
      <c r="E39" s="154"/>
      <c r="F39" s="157"/>
      <c r="G39" s="151"/>
      <c r="H39" s="152"/>
      <c r="I39" s="158"/>
      <c r="J39" s="152"/>
      <c r="K39" s="159"/>
      <c r="L39" s="154"/>
      <c r="M39" s="152"/>
      <c r="N39" s="159"/>
      <c r="O39" s="152">
        <f t="shared" si="1"/>
        <v>692.2589999999982</v>
      </c>
      <c r="P39" s="152">
        <f t="shared" si="2"/>
        <v>584857.99599999993</v>
      </c>
    </row>
    <row r="40" spans="1:16" hidden="1" x14ac:dyDescent="0.15">
      <c r="A40" s="150"/>
      <c r="B40" s="161"/>
      <c r="C40" s="152"/>
      <c r="D40" s="158"/>
      <c r="E40" s="154"/>
      <c r="F40" s="165"/>
      <c r="G40" s="151"/>
      <c r="H40" s="152"/>
      <c r="I40" s="158"/>
      <c r="J40" s="152"/>
      <c r="K40" s="159"/>
      <c r="L40" s="154"/>
      <c r="M40" s="152"/>
      <c r="N40" s="159"/>
      <c r="O40" s="152">
        <f t="shared" si="1"/>
        <v>692.2589999999982</v>
      </c>
      <c r="P40" s="152">
        <f t="shared" si="2"/>
        <v>584857.99599999993</v>
      </c>
    </row>
    <row r="41" spans="1:16" hidden="1" x14ac:dyDescent="0.15">
      <c r="A41" s="150"/>
      <c r="B41" s="161"/>
      <c r="C41" s="152"/>
      <c r="D41" s="158"/>
      <c r="E41" s="154"/>
      <c r="F41" s="165"/>
      <c r="G41" s="151"/>
      <c r="H41" s="152"/>
      <c r="I41" s="158"/>
      <c r="J41" s="152"/>
      <c r="K41" s="159"/>
      <c r="L41" s="154"/>
      <c r="M41" s="152"/>
      <c r="N41" s="159"/>
      <c r="O41" s="152">
        <f t="shared" si="1"/>
        <v>692.2589999999982</v>
      </c>
      <c r="P41" s="152">
        <f t="shared" si="2"/>
        <v>584857.99599999993</v>
      </c>
    </row>
    <row r="42" spans="1:16" hidden="1" x14ac:dyDescent="0.15">
      <c r="A42" s="150"/>
      <c r="B42" s="161"/>
      <c r="C42" s="152"/>
      <c r="D42" s="153"/>
      <c r="E42" s="154"/>
      <c r="F42" s="165"/>
      <c r="G42" s="151"/>
      <c r="H42" s="152"/>
      <c r="I42" s="158"/>
      <c r="J42" s="152"/>
      <c r="K42" s="159"/>
      <c r="L42" s="154"/>
      <c r="M42" s="152"/>
      <c r="N42" s="159"/>
      <c r="O42" s="152">
        <f t="shared" si="1"/>
        <v>692.2589999999982</v>
      </c>
      <c r="P42" s="152">
        <f t="shared" si="2"/>
        <v>584857.99599999993</v>
      </c>
    </row>
    <row r="43" spans="1:16" hidden="1" x14ac:dyDescent="0.15">
      <c r="A43" s="154"/>
      <c r="B43" s="154"/>
      <c r="C43" s="152"/>
      <c r="D43" s="153"/>
      <c r="E43" s="154"/>
      <c r="F43" s="165"/>
      <c r="G43" s="151"/>
      <c r="H43" s="152"/>
      <c r="I43" s="158"/>
      <c r="J43" s="152"/>
      <c r="K43" s="159"/>
      <c r="L43" s="154"/>
      <c r="M43" s="152"/>
      <c r="N43" s="159"/>
      <c r="O43" s="152">
        <f t="shared" si="1"/>
        <v>692.2589999999982</v>
      </c>
      <c r="P43" s="152">
        <f t="shared" si="2"/>
        <v>584857.99599999993</v>
      </c>
    </row>
    <row r="44" spans="1:16" hidden="1" x14ac:dyDescent="0.15">
      <c r="A44" s="154"/>
      <c r="B44" s="154"/>
      <c r="C44" s="152"/>
      <c r="D44" s="153"/>
      <c r="E44" s="154"/>
      <c r="F44" s="154"/>
      <c r="G44" s="163"/>
      <c r="H44" s="152"/>
      <c r="I44" s="158"/>
      <c r="J44" s="152"/>
      <c r="K44" s="154"/>
      <c r="L44" s="154"/>
      <c r="M44" s="152"/>
      <c r="N44" s="159"/>
      <c r="O44" s="152">
        <f t="shared" si="1"/>
        <v>692.2589999999982</v>
      </c>
      <c r="P44" s="152">
        <f t="shared" si="2"/>
        <v>584857.99599999993</v>
      </c>
    </row>
    <row r="45" spans="1:16" hidden="1" x14ac:dyDescent="0.15">
      <c r="A45" s="154"/>
      <c r="B45" s="154"/>
      <c r="C45" s="152"/>
      <c r="D45" s="153"/>
      <c r="E45" s="154"/>
      <c r="F45" s="154"/>
      <c r="G45" s="163"/>
      <c r="H45" s="152"/>
      <c r="I45" s="158"/>
      <c r="J45" s="152"/>
      <c r="K45" s="154"/>
      <c r="L45" s="154"/>
      <c r="M45" s="152"/>
      <c r="N45" s="159"/>
      <c r="O45" s="152">
        <f t="shared" si="1"/>
        <v>692.2589999999982</v>
      </c>
      <c r="P45" s="152">
        <f t="shared" si="2"/>
        <v>584857.99599999993</v>
      </c>
    </row>
    <row r="46" spans="1:16" hidden="1" x14ac:dyDescent="0.15">
      <c r="A46" s="154"/>
      <c r="B46" s="154"/>
      <c r="C46" s="152"/>
      <c r="D46" s="153"/>
      <c r="E46" s="154"/>
      <c r="F46" s="154"/>
      <c r="G46" s="163"/>
      <c r="H46" s="152"/>
      <c r="I46" s="153"/>
      <c r="J46" s="152"/>
      <c r="K46" s="154"/>
      <c r="L46" s="154"/>
      <c r="M46" s="152"/>
      <c r="N46" s="159"/>
      <c r="O46" s="152">
        <f t="shared" si="1"/>
        <v>692.2589999999982</v>
      </c>
      <c r="P46" s="152">
        <f t="shared" si="2"/>
        <v>584857.99599999993</v>
      </c>
    </row>
    <row r="47" spans="1:16" hidden="1" x14ac:dyDescent="0.15">
      <c r="A47" s="154"/>
      <c r="B47" s="154"/>
      <c r="C47" s="152"/>
      <c r="D47" s="158"/>
      <c r="E47" s="154"/>
      <c r="F47" s="165"/>
      <c r="G47" s="163"/>
      <c r="H47" s="152"/>
      <c r="I47" s="158"/>
      <c r="J47" s="152"/>
      <c r="K47" s="154"/>
      <c r="L47" s="154"/>
      <c r="M47" s="152"/>
      <c r="N47" s="154"/>
      <c r="O47" s="152">
        <f t="shared" si="1"/>
        <v>692.2589999999982</v>
      </c>
      <c r="P47" s="152">
        <f t="shared" si="2"/>
        <v>584857.99599999993</v>
      </c>
    </row>
    <row r="48" spans="1:16" hidden="1" x14ac:dyDescent="0.15">
      <c r="A48" s="154"/>
      <c r="B48" s="154"/>
      <c r="C48" s="152"/>
      <c r="D48" s="158"/>
      <c r="E48" s="154"/>
      <c r="F48" s="165"/>
      <c r="G48" s="163"/>
      <c r="H48" s="152"/>
      <c r="I48" s="158"/>
      <c r="J48" s="152"/>
      <c r="K48" s="154"/>
      <c r="L48" s="154"/>
      <c r="M48" s="152"/>
      <c r="N48" s="154"/>
      <c r="O48" s="152">
        <f t="shared" si="1"/>
        <v>692.2589999999982</v>
      </c>
      <c r="P48" s="152">
        <f t="shared" si="2"/>
        <v>584857.99599999993</v>
      </c>
    </row>
    <row r="49" spans="1:16" hidden="1" x14ac:dyDescent="0.15">
      <c r="A49" s="154"/>
      <c r="B49" s="154"/>
      <c r="C49" s="152"/>
      <c r="D49" s="153"/>
      <c r="E49" s="154"/>
      <c r="F49" s="154"/>
      <c r="G49" s="163"/>
      <c r="H49" s="152"/>
      <c r="I49" s="158"/>
      <c r="J49" s="152"/>
      <c r="K49" s="154"/>
      <c r="L49" s="154"/>
      <c r="M49" s="152"/>
      <c r="N49" s="154"/>
      <c r="O49" s="152">
        <f t="shared" si="1"/>
        <v>692.2589999999982</v>
      </c>
      <c r="P49" s="152">
        <f t="shared" si="2"/>
        <v>584857.99599999993</v>
      </c>
    </row>
    <row r="50" spans="1:16" hidden="1" x14ac:dyDescent="0.15">
      <c r="A50" s="154"/>
      <c r="B50" s="154"/>
      <c r="C50" s="152"/>
      <c r="D50" s="158"/>
      <c r="E50" s="154"/>
      <c r="F50" s="154"/>
      <c r="G50" s="163"/>
      <c r="H50" s="152"/>
      <c r="I50" s="158"/>
      <c r="J50" s="152"/>
      <c r="K50" s="159"/>
      <c r="L50" s="154"/>
      <c r="M50" s="152"/>
      <c r="N50" s="159"/>
      <c r="O50" s="152">
        <f t="shared" si="1"/>
        <v>692.2589999999982</v>
      </c>
      <c r="P50" s="152">
        <f t="shared" si="2"/>
        <v>584857.99599999993</v>
      </c>
    </row>
    <row r="51" spans="1:16" hidden="1" x14ac:dyDescent="0.15">
      <c r="A51" s="154"/>
      <c r="B51" s="154"/>
      <c r="C51" s="152"/>
      <c r="D51" s="158"/>
      <c r="E51" s="154"/>
      <c r="F51" s="154"/>
      <c r="G51" s="163"/>
      <c r="H51" s="152"/>
      <c r="I51" s="153"/>
      <c r="J51" s="152"/>
      <c r="K51" s="159"/>
      <c r="L51" s="154"/>
      <c r="M51" s="152"/>
      <c r="N51" s="159"/>
      <c r="O51" s="152">
        <f t="shared" si="1"/>
        <v>692.2589999999982</v>
      </c>
      <c r="P51" s="152">
        <f t="shared" si="2"/>
        <v>584857.99599999993</v>
      </c>
    </row>
    <row r="52" spans="1:16" hidden="1" x14ac:dyDescent="0.15">
      <c r="A52" s="154"/>
      <c r="B52" s="154"/>
      <c r="C52" s="152"/>
      <c r="D52" s="158"/>
      <c r="E52" s="154"/>
      <c r="F52" s="154"/>
      <c r="G52" s="163"/>
      <c r="H52" s="152"/>
      <c r="I52" s="153"/>
      <c r="J52" s="152"/>
      <c r="K52" s="159"/>
      <c r="L52" s="154"/>
      <c r="M52" s="152"/>
      <c r="N52" s="159"/>
      <c r="O52" s="152">
        <f t="shared" si="1"/>
        <v>692.2589999999982</v>
      </c>
      <c r="P52" s="152">
        <f t="shared" si="2"/>
        <v>584857.99599999993</v>
      </c>
    </row>
    <row r="53" spans="1:16" hidden="1" x14ac:dyDescent="0.15">
      <c r="A53" s="154"/>
      <c r="B53" s="154"/>
      <c r="C53" s="152"/>
      <c r="D53" s="158"/>
      <c r="E53" s="154"/>
      <c r="F53" s="154"/>
      <c r="G53" s="163"/>
      <c r="H53" s="152"/>
      <c r="I53" s="153"/>
      <c r="J53" s="152"/>
      <c r="K53" s="159"/>
      <c r="L53" s="154"/>
      <c r="M53" s="152"/>
      <c r="N53" s="159"/>
      <c r="O53" s="152">
        <f t="shared" si="1"/>
        <v>692.2589999999982</v>
      </c>
      <c r="P53" s="152">
        <f t="shared" si="2"/>
        <v>584857.99599999993</v>
      </c>
    </row>
    <row r="54" spans="1:16" hidden="1" x14ac:dyDescent="0.15">
      <c r="A54" s="154"/>
      <c r="B54" s="154"/>
      <c r="C54" s="152"/>
      <c r="D54" s="158"/>
      <c r="E54" s="154"/>
      <c r="F54" s="154"/>
      <c r="G54" s="163"/>
      <c r="H54" s="152"/>
      <c r="I54" s="158"/>
      <c r="J54" s="152"/>
      <c r="K54" s="154"/>
      <c r="L54" s="154"/>
      <c r="M54" s="152"/>
      <c r="N54" s="154"/>
      <c r="O54" s="152">
        <f t="shared" si="1"/>
        <v>692.2589999999982</v>
      </c>
      <c r="P54" s="152">
        <f t="shared" si="2"/>
        <v>584857.99599999993</v>
      </c>
    </row>
    <row r="55" spans="1:16" hidden="1" x14ac:dyDescent="0.15">
      <c r="A55" s="154"/>
      <c r="B55" s="154"/>
      <c r="C55" s="152"/>
      <c r="D55" s="153"/>
      <c r="E55" s="154"/>
      <c r="F55" s="154"/>
      <c r="G55" s="163"/>
      <c r="H55" s="152"/>
      <c r="I55" s="158"/>
      <c r="J55" s="152"/>
      <c r="K55" s="154"/>
      <c r="L55" s="154"/>
      <c r="M55" s="152"/>
      <c r="N55" s="154"/>
      <c r="O55" s="152">
        <f t="shared" si="1"/>
        <v>692.2589999999982</v>
      </c>
      <c r="P55" s="152">
        <f t="shared" si="2"/>
        <v>584857.99599999993</v>
      </c>
    </row>
    <row r="56" spans="1:16" hidden="1" x14ac:dyDescent="0.15">
      <c r="A56" s="154"/>
      <c r="B56" s="154"/>
      <c r="C56" s="152"/>
      <c r="D56" s="153"/>
      <c r="E56" s="154"/>
      <c r="F56" s="154"/>
      <c r="G56" s="163"/>
      <c r="H56" s="152"/>
      <c r="I56" s="158"/>
      <c r="J56" s="152"/>
      <c r="K56" s="154"/>
      <c r="L56" s="154"/>
      <c r="M56" s="152"/>
      <c r="N56" s="159"/>
      <c r="O56" s="152">
        <f t="shared" si="1"/>
        <v>692.2589999999982</v>
      </c>
      <c r="P56" s="152">
        <f t="shared" si="2"/>
        <v>584857.99599999993</v>
      </c>
    </row>
    <row r="57" spans="1:16" hidden="1" x14ac:dyDescent="0.15">
      <c r="A57" s="154"/>
      <c r="B57" s="154"/>
      <c r="C57" s="152"/>
      <c r="D57" s="153"/>
      <c r="E57" s="154"/>
      <c r="F57" s="154"/>
      <c r="G57" s="163"/>
      <c r="H57" s="152"/>
      <c r="I57" s="158"/>
      <c r="J57" s="152"/>
      <c r="K57" s="154"/>
      <c r="L57" s="154"/>
      <c r="M57" s="152"/>
      <c r="N57" s="154"/>
      <c r="O57" s="152">
        <f t="shared" si="1"/>
        <v>692.2589999999982</v>
      </c>
      <c r="P57" s="152">
        <f t="shared" si="2"/>
        <v>584857.99599999993</v>
      </c>
    </row>
    <row r="58" spans="1:16" s="167" customFormat="1" hidden="1" x14ac:dyDescent="0.15">
      <c r="A58" s="154"/>
      <c r="B58" s="154"/>
      <c r="C58" s="152"/>
      <c r="D58" s="153"/>
      <c r="E58" s="154"/>
      <c r="F58" s="154"/>
      <c r="G58" s="163"/>
      <c r="H58" s="152"/>
      <c r="I58" s="158"/>
      <c r="J58" s="152"/>
      <c r="K58" s="154"/>
      <c r="L58" s="154"/>
      <c r="M58" s="152"/>
      <c r="N58" s="154"/>
      <c r="O58" s="152">
        <f t="shared" si="1"/>
        <v>692.2589999999982</v>
      </c>
      <c r="P58" s="152">
        <f t="shared" si="2"/>
        <v>584857.99599999993</v>
      </c>
    </row>
    <row r="59" spans="1:16" s="167" customFormat="1" hidden="1" x14ac:dyDescent="0.15">
      <c r="A59" s="154"/>
      <c r="B59" s="154"/>
      <c r="C59" s="152"/>
      <c r="D59" s="158"/>
      <c r="E59" s="154"/>
      <c r="F59" s="154"/>
      <c r="G59" s="163"/>
      <c r="H59" s="152"/>
      <c r="I59" s="158"/>
      <c r="J59" s="152"/>
      <c r="K59" s="154"/>
      <c r="L59" s="154"/>
      <c r="M59" s="152"/>
      <c r="N59" s="154"/>
      <c r="O59" s="152">
        <f t="shared" si="1"/>
        <v>692.2589999999982</v>
      </c>
      <c r="P59" s="152">
        <f t="shared" si="2"/>
        <v>584857.99599999993</v>
      </c>
    </row>
    <row r="60" spans="1:16" s="167" customFormat="1" hidden="1" x14ac:dyDescent="0.15">
      <c r="A60" s="154"/>
      <c r="B60" s="151"/>
      <c r="C60" s="152"/>
      <c r="D60" s="153"/>
      <c r="E60" s="154"/>
      <c r="F60" s="154"/>
      <c r="G60" s="151"/>
      <c r="H60" s="152"/>
      <c r="I60" s="158"/>
      <c r="J60" s="152"/>
      <c r="K60" s="154"/>
      <c r="L60" s="154"/>
      <c r="M60" s="152"/>
      <c r="N60" s="154"/>
      <c r="O60" s="152">
        <f t="shared" si="1"/>
        <v>692.2589999999982</v>
      </c>
      <c r="P60" s="152">
        <f t="shared" si="2"/>
        <v>584857.99599999993</v>
      </c>
    </row>
    <row r="61" spans="1:16" s="167" customFormat="1" hidden="1" x14ac:dyDescent="0.15">
      <c r="A61" s="154"/>
      <c r="B61" s="151"/>
      <c r="C61" s="152"/>
      <c r="D61" s="153"/>
      <c r="E61" s="154"/>
      <c r="F61" s="150"/>
      <c r="G61" s="151"/>
      <c r="H61" s="152"/>
      <c r="I61" s="158"/>
      <c r="J61" s="152"/>
      <c r="K61" s="154"/>
      <c r="L61" s="154"/>
      <c r="M61" s="152"/>
      <c r="N61" s="154"/>
      <c r="O61" s="152">
        <f t="shared" si="1"/>
        <v>692.2589999999982</v>
      </c>
      <c r="P61" s="152">
        <f t="shared" si="2"/>
        <v>584857.99599999993</v>
      </c>
    </row>
    <row r="62" spans="1:16" s="167" customFormat="1" hidden="1" x14ac:dyDescent="0.15">
      <c r="A62" s="154"/>
      <c r="B62" s="151"/>
      <c r="C62" s="152"/>
      <c r="D62" s="153"/>
      <c r="E62" s="154"/>
      <c r="F62" s="150"/>
      <c r="G62" s="151"/>
      <c r="H62" s="152"/>
      <c r="I62" s="158"/>
      <c r="J62" s="152"/>
      <c r="K62" s="154"/>
      <c r="L62" s="154"/>
      <c r="M62" s="152"/>
      <c r="N62" s="154"/>
      <c r="O62" s="152">
        <f t="shared" si="1"/>
        <v>692.2589999999982</v>
      </c>
      <c r="P62" s="152">
        <f t="shared" si="2"/>
        <v>584857.99599999993</v>
      </c>
    </row>
    <row r="63" spans="1:16" s="167" customFormat="1" hidden="1" x14ac:dyDescent="0.15">
      <c r="A63" s="154"/>
      <c r="B63" s="151"/>
      <c r="C63" s="152"/>
      <c r="D63" s="153"/>
      <c r="E63" s="154"/>
      <c r="F63" s="150"/>
      <c r="G63" s="151"/>
      <c r="H63" s="152"/>
      <c r="I63" s="153"/>
      <c r="J63" s="152"/>
      <c r="K63" s="154"/>
      <c r="L63" s="154"/>
      <c r="M63" s="152"/>
      <c r="N63" s="154"/>
      <c r="O63" s="152">
        <f t="shared" si="1"/>
        <v>692.2589999999982</v>
      </c>
      <c r="P63" s="152">
        <f t="shared" si="2"/>
        <v>584857.99599999993</v>
      </c>
    </row>
    <row r="64" spans="1:16" s="167" customFormat="1" hidden="1" x14ac:dyDescent="0.15">
      <c r="A64" s="154"/>
      <c r="B64" s="151"/>
      <c r="C64" s="152"/>
      <c r="D64" s="153"/>
      <c r="E64" s="154"/>
      <c r="F64" s="150"/>
      <c r="G64" s="151"/>
      <c r="H64" s="152"/>
      <c r="I64" s="153"/>
      <c r="J64" s="152"/>
      <c r="K64" s="154"/>
      <c r="L64" s="154"/>
      <c r="M64" s="152"/>
      <c r="N64" s="154"/>
      <c r="O64" s="152">
        <f t="shared" si="1"/>
        <v>692.2589999999982</v>
      </c>
      <c r="P64" s="152">
        <f t="shared" si="2"/>
        <v>584857.99599999993</v>
      </c>
    </row>
    <row r="65" spans="1:16" s="167" customFormat="1" hidden="1" x14ac:dyDescent="0.15">
      <c r="A65" s="154"/>
      <c r="B65" s="151"/>
      <c r="C65" s="152"/>
      <c r="D65" s="158"/>
      <c r="E65" s="154"/>
      <c r="F65" s="150"/>
      <c r="G65" s="151"/>
      <c r="H65" s="152"/>
      <c r="I65" s="158"/>
      <c r="J65" s="152"/>
      <c r="K65" s="159"/>
      <c r="L65" s="154"/>
      <c r="M65" s="152"/>
      <c r="N65" s="154"/>
      <c r="O65" s="152">
        <f t="shared" si="1"/>
        <v>692.2589999999982</v>
      </c>
      <c r="P65" s="152">
        <f t="shared" si="2"/>
        <v>584857.99599999993</v>
      </c>
    </row>
    <row r="66" spans="1:16" s="167" customFormat="1" hidden="1" x14ac:dyDescent="0.15">
      <c r="A66" s="154"/>
      <c r="B66" s="154"/>
      <c r="C66" s="152"/>
      <c r="D66" s="158"/>
      <c r="E66" s="154"/>
      <c r="F66" s="157"/>
      <c r="G66" s="163"/>
      <c r="H66" s="152"/>
      <c r="I66" s="158"/>
      <c r="J66" s="152"/>
      <c r="K66" s="154"/>
      <c r="L66" s="154"/>
      <c r="M66" s="152"/>
      <c r="N66" s="154"/>
      <c r="O66" s="152">
        <f t="shared" si="1"/>
        <v>692.2589999999982</v>
      </c>
      <c r="P66" s="152">
        <f t="shared" si="2"/>
        <v>584857.99599999993</v>
      </c>
    </row>
    <row r="67" spans="1:16" s="167" customFormat="1" hidden="1" x14ac:dyDescent="0.15">
      <c r="A67" s="154"/>
      <c r="B67" s="154"/>
      <c r="C67" s="152"/>
      <c r="D67" s="153"/>
      <c r="E67" s="154"/>
      <c r="F67" s="150"/>
      <c r="G67" s="151"/>
      <c r="H67" s="152"/>
      <c r="I67" s="158"/>
      <c r="J67" s="152"/>
      <c r="K67" s="154"/>
      <c r="L67" s="154"/>
      <c r="M67" s="152"/>
      <c r="N67" s="154"/>
      <c r="O67" s="152">
        <f t="shared" si="1"/>
        <v>692.2589999999982</v>
      </c>
      <c r="P67" s="152">
        <f t="shared" si="2"/>
        <v>584857.99599999993</v>
      </c>
    </row>
    <row r="68" spans="1:16" s="167" customFormat="1" hidden="1" x14ac:dyDescent="0.15">
      <c r="A68" s="154"/>
      <c r="B68" s="154"/>
      <c r="C68" s="152"/>
      <c r="D68" s="158"/>
      <c r="E68" s="154"/>
      <c r="F68" s="154"/>
      <c r="G68" s="163"/>
      <c r="H68" s="152"/>
      <c r="I68" s="158"/>
      <c r="J68" s="152"/>
      <c r="K68" s="154"/>
      <c r="L68" s="154"/>
      <c r="M68" s="152"/>
      <c r="N68" s="154"/>
      <c r="O68" s="152">
        <f t="shared" si="1"/>
        <v>692.2589999999982</v>
      </c>
      <c r="P68" s="152">
        <f t="shared" si="2"/>
        <v>584857.99599999993</v>
      </c>
    </row>
    <row r="69" spans="1:16" s="167" customFormat="1" hidden="1" x14ac:dyDescent="0.15">
      <c r="A69" s="154"/>
      <c r="B69" s="154"/>
      <c r="C69" s="152"/>
      <c r="D69" s="158"/>
      <c r="E69" s="154"/>
      <c r="F69" s="157"/>
      <c r="G69" s="163"/>
      <c r="H69" s="152"/>
      <c r="I69" s="158"/>
      <c r="J69" s="152"/>
      <c r="K69" s="154"/>
      <c r="L69" s="154"/>
      <c r="M69" s="152"/>
      <c r="N69" s="154"/>
      <c r="O69" s="152">
        <f t="shared" si="1"/>
        <v>692.2589999999982</v>
      </c>
      <c r="P69" s="152">
        <f t="shared" si="2"/>
        <v>584857.99599999993</v>
      </c>
    </row>
    <row r="70" spans="1:16" s="167" customFormat="1" hidden="1" x14ac:dyDescent="0.15">
      <c r="A70" s="154"/>
      <c r="B70" s="154"/>
      <c r="C70" s="152"/>
      <c r="D70" s="158"/>
      <c r="E70" s="154"/>
      <c r="F70" s="154"/>
      <c r="G70" s="151"/>
      <c r="H70" s="152"/>
      <c r="I70" s="158"/>
      <c r="J70" s="152"/>
      <c r="K70" s="154"/>
      <c r="L70" s="154"/>
      <c r="M70" s="152"/>
      <c r="N70" s="154"/>
      <c r="O70" s="152">
        <f t="shared" si="1"/>
        <v>692.2589999999982</v>
      </c>
      <c r="P70" s="152">
        <f t="shared" si="2"/>
        <v>584857.99599999993</v>
      </c>
    </row>
    <row r="71" spans="1:16" s="167" customFormat="1" hidden="1" x14ac:dyDescent="0.15">
      <c r="A71" s="154"/>
      <c r="B71" s="154"/>
      <c r="C71" s="152"/>
      <c r="D71" s="153"/>
      <c r="E71" s="154"/>
      <c r="F71" s="154"/>
      <c r="G71" s="151"/>
      <c r="H71" s="152"/>
      <c r="I71" s="158"/>
      <c r="J71" s="152"/>
      <c r="K71" s="154"/>
      <c r="L71" s="154"/>
      <c r="M71" s="152"/>
      <c r="N71" s="154"/>
      <c r="O71" s="152">
        <f t="shared" si="1"/>
        <v>692.2589999999982</v>
      </c>
      <c r="P71" s="152">
        <f t="shared" si="2"/>
        <v>584857.99599999993</v>
      </c>
    </row>
    <row r="72" spans="1:16" s="167" customFormat="1" hidden="1" x14ac:dyDescent="0.15">
      <c r="A72" s="154"/>
      <c r="B72" s="154"/>
      <c r="C72" s="152"/>
      <c r="D72" s="158"/>
      <c r="E72" s="154"/>
      <c r="F72" s="157"/>
      <c r="G72" s="168"/>
      <c r="H72" s="152"/>
      <c r="I72" s="158"/>
      <c r="J72" s="152"/>
      <c r="K72" s="154"/>
      <c r="L72" s="154"/>
      <c r="M72" s="152"/>
      <c r="N72" s="154"/>
      <c r="O72" s="152">
        <f t="shared" si="1"/>
        <v>692.2589999999982</v>
      </c>
      <c r="P72" s="152">
        <f t="shared" si="2"/>
        <v>584857.99599999993</v>
      </c>
    </row>
    <row r="73" spans="1:16" s="167" customFormat="1" hidden="1" x14ac:dyDescent="0.15">
      <c r="A73" s="154"/>
      <c r="B73" s="154"/>
      <c r="C73" s="152"/>
      <c r="D73" s="153"/>
      <c r="E73" s="154"/>
      <c r="F73" s="154"/>
      <c r="G73" s="151"/>
      <c r="H73" s="152"/>
      <c r="I73" s="158"/>
      <c r="J73" s="152"/>
      <c r="K73" s="159"/>
      <c r="L73" s="154"/>
      <c r="M73" s="152"/>
      <c r="N73" s="154"/>
      <c r="O73" s="152">
        <f t="shared" si="1"/>
        <v>692.2589999999982</v>
      </c>
      <c r="P73" s="152">
        <f t="shared" si="2"/>
        <v>584857.99599999993</v>
      </c>
    </row>
    <row r="74" spans="1:16" s="167" customFormat="1" hidden="1" x14ac:dyDescent="0.15">
      <c r="A74" s="154"/>
      <c r="B74" s="154"/>
      <c r="C74" s="152"/>
      <c r="D74" s="158"/>
      <c r="E74" s="154"/>
      <c r="F74" s="154"/>
      <c r="G74" s="151"/>
      <c r="H74" s="152"/>
      <c r="I74" s="158"/>
      <c r="J74" s="152"/>
      <c r="K74" s="154"/>
      <c r="L74" s="154"/>
      <c r="M74" s="152"/>
      <c r="N74" s="154"/>
      <c r="O74" s="152">
        <f t="shared" ref="O74:O137" si="5">+O73-J74-M74</f>
        <v>692.2589999999982</v>
      </c>
      <c r="P74" s="152">
        <f t="shared" ref="P74:P137" si="6">P73+H74-J74-M74</f>
        <v>584857.99599999993</v>
      </c>
    </row>
    <row r="75" spans="1:16" s="167" customFormat="1" hidden="1" x14ac:dyDescent="0.15">
      <c r="A75" s="154"/>
      <c r="B75" s="154"/>
      <c r="C75" s="152"/>
      <c r="D75" s="158"/>
      <c r="E75" s="154"/>
      <c r="F75" s="154"/>
      <c r="G75" s="151"/>
      <c r="H75" s="152"/>
      <c r="I75" s="158"/>
      <c r="J75" s="152"/>
      <c r="K75" s="154"/>
      <c r="L75" s="154"/>
      <c r="M75" s="152"/>
      <c r="N75" s="154"/>
      <c r="O75" s="152">
        <f t="shared" si="5"/>
        <v>692.2589999999982</v>
      </c>
      <c r="P75" s="152">
        <f t="shared" si="6"/>
        <v>584857.99599999993</v>
      </c>
    </row>
    <row r="76" spans="1:16" s="167" customFormat="1" hidden="1" x14ac:dyDescent="0.15">
      <c r="A76" s="154"/>
      <c r="B76" s="154"/>
      <c r="C76" s="152"/>
      <c r="D76" s="153"/>
      <c r="E76" s="154"/>
      <c r="F76" s="154"/>
      <c r="G76" s="151"/>
      <c r="H76" s="152"/>
      <c r="I76" s="158"/>
      <c r="J76" s="152"/>
      <c r="K76" s="159"/>
      <c r="L76" s="154"/>
      <c r="M76" s="152"/>
      <c r="N76" s="154"/>
      <c r="O76" s="152">
        <f t="shared" si="5"/>
        <v>692.2589999999982</v>
      </c>
      <c r="P76" s="152">
        <f t="shared" si="6"/>
        <v>584857.99599999993</v>
      </c>
    </row>
    <row r="77" spans="1:16" s="167" customFormat="1" hidden="1" x14ac:dyDescent="0.15">
      <c r="A77" s="154"/>
      <c r="B77" s="154"/>
      <c r="C77" s="152"/>
      <c r="D77" s="158"/>
      <c r="E77" s="154"/>
      <c r="F77" s="157"/>
      <c r="G77" s="163"/>
      <c r="H77" s="152"/>
      <c r="I77" s="158"/>
      <c r="J77" s="152"/>
      <c r="K77" s="154"/>
      <c r="L77" s="154"/>
      <c r="M77" s="152"/>
      <c r="N77" s="154"/>
      <c r="O77" s="152">
        <f t="shared" si="5"/>
        <v>692.2589999999982</v>
      </c>
      <c r="P77" s="152">
        <f t="shared" si="6"/>
        <v>584857.99599999993</v>
      </c>
    </row>
    <row r="78" spans="1:16" s="167" customFormat="1" hidden="1" x14ac:dyDescent="0.15">
      <c r="A78" s="154"/>
      <c r="B78" s="154"/>
      <c r="C78" s="152"/>
      <c r="D78" s="158"/>
      <c r="E78" s="154"/>
      <c r="F78" s="154"/>
      <c r="G78" s="151"/>
      <c r="H78" s="152"/>
      <c r="I78" s="158"/>
      <c r="J78" s="152"/>
      <c r="K78" s="150"/>
      <c r="L78" s="154"/>
      <c r="M78" s="152"/>
      <c r="N78" s="154"/>
      <c r="O78" s="152">
        <f t="shared" si="5"/>
        <v>692.2589999999982</v>
      </c>
      <c r="P78" s="152">
        <f t="shared" si="6"/>
        <v>584857.99599999993</v>
      </c>
    </row>
    <row r="79" spans="1:16" s="167" customFormat="1" hidden="1" x14ac:dyDescent="0.15">
      <c r="A79" s="154"/>
      <c r="B79" s="154"/>
      <c r="C79" s="152"/>
      <c r="D79" s="158"/>
      <c r="E79" s="154"/>
      <c r="F79" s="154"/>
      <c r="G79" s="151"/>
      <c r="H79" s="152"/>
      <c r="I79" s="158"/>
      <c r="J79" s="152"/>
      <c r="K79" s="150"/>
      <c r="L79" s="154"/>
      <c r="M79" s="152"/>
      <c r="N79" s="154"/>
      <c r="O79" s="152">
        <f t="shared" si="5"/>
        <v>692.2589999999982</v>
      </c>
      <c r="P79" s="152">
        <f t="shared" si="6"/>
        <v>584857.99599999993</v>
      </c>
    </row>
    <row r="80" spans="1:16" s="167" customFormat="1" hidden="1" x14ac:dyDescent="0.15">
      <c r="A80" s="154"/>
      <c r="B80" s="154"/>
      <c r="C80" s="152"/>
      <c r="D80" s="158"/>
      <c r="E80" s="154"/>
      <c r="F80" s="154"/>
      <c r="G80" s="151"/>
      <c r="H80" s="152"/>
      <c r="I80" s="158"/>
      <c r="J80" s="152"/>
      <c r="K80" s="154"/>
      <c r="L80" s="154"/>
      <c r="M80" s="152"/>
      <c r="N80" s="154"/>
      <c r="O80" s="152">
        <f t="shared" si="5"/>
        <v>692.2589999999982</v>
      </c>
      <c r="P80" s="152">
        <f t="shared" si="6"/>
        <v>584857.99599999993</v>
      </c>
    </row>
    <row r="81" spans="1:16" s="167" customFormat="1" hidden="1" x14ac:dyDescent="0.15">
      <c r="A81" s="154"/>
      <c r="B81" s="154"/>
      <c r="C81" s="152"/>
      <c r="D81" s="158"/>
      <c r="E81" s="154"/>
      <c r="F81" s="150"/>
      <c r="G81" s="151"/>
      <c r="H81" s="152"/>
      <c r="I81" s="158"/>
      <c r="J81" s="152"/>
      <c r="K81" s="154"/>
      <c r="L81" s="154"/>
      <c r="M81" s="152"/>
      <c r="N81" s="154"/>
      <c r="O81" s="152">
        <f t="shared" si="5"/>
        <v>692.2589999999982</v>
      </c>
      <c r="P81" s="152">
        <f t="shared" si="6"/>
        <v>584857.99599999993</v>
      </c>
    </row>
    <row r="82" spans="1:16" s="167" customFormat="1" hidden="1" x14ac:dyDescent="0.15">
      <c r="A82" s="154"/>
      <c r="B82" s="154"/>
      <c r="C82" s="152"/>
      <c r="D82" s="153"/>
      <c r="E82" s="154"/>
      <c r="F82" s="150"/>
      <c r="G82" s="151"/>
      <c r="H82" s="152"/>
      <c r="I82" s="158"/>
      <c r="J82" s="152"/>
      <c r="K82" s="154"/>
      <c r="L82" s="154"/>
      <c r="M82" s="152"/>
      <c r="N82" s="154"/>
      <c r="O82" s="152">
        <f t="shared" si="5"/>
        <v>692.2589999999982</v>
      </c>
      <c r="P82" s="152">
        <f t="shared" si="6"/>
        <v>584857.99599999993</v>
      </c>
    </row>
    <row r="83" spans="1:16" s="167" customFormat="1" hidden="1" x14ac:dyDescent="0.15">
      <c r="A83" s="154"/>
      <c r="B83" s="154"/>
      <c r="C83" s="152"/>
      <c r="D83" s="158"/>
      <c r="E83" s="154"/>
      <c r="F83" s="157"/>
      <c r="G83" s="151"/>
      <c r="H83" s="152"/>
      <c r="I83" s="158"/>
      <c r="J83" s="152"/>
      <c r="K83" s="154"/>
      <c r="L83" s="154"/>
      <c r="M83" s="152"/>
      <c r="N83" s="154"/>
      <c r="O83" s="152">
        <f t="shared" si="5"/>
        <v>692.2589999999982</v>
      </c>
      <c r="P83" s="152">
        <f t="shared" si="6"/>
        <v>584857.99599999993</v>
      </c>
    </row>
    <row r="84" spans="1:16" s="167" customFormat="1" hidden="1" x14ac:dyDescent="0.15">
      <c r="A84" s="154"/>
      <c r="B84" s="154"/>
      <c r="C84" s="152"/>
      <c r="D84" s="158"/>
      <c r="E84" s="154"/>
      <c r="F84" s="154"/>
      <c r="G84" s="151"/>
      <c r="H84" s="152"/>
      <c r="I84" s="158"/>
      <c r="J84" s="152"/>
      <c r="K84" s="154"/>
      <c r="L84" s="154"/>
      <c r="M84" s="152"/>
      <c r="N84" s="154"/>
      <c r="O84" s="152">
        <f t="shared" si="5"/>
        <v>692.2589999999982</v>
      </c>
      <c r="P84" s="152">
        <f t="shared" si="6"/>
        <v>584857.99599999993</v>
      </c>
    </row>
    <row r="85" spans="1:16" s="167" customFormat="1" hidden="1" x14ac:dyDescent="0.15">
      <c r="A85" s="154"/>
      <c r="B85" s="154"/>
      <c r="C85" s="152"/>
      <c r="D85" s="153"/>
      <c r="E85" s="154"/>
      <c r="F85" s="154"/>
      <c r="G85" s="151"/>
      <c r="H85" s="152"/>
      <c r="I85" s="158"/>
      <c r="J85" s="152"/>
      <c r="K85" s="154"/>
      <c r="L85" s="154"/>
      <c r="M85" s="152"/>
      <c r="N85" s="154"/>
      <c r="O85" s="152">
        <f t="shared" si="5"/>
        <v>692.2589999999982</v>
      </c>
      <c r="P85" s="152">
        <f t="shared" si="6"/>
        <v>584857.99599999993</v>
      </c>
    </row>
    <row r="86" spans="1:16" s="167" customFormat="1" hidden="1" x14ac:dyDescent="0.15">
      <c r="A86" s="154"/>
      <c r="B86" s="154"/>
      <c r="C86" s="152"/>
      <c r="D86" s="153"/>
      <c r="E86" s="154"/>
      <c r="F86" s="157"/>
      <c r="G86" s="168"/>
      <c r="H86" s="152"/>
      <c r="I86" s="158"/>
      <c r="J86" s="152"/>
      <c r="K86" s="154"/>
      <c r="L86" s="154"/>
      <c r="M86" s="152"/>
      <c r="N86" s="154"/>
      <c r="O86" s="152">
        <f t="shared" si="5"/>
        <v>692.2589999999982</v>
      </c>
      <c r="P86" s="152">
        <f t="shared" si="6"/>
        <v>584857.99599999993</v>
      </c>
    </row>
    <row r="87" spans="1:16" s="167" customFormat="1" hidden="1" x14ac:dyDescent="0.15">
      <c r="A87" s="154"/>
      <c r="B87" s="154"/>
      <c r="C87" s="152"/>
      <c r="D87" s="153"/>
      <c r="E87" s="154"/>
      <c r="F87" s="157"/>
      <c r="G87" s="168"/>
      <c r="H87" s="152"/>
      <c r="I87" s="153"/>
      <c r="J87" s="152"/>
      <c r="K87" s="154"/>
      <c r="L87" s="154"/>
      <c r="M87" s="152"/>
      <c r="N87" s="154"/>
      <c r="O87" s="152">
        <f t="shared" si="5"/>
        <v>692.2589999999982</v>
      </c>
      <c r="P87" s="152">
        <f t="shared" si="6"/>
        <v>584857.99599999993</v>
      </c>
    </row>
    <row r="88" spans="1:16" hidden="1" x14ac:dyDescent="0.15">
      <c r="A88" s="154"/>
      <c r="B88" s="154"/>
      <c r="C88" s="152"/>
      <c r="D88" s="158"/>
      <c r="E88" s="154"/>
      <c r="F88" s="150"/>
      <c r="G88" s="151"/>
      <c r="H88" s="152"/>
      <c r="I88" s="158"/>
      <c r="J88" s="152"/>
      <c r="K88" s="154"/>
      <c r="L88" s="154"/>
      <c r="M88" s="152"/>
      <c r="N88" s="154"/>
      <c r="O88" s="152">
        <f t="shared" si="5"/>
        <v>692.2589999999982</v>
      </c>
      <c r="P88" s="152">
        <f t="shared" si="6"/>
        <v>584857.99599999993</v>
      </c>
    </row>
    <row r="89" spans="1:16" hidden="1" x14ac:dyDescent="0.15">
      <c r="A89" s="154"/>
      <c r="B89" s="154"/>
      <c r="C89" s="152"/>
      <c r="D89" s="158"/>
      <c r="E89" s="154"/>
      <c r="F89" s="150"/>
      <c r="G89" s="151"/>
      <c r="H89" s="152"/>
      <c r="I89" s="158"/>
      <c r="J89" s="152"/>
      <c r="K89" s="154"/>
      <c r="L89" s="154"/>
      <c r="M89" s="152"/>
      <c r="N89" s="154"/>
      <c r="O89" s="152">
        <f t="shared" si="5"/>
        <v>692.2589999999982</v>
      </c>
      <c r="P89" s="152">
        <f t="shared" si="6"/>
        <v>584857.99599999993</v>
      </c>
    </row>
    <row r="90" spans="1:16" hidden="1" x14ac:dyDescent="0.15">
      <c r="A90" s="154"/>
      <c r="B90" s="154"/>
      <c r="C90" s="152"/>
      <c r="D90" s="158"/>
      <c r="E90" s="154"/>
      <c r="F90" s="157"/>
      <c r="G90" s="151"/>
      <c r="H90" s="152"/>
      <c r="I90" s="158"/>
      <c r="J90" s="152"/>
      <c r="K90" s="154"/>
      <c r="L90" s="154"/>
      <c r="M90" s="152"/>
      <c r="N90" s="154"/>
      <c r="O90" s="152">
        <f t="shared" si="5"/>
        <v>692.2589999999982</v>
      </c>
      <c r="P90" s="152">
        <f t="shared" si="6"/>
        <v>584857.99599999993</v>
      </c>
    </row>
    <row r="91" spans="1:16" hidden="1" x14ac:dyDescent="0.15">
      <c r="A91" s="154"/>
      <c r="B91" s="154"/>
      <c r="C91" s="152"/>
      <c r="D91" s="153"/>
      <c r="E91" s="154"/>
      <c r="F91" s="154"/>
      <c r="G91" s="163"/>
      <c r="H91" s="152"/>
      <c r="I91" s="158"/>
      <c r="J91" s="152"/>
      <c r="K91" s="154"/>
      <c r="L91" s="154"/>
      <c r="M91" s="152"/>
      <c r="N91" s="154"/>
      <c r="O91" s="152">
        <f t="shared" si="5"/>
        <v>692.2589999999982</v>
      </c>
      <c r="P91" s="152">
        <f t="shared" si="6"/>
        <v>584857.99599999993</v>
      </c>
    </row>
    <row r="92" spans="1:16" hidden="1" x14ac:dyDescent="0.15">
      <c r="A92" s="154"/>
      <c r="B92" s="154"/>
      <c r="C92" s="152"/>
      <c r="D92" s="158"/>
      <c r="E92" s="154"/>
      <c r="F92" s="154"/>
      <c r="G92" s="163"/>
      <c r="H92" s="152"/>
      <c r="I92" s="158"/>
      <c r="J92" s="152"/>
      <c r="K92" s="154"/>
      <c r="L92" s="154"/>
      <c r="M92" s="152"/>
      <c r="N92" s="154"/>
      <c r="O92" s="152">
        <f t="shared" si="5"/>
        <v>692.2589999999982</v>
      </c>
      <c r="P92" s="152">
        <f t="shared" si="6"/>
        <v>584857.99599999993</v>
      </c>
    </row>
    <row r="93" spans="1:16" hidden="1" x14ac:dyDescent="0.15">
      <c r="A93" s="154"/>
      <c r="B93" s="154"/>
      <c r="C93" s="152"/>
      <c r="D93" s="153"/>
      <c r="E93" s="154"/>
      <c r="F93" s="157"/>
      <c r="G93" s="151"/>
      <c r="H93" s="152"/>
      <c r="I93" s="158"/>
      <c r="J93" s="152"/>
      <c r="K93" s="154"/>
      <c r="L93" s="154"/>
      <c r="M93" s="152"/>
      <c r="N93" s="154"/>
      <c r="O93" s="152">
        <f t="shared" si="5"/>
        <v>692.2589999999982</v>
      </c>
      <c r="P93" s="152">
        <f t="shared" si="6"/>
        <v>584857.99599999993</v>
      </c>
    </row>
    <row r="94" spans="1:16" hidden="1" x14ac:dyDescent="0.15">
      <c r="A94" s="154"/>
      <c r="B94" s="154"/>
      <c r="C94" s="152"/>
      <c r="D94" s="158"/>
      <c r="E94" s="154"/>
      <c r="F94" s="154"/>
      <c r="G94" s="163"/>
      <c r="H94" s="152"/>
      <c r="I94" s="158"/>
      <c r="J94" s="152"/>
      <c r="K94" s="164"/>
      <c r="L94" s="154"/>
      <c r="M94" s="152"/>
      <c r="N94" s="154"/>
      <c r="O94" s="152">
        <f t="shared" si="5"/>
        <v>692.2589999999982</v>
      </c>
      <c r="P94" s="152">
        <f t="shared" si="6"/>
        <v>584857.99599999993</v>
      </c>
    </row>
    <row r="95" spans="1:16" hidden="1" x14ac:dyDescent="0.15">
      <c r="A95" s="154"/>
      <c r="B95" s="154"/>
      <c r="C95" s="152"/>
      <c r="D95" s="153"/>
      <c r="E95" s="154"/>
      <c r="F95" s="154"/>
      <c r="G95" s="169"/>
      <c r="H95" s="152"/>
      <c r="I95" s="158"/>
      <c r="J95" s="152"/>
      <c r="K95" s="154"/>
      <c r="L95" s="154"/>
      <c r="M95" s="152"/>
      <c r="N95" s="154"/>
      <c r="O95" s="152">
        <f t="shared" si="5"/>
        <v>692.2589999999982</v>
      </c>
      <c r="P95" s="152">
        <f t="shared" si="6"/>
        <v>584857.99599999993</v>
      </c>
    </row>
    <row r="96" spans="1:16" hidden="1" x14ac:dyDescent="0.15">
      <c r="A96" s="154"/>
      <c r="B96" s="154"/>
      <c r="C96" s="152"/>
      <c r="D96" s="158"/>
      <c r="E96" s="154"/>
      <c r="F96" s="157"/>
      <c r="G96" s="168"/>
      <c r="H96" s="152"/>
      <c r="I96" s="158"/>
      <c r="J96" s="152"/>
      <c r="K96" s="154"/>
      <c r="L96" s="154"/>
      <c r="M96" s="152"/>
      <c r="N96" s="154"/>
      <c r="O96" s="152">
        <f t="shared" si="5"/>
        <v>692.2589999999982</v>
      </c>
      <c r="P96" s="152">
        <f t="shared" si="6"/>
        <v>584857.99599999993</v>
      </c>
    </row>
    <row r="97" spans="1:16" hidden="1" x14ac:dyDescent="0.15">
      <c r="A97" s="154"/>
      <c r="B97" s="154"/>
      <c r="C97" s="152"/>
      <c r="D97" s="158"/>
      <c r="E97" s="154"/>
      <c r="F97" s="154"/>
      <c r="G97" s="163"/>
      <c r="H97" s="152"/>
      <c r="I97" s="158"/>
      <c r="J97" s="152"/>
      <c r="K97" s="154"/>
      <c r="L97" s="154"/>
      <c r="M97" s="152"/>
      <c r="N97" s="154"/>
      <c r="O97" s="152">
        <f t="shared" si="5"/>
        <v>692.2589999999982</v>
      </c>
      <c r="P97" s="152">
        <f t="shared" si="6"/>
        <v>584857.99599999993</v>
      </c>
    </row>
    <row r="98" spans="1:16" hidden="1" x14ac:dyDescent="0.15">
      <c r="A98" s="154"/>
      <c r="B98" s="154"/>
      <c r="C98" s="152"/>
      <c r="D98" s="158"/>
      <c r="E98" s="154"/>
      <c r="F98" s="154"/>
      <c r="G98" s="163"/>
      <c r="H98" s="152"/>
      <c r="I98" s="158"/>
      <c r="J98" s="152"/>
      <c r="K98" s="154"/>
      <c r="L98" s="154"/>
      <c r="M98" s="152"/>
      <c r="N98" s="154"/>
      <c r="O98" s="152">
        <f t="shared" si="5"/>
        <v>692.2589999999982</v>
      </c>
      <c r="P98" s="152">
        <f t="shared" si="6"/>
        <v>584857.99599999993</v>
      </c>
    </row>
    <row r="99" spans="1:16" hidden="1" x14ac:dyDescent="0.15">
      <c r="A99" s="154"/>
      <c r="B99" s="154"/>
      <c r="C99" s="152"/>
      <c r="D99" s="158"/>
      <c r="E99" s="154"/>
      <c r="F99" s="157"/>
      <c r="G99" s="151"/>
      <c r="H99" s="152"/>
      <c r="I99" s="158"/>
      <c r="J99" s="152"/>
      <c r="K99" s="154"/>
      <c r="L99" s="154"/>
      <c r="M99" s="152"/>
      <c r="N99" s="154"/>
      <c r="O99" s="152">
        <f t="shared" si="5"/>
        <v>692.2589999999982</v>
      </c>
      <c r="P99" s="152">
        <f t="shared" si="6"/>
        <v>584857.99599999993</v>
      </c>
    </row>
    <row r="100" spans="1:16" hidden="1" x14ac:dyDescent="0.15">
      <c r="A100" s="154"/>
      <c r="B100" s="154"/>
      <c r="C100" s="152"/>
      <c r="D100" s="153"/>
      <c r="E100" s="154"/>
      <c r="F100" s="154"/>
      <c r="G100" s="163"/>
      <c r="H100" s="152"/>
      <c r="I100" s="158"/>
      <c r="J100" s="152"/>
      <c r="K100" s="154"/>
      <c r="L100" s="154"/>
      <c r="M100" s="152"/>
      <c r="N100" s="154"/>
      <c r="O100" s="152">
        <f t="shared" si="5"/>
        <v>692.2589999999982</v>
      </c>
      <c r="P100" s="152">
        <f t="shared" si="6"/>
        <v>584857.99599999993</v>
      </c>
    </row>
    <row r="101" spans="1:16" hidden="1" x14ac:dyDescent="0.15">
      <c r="A101" s="154"/>
      <c r="B101" s="154"/>
      <c r="C101" s="152"/>
      <c r="D101" s="158"/>
      <c r="E101" s="154"/>
      <c r="F101" s="154"/>
      <c r="G101" s="163"/>
      <c r="H101" s="152"/>
      <c r="I101" s="158"/>
      <c r="J101" s="152"/>
      <c r="K101" s="164"/>
      <c r="L101" s="154"/>
      <c r="M101" s="152"/>
      <c r="N101" s="154"/>
      <c r="O101" s="152">
        <f t="shared" si="5"/>
        <v>692.2589999999982</v>
      </c>
      <c r="P101" s="152">
        <f t="shared" si="6"/>
        <v>584857.99599999993</v>
      </c>
    </row>
    <row r="102" spans="1:16" hidden="1" x14ac:dyDescent="0.15">
      <c r="A102" s="154"/>
      <c r="B102" s="154"/>
      <c r="C102" s="152"/>
      <c r="D102" s="158"/>
      <c r="E102" s="154"/>
      <c r="F102" s="154"/>
      <c r="G102" s="163"/>
      <c r="H102" s="152"/>
      <c r="I102" s="158"/>
      <c r="J102" s="152"/>
      <c r="K102" s="164"/>
      <c r="L102" s="154"/>
      <c r="M102" s="152"/>
      <c r="N102" s="154"/>
      <c r="O102" s="152">
        <f t="shared" si="5"/>
        <v>692.2589999999982</v>
      </c>
      <c r="P102" s="152">
        <f t="shared" si="6"/>
        <v>584857.99599999993</v>
      </c>
    </row>
    <row r="103" spans="1:16" hidden="1" x14ac:dyDescent="0.15">
      <c r="A103" s="154"/>
      <c r="B103" s="154"/>
      <c r="C103" s="152"/>
      <c r="D103" s="153"/>
      <c r="E103" s="154"/>
      <c r="F103" s="150"/>
      <c r="G103" s="151"/>
      <c r="H103" s="152"/>
      <c r="I103" s="158"/>
      <c r="J103" s="152"/>
      <c r="K103" s="154"/>
      <c r="L103" s="154"/>
      <c r="M103" s="152"/>
      <c r="N103" s="154"/>
      <c r="O103" s="152">
        <f t="shared" si="5"/>
        <v>692.2589999999982</v>
      </c>
      <c r="P103" s="152">
        <f t="shared" si="6"/>
        <v>584857.99599999993</v>
      </c>
    </row>
    <row r="104" spans="1:16" hidden="1" x14ac:dyDescent="0.15">
      <c r="A104" s="154"/>
      <c r="B104" s="154"/>
      <c r="C104" s="152"/>
      <c r="D104" s="158"/>
      <c r="E104" s="154"/>
      <c r="F104" s="150"/>
      <c r="G104" s="151"/>
      <c r="H104" s="152"/>
      <c r="I104" s="158"/>
      <c r="J104" s="152"/>
      <c r="K104" s="154"/>
      <c r="L104" s="154"/>
      <c r="M104" s="152"/>
      <c r="N104" s="154"/>
      <c r="O104" s="152">
        <f t="shared" si="5"/>
        <v>692.2589999999982</v>
      </c>
      <c r="P104" s="152">
        <f t="shared" si="6"/>
        <v>584857.99599999993</v>
      </c>
    </row>
    <row r="105" spans="1:16" hidden="1" x14ac:dyDescent="0.15">
      <c r="A105" s="154"/>
      <c r="B105" s="154"/>
      <c r="C105" s="152"/>
      <c r="D105" s="158"/>
      <c r="E105" s="154"/>
      <c r="F105" s="150"/>
      <c r="G105" s="151"/>
      <c r="H105" s="152"/>
      <c r="I105" s="158"/>
      <c r="J105" s="152"/>
      <c r="K105" s="154"/>
      <c r="L105" s="154"/>
      <c r="M105" s="152"/>
      <c r="N105" s="154"/>
      <c r="O105" s="152">
        <f t="shared" si="5"/>
        <v>692.2589999999982</v>
      </c>
      <c r="P105" s="152">
        <f t="shared" si="6"/>
        <v>584857.99599999993</v>
      </c>
    </row>
    <row r="106" spans="1:16" hidden="1" x14ac:dyDescent="0.15">
      <c r="A106" s="154"/>
      <c r="B106" s="154"/>
      <c r="C106" s="152"/>
      <c r="D106" s="158"/>
      <c r="E106" s="154"/>
      <c r="F106" s="150"/>
      <c r="G106" s="151"/>
      <c r="H106" s="152"/>
      <c r="I106" s="158"/>
      <c r="J106" s="152"/>
      <c r="K106" s="154"/>
      <c r="L106" s="154"/>
      <c r="M106" s="152"/>
      <c r="N106" s="154"/>
      <c r="O106" s="152">
        <f t="shared" si="5"/>
        <v>692.2589999999982</v>
      </c>
      <c r="P106" s="152">
        <f t="shared" si="6"/>
        <v>584857.99599999993</v>
      </c>
    </row>
    <row r="107" spans="1:16" hidden="1" x14ac:dyDescent="0.15">
      <c r="A107" s="154"/>
      <c r="B107" s="154"/>
      <c r="C107" s="152"/>
      <c r="D107" s="158"/>
      <c r="E107" s="154"/>
      <c r="F107" s="150"/>
      <c r="G107" s="151"/>
      <c r="H107" s="152"/>
      <c r="I107" s="153"/>
      <c r="J107" s="152"/>
      <c r="K107" s="154"/>
      <c r="L107" s="154"/>
      <c r="M107" s="152"/>
      <c r="N107" s="154"/>
      <c r="O107" s="152">
        <f t="shared" si="5"/>
        <v>692.2589999999982</v>
      </c>
      <c r="P107" s="152">
        <f t="shared" si="6"/>
        <v>584857.99599999993</v>
      </c>
    </row>
    <row r="108" spans="1:16" hidden="1" x14ac:dyDescent="0.15">
      <c r="A108" s="154"/>
      <c r="B108" s="154"/>
      <c r="C108" s="152"/>
      <c r="D108" s="158"/>
      <c r="E108" s="154"/>
      <c r="F108" s="150"/>
      <c r="G108" s="151"/>
      <c r="H108" s="152"/>
      <c r="I108" s="158"/>
      <c r="J108" s="152"/>
      <c r="K108" s="154"/>
      <c r="L108" s="154"/>
      <c r="M108" s="152"/>
      <c r="N108" s="154"/>
      <c r="O108" s="152">
        <f t="shared" si="5"/>
        <v>692.2589999999982</v>
      </c>
      <c r="P108" s="152">
        <f t="shared" si="6"/>
        <v>584857.99599999993</v>
      </c>
    </row>
    <row r="109" spans="1:16" hidden="1" x14ac:dyDescent="0.15">
      <c r="A109" s="154"/>
      <c r="B109" s="154"/>
      <c r="C109" s="152"/>
      <c r="D109" s="158"/>
      <c r="E109" s="154"/>
      <c r="F109" s="170"/>
      <c r="G109" s="151"/>
      <c r="H109" s="152"/>
      <c r="I109" s="158"/>
      <c r="J109" s="152"/>
      <c r="K109" s="154"/>
      <c r="L109" s="154"/>
      <c r="M109" s="152"/>
      <c r="N109" s="154"/>
      <c r="O109" s="152">
        <f t="shared" si="5"/>
        <v>692.2589999999982</v>
      </c>
      <c r="P109" s="152">
        <f t="shared" si="6"/>
        <v>584857.99599999993</v>
      </c>
    </row>
    <row r="110" spans="1:16" hidden="1" x14ac:dyDescent="0.15">
      <c r="A110" s="154"/>
      <c r="B110" s="154"/>
      <c r="C110" s="152"/>
      <c r="D110" s="158"/>
      <c r="E110" s="154"/>
      <c r="F110" s="170"/>
      <c r="G110" s="151"/>
      <c r="H110" s="152"/>
      <c r="I110" s="153"/>
      <c r="J110" s="152"/>
      <c r="K110" s="154"/>
      <c r="L110" s="154"/>
      <c r="M110" s="152"/>
      <c r="N110" s="154"/>
      <c r="O110" s="152">
        <f t="shared" si="5"/>
        <v>692.2589999999982</v>
      </c>
      <c r="P110" s="152">
        <f t="shared" si="6"/>
        <v>584857.99599999993</v>
      </c>
    </row>
    <row r="111" spans="1:16" hidden="1" x14ac:dyDescent="0.15">
      <c r="A111" s="154"/>
      <c r="B111" s="154"/>
      <c r="C111" s="152"/>
      <c r="D111" s="158"/>
      <c r="E111" s="154"/>
      <c r="F111" s="150"/>
      <c r="G111" s="151"/>
      <c r="H111" s="152"/>
      <c r="I111" s="158"/>
      <c r="J111" s="152"/>
      <c r="K111" s="154"/>
      <c r="L111" s="154"/>
      <c r="M111" s="152"/>
      <c r="N111" s="154"/>
      <c r="O111" s="152">
        <f t="shared" si="5"/>
        <v>692.2589999999982</v>
      </c>
      <c r="P111" s="152">
        <f t="shared" si="6"/>
        <v>584857.99599999993</v>
      </c>
    </row>
    <row r="112" spans="1:16" hidden="1" x14ac:dyDescent="0.15">
      <c r="A112" s="154"/>
      <c r="B112" s="154"/>
      <c r="C112" s="152"/>
      <c r="D112" s="153"/>
      <c r="E112" s="154"/>
      <c r="F112" s="157"/>
      <c r="G112" s="168"/>
      <c r="H112" s="152"/>
      <c r="I112" s="158"/>
      <c r="J112" s="152"/>
      <c r="K112" s="154"/>
      <c r="L112" s="154"/>
      <c r="M112" s="152"/>
      <c r="N112" s="154"/>
      <c r="O112" s="152">
        <f t="shared" si="5"/>
        <v>692.2589999999982</v>
      </c>
      <c r="P112" s="152">
        <f t="shared" si="6"/>
        <v>584857.99599999993</v>
      </c>
    </row>
    <row r="113" spans="1:16" hidden="1" x14ac:dyDescent="0.15">
      <c r="A113" s="154"/>
      <c r="B113" s="154"/>
      <c r="C113" s="152"/>
      <c r="D113" s="158"/>
      <c r="E113" s="154"/>
      <c r="F113" s="157"/>
      <c r="G113" s="168"/>
      <c r="H113" s="152"/>
      <c r="I113" s="158"/>
      <c r="J113" s="152"/>
      <c r="K113" s="154"/>
      <c r="L113" s="154"/>
      <c r="M113" s="152"/>
      <c r="N113" s="154"/>
      <c r="O113" s="152">
        <f t="shared" si="5"/>
        <v>692.2589999999982</v>
      </c>
      <c r="P113" s="152">
        <f t="shared" si="6"/>
        <v>584857.99599999993</v>
      </c>
    </row>
    <row r="114" spans="1:16" hidden="1" x14ac:dyDescent="0.15">
      <c r="A114" s="154"/>
      <c r="B114" s="154"/>
      <c r="C114" s="152"/>
      <c r="D114" s="158"/>
      <c r="E114" s="154"/>
      <c r="F114" s="157"/>
      <c r="G114" s="168"/>
      <c r="H114" s="152"/>
      <c r="I114" s="158"/>
      <c r="J114" s="152"/>
      <c r="K114" s="154"/>
      <c r="L114" s="154"/>
      <c r="M114" s="152"/>
      <c r="N114" s="154"/>
      <c r="O114" s="152">
        <f t="shared" si="5"/>
        <v>692.2589999999982</v>
      </c>
      <c r="P114" s="152">
        <f t="shared" si="6"/>
        <v>584857.99599999993</v>
      </c>
    </row>
    <row r="115" spans="1:16" hidden="1" x14ac:dyDescent="0.15">
      <c r="A115" s="154"/>
      <c r="B115" s="154"/>
      <c r="C115" s="152"/>
      <c r="D115" s="158"/>
      <c r="E115" s="154"/>
      <c r="F115" s="157"/>
      <c r="G115" s="168"/>
      <c r="H115" s="152"/>
      <c r="I115" s="158"/>
      <c r="J115" s="152"/>
      <c r="K115" s="154"/>
      <c r="L115" s="154"/>
      <c r="M115" s="152"/>
      <c r="N115" s="154"/>
      <c r="O115" s="152">
        <f t="shared" si="5"/>
        <v>692.2589999999982</v>
      </c>
      <c r="P115" s="152">
        <f t="shared" si="6"/>
        <v>584857.99599999993</v>
      </c>
    </row>
    <row r="116" spans="1:16" hidden="1" x14ac:dyDescent="0.15">
      <c r="A116" s="154"/>
      <c r="B116" s="154"/>
      <c r="C116" s="152"/>
      <c r="D116" s="158"/>
      <c r="E116" s="154"/>
      <c r="F116" s="154"/>
      <c r="G116" s="163"/>
      <c r="H116" s="152"/>
      <c r="I116" s="158"/>
      <c r="J116" s="152"/>
      <c r="K116" s="150"/>
      <c r="L116" s="154"/>
      <c r="M116" s="152"/>
      <c r="N116" s="154"/>
      <c r="O116" s="152">
        <f t="shared" si="5"/>
        <v>692.2589999999982</v>
      </c>
      <c r="P116" s="152">
        <f t="shared" si="6"/>
        <v>584857.99599999993</v>
      </c>
    </row>
    <row r="117" spans="1:16" hidden="1" x14ac:dyDescent="0.15">
      <c r="A117" s="154"/>
      <c r="B117" s="154"/>
      <c r="C117" s="152"/>
      <c r="D117" s="158"/>
      <c r="E117" s="154"/>
      <c r="F117" s="170"/>
      <c r="G117" s="171"/>
      <c r="H117" s="152"/>
      <c r="I117" s="158"/>
      <c r="J117" s="152"/>
      <c r="K117" s="154"/>
      <c r="L117" s="154"/>
      <c r="M117" s="152"/>
      <c r="N117" s="154"/>
      <c r="O117" s="152">
        <f t="shared" si="5"/>
        <v>692.2589999999982</v>
      </c>
      <c r="P117" s="152">
        <f t="shared" si="6"/>
        <v>584857.99599999993</v>
      </c>
    </row>
    <row r="118" spans="1:16" hidden="1" x14ac:dyDescent="0.15">
      <c r="A118" s="154"/>
      <c r="B118" s="154"/>
      <c r="C118" s="152"/>
      <c r="D118" s="158"/>
      <c r="E118" s="154"/>
      <c r="F118" s="154"/>
      <c r="G118" s="163"/>
      <c r="H118" s="152"/>
      <c r="I118" s="158"/>
      <c r="J118" s="152"/>
      <c r="K118" s="154"/>
      <c r="L118" s="154"/>
      <c r="M118" s="152"/>
      <c r="N118" s="154"/>
      <c r="O118" s="152">
        <f t="shared" si="5"/>
        <v>692.2589999999982</v>
      </c>
      <c r="P118" s="152">
        <f t="shared" si="6"/>
        <v>584857.99599999993</v>
      </c>
    </row>
    <row r="119" spans="1:16" hidden="1" x14ac:dyDescent="0.15">
      <c r="A119" s="154"/>
      <c r="B119" s="154"/>
      <c r="C119" s="152"/>
      <c r="D119" s="158"/>
      <c r="E119" s="154"/>
      <c r="F119" s="154"/>
      <c r="G119" s="163"/>
      <c r="H119" s="152"/>
      <c r="I119" s="158"/>
      <c r="J119" s="152"/>
      <c r="K119" s="154"/>
      <c r="L119" s="154"/>
      <c r="M119" s="152"/>
      <c r="N119" s="154"/>
      <c r="O119" s="152">
        <f t="shared" si="5"/>
        <v>692.2589999999982</v>
      </c>
      <c r="P119" s="152">
        <f t="shared" si="6"/>
        <v>584857.99599999993</v>
      </c>
    </row>
    <row r="120" spans="1:16" hidden="1" x14ac:dyDescent="0.15">
      <c r="A120" s="154"/>
      <c r="B120" s="154"/>
      <c r="C120" s="152"/>
      <c r="D120" s="158"/>
      <c r="E120" s="154"/>
      <c r="F120" s="154"/>
      <c r="G120" s="163"/>
      <c r="H120" s="152"/>
      <c r="I120" s="158"/>
      <c r="J120" s="152"/>
      <c r="K120" s="154"/>
      <c r="L120" s="154"/>
      <c r="M120" s="152"/>
      <c r="N120" s="154"/>
      <c r="O120" s="152">
        <f t="shared" si="5"/>
        <v>692.2589999999982</v>
      </c>
      <c r="P120" s="152">
        <f t="shared" si="6"/>
        <v>584857.99599999993</v>
      </c>
    </row>
    <row r="121" spans="1:16" hidden="1" x14ac:dyDescent="0.15">
      <c r="A121" s="154"/>
      <c r="B121" s="154"/>
      <c r="C121" s="152"/>
      <c r="D121" s="158"/>
      <c r="E121" s="154"/>
      <c r="F121" s="157"/>
      <c r="G121" s="171"/>
      <c r="H121" s="152"/>
      <c r="I121" s="158"/>
      <c r="J121" s="152"/>
      <c r="K121" s="154"/>
      <c r="L121" s="154"/>
      <c r="M121" s="152"/>
      <c r="N121" s="154"/>
      <c r="O121" s="152">
        <f t="shared" si="5"/>
        <v>692.2589999999982</v>
      </c>
      <c r="P121" s="152">
        <f t="shared" si="6"/>
        <v>584857.99599999993</v>
      </c>
    </row>
    <row r="122" spans="1:16" hidden="1" x14ac:dyDescent="0.15">
      <c r="A122" s="154"/>
      <c r="B122" s="154"/>
      <c r="C122" s="152"/>
      <c r="D122" s="158"/>
      <c r="E122" s="154"/>
      <c r="F122" s="150"/>
      <c r="G122" s="151"/>
      <c r="H122" s="152"/>
      <c r="I122" s="158"/>
      <c r="J122" s="152"/>
      <c r="K122" s="150"/>
      <c r="L122" s="154"/>
      <c r="M122" s="152"/>
      <c r="N122" s="154"/>
      <c r="O122" s="152">
        <f t="shared" si="5"/>
        <v>692.2589999999982</v>
      </c>
      <c r="P122" s="152">
        <f t="shared" si="6"/>
        <v>584857.99599999993</v>
      </c>
    </row>
    <row r="123" spans="1:16" hidden="1" x14ac:dyDescent="0.15">
      <c r="A123" s="154"/>
      <c r="B123" s="154"/>
      <c r="C123" s="152"/>
      <c r="D123" s="158"/>
      <c r="E123" s="154"/>
      <c r="F123" s="150"/>
      <c r="G123" s="151"/>
      <c r="H123" s="152"/>
      <c r="I123" s="158"/>
      <c r="J123" s="152"/>
      <c r="K123" s="154"/>
      <c r="L123" s="154"/>
      <c r="M123" s="152"/>
      <c r="N123" s="150"/>
      <c r="O123" s="152">
        <f t="shared" si="5"/>
        <v>692.2589999999982</v>
      </c>
      <c r="P123" s="152">
        <f t="shared" si="6"/>
        <v>584857.99599999993</v>
      </c>
    </row>
    <row r="124" spans="1:16" hidden="1" x14ac:dyDescent="0.15">
      <c r="A124" s="154"/>
      <c r="B124" s="154"/>
      <c r="C124" s="152"/>
      <c r="D124" s="158"/>
      <c r="E124" s="154"/>
      <c r="F124" s="170"/>
      <c r="G124" s="171"/>
      <c r="H124" s="152"/>
      <c r="I124" s="158"/>
      <c r="J124" s="152"/>
      <c r="K124" s="154"/>
      <c r="L124" s="154"/>
      <c r="M124" s="152"/>
      <c r="N124" s="154"/>
      <c r="O124" s="152">
        <f t="shared" si="5"/>
        <v>692.2589999999982</v>
      </c>
      <c r="P124" s="152">
        <f t="shared" si="6"/>
        <v>584857.99599999993</v>
      </c>
    </row>
    <row r="125" spans="1:16" hidden="1" x14ac:dyDescent="0.15">
      <c r="A125" s="154"/>
      <c r="B125" s="154"/>
      <c r="C125" s="152"/>
      <c r="D125" s="158"/>
      <c r="E125" s="154"/>
      <c r="F125" s="159"/>
      <c r="G125" s="151"/>
      <c r="H125" s="152"/>
      <c r="I125" s="158"/>
      <c r="J125" s="152"/>
      <c r="K125" s="157"/>
      <c r="L125" s="154"/>
      <c r="M125" s="152"/>
      <c r="N125" s="154"/>
      <c r="O125" s="152">
        <f t="shared" si="5"/>
        <v>692.2589999999982</v>
      </c>
      <c r="P125" s="152">
        <f t="shared" si="6"/>
        <v>584857.99599999993</v>
      </c>
    </row>
    <row r="126" spans="1:16" hidden="1" x14ac:dyDescent="0.15">
      <c r="A126" s="154"/>
      <c r="B126" s="154"/>
      <c r="C126" s="152"/>
      <c r="D126" s="158"/>
      <c r="E126" s="154"/>
      <c r="F126" s="159"/>
      <c r="G126" s="151"/>
      <c r="H126" s="152"/>
      <c r="I126" s="158"/>
      <c r="J126" s="152"/>
      <c r="K126" s="157"/>
      <c r="L126" s="154"/>
      <c r="M126" s="152"/>
      <c r="N126" s="157"/>
      <c r="O126" s="152">
        <f t="shared" si="5"/>
        <v>692.2589999999982</v>
      </c>
      <c r="P126" s="152">
        <f t="shared" si="6"/>
        <v>584857.99599999993</v>
      </c>
    </row>
    <row r="127" spans="1:16" hidden="1" x14ac:dyDescent="0.15">
      <c r="A127" s="154"/>
      <c r="B127" s="154"/>
      <c r="C127" s="152"/>
      <c r="D127" s="158"/>
      <c r="E127" s="154"/>
      <c r="F127" s="159"/>
      <c r="G127" s="151"/>
      <c r="H127" s="152"/>
      <c r="I127" s="158"/>
      <c r="J127" s="152"/>
      <c r="K127" s="157"/>
      <c r="L127" s="154"/>
      <c r="M127" s="152"/>
      <c r="N127" s="157"/>
      <c r="O127" s="152">
        <f t="shared" si="5"/>
        <v>692.2589999999982</v>
      </c>
      <c r="P127" s="152">
        <f t="shared" si="6"/>
        <v>584857.99599999993</v>
      </c>
    </row>
    <row r="128" spans="1:16" hidden="1" x14ac:dyDescent="0.15">
      <c r="A128" s="154"/>
      <c r="B128" s="154"/>
      <c r="C128" s="152"/>
      <c r="D128" s="158"/>
      <c r="E128" s="154"/>
      <c r="F128" s="159"/>
      <c r="G128" s="151"/>
      <c r="H128" s="152"/>
      <c r="I128" s="158"/>
      <c r="J128" s="152"/>
      <c r="K128" s="154"/>
      <c r="L128" s="154"/>
      <c r="M128" s="152"/>
      <c r="N128" s="157"/>
      <c r="O128" s="152">
        <f t="shared" si="5"/>
        <v>692.2589999999982</v>
      </c>
      <c r="P128" s="152">
        <f t="shared" si="6"/>
        <v>584857.99599999993</v>
      </c>
    </row>
    <row r="129" spans="1:16" hidden="1" x14ac:dyDescent="0.15">
      <c r="A129" s="154"/>
      <c r="B129" s="154"/>
      <c r="C129" s="152"/>
      <c r="D129" s="158"/>
      <c r="E129" s="154"/>
      <c r="F129" s="170"/>
      <c r="G129" s="171"/>
      <c r="H129" s="152"/>
      <c r="I129" s="158"/>
      <c r="J129" s="152"/>
      <c r="K129" s="157"/>
      <c r="L129" s="154"/>
      <c r="M129" s="152"/>
      <c r="N129" s="157"/>
      <c r="O129" s="152">
        <f t="shared" si="5"/>
        <v>692.2589999999982</v>
      </c>
      <c r="P129" s="152">
        <f t="shared" si="6"/>
        <v>584857.99599999993</v>
      </c>
    </row>
    <row r="130" spans="1:16" hidden="1" x14ac:dyDescent="0.15">
      <c r="A130" s="154"/>
      <c r="B130" s="154"/>
      <c r="C130" s="152"/>
      <c r="D130" s="158"/>
      <c r="E130" s="154"/>
      <c r="F130" s="154"/>
      <c r="G130" s="163"/>
      <c r="H130" s="152"/>
      <c r="I130" s="158"/>
      <c r="J130" s="152"/>
      <c r="K130" s="150"/>
      <c r="L130" s="154"/>
      <c r="M130" s="152"/>
      <c r="N130" s="157"/>
      <c r="O130" s="152">
        <f t="shared" si="5"/>
        <v>692.2589999999982</v>
      </c>
      <c r="P130" s="152">
        <f t="shared" si="6"/>
        <v>584857.99599999993</v>
      </c>
    </row>
    <row r="131" spans="1:16" hidden="1" x14ac:dyDescent="0.15">
      <c r="A131" s="154"/>
      <c r="B131" s="154"/>
      <c r="C131" s="152"/>
      <c r="D131" s="158"/>
      <c r="E131" s="154"/>
      <c r="F131" s="154"/>
      <c r="G131" s="163"/>
      <c r="H131" s="152"/>
      <c r="I131" s="158"/>
      <c r="J131" s="152"/>
      <c r="K131" s="150"/>
      <c r="L131" s="154"/>
      <c r="M131" s="152"/>
      <c r="N131" s="157"/>
      <c r="O131" s="152">
        <f t="shared" si="5"/>
        <v>692.2589999999982</v>
      </c>
      <c r="P131" s="152">
        <f t="shared" si="6"/>
        <v>584857.99599999993</v>
      </c>
    </row>
    <row r="132" spans="1:16" hidden="1" x14ac:dyDescent="0.15">
      <c r="A132" s="154"/>
      <c r="B132" s="154"/>
      <c r="C132" s="152"/>
      <c r="D132" s="158"/>
      <c r="E132" s="154"/>
      <c r="F132" s="150"/>
      <c r="G132" s="171"/>
      <c r="H132" s="152"/>
      <c r="I132" s="158"/>
      <c r="J132" s="152"/>
      <c r="K132" s="157"/>
      <c r="L132" s="154"/>
      <c r="M132" s="152"/>
      <c r="N132" s="157"/>
      <c r="O132" s="152">
        <f t="shared" si="5"/>
        <v>692.2589999999982</v>
      </c>
      <c r="P132" s="152">
        <f t="shared" si="6"/>
        <v>584857.99599999993</v>
      </c>
    </row>
    <row r="133" spans="1:16" hidden="1" x14ac:dyDescent="0.15">
      <c r="A133" s="154"/>
      <c r="B133" s="154"/>
      <c r="C133" s="152"/>
      <c r="D133" s="158"/>
      <c r="E133" s="154"/>
      <c r="F133" s="150"/>
      <c r="G133" s="151"/>
      <c r="H133" s="152"/>
      <c r="I133" s="158"/>
      <c r="J133" s="152"/>
      <c r="K133" s="154"/>
      <c r="L133" s="154"/>
      <c r="M133" s="152"/>
      <c r="N133" s="157"/>
      <c r="O133" s="152">
        <f t="shared" si="5"/>
        <v>692.2589999999982</v>
      </c>
      <c r="P133" s="152">
        <f t="shared" si="6"/>
        <v>584857.99599999993</v>
      </c>
    </row>
    <row r="134" spans="1:16" hidden="1" x14ac:dyDescent="0.15">
      <c r="A134" s="154"/>
      <c r="B134" s="154"/>
      <c r="C134" s="152"/>
      <c r="D134" s="158"/>
      <c r="E134" s="154"/>
      <c r="F134" s="150"/>
      <c r="G134" s="151"/>
      <c r="H134" s="152"/>
      <c r="I134" s="158"/>
      <c r="J134" s="152"/>
      <c r="K134" s="154"/>
      <c r="L134" s="154"/>
      <c r="M134" s="152"/>
      <c r="N134" s="154"/>
      <c r="O134" s="152">
        <f t="shared" si="5"/>
        <v>692.2589999999982</v>
      </c>
      <c r="P134" s="152">
        <f t="shared" si="6"/>
        <v>584857.99599999993</v>
      </c>
    </row>
    <row r="135" spans="1:16" hidden="1" x14ac:dyDescent="0.15">
      <c r="A135" s="154"/>
      <c r="B135" s="154"/>
      <c r="C135" s="152"/>
      <c r="D135" s="158"/>
      <c r="E135" s="154"/>
      <c r="F135" s="170"/>
      <c r="G135" s="171"/>
      <c r="H135" s="152"/>
      <c r="I135" s="158"/>
      <c r="J135" s="152"/>
      <c r="K135" s="157"/>
      <c r="L135" s="154"/>
      <c r="M135" s="152"/>
      <c r="N135" s="157"/>
      <c r="O135" s="152">
        <f t="shared" si="5"/>
        <v>692.2589999999982</v>
      </c>
      <c r="P135" s="152">
        <f t="shared" si="6"/>
        <v>584857.99599999993</v>
      </c>
    </row>
    <row r="136" spans="1:16" hidden="1" x14ac:dyDescent="0.15">
      <c r="A136" s="154"/>
      <c r="B136" s="154"/>
      <c r="C136" s="152"/>
      <c r="D136" s="158"/>
      <c r="E136" s="154"/>
      <c r="F136" s="170"/>
      <c r="G136" s="168"/>
      <c r="H136" s="152"/>
      <c r="I136" s="158"/>
      <c r="J136" s="152"/>
      <c r="K136" s="157"/>
      <c r="L136" s="154"/>
      <c r="M136" s="152"/>
      <c r="N136" s="157"/>
      <c r="O136" s="152">
        <f t="shared" si="5"/>
        <v>692.2589999999982</v>
      </c>
      <c r="P136" s="152">
        <f t="shared" si="6"/>
        <v>584857.99599999993</v>
      </c>
    </row>
    <row r="137" spans="1:16" hidden="1" x14ac:dyDescent="0.15">
      <c r="A137" s="154"/>
      <c r="B137" s="154"/>
      <c r="C137" s="152"/>
      <c r="D137" s="158"/>
      <c r="E137" s="154"/>
      <c r="F137" s="170"/>
      <c r="G137" s="168"/>
      <c r="H137" s="152"/>
      <c r="I137" s="158"/>
      <c r="J137" s="152"/>
      <c r="K137" s="154"/>
      <c r="L137" s="154"/>
      <c r="M137" s="152"/>
      <c r="N137" s="157"/>
      <c r="O137" s="152">
        <f t="shared" si="5"/>
        <v>692.2589999999982</v>
      </c>
      <c r="P137" s="152">
        <f t="shared" si="6"/>
        <v>584857.99599999993</v>
      </c>
    </row>
    <row r="138" spans="1:16" hidden="1" x14ac:dyDescent="0.15">
      <c r="A138" s="154"/>
      <c r="B138" s="154"/>
      <c r="C138" s="152"/>
      <c r="D138" s="158"/>
      <c r="E138" s="154"/>
      <c r="F138" s="170"/>
      <c r="G138" s="171"/>
      <c r="H138" s="152"/>
      <c r="I138" s="158"/>
      <c r="J138" s="152"/>
      <c r="K138" s="157"/>
      <c r="L138" s="154"/>
      <c r="M138" s="152"/>
      <c r="N138" s="157"/>
      <c r="O138" s="152">
        <f t="shared" ref="O138:O153" si="7">+O137-J138-M138</f>
        <v>692.2589999999982</v>
      </c>
      <c r="P138" s="152">
        <f t="shared" ref="P138:P153" si="8">P137+H138-J138-M138</f>
        <v>584857.99599999993</v>
      </c>
    </row>
    <row r="139" spans="1:16" hidden="1" x14ac:dyDescent="0.15">
      <c r="A139" s="154"/>
      <c r="B139" s="154"/>
      <c r="C139" s="152"/>
      <c r="D139" s="158"/>
      <c r="E139" s="154"/>
      <c r="F139" s="154"/>
      <c r="G139" s="151"/>
      <c r="H139" s="152"/>
      <c r="I139" s="158"/>
      <c r="J139" s="152"/>
      <c r="K139" s="154"/>
      <c r="L139" s="154"/>
      <c r="M139" s="152"/>
      <c r="N139" s="157"/>
      <c r="O139" s="152">
        <f t="shared" si="7"/>
        <v>692.2589999999982</v>
      </c>
      <c r="P139" s="152">
        <f t="shared" si="8"/>
        <v>584857.99599999993</v>
      </c>
    </row>
    <row r="140" spans="1:16" hidden="1" x14ac:dyDescent="0.15">
      <c r="A140" s="154"/>
      <c r="B140" s="154"/>
      <c r="C140" s="152"/>
      <c r="D140" s="158"/>
      <c r="E140" s="154"/>
      <c r="F140" s="154"/>
      <c r="G140" s="151"/>
      <c r="H140" s="152"/>
      <c r="I140" s="158"/>
      <c r="J140" s="152"/>
      <c r="K140" s="154"/>
      <c r="L140" s="154"/>
      <c r="M140" s="152"/>
      <c r="N140" s="157"/>
      <c r="O140" s="152">
        <f t="shared" si="7"/>
        <v>692.2589999999982</v>
      </c>
      <c r="P140" s="152">
        <f t="shared" si="8"/>
        <v>584857.99599999993</v>
      </c>
    </row>
    <row r="141" spans="1:16" hidden="1" x14ac:dyDescent="0.15">
      <c r="A141" s="154"/>
      <c r="B141" s="154"/>
      <c r="C141" s="152"/>
      <c r="D141" s="158"/>
      <c r="E141" s="154"/>
      <c r="F141" s="170"/>
      <c r="G141" s="171"/>
      <c r="H141" s="152"/>
      <c r="I141" s="158"/>
      <c r="J141" s="152"/>
      <c r="K141" s="157"/>
      <c r="L141" s="154"/>
      <c r="M141" s="152"/>
      <c r="N141" s="157"/>
      <c r="O141" s="152">
        <f t="shared" si="7"/>
        <v>692.2589999999982</v>
      </c>
      <c r="P141" s="152">
        <f t="shared" si="8"/>
        <v>584857.99599999993</v>
      </c>
    </row>
    <row r="142" spans="1:16" hidden="1" x14ac:dyDescent="0.15">
      <c r="A142" s="154"/>
      <c r="B142" s="154"/>
      <c r="C142" s="152"/>
      <c r="D142" s="158"/>
      <c r="E142" s="154"/>
      <c r="F142" s="170"/>
      <c r="G142" s="151"/>
      <c r="H142" s="152"/>
      <c r="I142" s="158"/>
      <c r="J142" s="152"/>
      <c r="K142" s="154"/>
      <c r="L142" s="154"/>
      <c r="M142" s="152"/>
      <c r="N142" s="157"/>
      <c r="O142" s="152">
        <f t="shared" si="7"/>
        <v>692.2589999999982</v>
      </c>
      <c r="P142" s="152">
        <f t="shared" si="8"/>
        <v>584857.99599999993</v>
      </c>
    </row>
    <row r="143" spans="1:16" hidden="1" x14ac:dyDescent="0.15">
      <c r="A143" s="154"/>
      <c r="B143" s="154"/>
      <c r="C143" s="152"/>
      <c r="D143" s="158"/>
      <c r="E143" s="154"/>
      <c r="F143" s="170"/>
      <c r="G143" s="151"/>
      <c r="H143" s="152"/>
      <c r="I143" s="158"/>
      <c r="J143" s="152"/>
      <c r="K143" s="154"/>
      <c r="L143" s="154"/>
      <c r="M143" s="152"/>
      <c r="N143" s="157"/>
      <c r="O143" s="152">
        <f t="shared" si="7"/>
        <v>692.2589999999982</v>
      </c>
      <c r="P143" s="152">
        <f t="shared" si="8"/>
        <v>584857.99599999993</v>
      </c>
    </row>
    <row r="144" spans="1:16" hidden="1" x14ac:dyDescent="0.15">
      <c r="A144" s="154"/>
      <c r="B144" s="154"/>
      <c r="C144" s="152"/>
      <c r="D144" s="158"/>
      <c r="E144" s="154"/>
      <c r="F144" s="157"/>
      <c r="G144" s="171"/>
      <c r="H144" s="152"/>
      <c r="I144" s="158"/>
      <c r="J144" s="152"/>
      <c r="K144" s="157"/>
      <c r="L144" s="154"/>
      <c r="M144" s="152"/>
      <c r="N144" s="157"/>
      <c r="O144" s="152">
        <f t="shared" si="7"/>
        <v>692.2589999999982</v>
      </c>
      <c r="P144" s="152">
        <f t="shared" si="8"/>
        <v>584857.99599999993</v>
      </c>
    </row>
    <row r="145" spans="1:16" hidden="1" x14ac:dyDescent="0.15">
      <c r="A145" s="154"/>
      <c r="B145" s="154"/>
      <c r="C145" s="152"/>
      <c r="D145" s="158"/>
      <c r="E145" s="154"/>
      <c r="F145" s="157"/>
      <c r="G145" s="172"/>
      <c r="H145" s="152"/>
      <c r="I145" s="158"/>
      <c r="J145" s="152"/>
      <c r="K145" s="154"/>
      <c r="L145" s="154"/>
      <c r="M145" s="152"/>
      <c r="N145" s="157"/>
      <c r="O145" s="152">
        <f t="shared" si="7"/>
        <v>692.2589999999982</v>
      </c>
      <c r="P145" s="152">
        <f t="shared" si="8"/>
        <v>584857.99599999993</v>
      </c>
    </row>
    <row r="146" spans="1:16" hidden="1" x14ac:dyDescent="0.15">
      <c r="A146" s="154"/>
      <c r="B146" s="154"/>
      <c r="C146" s="152"/>
      <c r="D146" s="158"/>
      <c r="E146" s="154"/>
      <c r="F146" s="157"/>
      <c r="G146" s="172"/>
      <c r="H146" s="152"/>
      <c r="I146" s="158"/>
      <c r="J146" s="152"/>
      <c r="K146" s="157"/>
      <c r="L146" s="154"/>
      <c r="M146" s="152"/>
      <c r="N146" s="157"/>
      <c r="O146" s="152">
        <f t="shared" si="7"/>
        <v>692.2589999999982</v>
      </c>
      <c r="P146" s="152">
        <f t="shared" si="8"/>
        <v>584857.99599999993</v>
      </c>
    </row>
    <row r="147" spans="1:16" hidden="1" x14ac:dyDescent="0.15">
      <c r="A147" s="154"/>
      <c r="B147" s="154"/>
      <c r="C147" s="152"/>
      <c r="D147" s="158"/>
      <c r="E147" s="154"/>
      <c r="F147" s="157"/>
      <c r="G147" s="172"/>
      <c r="H147" s="152"/>
      <c r="I147" s="158"/>
      <c r="J147" s="152"/>
      <c r="K147" s="154"/>
      <c r="L147" s="154"/>
      <c r="M147" s="152"/>
      <c r="N147" s="157"/>
      <c r="O147" s="152">
        <f t="shared" si="7"/>
        <v>692.2589999999982</v>
      </c>
      <c r="P147" s="152">
        <f t="shared" si="8"/>
        <v>584857.99599999993</v>
      </c>
    </row>
    <row r="148" spans="1:16" hidden="1" x14ac:dyDescent="0.15">
      <c r="A148" s="154"/>
      <c r="B148" s="154"/>
      <c r="C148" s="152"/>
      <c r="D148" s="158"/>
      <c r="E148" s="154"/>
      <c r="F148" s="154"/>
      <c r="G148" s="151"/>
      <c r="H148" s="152"/>
      <c r="I148" s="158"/>
      <c r="J148" s="152"/>
      <c r="K148" s="154"/>
      <c r="L148" s="154"/>
      <c r="M148" s="152"/>
      <c r="N148" s="157"/>
      <c r="O148" s="152">
        <f t="shared" si="7"/>
        <v>692.2589999999982</v>
      </c>
      <c r="P148" s="152">
        <f t="shared" si="8"/>
        <v>584857.99599999993</v>
      </c>
    </row>
    <row r="149" spans="1:16" hidden="1" x14ac:dyDescent="0.15">
      <c r="A149" s="154"/>
      <c r="B149" s="154"/>
      <c r="C149" s="152"/>
      <c r="D149" s="158"/>
      <c r="E149" s="154"/>
      <c r="F149" s="157"/>
      <c r="G149" s="172"/>
      <c r="H149" s="152"/>
      <c r="I149" s="158"/>
      <c r="J149" s="152"/>
      <c r="K149" s="154"/>
      <c r="L149" s="154"/>
      <c r="M149" s="152"/>
      <c r="N149" s="154"/>
      <c r="O149" s="152">
        <f t="shared" si="7"/>
        <v>692.2589999999982</v>
      </c>
      <c r="P149" s="152">
        <f t="shared" si="8"/>
        <v>584857.99599999993</v>
      </c>
    </row>
    <row r="150" spans="1:16" hidden="1" x14ac:dyDescent="0.15">
      <c r="A150" s="154"/>
      <c r="B150" s="154"/>
      <c r="C150" s="152"/>
      <c r="D150" s="158"/>
      <c r="E150" s="154"/>
      <c r="F150" s="157"/>
      <c r="G150" s="172"/>
      <c r="H150" s="152"/>
      <c r="I150" s="158"/>
      <c r="J150" s="152"/>
      <c r="K150" s="154"/>
      <c r="L150" s="154"/>
      <c r="M150" s="152"/>
      <c r="N150" s="154"/>
      <c r="O150" s="152">
        <f t="shared" si="7"/>
        <v>692.2589999999982</v>
      </c>
      <c r="P150" s="152">
        <f t="shared" si="8"/>
        <v>584857.99599999993</v>
      </c>
    </row>
    <row r="151" spans="1:16" hidden="1" x14ac:dyDescent="0.15">
      <c r="A151" s="154"/>
      <c r="B151" s="154"/>
      <c r="C151" s="152"/>
      <c r="D151" s="158"/>
      <c r="E151" s="154"/>
      <c r="F151" s="157"/>
      <c r="G151" s="172"/>
      <c r="H151" s="152"/>
      <c r="I151" s="158"/>
      <c r="J151" s="152"/>
      <c r="K151" s="154"/>
      <c r="L151" s="154"/>
      <c r="M151" s="152"/>
      <c r="N151" s="154"/>
      <c r="O151" s="152">
        <f t="shared" si="7"/>
        <v>692.2589999999982</v>
      </c>
      <c r="P151" s="152">
        <f t="shared" si="8"/>
        <v>584857.99599999993</v>
      </c>
    </row>
    <row r="152" spans="1:16" hidden="1" x14ac:dyDescent="0.15">
      <c r="A152" s="154"/>
      <c r="B152" s="154"/>
      <c r="C152" s="152"/>
      <c r="D152" s="158"/>
      <c r="E152" s="154"/>
      <c r="F152" s="154"/>
      <c r="G152" s="163"/>
      <c r="H152" s="152"/>
      <c r="I152" s="158"/>
      <c r="J152" s="152"/>
      <c r="K152" s="154"/>
      <c r="L152" s="154"/>
      <c r="M152" s="152"/>
      <c r="N152" s="154"/>
      <c r="O152" s="152">
        <f t="shared" si="7"/>
        <v>692.2589999999982</v>
      </c>
      <c r="P152" s="152">
        <f t="shared" si="8"/>
        <v>584857.99599999993</v>
      </c>
    </row>
    <row r="153" spans="1:16" x14ac:dyDescent="0.15">
      <c r="A153" s="173"/>
      <c r="B153" s="173"/>
      <c r="C153" s="174"/>
      <c r="D153" s="175"/>
      <c r="E153" s="173"/>
      <c r="F153" s="173"/>
      <c r="G153" s="176"/>
      <c r="H153" s="174"/>
      <c r="I153" s="175"/>
      <c r="J153" s="174"/>
      <c r="K153" s="173"/>
      <c r="L153" s="173"/>
      <c r="M153" s="174"/>
      <c r="N153" s="173"/>
      <c r="O153" s="152">
        <f t="shared" si="7"/>
        <v>692.2589999999982</v>
      </c>
      <c r="P153" s="152">
        <f t="shared" si="8"/>
        <v>584857.99599999993</v>
      </c>
    </row>
    <row r="154" spans="1:16" x14ac:dyDescent="0.15">
      <c r="A154" s="177"/>
      <c r="B154" s="177"/>
      <c r="C154" s="178">
        <f>SUM(C7:C140)</f>
        <v>356572.65</v>
      </c>
      <c r="D154" s="177"/>
      <c r="E154" s="177"/>
      <c r="F154" s="177"/>
      <c r="G154" s="177"/>
      <c r="H154" s="178">
        <f>SUM(H7:H152)</f>
        <v>316011.35500000004</v>
      </c>
      <c r="I154" s="179"/>
      <c r="J154" s="178">
        <f>SUM(J7:J152)</f>
        <v>9927.009</v>
      </c>
      <c r="K154" s="177"/>
      <c r="L154" s="177"/>
      <c r="M154" s="178">
        <f>SUM(M9:M152)</f>
        <v>77799</v>
      </c>
      <c r="N154" s="177"/>
      <c r="O154" s="180"/>
      <c r="P154" s="181">
        <f>C154+H154-J154-M154</f>
        <v>584857.99600000016</v>
      </c>
    </row>
    <row r="155" spans="1:16" x14ac:dyDescent="0.15">
      <c r="A155" s="182"/>
      <c r="B155" s="465"/>
      <c r="C155" s="465"/>
      <c r="D155" s="465"/>
      <c r="E155" s="183"/>
      <c r="F155" s="472"/>
      <c r="G155" s="472"/>
      <c r="H155" s="185"/>
      <c r="I155" s="186"/>
      <c r="J155" s="187"/>
      <c r="K155" s="188"/>
      <c r="L155" s="189"/>
      <c r="M155" s="190">
        <f>+M154+J154</f>
        <v>87726.009000000005</v>
      </c>
      <c r="N155" s="188"/>
      <c r="O155" s="191">
        <f>+O153</f>
        <v>692.2589999999982</v>
      </c>
      <c r="P155" s="192" t="s">
        <v>67</v>
      </c>
    </row>
    <row r="156" spans="1:16" x14ac:dyDescent="0.15">
      <c r="A156" s="193" t="s">
        <v>68</v>
      </c>
      <c r="B156" s="470" t="s">
        <v>69</v>
      </c>
      <c r="C156" s="470"/>
      <c r="D156" s="470"/>
      <c r="E156" s="183" t="s">
        <v>55</v>
      </c>
      <c r="F156" s="472">
        <v>141180429.59999999</v>
      </c>
      <c r="G156" s="472"/>
      <c r="H156" s="185" t="s">
        <v>56</v>
      </c>
      <c r="I156" s="186">
        <v>39923</v>
      </c>
      <c r="J156" s="187" t="s">
        <v>71</v>
      </c>
      <c r="K156" s="201">
        <v>44148</v>
      </c>
      <c r="L156" s="188"/>
      <c r="M156" s="190"/>
      <c r="N156" s="188"/>
      <c r="O156" s="191">
        <v>39855.624000000003</v>
      </c>
      <c r="P156" s="192" t="s">
        <v>66</v>
      </c>
    </row>
    <row r="157" spans="1:16" x14ac:dyDescent="0.15">
      <c r="A157" s="193" t="s">
        <v>67</v>
      </c>
      <c r="B157" s="470" t="s">
        <v>70</v>
      </c>
      <c r="C157" s="470"/>
      <c r="D157" s="470"/>
      <c r="E157" s="183" t="s">
        <v>55</v>
      </c>
      <c r="F157" s="472">
        <v>56518257.159999996</v>
      </c>
      <c r="G157" s="472"/>
      <c r="H157" s="185" t="s">
        <v>56</v>
      </c>
      <c r="I157" s="186">
        <v>39923</v>
      </c>
      <c r="J157" s="187" t="s">
        <v>71</v>
      </c>
      <c r="K157" s="201">
        <v>33651</v>
      </c>
      <c r="L157" s="188"/>
      <c r="M157" s="190"/>
      <c r="N157" s="188"/>
      <c r="O157" s="191">
        <v>76029.198999999993</v>
      </c>
      <c r="P157" s="192" t="s">
        <v>45</v>
      </c>
    </row>
    <row r="158" spans="1:16" ht="12" thickBot="1" x14ac:dyDescent="0.2">
      <c r="A158" s="193"/>
      <c r="B158" s="470"/>
      <c r="C158" s="470"/>
      <c r="D158" s="470"/>
      <c r="E158" s="183"/>
      <c r="F158" s="472"/>
      <c r="G158" s="472"/>
      <c r="H158" s="185"/>
      <c r="I158" s="186"/>
      <c r="J158" s="185" t="s">
        <v>16</v>
      </c>
      <c r="K158" s="202">
        <f>SUM(K156:K157)</f>
        <v>77799</v>
      </c>
      <c r="L158" s="188"/>
      <c r="M158" s="190"/>
      <c r="N158" s="188"/>
      <c r="O158" s="191">
        <v>152269.55900000001</v>
      </c>
      <c r="P158" s="195" t="s">
        <v>47</v>
      </c>
    </row>
    <row r="159" spans="1:16" ht="11.25" customHeight="1" thickTop="1" x14ac:dyDescent="0.15">
      <c r="A159" s="193"/>
      <c r="B159" s="470"/>
      <c r="C159" s="470"/>
      <c r="D159" s="470"/>
      <c r="E159" s="183"/>
      <c r="F159" s="472"/>
      <c r="G159" s="472"/>
      <c r="H159" s="185"/>
      <c r="I159" s="186"/>
      <c r="J159" s="187"/>
      <c r="K159" s="188"/>
      <c r="L159" s="188"/>
      <c r="M159" s="190"/>
      <c r="N159" s="188"/>
      <c r="O159" s="191">
        <f>+H20</f>
        <v>39993.506000000001</v>
      </c>
      <c r="P159" s="195" t="s">
        <v>59</v>
      </c>
    </row>
    <row r="160" spans="1:16" ht="11.25" customHeight="1" x14ac:dyDescent="0.15">
      <c r="A160" s="193"/>
      <c r="B160" s="194"/>
      <c r="C160" s="194"/>
      <c r="D160" s="194"/>
      <c r="E160" s="183"/>
      <c r="F160" s="184"/>
      <c r="G160" s="184"/>
      <c r="H160" s="185"/>
      <c r="I160" s="186"/>
      <c r="J160" s="187"/>
      <c r="K160" s="188"/>
      <c r="L160" s="188"/>
      <c r="M160" s="190"/>
      <c r="N160" s="188"/>
      <c r="O160" s="191">
        <f>+H21+H22+H23+H24</f>
        <v>160127.82799999998</v>
      </c>
      <c r="P160" s="195" t="s">
        <v>63</v>
      </c>
    </row>
    <row r="161" spans="1:16" ht="11.25" customHeight="1" x14ac:dyDescent="0.15">
      <c r="A161" s="193"/>
      <c r="B161" s="194"/>
      <c r="C161" s="194"/>
      <c r="D161" s="194"/>
      <c r="E161" s="183"/>
      <c r="F161" s="184"/>
      <c r="G161" s="184"/>
      <c r="H161" s="185"/>
      <c r="I161" s="186"/>
      <c r="J161" s="187"/>
      <c r="K161" s="188"/>
      <c r="L161" s="188"/>
      <c r="M161" s="190"/>
      <c r="N161" s="188"/>
      <c r="O161" s="191">
        <f>+H25+H28</f>
        <v>115890.02100000001</v>
      </c>
      <c r="P161" s="195" t="s">
        <v>64</v>
      </c>
    </row>
    <row r="162" spans="1:16" ht="11.25" hidden="1" customHeight="1" x14ac:dyDescent="0.15">
      <c r="A162" s="193"/>
      <c r="B162" s="194"/>
      <c r="C162" s="194"/>
      <c r="D162" s="194"/>
      <c r="E162" s="183"/>
      <c r="F162" s="184"/>
      <c r="G162" s="184"/>
      <c r="H162" s="185"/>
      <c r="I162" s="186"/>
      <c r="J162" s="187"/>
      <c r="K162" s="188"/>
      <c r="L162" s="188"/>
      <c r="M162" s="190"/>
      <c r="N162" s="188"/>
      <c r="O162" s="191"/>
      <c r="P162" s="195"/>
    </row>
    <row r="163" spans="1:16" ht="11.25" hidden="1" customHeight="1" x14ac:dyDescent="0.15">
      <c r="A163" s="193"/>
      <c r="B163" s="470"/>
      <c r="C163" s="470"/>
      <c r="D163" s="470"/>
      <c r="E163" s="183"/>
      <c r="F163" s="472"/>
      <c r="G163" s="472"/>
      <c r="H163" s="185"/>
      <c r="I163" s="186"/>
      <c r="J163" s="187"/>
      <c r="K163" s="188"/>
      <c r="L163" s="188"/>
      <c r="M163" s="190"/>
      <c r="N163" s="188"/>
      <c r="O163" s="191"/>
      <c r="P163" s="195"/>
    </row>
    <row r="164" spans="1:16" ht="11.25" hidden="1" customHeight="1" x14ac:dyDescent="0.15">
      <c r="A164" s="193"/>
      <c r="B164" s="470"/>
      <c r="C164" s="470"/>
      <c r="D164" s="470"/>
      <c r="E164" s="183"/>
      <c r="F164" s="472"/>
      <c r="G164" s="472"/>
      <c r="H164" s="185"/>
      <c r="I164" s="186"/>
      <c r="J164" s="187"/>
      <c r="K164" s="188"/>
      <c r="L164" s="188"/>
      <c r="M164" s="190"/>
      <c r="N164" s="188"/>
      <c r="O164" s="191"/>
      <c r="P164" s="195"/>
    </row>
    <row r="165" spans="1:16" x14ac:dyDescent="0.15">
      <c r="A165" s="193"/>
      <c r="B165" s="470"/>
      <c r="C165" s="470"/>
      <c r="D165" s="470"/>
      <c r="E165" s="183"/>
      <c r="F165" s="472"/>
      <c r="G165" s="472"/>
      <c r="H165" s="185"/>
      <c r="I165" s="186"/>
      <c r="J165" s="187"/>
      <c r="K165" s="188"/>
      <c r="L165" s="188"/>
      <c r="M165" s="190"/>
      <c r="N165" s="188"/>
      <c r="O165" s="181" t="s">
        <v>33</v>
      </c>
      <c r="P165" s="196">
        <f>SUM(O155:O164)</f>
        <v>584857.99600000004</v>
      </c>
    </row>
    <row r="166" spans="1:16" x14ac:dyDescent="0.15">
      <c r="A166" s="193"/>
      <c r="B166" s="470"/>
      <c r="C166" s="470"/>
      <c r="D166" s="470"/>
      <c r="E166" s="183"/>
      <c r="F166" s="472"/>
      <c r="G166" s="472"/>
      <c r="H166" s="185"/>
      <c r="I166" s="186"/>
      <c r="J166" s="187"/>
      <c r="K166" s="188"/>
      <c r="L166" s="188"/>
      <c r="M166" s="190"/>
      <c r="N166" s="188"/>
      <c r="O166" s="190"/>
      <c r="P166" s="197">
        <f>+P154-P165</f>
        <v>0</v>
      </c>
    </row>
    <row r="167" spans="1:16" x14ac:dyDescent="0.15">
      <c r="A167" s="193"/>
      <c r="B167" s="470"/>
      <c r="C167" s="470"/>
      <c r="D167" s="470"/>
      <c r="E167" s="183"/>
      <c r="F167" s="472"/>
      <c r="G167" s="472"/>
      <c r="H167" s="185"/>
      <c r="I167" s="186"/>
      <c r="J167" s="187"/>
      <c r="K167" s="188"/>
      <c r="L167" s="188"/>
      <c r="M167" s="190"/>
      <c r="N167" s="188"/>
      <c r="O167" s="188"/>
      <c r="P167" s="198"/>
    </row>
  </sheetData>
  <mergeCells count="26">
    <mergeCell ref="B167:D167"/>
    <mergeCell ref="F167:G167"/>
    <mergeCell ref="B164:D164"/>
    <mergeCell ref="F164:G164"/>
    <mergeCell ref="B165:D165"/>
    <mergeCell ref="F165:G165"/>
    <mergeCell ref="B166:D166"/>
    <mergeCell ref="F166:G166"/>
    <mergeCell ref="B158:D158"/>
    <mergeCell ref="F158:G158"/>
    <mergeCell ref="B159:D159"/>
    <mergeCell ref="F159:G159"/>
    <mergeCell ref="B163:D163"/>
    <mergeCell ref="F163:G163"/>
    <mergeCell ref="B155:D155"/>
    <mergeCell ref="F155:G155"/>
    <mergeCell ref="B156:D156"/>
    <mergeCell ref="F156:G156"/>
    <mergeCell ref="B157:D157"/>
    <mergeCell ref="F157:G157"/>
    <mergeCell ref="J3:L3"/>
    <mergeCell ref="A4:C4"/>
    <mergeCell ref="D4:H4"/>
    <mergeCell ref="I4:N4"/>
    <mergeCell ref="J5:K5"/>
    <mergeCell ref="L5:N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zoomScale="115" workbookViewId="0">
      <selection activeCell="M13" sqref="M13"/>
    </sheetView>
  </sheetViews>
  <sheetFormatPr defaultRowHeight="18.75" x14ac:dyDescent="0.45"/>
  <cols>
    <col min="1" max="1" width="16.7109375" style="7" customWidth="1"/>
    <col min="2" max="2" width="7.7109375" style="8" customWidth="1"/>
    <col min="3" max="3" width="9.28515625" style="9" customWidth="1"/>
    <col min="4" max="4" width="8.140625" style="7" customWidth="1"/>
    <col min="5" max="5" width="8.140625" style="7" bestFit="1" customWidth="1"/>
    <col min="6" max="6" width="15.140625" style="7" customWidth="1"/>
    <col min="7" max="7" width="7.7109375" style="8" customWidth="1"/>
    <col min="8" max="8" width="8.5703125" style="10" customWidth="1"/>
    <col min="9" max="9" width="10.140625" style="7" customWidth="1"/>
    <col min="10" max="10" width="8.85546875" style="7" bestFit="1" customWidth="1"/>
    <col min="11" max="11" width="17.42578125" style="7" customWidth="1"/>
    <col min="12" max="12" width="10.28515625" style="7" bestFit="1" customWidth="1"/>
    <col min="13" max="13" width="9" style="7" customWidth="1"/>
    <col min="14" max="14" width="13" style="7" bestFit="1" customWidth="1"/>
    <col min="15" max="15" width="10.28515625" style="7" bestFit="1" customWidth="1"/>
    <col min="16" max="16" width="11.140625" style="7" customWidth="1"/>
    <col min="17" max="16384" width="9.140625" style="7"/>
  </cols>
  <sheetData>
    <row r="1" spans="1:19" x14ac:dyDescent="0.45">
      <c r="A1" s="1" t="s">
        <v>0</v>
      </c>
      <c r="B1" s="2"/>
      <c r="C1" s="3"/>
      <c r="D1" s="1"/>
      <c r="E1" s="4"/>
      <c r="F1" s="5"/>
      <c r="G1" s="2"/>
      <c r="H1" s="5"/>
      <c r="I1" s="1"/>
      <c r="J1" s="6"/>
    </row>
    <row r="2" spans="1:19" x14ac:dyDescent="0.45">
      <c r="A2" s="1" t="s">
        <v>1</v>
      </c>
      <c r="B2" s="2"/>
      <c r="C2" s="3"/>
      <c r="D2" s="6"/>
      <c r="E2" s="6"/>
      <c r="F2" s="6"/>
      <c r="G2" s="2"/>
      <c r="H2" s="5"/>
      <c r="I2" s="6"/>
      <c r="J2" s="6"/>
    </row>
    <row r="3" spans="1:19" x14ac:dyDescent="0.45">
      <c r="A3" s="7">
        <v>5523</v>
      </c>
      <c r="C3" s="9">
        <v>500063</v>
      </c>
      <c r="N3" s="11" t="s">
        <v>2</v>
      </c>
      <c r="O3" s="12"/>
      <c r="P3" s="12"/>
    </row>
    <row r="4" spans="1:19" ht="18.75" customHeight="1" x14ac:dyDescent="0.45">
      <c r="A4" s="473" t="s">
        <v>3</v>
      </c>
      <c r="B4" s="474"/>
      <c r="C4" s="475"/>
      <c r="D4" s="476" t="s">
        <v>4</v>
      </c>
      <c r="E4" s="474"/>
      <c r="F4" s="474"/>
      <c r="G4" s="474"/>
      <c r="H4" s="475"/>
      <c r="I4" s="474" t="s">
        <v>5</v>
      </c>
      <c r="J4" s="474"/>
      <c r="K4" s="474"/>
      <c r="L4" s="474"/>
      <c r="M4" s="474"/>
      <c r="N4" s="477"/>
      <c r="O4" s="13" t="s">
        <v>6</v>
      </c>
      <c r="P4" s="13" t="s">
        <v>6</v>
      </c>
    </row>
    <row r="5" spans="1:19" ht="19.5" customHeight="1" x14ac:dyDescent="0.45">
      <c r="A5" s="14" t="s">
        <v>7</v>
      </c>
      <c r="B5" s="15" t="s">
        <v>8</v>
      </c>
      <c r="C5" s="16" t="s">
        <v>9</v>
      </c>
      <c r="D5" s="17" t="s">
        <v>10</v>
      </c>
      <c r="E5" s="14" t="s">
        <v>11</v>
      </c>
      <c r="F5" s="14" t="s">
        <v>7</v>
      </c>
      <c r="G5" s="15" t="s">
        <v>12</v>
      </c>
      <c r="H5" s="16" t="s">
        <v>9</v>
      </c>
      <c r="I5" s="17" t="s">
        <v>10</v>
      </c>
      <c r="J5" s="478" t="s">
        <v>13</v>
      </c>
      <c r="K5" s="479"/>
      <c r="L5" s="480" t="s">
        <v>14</v>
      </c>
      <c r="M5" s="481"/>
      <c r="N5" s="479"/>
      <c r="O5" s="18" t="s">
        <v>15</v>
      </c>
      <c r="P5" s="19" t="s">
        <v>16</v>
      </c>
    </row>
    <row r="6" spans="1:19" ht="19.5" customHeight="1" x14ac:dyDescent="0.45">
      <c r="A6" s="20"/>
      <c r="B6" s="21"/>
      <c r="C6" s="22"/>
      <c r="D6" s="23"/>
      <c r="E6" s="24" t="s">
        <v>17</v>
      </c>
      <c r="F6" s="20"/>
      <c r="G6" s="25" t="s">
        <v>8</v>
      </c>
      <c r="H6" s="26"/>
      <c r="I6" s="23"/>
      <c r="J6" s="27" t="s">
        <v>9</v>
      </c>
      <c r="K6" s="28" t="s">
        <v>7</v>
      </c>
      <c r="L6" s="29" t="s">
        <v>18</v>
      </c>
      <c r="M6" s="27" t="s">
        <v>9</v>
      </c>
      <c r="N6" s="28" t="s">
        <v>7</v>
      </c>
      <c r="O6" s="30"/>
      <c r="P6" s="31"/>
    </row>
    <row r="7" spans="1:19" ht="14.25" customHeight="1" x14ac:dyDescent="0.45">
      <c r="A7" s="34" t="s">
        <v>20</v>
      </c>
      <c r="B7" s="54" t="s">
        <v>34</v>
      </c>
      <c r="C7" s="118">
        <v>105212</v>
      </c>
      <c r="D7" s="107"/>
      <c r="E7" s="32"/>
      <c r="F7" s="32"/>
      <c r="G7" s="108"/>
      <c r="H7" s="118"/>
      <c r="I7" s="107"/>
      <c r="J7" s="118"/>
      <c r="K7" s="33"/>
      <c r="L7" s="109"/>
      <c r="M7" s="110"/>
      <c r="N7" s="33"/>
      <c r="O7" s="118">
        <f>C7-J7-M7</f>
        <v>105212</v>
      </c>
      <c r="P7" s="118">
        <f>C7+C8+C9+C10+C11-M7</f>
        <v>141212</v>
      </c>
    </row>
    <row r="8" spans="1:19" ht="14.25" customHeight="1" x14ac:dyDescent="0.45">
      <c r="A8" s="38" t="s">
        <v>21</v>
      </c>
      <c r="B8" s="129" t="s">
        <v>35</v>
      </c>
      <c r="C8" s="118">
        <v>36000</v>
      </c>
      <c r="D8" s="111"/>
      <c r="E8" s="34"/>
      <c r="F8" s="36"/>
      <c r="G8" s="48"/>
      <c r="H8" s="118"/>
      <c r="I8" s="111"/>
      <c r="J8" s="118"/>
      <c r="K8" s="37"/>
      <c r="L8" s="112"/>
      <c r="M8" s="113"/>
      <c r="N8" s="37"/>
      <c r="O8" s="118">
        <f t="shared" ref="O8" si="0">O7-J8-M8</f>
        <v>105212</v>
      </c>
      <c r="P8" s="118">
        <f t="shared" ref="P8" si="1">P7+H8-J8-M8</f>
        <v>141212</v>
      </c>
    </row>
    <row r="9" spans="1:19" ht="14.25" customHeight="1" x14ac:dyDescent="0.45">
      <c r="A9" s="34"/>
      <c r="B9" s="48"/>
      <c r="C9" s="118"/>
      <c r="D9" s="111"/>
      <c r="E9" s="34"/>
      <c r="F9" s="36"/>
      <c r="G9" s="48"/>
      <c r="H9" s="118"/>
      <c r="I9" s="111" t="s">
        <v>23</v>
      </c>
      <c r="J9" s="118">
        <v>1551</v>
      </c>
      <c r="K9" s="37" t="s">
        <v>20</v>
      </c>
      <c r="L9" s="112"/>
      <c r="M9" s="113"/>
      <c r="N9" s="37"/>
      <c r="O9" s="118">
        <f t="shared" ref="O9:O72" si="2">O8-J9-M9</f>
        <v>103661</v>
      </c>
      <c r="P9" s="118">
        <f t="shared" ref="P9:P72" si="3">P8+H9-J9-M9</f>
        <v>139661</v>
      </c>
    </row>
    <row r="10" spans="1:19" ht="14.25" customHeight="1" x14ac:dyDescent="0.45">
      <c r="A10" s="38"/>
      <c r="B10" s="35"/>
      <c r="C10" s="118"/>
      <c r="D10" s="111"/>
      <c r="E10" s="34"/>
      <c r="F10" s="36"/>
      <c r="G10" s="48"/>
      <c r="H10" s="118"/>
      <c r="I10" s="111" t="s">
        <v>24</v>
      </c>
      <c r="J10" s="118">
        <v>519</v>
      </c>
      <c r="K10" s="39" t="s">
        <v>20</v>
      </c>
      <c r="L10" s="112"/>
      <c r="M10" s="113"/>
      <c r="N10" s="37"/>
      <c r="O10" s="118">
        <f t="shared" si="2"/>
        <v>103142</v>
      </c>
      <c r="P10" s="118">
        <f t="shared" si="3"/>
        <v>139142</v>
      </c>
    </row>
    <row r="11" spans="1:19" ht="13.5" customHeight="1" x14ac:dyDescent="0.45">
      <c r="A11" s="40"/>
      <c r="B11" s="48"/>
      <c r="C11" s="118"/>
      <c r="D11" s="114"/>
      <c r="E11" s="34"/>
      <c r="F11" s="115"/>
      <c r="G11" s="35"/>
      <c r="H11" s="118"/>
      <c r="I11" s="114" t="s">
        <v>25</v>
      </c>
      <c r="J11" s="118">
        <v>353</v>
      </c>
      <c r="K11" s="37" t="s">
        <v>20</v>
      </c>
      <c r="L11" s="42" t="s">
        <v>37</v>
      </c>
      <c r="M11" s="41">
        <v>5500</v>
      </c>
      <c r="N11" s="37" t="s">
        <v>20</v>
      </c>
      <c r="O11" s="118">
        <f t="shared" si="2"/>
        <v>97289</v>
      </c>
      <c r="P11" s="118">
        <f t="shared" si="3"/>
        <v>133289</v>
      </c>
      <c r="Q11" s="116"/>
      <c r="R11" s="43"/>
      <c r="S11" s="6"/>
    </row>
    <row r="12" spans="1:19" ht="13.5" customHeight="1" x14ac:dyDescent="0.45">
      <c r="A12" s="44"/>
      <c r="B12" s="48"/>
      <c r="C12" s="118"/>
      <c r="D12" s="114"/>
      <c r="E12" s="34"/>
      <c r="F12" s="34"/>
      <c r="G12" s="48"/>
      <c r="H12" s="118"/>
      <c r="I12" s="114" t="s">
        <v>26</v>
      </c>
      <c r="J12" s="118">
        <v>240</v>
      </c>
      <c r="K12" s="37" t="s">
        <v>20</v>
      </c>
      <c r="L12" s="42"/>
      <c r="M12" s="41"/>
      <c r="N12" s="37"/>
      <c r="O12" s="118">
        <f t="shared" si="2"/>
        <v>97049</v>
      </c>
      <c r="P12" s="118">
        <f t="shared" si="3"/>
        <v>133049</v>
      </c>
      <c r="Q12" s="116"/>
      <c r="R12" s="43"/>
      <c r="S12" s="6"/>
    </row>
    <row r="13" spans="1:19" ht="13.5" customHeight="1" x14ac:dyDescent="0.45">
      <c r="A13" s="45"/>
      <c r="B13" s="48"/>
      <c r="C13" s="118"/>
      <c r="D13" s="114"/>
      <c r="E13" s="34"/>
      <c r="F13" s="46"/>
      <c r="G13" s="35"/>
      <c r="H13" s="118"/>
      <c r="I13" s="114" t="s">
        <v>27</v>
      </c>
      <c r="J13" s="118">
        <v>350</v>
      </c>
      <c r="K13" s="37" t="s">
        <v>20</v>
      </c>
      <c r="L13" s="42"/>
      <c r="M13" s="41"/>
      <c r="N13" s="37"/>
      <c r="O13" s="118">
        <f t="shared" si="2"/>
        <v>96699</v>
      </c>
      <c r="P13" s="118">
        <f t="shared" si="3"/>
        <v>132699</v>
      </c>
      <c r="Q13" s="116"/>
      <c r="R13" s="43"/>
      <c r="S13" s="6"/>
    </row>
    <row r="14" spans="1:19" ht="13.5" customHeight="1" x14ac:dyDescent="0.45">
      <c r="A14" s="45"/>
      <c r="B14" s="48"/>
      <c r="C14" s="118"/>
      <c r="D14" s="114"/>
      <c r="E14" s="34"/>
      <c r="F14" s="34"/>
      <c r="G14" s="48"/>
      <c r="H14" s="118"/>
      <c r="I14" s="114" t="s">
        <v>28</v>
      </c>
      <c r="J14" s="118">
        <v>400</v>
      </c>
      <c r="K14" s="39" t="s">
        <v>20</v>
      </c>
      <c r="L14" s="42"/>
      <c r="M14" s="41"/>
      <c r="N14" s="37"/>
      <c r="O14" s="118">
        <f t="shared" si="2"/>
        <v>96299</v>
      </c>
      <c r="P14" s="118">
        <f t="shared" si="3"/>
        <v>132299</v>
      </c>
      <c r="Q14" s="116"/>
      <c r="R14" s="43"/>
      <c r="S14" s="6"/>
    </row>
    <row r="15" spans="1:19" ht="13.5" customHeight="1" x14ac:dyDescent="0.45">
      <c r="A15" s="45"/>
      <c r="B15" s="48"/>
      <c r="C15" s="118"/>
      <c r="D15" s="114"/>
      <c r="E15" s="34"/>
      <c r="F15" s="46"/>
      <c r="G15" s="35"/>
      <c r="H15" s="118"/>
      <c r="I15" s="114" t="s">
        <v>29</v>
      </c>
      <c r="J15" s="118">
        <v>373</v>
      </c>
      <c r="K15" s="37" t="s">
        <v>20</v>
      </c>
      <c r="L15" s="42"/>
      <c r="M15" s="41"/>
      <c r="N15" s="37"/>
      <c r="O15" s="118">
        <f t="shared" si="2"/>
        <v>95926</v>
      </c>
      <c r="P15" s="118">
        <f t="shared" si="3"/>
        <v>131926</v>
      </c>
      <c r="Q15" s="116"/>
      <c r="R15" s="43"/>
      <c r="S15" s="6"/>
    </row>
    <row r="16" spans="1:19" ht="13.5" customHeight="1" x14ac:dyDescent="0.45">
      <c r="A16" s="45"/>
      <c r="B16" s="48"/>
      <c r="C16" s="118"/>
      <c r="D16" s="114"/>
      <c r="E16" s="34"/>
      <c r="F16" s="34"/>
      <c r="G16" s="48"/>
      <c r="H16" s="118"/>
      <c r="I16" s="114" t="s">
        <v>30</v>
      </c>
      <c r="J16" s="118">
        <v>930</v>
      </c>
      <c r="K16" s="37" t="s">
        <v>20</v>
      </c>
      <c r="L16" s="112"/>
      <c r="M16" s="41"/>
      <c r="N16" s="47"/>
      <c r="O16" s="118">
        <f t="shared" si="2"/>
        <v>94996</v>
      </c>
      <c r="P16" s="118">
        <f t="shared" si="3"/>
        <v>130996</v>
      </c>
      <c r="Q16" s="116"/>
      <c r="R16" s="43"/>
      <c r="S16" s="6"/>
    </row>
    <row r="17" spans="1:19" ht="13.5" customHeight="1" x14ac:dyDescent="0.45">
      <c r="A17" s="34"/>
      <c r="B17" s="48"/>
      <c r="C17" s="118"/>
      <c r="D17" s="114"/>
      <c r="E17" s="34"/>
      <c r="F17" s="46"/>
      <c r="G17" s="49"/>
      <c r="H17" s="118"/>
      <c r="I17" s="114" t="s">
        <v>31</v>
      </c>
      <c r="J17" s="118">
        <v>760</v>
      </c>
      <c r="K17" s="37" t="s">
        <v>20</v>
      </c>
      <c r="L17" s="42"/>
      <c r="M17" s="41"/>
      <c r="N17" s="37"/>
      <c r="O17" s="118">
        <f t="shared" si="2"/>
        <v>94236</v>
      </c>
      <c r="P17" s="118">
        <f t="shared" si="3"/>
        <v>130236</v>
      </c>
      <c r="Q17" s="50"/>
      <c r="R17" s="6"/>
      <c r="S17" s="6"/>
    </row>
    <row r="18" spans="1:19" ht="13.5" customHeight="1" x14ac:dyDescent="0.45">
      <c r="A18" s="34"/>
      <c r="B18" s="48"/>
      <c r="C18" s="118"/>
      <c r="D18" s="114"/>
      <c r="E18" s="34"/>
      <c r="F18" s="34"/>
      <c r="G18" s="48"/>
      <c r="H18" s="118"/>
      <c r="I18" s="114"/>
      <c r="J18" s="118"/>
      <c r="K18" s="47"/>
      <c r="L18" s="112"/>
      <c r="M18" s="41"/>
      <c r="N18" s="37"/>
      <c r="O18" s="118">
        <f t="shared" si="2"/>
        <v>94236</v>
      </c>
      <c r="P18" s="118">
        <f t="shared" si="3"/>
        <v>130236</v>
      </c>
      <c r="Q18" s="50"/>
      <c r="R18" s="6"/>
      <c r="S18" s="6"/>
    </row>
    <row r="19" spans="1:19" ht="13.5" hidden="1" customHeight="1" x14ac:dyDescent="0.45">
      <c r="A19" s="34"/>
      <c r="B19" s="48"/>
      <c r="C19" s="118"/>
      <c r="D19" s="114"/>
      <c r="E19" s="34"/>
      <c r="F19" s="46"/>
      <c r="G19" s="35"/>
      <c r="H19" s="118"/>
      <c r="I19" s="114"/>
      <c r="J19" s="118"/>
      <c r="K19" s="37"/>
      <c r="L19" s="42"/>
      <c r="M19" s="41"/>
      <c r="N19" s="37"/>
      <c r="O19" s="118">
        <f t="shared" si="2"/>
        <v>94236</v>
      </c>
      <c r="P19" s="118">
        <f t="shared" si="3"/>
        <v>130236</v>
      </c>
      <c r="Q19" s="50"/>
      <c r="R19" s="6"/>
      <c r="S19" s="6"/>
    </row>
    <row r="20" spans="1:19" ht="13.5" hidden="1" customHeight="1" x14ac:dyDescent="0.45">
      <c r="A20" s="34"/>
      <c r="B20" s="48"/>
      <c r="C20" s="118"/>
      <c r="D20" s="114"/>
      <c r="E20" s="34"/>
      <c r="F20" s="34"/>
      <c r="G20" s="48"/>
      <c r="H20" s="118"/>
      <c r="I20" s="114"/>
      <c r="J20" s="118"/>
      <c r="K20" s="37"/>
      <c r="L20" s="112"/>
      <c r="M20" s="41"/>
      <c r="N20" s="51"/>
      <c r="O20" s="118">
        <f t="shared" si="2"/>
        <v>94236</v>
      </c>
      <c r="P20" s="118">
        <f t="shared" si="3"/>
        <v>130236</v>
      </c>
      <c r="Q20" s="50"/>
      <c r="R20" s="6"/>
      <c r="S20" s="6"/>
    </row>
    <row r="21" spans="1:19" ht="13.5" hidden="1" customHeight="1" x14ac:dyDescent="0.45">
      <c r="A21" s="34"/>
      <c r="B21" s="48"/>
      <c r="C21" s="118"/>
      <c r="D21" s="114"/>
      <c r="E21" s="34"/>
      <c r="F21" s="46"/>
      <c r="G21" s="35"/>
      <c r="H21" s="118"/>
      <c r="I21" s="114"/>
      <c r="J21" s="118"/>
      <c r="K21" s="37"/>
      <c r="L21" s="42"/>
      <c r="M21" s="41"/>
      <c r="N21" s="37"/>
      <c r="O21" s="118">
        <f t="shared" si="2"/>
        <v>94236</v>
      </c>
      <c r="P21" s="118">
        <f t="shared" si="3"/>
        <v>130236</v>
      </c>
      <c r="Q21" s="50"/>
      <c r="R21" s="6"/>
      <c r="S21" s="6"/>
    </row>
    <row r="22" spans="1:19" ht="13.5" hidden="1" customHeight="1" x14ac:dyDescent="0.45">
      <c r="A22" s="34"/>
      <c r="B22" s="48"/>
      <c r="C22" s="118"/>
      <c r="D22" s="114"/>
      <c r="E22" s="34"/>
      <c r="F22" s="34"/>
      <c r="G22" s="48"/>
      <c r="H22" s="118"/>
      <c r="I22" s="114"/>
      <c r="J22" s="118"/>
      <c r="K22" s="37"/>
      <c r="L22" s="112"/>
      <c r="M22" s="41"/>
      <c r="N22" s="37"/>
      <c r="O22" s="118">
        <f t="shared" si="2"/>
        <v>94236</v>
      </c>
      <c r="P22" s="118">
        <f t="shared" si="3"/>
        <v>130236</v>
      </c>
      <c r="Q22" s="50"/>
      <c r="R22" s="6"/>
      <c r="S22" s="6"/>
    </row>
    <row r="23" spans="1:19" ht="13.5" hidden="1" customHeight="1" x14ac:dyDescent="0.45">
      <c r="A23" s="34"/>
      <c r="B23" s="48"/>
      <c r="C23" s="118"/>
      <c r="D23" s="114"/>
      <c r="E23" s="34"/>
      <c r="F23" s="46"/>
      <c r="G23" s="35"/>
      <c r="H23" s="118"/>
      <c r="I23" s="114"/>
      <c r="J23" s="118"/>
      <c r="K23" s="37"/>
      <c r="L23" s="112"/>
      <c r="M23" s="41"/>
      <c r="N23" s="47"/>
      <c r="O23" s="118">
        <f t="shared" si="2"/>
        <v>94236</v>
      </c>
      <c r="P23" s="118">
        <f t="shared" si="3"/>
        <v>130236</v>
      </c>
      <c r="Q23" s="50"/>
      <c r="R23" s="6"/>
      <c r="S23" s="6"/>
    </row>
    <row r="24" spans="1:19" ht="13.5" hidden="1" customHeight="1" x14ac:dyDescent="0.45">
      <c r="A24" s="34"/>
      <c r="B24" s="48"/>
      <c r="C24" s="118"/>
      <c r="D24" s="114"/>
      <c r="E24" s="34"/>
      <c r="F24" s="34"/>
      <c r="G24" s="48"/>
      <c r="H24" s="118"/>
      <c r="I24" s="114"/>
      <c r="J24" s="118"/>
      <c r="K24" s="37"/>
      <c r="L24" s="112"/>
      <c r="M24" s="41"/>
      <c r="N24" s="37"/>
      <c r="O24" s="118">
        <f t="shared" si="2"/>
        <v>94236</v>
      </c>
      <c r="P24" s="118">
        <f t="shared" si="3"/>
        <v>130236</v>
      </c>
      <c r="Q24" s="50"/>
      <c r="R24" s="6"/>
      <c r="S24" s="6"/>
    </row>
    <row r="25" spans="1:19" ht="13.5" hidden="1" customHeight="1" x14ac:dyDescent="0.45">
      <c r="A25" s="34"/>
      <c r="B25" s="48"/>
      <c r="C25" s="118"/>
      <c r="D25" s="114"/>
      <c r="E25" s="34"/>
      <c r="F25" s="46"/>
      <c r="G25" s="49"/>
      <c r="H25" s="118"/>
      <c r="I25" s="114"/>
      <c r="J25" s="118"/>
      <c r="K25" s="47"/>
      <c r="L25" s="42"/>
      <c r="M25" s="41"/>
      <c r="N25" s="37"/>
      <c r="O25" s="118">
        <f t="shared" si="2"/>
        <v>94236</v>
      </c>
      <c r="P25" s="118">
        <f t="shared" si="3"/>
        <v>130236</v>
      </c>
      <c r="Q25" s="50">
        <f>SUM(J13:J23)+SUM(M11:M25)</f>
        <v>8313</v>
      </c>
      <c r="R25" s="50">
        <f>+SUM(M11:M25)</f>
        <v>5500</v>
      </c>
      <c r="S25" s="6"/>
    </row>
    <row r="26" spans="1:19" ht="13.5" hidden="1" customHeight="1" x14ac:dyDescent="0.45">
      <c r="A26" s="34"/>
      <c r="B26" s="48"/>
      <c r="C26" s="118"/>
      <c r="D26" s="114"/>
      <c r="E26" s="34"/>
      <c r="F26" s="46"/>
      <c r="G26" s="49"/>
      <c r="H26" s="118"/>
      <c r="I26" s="114"/>
      <c r="J26" s="118"/>
      <c r="K26" s="47"/>
      <c r="L26" s="42"/>
      <c r="M26" s="41"/>
      <c r="N26" s="34"/>
      <c r="O26" s="118">
        <f t="shared" si="2"/>
        <v>94236</v>
      </c>
      <c r="P26" s="118">
        <f t="shared" si="3"/>
        <v>130236</v>
      </c>
      <c r="Q26" s="50"/>
      <c r="R26" s="6"/>
      <c r="S26" s="6"/>
    </row>
    <row r="27" spans="1:19" ht="13.5" hidden="1" customHeight="1" x14ac:dyDescent="0.45">
      <c r="A27" s="34"/>
      <c r="B27" s="48"/>
      <c r="C27" s="118"/>
      <c r="D27" s="114"/>
      <c r="E27" s="34"/>
      <c r="F27" s="46"/>
      <c r="G27" s="49"/>
      <c r="H27" s="118"/>
      <c r="I27" s="114"/>
      <c r="J27" s="118"/>
      <c r="K27" s="37"/>
      <c r="L27" s="42"/>
      <c r="M27" s="41"/>
      <c r="N27" s="37"/>
      <c r="O27" s="118">
        <f t="shared" si="2"/>
        <v>94236</v>
      </c>
      <c r="P27" s="118">
        <f t="shared" si="3"/>
        <v>130236</v>
      </c>
      <c r="Q27" s="50"/>
      <c r="R27" s="6"/>
      <c r="S27" s="6"/>
    </row>
    <row r="28" spans="1:19" ht="13.5" hidden="1" customHeight="1" x14ac:dyDescent="0.45">
      <c r="A28" s="34"/>
      <c r="B28" s="48"/>
      <c r="C28" s="118"/>
      <c r="D28" s="114"/>
      <c r="E28" s="34"/>
      <c r="F28" s="34"/>
      <c r="G28" s="48"/>
      <c r="H28" s="118"/>
      <c r="I28" s="114"/>
      <c r="J28" s="118"/>
      <c r="K28" s="37"/>
      <c r="L28" s="112"/>
      <c r="M28" s="41"/>
      <c r="N28" s="37"/>
      <c r="O28" s="118">
        <f t="shared" si="2"/>
        <v>94236</v>
      </c>
      <c r="P28" s="118">
        <f t="shared" si="3"/>
        <v>130236</v>
      </c>
      <c r="Q28" s="6"/>
      <c r="R28" s="6"/>
      <c r="S28" s="6"/>
    </row>
    <row r="29" spans="1:19" ht="13.5" hidden="1" customHeight="1" x14ac:dyDescent="0.45">
      <c r="A29" s="34"/>
      <c r="B29" s="48"/>
      <c r="C29" s="118"/>
      <c r="D29" s="114"/>
      <c r="E29" s="34"/>
      <c r="F29" s="34"/>
      <c r="G29" s="48"/>
      <c r="H29" s="118"/>
      <c r="I29" s="114"/>
      <c r="J29" s="118"/>
      <c r="K29" s="34"/>
      <c r="L29" s="112"/>
      <c r="M29" s="41"/>
      <c r="N29" s="37"/>
      <c r="O29" s="118">
        <f t="shared" si="2"/>
        <v>94236</v>
      </c>
      <c r="P29" s="118">
        <f t="shared" si="3"/>
        <v>130236</v>
      </c>
      <c r="Q29" s="50"/>
      <c r="R29" s="6"/>
      <c r="S29" s="6"/>
    </row>
    <row r="30" spans="1:19" ht="13.5" hidden="1" customHeight="1" x14ac:dyDescent="0.45">
      <c r="A30" s="34"/>
      <c r="B30" s="48"/>
      <c r="C30" s="118"/>
      <c r="D30" s="114"/>
      <c r="E30" s="34"/>
      <c r="F30" s="34"/>
      <c r="G30" s="48"/>
      <c r="H30" s="118"/>
      <c r="I30" s="114"/>
      <c r="J30" s="118"/>
      <c r="K30" s="37"/>
      <c r="L30" s="112"/>
      <c r="M30" s="41"/>
      <c r="N30" s="37"/>
      <c r="O30" s="118">
        <f t="shared" si="2"/>
        <v>94236</v>
      </c>
      <c r="P30" s="118">
        <f t="shared" si="3"/>
        <v>130236</v>
      </c>
      <c r="Q30" s="50"/>
      <c r="R30" s="6"/>
      <c r="S30" s="6"/>
    </row>
    <row r="31" spans="1:19" ht="13.5" hidden="1" customHeight="1" x14ac:dyDescent="0.45">
      <c r="A31" s="34"/>
      <c r="B31" s="48"/>
      <c r="C31" s="118"/>
      <c r="D31" s="114"/>
      <c r="E31" s="34"/>
      <c r="F31" s="46"/>
      <c r="G31" s="49"/>
      <c r="H31" s="118"/>
      <c r="I31" s="114"/>
      <c r="J31" s="118"/>
      <c r="K31" s="37"/>
      <c r="L31" s="42"/>
      <c r="M31" s="41"/>
      <c r="N31" s="34"/>
      <c r="O31" s="118">
        <f t="shared" si="2"/>
        <v>94236</v>
      </c>
      <c r="P31" s="118">
        <f t="shared" si="3"/>
        <v>130236</v>
      </c>
      <c r="Q31" s="116"/>
      <c r="R31" s="52"/>
      <c r="S31" s="6"/>
    </row>
    <row r="32" spans="1:19" ht="13.5" hidden="1" customHeight="1" x14ac:dyDescent="0.45">
      <c r="A32" s="34"/>
      <c r="B32" s="48"/>
      <c r="C32" s="118"/>
      <c r="D32" s="114"/>
      <c r="E32" s="34"/>
      <c r="F32" s="46"/>
      <c r="G32" s="49"/>
      <c r="H32" s="118"/>
      <c r="I32" s="114"/>
      <c r="J32" s="118"/>
      <c r="K32" s="37"/>
      <c r="L32" s="112"/>
      <c r="M32" s="41"/>
      <c r="N32" s="37"/>
      <c r="O32" s="118">
        <f t="shared" si="2"/>
        <v>94236</v>
      </c>
      <c r="P32" s="118">
        <f t="shared" si="3"/>
        <v>130236</v>
      </c>
      <c r="Q32" s="116"/>
      <c r="R32" s="43"/>
      <c r="S32" s="6"/>
    </row>
    <row r="33" spans="1:19" ht="13.5" hidden="1" customHeight="1" x14ac:dyDescent="0.45">
      <c r="A33" s="34"/>
      <c r="B33" s="48"/>
      <c r="C33" s="118"/>
      <c r="D33" s="114"/>
      <c r="E33" s="34"/>
      <c r="F33" s="46"/>
      <c r="G33" s="49"/>
      <c r="H33" s="118"/>
      <c r="I33" s="114"/>
      <c r="J33" s="118"/>
      <c r="K33" s="37"/>
      <c r="L33" s="42"/>
      <c r="M33" s="41"/>
      <c r="N33" s="34"/>
      <c r="O33" s="118">
        <f t="shared" si="2"/>
        <v>94236</v>
      </c>
      <c r="P33" s="118">
        <f t="shared" si="3"/>
        <v>130236</v>
      </c>
      <c r="Q33" s="116">
        <f>SUM(J27:J31)+SUM(M26:M33)</f>
        <v>0</v>
      </c>
      <c r="R33" s="52">
        <f>+SUM(M26:M33)</f>
        <v>0</v>
      </c>
      <c r="S33" s="6"/>
    </row>
    <row r="34" spans="1:19" ht="13.5" hidden="1" customHeight="1" x14ac:dyDescent="0.45">
      <c r="A34" s="34"/>
      <c r="B34" s="48"/>
      <c r="C34" s="118"/>
      <c r="D34" s="114"/>
      <c r="E34" s="34"/>
      <c r="F34" s="34"/>
      <c r="G34" s="48"/>
      <c r="H34" s="118"/>
      <c r="I34" s="114"/>
      <c r="J34" s="118"/>
      <c r="K34" s="37"/>
      <c r="L34" s="42"/>
      <c r="M34" s="41"/>
      <c r="N34" s="34"/>
      <c r="O34" s="118">
        <f t="shared" si="2"/>
        <v>94236</v>
      </c>
      <c r="P34" s="118">
        <f t="shared" si="3"/>
        <v>130236</v>
      </c>
      <c r="Q34" s="116"/>
      <c r="R34" s="43"/>
      <c r="S34" s="6"/>
    </row>
    <row r="35" spans="1:19" ht="13.5" hidden="1" customHeight="1" x14ac:dyDescent="0.45">
      <c r="A35" s="34"/>
      <c r="B35" s="48"/>
      <c r="C35" s="118"/>
      <c r="D35" s="114"/>
      <c r="E35" s="34"/>
      <c r="F35" s="46"/>
      <c r="G35" s="49"/>
      <c r="H35" s="118"/>
      <c r="I35" s="114"/>
      <c r="J35" s="118"/>
      <c r="K35" s="37"/>
      <c r="L35" s="42"/>
      <c r="M35" s="41"/>
      <c r="N35" s="34"/>
      <c r="O35" s="118">
        <f t="shared" si="2"/>
        <v>94236</v>
      </c>
      <c r="P35" s="118">
        <f t="shared" si="3"/>
        <v>130236</v>
      </c>
      <c r="Q35" s="116"/>
      <c r="R35" s="43"/>
      <c r="S35" s="6"/>
    </row>
    <row r="36" spans="1:19" ht="13.5" hidden="1" customHeight="1" x14ac:dyDescent="0.45">
      <c r="A36" s="34"/>
      <c r="B36" s="48"/>
      <c r="C36" s="118"/>
      <c r="D36" s="114"/>
      <c r="E36" s="34"/>
      <c r="F36" s="34"/>
      <c r="G36" s="48"/>
      <c r="H36" s="118"/>
      <c r="I36" s="114"/>
      <c r="J36" s="118"/>
      <c r="K36" s="37"/>
      <c r="L36" s="112"/>
      <c r="M36" s="41"/>
      <c r="N36" s="37"/>
      <c r="O36" s="118">
        <f t="shared" si="2"/>
        <v>94236</v>
      </c>
      <c r="P36" s="118">
        <f t="shared" si="3"/>
        <v>130236</v>
      </c>
      <c r="Q36" s="116"/>
      <c r="R36" s="43"/>
      <c r="S36" s="6"/>
    </row>
    <row r="37" spans="1:19" ht="13.5" hidden="1" customHeight="1" x14ac:dyDescent="0.45">
      <c r="A37" s="34"/>
      <c r="B37" s="48"/>
      <c r="C37" s="118"/>
      <c r="D37" s="114"/>
      <c r="E37" s="34"/>
      <c r="F37" s="46"/>
      <c r="G37" s="49"/>
      <c r="H37" s="118"/>
      <c r="I37" s="114"/>
      <c r="J37" s="118"/>
      <c r="K37" s="37"/>
      <c r="L37" s="112"/>
      <c r="M37" s="41"/>
      <c r="N37" s="37"/>
      <c r="O37" s="118">
        <f t="shared" si="2"/>
        <v>94236</v>
      </c>
      <c r="P37" s="118">
        <f t="shared" si="3"/>
        <v>130236</v>
      </c>
      <c r="Q37" s="116"/>
      <c r="R37" s="43"/>
      <c r="S37" s="6"/>
    </row>
    <row r="38" spans="1:19" ht="13.5" hidden="1" customHeight="1" x14ac:dyDescent="0.45">
      <c r="A38" s="34"/>
      <c r="B38" s="48"/>
      <c r="C38" s="118"/>
      <c r="D38" s="114"/>
      <c r="E38" s="34"/>
      <c r="F38" s="46"/>
      <c r="G38" s="49"/>
      <c r="H38" s="118"/>
      <c r="I38" s="114"/>
      <c r="J38" s="118"/>
      <c r="K38" s="37"/>
      <c r="L38" s="112"/>
      <c r="M38" s="41"/>
      <c r="N38" s="37"/>
      <c r="O38" s="118">
        <f t="shared" si="2"/>
        <v>94236</v>
      </c>
      <c r="P38" s="118">
        <f t="shared" si="3"/>
        <v>130236</v>
      </c>
      <c r="Q38" s="116"/>
      <c r="R38" s="43"/>
      <c r="S38" s="6"/>
    </row>
    <row r="39" spans="1:19" ht="13.5" hidden="1" customHeight="1" x14ac:dyDescent="0.45">
      <c r="A39" s="34"/>
      <c r="B39" s="48"/>
      <c r="C39" s="118"/>
      <c r="D39" s="114"/>
      <c r="E39" s="34"/>
      <c r="F39" s="46"/>
      <c r="G39" s="49"/>
      <c r="H39" s="118"/>
      <c r="I39" s="114"/>
      <c r="J39" s="118"/>
      <c r="K39" s="37"/>
      <c r="L39" s="42"/>
      <c r="M39" s="41"/>
      <c r="N39" s="34"/>
      <c r="O39" s="118">
        <f t="shared" si="2"/>
        <v>94236</v>
      </c>
      <c r="P39" s="118">
        <f t="shared" si="3"/>
        <v>130236</v>
      </c>
      <c r="Q39" s="116">
        <f>SUM(M34:M39)</f>
        <v>0</v>
      </c>
      <c r="R39" s="52">
        <f>SUM(M34:M39)</f>
        <v>0</v>
      </c>
      <c r="S39" s="6"/>
    </row>
    <row r="40" spans="1:19" ht="13.5" hidden="1" customHeight="1" x14ac:dyDescent="0.45">
      <c r="A40" s="34"/>
      <c r="B40" s="48"/>
      <c r="C40" s="118"/>
      <c r="D40" s="114"/>
      <c r="E40" s="34"/>
      <c r="F40" s="46"/>
      <c r="G40" s="49"/>
      <c r="H40" s="118"/>
      <c r="I40" s="114"/>
      <c r="J40" s="118"/>
      <c r="K40" s="53"/>
      <c r="L40" s="42"/>
      <c r="M40" s="41"/>
      <c r="N40" s="38"/>
      <c r="O40" s="118">
        <f t="shared" si="2"/>
        <v>94236</v>
      </c>
      <c r="P40" s="118">
        <f t="shared" si="3"/>
        <v>130236</v>
      </c>
      <c r="Q40" s="116"/>
      <c r="R40" s="43"/>
      <c r="S40" s="6"/>
    </row>
    <row r="41" spans="1:19" ht="13.5" hidden="1" customHeight="1" x14ac:dyDescent="0.45">
      <c r="A41" s="34"/>
      <c r="B41" s="48"/>
      <c r="C41" s="118"/>
      <c r="D41" s="114"/>
      <c r="E41" s="34"/>
      <c r="F41" s="46"/>
      <c r="G41" s="49"/>
      <c r="H41" s="118"/>
      <c r="I41" s="114"/>
      <c r="J41" s="118"/>
      <c r="K41" s="34"/>
      <c r="L41" s="112"/>
      <c r="M41" s="41"/>
      <c r="N41" s="38"/>
      <c r="O41" s="118">
        <f t="shared" si="2"/>
        <v>94236</v>
      </c>
      <c r="P41" s="118">
        <f t="shared" si="3"/>
        <v>130236</v>
      </c>
      <c r="Q41" s="116"/>
      <c r="R41" s="52"/>
      <c r="S41" s="6"/>
    </row>
    <row r="42" spans="1:19" ht="13.5" hidden="1" customHeight="1" x14ac:dyDescent="0.45">
      <c r="A42" s="34"/>
      <c r="B42" s="48"/>
      <c r="C42" s="118"/>
      <c r="D42" s="114"/>
      <c r="E42" s="34"/>
      <c r="F42" s="46"/>
      <c r="G42" s="49"/>
      <c r="H42" s="118"/>
      <c r="I42" s="114"/>
      <c r="J42" s="118"/>
      <c r="K42" s="53"/>
      <c r="L42" s="112"/>
      <c r="M42" s="41"/>
      <c r="N42" s="38"/>
      <c r="O42" s="118">
        <f t="shared" si="2"/>
        <v>94236</v>
      </c>
      <c r="P42" s="118">
        <f t="shared" si="3"/>
        <v>130236</v>
      </c>
      <c r="Q42" s="116"/>
      <c r="R42" s="43"/>
      <c r="S42" s="6"/>
    </row>
    <row r="43" spans="1:19" ht="13.5" hidden="1" customHeight="1" x14ac:dyDescent="0.45">
      <c r="A43" s="40"/>
      <c r="B43" s="54"/>
      <c r="C43" s="118"/>
      <c r="D43" s="114"/>
      <c r="E43" s="34"/>
      <c r="F43" s="46"/>
      <c r="G43" s="49"/>
      <c r="H43" s="118"/>
      <c r="I43" s="114"/>
      <c r="J43" s="118"/>
      <c r="K43" s="38"/>
      <c r="L43" s="112"/>
      <c r="M43" s="41"/>
      <c r="N43" s="34"/>
      <c r="O43" s="118">
        <f t="shared" si="2"/>
        <v>94236</v>
      </c>
      <c r="P43" s="118">
        <f t="shared" si="3"/>
        <v>130236</v>
      </c>
      <c r="Q43" s="6"/>
      <c r="R43" s="6"/>
      <c r="S43" s="6"/>
    </row>
    <row r="44" spans="1:19" ht="13.5" hidden="1" customHeight="1" x14ac:dyDescent="0.45">
      <c r="A44" s="40"/>
      <c r="B44" s="54"/>
      <c r="C44" s="118"/>
      <c r="D44" s="114"/>
      <c r="E44" s="34"/>
      <c r="F44" s="34"/>
      <c r="G44" s="48"/>
      <c r="H44" s="118"/>
      <c r="I44" s="114"/>
      <c r="J44" s="118"/>
      <c r="K44" s="37"/>
      <c r="L44" s="112"/>
      <c r="M44" s="41"/>
      <c r="N44" s="34"/>
      <c r="O44" s="118">
        <f t="shared" si="2"/>
        <v>94236</v>
      </c>
      <c r="P44" s="118">
        <f t="shared" si="3"/>
        <v>130236</v>
      </c>
      <c r="Q44" s="6"/>
      <c r="R44" s="6"/>
      <c r="S44" s="6"/>
    </row>
    <row r="45" spans="1:19" ht="13.5" hidden="1" customHeight="1" x14ac:dyDescent="0.45">
      <c r="A45" s="40"/>
      <c r="B45" s="54"/>
      <c r="C45" s="118"/>
      <c r="D45" s="114"/>
      <c r="E45" s="34"/>
      <c r="F45" s="46"/>
      <c r="G45" s="49"/>
      <c r="H45" s="118"/>
      <c r="I45" s="114"/>
      <c r="J45" s="118"/>
      <c r="K45" s="37"/>
      <c r="L45" s="112"/>
      <c r="M45" s="41"/>
      <c r="N45" s="38"/>
      <c r="O45" s="118">
        <f t="shared" si="2"/>
        <v>94236</v>
      </c>
      <c r="P45" s="118">
        <f t="shared" si="3"/>
        <v>130236</v>
      </c>
      <c r="Q45" s="50"/>
      <c r="R45" s="50"/>
      <c r="S45" s="6"/>
    </row>
    <row r="46" spans="1:19" ht="13.5" hidden="1" customHeight="1" x14ac:dyDescent="0.45">
      <c r="A46" s="40"/>
      <c r="B46" s="54"/>
      <c r="C46" s="118"/>
      <c r="D46" s="114"/>
      <c r="E46" s="34"/>
      <c r="F46" s="46"/>
      <c r="G46" s="49"/>
      <c r="H46" s="118"/>
      <c r="I46" s="114"/>
      <c r="J46" s="118"/>
      <c r="K46" s="37"/>
      <c r="L46" s="112"/>
      <c r="M46" s="41"/>
      <c r="N46" s="40"/>
      <c r="O46" s="118">
        <f t="shared" si="2"/>
        <v>94236</v>
      </c>
      <c r="P46" s="118">
        <f t="shared" si="3"/>
        <v>130236</v>
      </c>
      <c r="Q46" s="50"/>
      <c r="R46" s="6"/>
      <c r="S46" s="6"/>
    </row>
    <row r="47" spans="1:19" ht="13.5" hidden="1" customHeight="1" x14ac:dyDescent="0.45">
      <c r="A47" s="40"/>
      <c r="B47" s="54"/>
      <c r="C47" s="118"/>
      <c r="D47" s="114"/>
      <c r="E47" s="34"/>
      <c r="F47" s="46"/>
      <c r="G47" s="49"/>
      <c r="H47" s="118"/>
      <c r="I47" s="114"/>
      <c r="J47" s="118"/>
      <c r="K47" s="37"/>
      <c r="L47" s="112"/>
      <c r="M47" s="41"/>
      <c r="N47" s="34"/>
      <c r="O47" s="118">
        <f t="shared" si="2"/>
        <v>94236</v>
      </c>
      <c r="P47" s="118">
        <f t="shared" si="3"/>
        <v>130236</v>
      </c>
      <c r="Q47" s="50"/>
      <c r="R47" s="6"/>
      <c r="S47" s="6"/>
    </row>
    <row r="48" spans="1:19" ht="13.5" hidden="1" customHeight="1" x14ac:dyDescent="0.45">
      <c r="A48" s="40"/>
      <c r="B48" s="54"/>
      <c r="C48" s="118"/>
      <c r="D48" s="114"/>
      <c r="E48" s="34"/>
      <c r="F48" s="34"/>
      <c r="G48" s="48"/>
      <c r="H48" s="118"/>
      <c r="I48" s="114"/>
      <c r="J48" s="118"/>
      <c r="K48" s="37"/>
      <c r="L48" s="112"/>
      <c r="M48" s="41"/>
      <c r="N48" s="34"/>
      <c r="O48" s="118">
        <f t="shared" si="2"/>
        <v>94236</v>
      </c>
      <c r="P48" s="118">
        <f t="shared" si="3"/>
        <v>130236</v>
      </c>
      <c r="Q48" s="6"/>
      <c r="R48" s="6"/>
      <c r="S48" s="6"/>
    </row>
    <row r="49" spans="1:19" ht="13.5" hidden="1" customHeight="1" x14ac:dyDescent="0.45">
      <c r="A49" s="40"/>
      <c r="B49" s="54"/>
      <c r="C49" s="118"/>
      <c r="D49" s="114"/>
      <c r="E49" s="34"/>
      <c r="F49" s="46"/>
      <c r="G49" s="49"/>
      <c r="H49" s="118"/>
      <c r="I49" s="114"/>
      <c r="J49" s="118"/>
      <c r="K49" s="38"/>
      <c r="L49" s="112"/>
      <c r="M49" s="41"/>
      <c r="N49" s="37"/>
      <c r="O49" s="118">
        <f t="shared" si="2"/>
        <v>94236</v>
      </c>
      <c r="P49" s="118">
        <f t="shared" si="3"/>
        <v>130236</v>
      </c>
      <c r="Q49" s="50"/>
      <c r="R49" s="6"/>
      <c r="S49" s="6"/>
    </row>
    <row r="50" spans="1:19" ht="13.5" hidden="1" customHeight="1" x14ac:dyDescent="0.45">
      <c r="A50" s="40"/>
      <c r="B50" s="54"/>
      <c r="C50" s="118"/>
      <c r="D50" s="114"/>
      <c r="E50" s="34"/>
      <c r="F50" s="34"/>
      <c r="G50" s="48"/>
      <c r="H50" s="118"/>
      <c r="I50" s="114"/>
      <c r="J50" s="118"/>
      <c r="K50" s="37"/>
      <c r="L50" s="112"/>
      <c r="M50" s="41"/>
      <c r="N50" s="34"/>
      <c r="O50" s="118">
        <f t="shared" si="2"/>
        <v>94236</v>
      </c>
      <c r="P50" s="118">
        <f t="shared" si="3"/>
        <v>130236</v>
      </c>
      <c r="Q50" s="6"/>
      <c r="R50" s="6"/>
      <c r="S50" s="6"/>
    </row>
    <row r="51" spans="1:19" ht="13.5" hidden="1" customHeight="1" x14ac:dyDescent="0.45">
      <c r="A51" s="40"/>
      <c r="B51" s="54"/>
      <c r="C51" s="118"/>
      <c r="D51" s="114"/>
      <c r="E51" s="34"/>
      <c r="F51" s="46"/>
      <c r="G51" s="49"/>
      <c r="H51" s="118"/>
      <c r="I51" s="114"/>
      <c r="J51" s="118"/>
      <c r="K51" s="40"/>
      <c r="L51" s="112"/>
      <c r="M51" s="41"/>
      <c r="N51" s="40"/>
      <c r="O51" s="118">
        <f t="shared" si="2"/>
        <v>94236</v>
      </c>
      <c r="P51" s="118">
        <f t="shared" si="3"/>
        <v>130236</v>
      </c>
      <c r="Q51" s="6"/>
      <c r="R51" s="6"/>
      <c r="S51" s="6"/>
    </row>
    <row r="52" spans="1:19" ht="13.5" hidden="1" customHeight="1" x14ac:dyDescent="0.45">
      <c r="A52" s="40"/>
      <c r="B52" s="54"/>
      <c r="C52" s="118"/>
      <c r="D52" s="114"/>
      <c r="F52" s="34"/>
      <c r="G52" s="48"/>
      <c r="H52" s="118"/>
      <c r="I52" s="114"/>
      <c r="J52" s="118"/>
      <c r="K52" s="37"/>
      <c r="L52" s="112"/>
      <c r="M52" s="41"/>
      <c r="N52" s="34"/>
      <c r="O52" s="118">
        <f t="shared" si="2"/>
        <v>94236</v>
      </c>
      <c r="P52" s="118">
        <f t="shared" si="3"/>
        <v>130236</v>
      </c>
      <c r="Q52" s="6"/>
      <c r="R52" s="6"/>
      <c r="S52" s="6"/>
    </row>
    <row r="53" spans="1:19" ht="13.5" hidden="1" customHeight="1" x14ac:dyDescent="0.45">
      <c r="A53" s="40"/>
      <c r="B53" s="54"/>
      <c r="C53" s="118"/>
      <c r="D53" s="114"/>
      <c r="E53" s="34"/>
      <c r="F53" s="46"/>
      <c r="G53" s="49"/>
      <c r="H53" s="118"/>
      <c r="I53" s="114"/>
      <c r="J53" s="118"/>
      <c r="K53" s="37"/>
      <c r="L53" s="112"/>
      <c r="M53" s="41"/>
      <c r="N53" s="34"/>
      <c r="O53" s="118">
        <f t="shared" si="2"/>
        <v>94236</v>
      </c>
      <c r="P53" s="118">
        <f t="shared" si="3"/>
        <v>130236</v>
      </c>
      <c r="Q53" s="50"/>
      <c r="R53" s="6"/>
      <c r="S53" s="6"/>
    </row>
    <row r="54" spans="1:19" ht="13.5" hidden="1" customHeight="1" x14ac:dyDescent="0.45">
      <c r="A54" s="40"/>
      <c r="B54" s="54"/>
      <c r="C54" s="118"/>
      <c r="D54" s="114"/>
      <c r="E54" s="34"/>
      <c r="F54" s="34"/>
      <c r="G54" s="48"/>
      <c r="H54" s="118"/>
      <c r="I54" s="114"/>
      <c r="J54" s="118"/>
      <c r="K54" s="53"/>
      <c r="L54" s="112"/>
      <c r="M54" s="41"/>
      <c r="N54" s="34"/>
      <c r="O54" s="118">
        <f t="shared" si="2"/>
        <v>94236</v>
      </c>
      <c r="P54" s="118">
        <f t="shared" si="3"/>
        <v>130236</v>
      </c>
      <c r="Q54" s="6"/>
      <c r="R54" s="6"/>
      <c r="S54" s="6"/>
    </row>
    <row r="55" spans="1:19" ht="13.5" hidden="1" customHeight="1" x14ac:dyDescent="0.45">
      <c r="A55" s="40"/>
      <c r="B55" s="54"/>
      <c r="C55" s="118"/>
      <c r="D55" s="114"/>
      <c r="E55" s="34"/>
      <c r="F55" s="46"/>
      <c r="G55" s="49"/>
      <c r="H55" s="118"/>
      <c r="I55" s="114"/>
      <c r="J55" s="118"/>
      <c r="K55" s="37"/>
      <c r="L55" s="112"/>
      <c r="M55" s="41"/>
      <c r="N55" s="40"/>
      <c r="O55" s="118">
        <f t="shared" si="2"/>
        <v>94236</v>
      </c>
      <c r="P55" s="118">
        <f t="shared" si="3"/>
        <v>130236</v>
      </c>
      <c r="Q55" s="50"/>
      <c r="R55" s="50"/>
      <c r="S55" s="6"/>
    </row>
    <row r="56" spans="1:19" ht="13.5" hidden="1" customHeight="1" x14ac:dyDescent="0.45">
      <c r="A56" s="40"/>
      <c r="B56" s="54"/>
      <c r="C56" s="118"/>
      <c r="D56" s="114"/>
      <c r="E56" s="34"/>
      <c r="F56" s="46"/>
      <c r="G56" s="49"/>
      <c r="H56" s="118"/>
      <c r="I56" s="114"/>
      <c r="J56" s="118"/>
      <c r="K56" s="53"/>
      <c r="L56" s="112"/>
      <c r="M56" s="41"/>
      <c r="N56" s="46"/>
      <c r="O56" s="118">
        <f t="shared" si="2"/>
        <v>94236</v>
      </c>
      <c r="P56" s="118">
        <f t="shared" si="3"/>
        <v>130236</v>
      </c>
      <c r="Q56" s="50"/>
      <c r="R56" s="6"/>
      <c r="S56" s="6"/>
    </row>
    <row r="57" spans="1:19" ht="13.5" hidden="1" customHeight="1" x14ac:dyDescent="0.45">
      <c r="A57" s="40"/>
      <c r="B57" s="54"/>
      <c r="C57" s="118"/>
      <c r="D57" s="114"/>
      <c r="E57" s="34"/>
      <c r="F57" s="46"/>
      <c r="G57" s="49"/>
      <c r="H57" s="118"/>
      <c r="I57" s="114"/>
      <c r="J57" s="118"/>
      <c r="K57" s="37"/>
      <c r="L57" s="112"/>
      <c r="M57" s="55"/>
      <c r="N57" s="34"/>
      <c r="O57" s="118">
        <f t="shared" si="2"/>
        <v>94236</v>
      </c>
      <c r="P57" s="118">
        <f t="shared" si="3"/>
        <v>130236</v>
      </c>
      <c r="Q57" s="6"/>
      <c r="R57" s="6"/>
      <c r="S57" s="6"/>
    </row>
    <row r="58" spans="1:19" ht="13.5" hidden="1" customHeight="1" x14ac:dyDescent="0.45">
      <c r="A58" s="40"/>
      <c r="B58" s="54"/>
      <c r="C58" s="118"/>
      <c r="D58" s="114"/>
      <c r="E58" s="34"/>
      <c r="F58" s="36"/>
      <c r="G58" s="48"/>
      <c r="H58" s="118"/>
      <c r="I58" s="114"/>
      <c r="J58" s="118"/>
      <c r="K58" s="53"/>
      <c r="L58" s="112"/>
      <c r="M58" s="55"/>
      <c r="N58" s="34"/>
      <c r="O58" s="118">
        <f t="shared" si="2"/>
        <v>94236</v>
      </c>
      <c r="P58" s="118">
        <f t="shared" si="3"/>
        <v>130236</v>
      </c>
      <c r="Q58" s="6"/>
      <c r="R58" s="6"/>
      <c r="S58" s="6"/>
    </row>
    <row r="59" spans="1:19" ht="13.5" hidden="1" customHeight="1" x14ac:dyDescent="0.45">
      <c r="A59" s="40"/>
      <c r="B59" s="54"/>
      <c r="C59" s="118"/>
      <c r="D59" s="114"/>
      <c r="E59" s="34"/>
      <c r="F59" s="46"/>
      <c r="G59" s="49"/>
      <c r="H59" s="118"/>
      <c r="I59" s="114"/>
      <c r="J59" s="118"/>
      <c r="K59" s="37"/>
      <c r="L59" s="112"/>
      <c r="M59" s="55"/>
      <c r="N59" s="46"/>
      <c r="O59" s="118">
        <f t="shared" si="2"/>
        <v>94236</v>
      </c>
      <c r="P59" s="118">
        <f t="shared" si="3"/>
        <v>130236</v>
      </c>
      <c r="Q59" s="50"/>
      <c r="R59" s="6"/>
      <c r="S59" s="6"/>
    </row>
    <row r="60" spans="1:19" ht="13.5" hidden="1" customHeight="1" x14ac:dyDescent="0.45">
      <c r="A60" s="40"/>
      <c r="B60" s="54"/>
      <c r="C60" s="118"/>
      <c r="D60" s="114"/>
      <c r="E60" s="34"/>
      <c r="F60" s="34"/>
      <c r="G60" s="48"/>
      <c r="H60" s="118"/>
      <c r="I60" s="114"/>
      <c r="J60" s="118"/>
      <c r="K60" s="56"/>
      <c r="L60" s="42"/>
      <c r="M60" s="55"/>
      <c r="N60" s="57"/>
      <c r="O60" s="118">
        <f t="shared" si="2"/>
        <v>94236</v>
      </c>
      <c r="P60" s="118">
        <f t="shared" si="3"/>
        <v>130236</v>
      </c>
      <c r="Q60" s="50"/>
      <c r="R60" s="6"/>
      <c r="S60" s="6"/>
    </row>
    <row r="61" spans="1:19" ht="13.5" hidden="1" customHeight="1" x14ac:dyDescent="0.45">
      <c r="A61" s="40"/>
      <c r="B61" s="54"/>
      <c r="C61" s="118"/>
      <c r="D61" s="114"/>
      <c r="E61" s="34"/>
      <c r="F61" s="46"/>
      <c r="G61" s="49"/>
      <c r="H61" s="118"/>
      <c r="I61" s="114"/>
      <c r="J61" s="118"/>
      <c r="K61" s="37"/>
      <c r="L61" s="112"/>
      <c r="M61" s="41"/>
      <c r="N61" s="34"/>
      <c r="O61" s="118">
        <f t="shared" si="2"/>
        <v>94236</v>
      </c>
      <c r="P61" s="118">
        <f t="shared" si="3"/>
        <v>130236</v>
      </c>
      <c r="Q61" s="50"/>
      <c r="R61" s="6"/>
      <c r="S61" s="6"/>
    </row>
    <row r="62" spans="1:19" ht="13.5" hidden="1" customHeight="1" x14ac:dyDescent="0.45">
      <c r="A62" s="40"/>
      <c r="B62" s="54"/>
      <c r="C62" s="118"/>
      <c r="D62" s="114"/>
      <c r="E62" s="34"/>
      <c r="F62" s="34"/>
      <c r="G62" s="48"/>
      <c r="H62" s="118"/>
      <c r="I62" s="114"/>
      <c r="J62" s="118"/>
      <c r="K62" s="53"/>
      <c r="L62" s="112"/>
      <c r="M62" s="41"/>
      <c r="N62" s="45"/>
      <c r="O62" s="118">
        <f t="shared" si="2"/>
        <v>94236</v>
      </c>
      <c r="P62" s="118">
        <f t="shared" si="3"/>
        <v>130236</v>
      </c>
      <c r="Q62" s="50"/>
      <c r="R62" s="6"/>
      <c r="S62" s="6"/>
    </row>
    <row r="63" spans="1:19" ht="13.5" hidden="1" customHeight="1" x14ac:dyDescent="0.45">
      <c r="A63" s="40"/>
      <c r="B63" s="54"/>
      <c r="C63" s="118"/>
      <c r="D63" s="114"/>
      <c r="E63" s="34"/>
      <c r="F63" s="34"/>
      <c r="G63" s="48"/>
      <c r="H63" s="118"/>
      <c r="I63" s="114"/>
      <c r="J63" s="118"/>
      <c r="K63" s="37"/>
      <c r="L63" s="112"/>
      <c r="M63" s="41"/>
      <c r="N63" s="46"/>
      <c r="O63" s="118">
        <f t="shared" si="2"/>
        <v>94236</v>
      </c>
      <c r="P63" s="118">
        <f t="shared" si="3"/>
        <v>130236</v>
      </c>
      <c r="Q63" s="6"/>
      <c r="R63" s="6"/>
      <c r="S63" s="6"/>
    </row>
    <row r="64" spans="1:19" ht="13.5" hidden="1" customHeight="1" x14ac:dyDescent="0.45">
      <c r="A64" s="40"/>
      <c r="B64" s="54"/>
      <c r="C64" s="118"/>
      <c r="D64" s="114"/>
      <c r="E64" s="34"/>
      <c r="F64" s="45"/>
      <c r="G64" s="48"/>
      <c r="H64" s="118"/>
      <c r="I64" s="114"/>
      <c r="J64" s="118"/>
      <c r="K64" s="37"/>
      <c r="L64" s="112"/>
      <c r="M64" s="41"/>
      <c r="N64" s="37"/>
      <c r="O64" s="118">
        <f t="shared" si="2"/>
        <v>94236</v>
      </c>
      <c r="P64" s="118">
        <f t="shared" si="3"/>
        <v>130236</v>
      </c>
      <c r="Q64" s="50"/>
      <c r="R64" s="6"/>
      <c r="S64" s="6"/>
    </row>
    <row r="65" spans="1:20" ht="13.5" hidden="1" customHeight="1" x14ac:dyDescent="0.45">
      <c r="A65" s="40"/>
      <c r="B65" s="54"/>
      <c r="C65" s="118"/>
      <c r="D65" s="117"/>
      <c r="E65" s="34"/>
      <c r="F65" s="34"/>
      <c r="G65" s="48"/>
      <c r="H65" s="118"/>
      <c r="I65" s="114"/>
      <c r="J65" s="118"/>
      <c r="K65" s="37"/>
      <c r="L65" s="112"/>
      <c r="M65" s="41"/>
      <c r="N65" s="46"/>
      <c r="O65" s="118">
        <f t="shared" si="2"/>
        <v>94236</v>
      </c>
      <c r="P65" s="118">
        <f t="shared" si="3"/>
        <v>130236</v>
      </c>
      <c r="Q65" s="6"/>
      <c r="R65" s="6"/>
      <c r="S65" s="6"/>
    </row>
    <row r="66" spans="1:20" ht="13.5" hidden="1" customHeight="1" x14ac:dyDescent="0.45">
      <c r="A66" s="40"/>
      <c r="B66" s="54"/>
      <c r="C66" s="118"/>
      <c r="D66" s="117"/>
      <c r="E66" s="34"/>
      <c r="F66" s="34"/>
      <c r="G66" s="48"/>
      <c r="H66" s="118"/>
      <c r="I66" s="114"/>
      <c r="J66" s="118"/>
      <c r="K66" s="53"/>
      <c r="L66" s="112"/>
      <c r="M66" s="41"/>
      <c r="N66" s="34"/>
      <c r="O66" s="118">
        <f t="shared" si="2"/>
        <v>94236</v>
      </c>
      <c r="P66" s="118">
        <f t="shared" si="3"/>
        <v>130236</v>
      </c>
      <c r="Q66" s="50"/>
      <c r="R66" s="6"/>
      <c r="S66" s="6"/>
    </row>
    <row r="67" spans="1:20" ht="13.5" hidden="1" customHeight="1" x14ac:dyDescent="0.45">
      <c r="A67" s="40"/>
      <c r="B67" s="54"/>
      <c r="C67" s="118"/>
      <c r="D67" s="117"/>
      <c r="E67" s="34"/>
      <c r="F67" s="46"/>
      <c r="G67" s="49"/>
      <c r="H67" s="118"/>
      <c r="I67" s="114"/>
      <c r="J67" s="118"/>
      <c r="K67" s="38"/>
      <c r="L67" s="112"/>
      <c r="M67" s="41"/>
      <c r="N67" s="46"/>
      <c r="O67" s="118">
        <f t="shared" si="2"/>
        <v>94236</v>
      </c>
      <c r="P67" s="118">
        <f t="shared" si="3"/>
        <v>130236</v>
      </c>
      <c r="Q67" s="50"/>
      <c r="R67" s="6"/>
      <c r="S67" s="6"/>
    </row>
    <row r="68" spans="1:20" ht="13.5" hidden="1" customHeight="1" x14ac:dyDescent="0.45">
      <c r="A68" s="40"/>
      <c r="B68" s="54"/>
      <c r="C68" s="118"/>
      <c r="D68" s="117"/>
      <c r="E68" s="34"/>
      <c r="F68" s="46"/>
      <c r="G68" s="49"/>
      <c r="H68" s="118"/>
      <c r="I68" s="114"/>
      <c r="J68" s="118"/>
      <c r="K68" s="34"/>
      <c r="L68" s="112"/>
      <c r="M68" s="41"/>
      <c r="N68" s="34"/>
      <c r="O68" s="118">
        <f t="shared" si="2"/>
        <v>94236</v>
      </c>
      <c r="P68" s="118">
        <f t="shared" si="3"/>
        <v>130236</v>
      </c>
      <c r="Q68" s="50"/>
      <c r="R68" s="6"/>
      <c r="S68" s="6"/>
    </row>
    <row r="69" spans="1:20" ht="13.5" hidden="1" customHeight="1" x14ac:dyDescent="0.45">
      <c r="A69" s="40"/>
      <c r="B69" s="54"/>
      <c r="C69" s="118"/>
      <c r="D69" s="117"/>
      <c r="E69" s="34"/>
      <c r="F69" s="34"/>
      <c r="G69" s="48"/>
      <c r="H69" s="118"/>
      <c r="I69" s="114"/>
      <c r="J69" s="118"/>
      <c r="K69" s="37"/>
      <c r="L69" s="112"/>
      <c r="M69" s="59"/>
      <c r="N69" s="46"/>
      <c r="O69" s="118">
        <f t="shared" si="2"/>
        <v>94236</v>
      </c>
      <c r="P69" s="118">
        <f t="shared" si="3"/>
        <v>130236</v>
      </c>
      <c r="Q69" s="50">
        <f>SUM(J15:J69)+M49</f>
        <v>2063</v>
      </c>
      <c r="R69" s="50">
        <f>M49</f>
        <v>0</v>
      </c>
      <c r="S69" s="50"/>
      <c r="T69" s="60"/>
    </row>
    <row r="70" spans="1:20" ht="13.5" hidden="1" customHeight="1" x14ac:dyDescent="0.45">
      <c r="A70" s="40"/>
      <c r="B70" s="54"/>
      <c r="C70" s="118"/>
      <c r="D70" s="117"/>
      <c r="E70" s="34"/>
      <c r="F70" s="34"/>
      <c r="G70" s="48"/>
      <c r="H70" s="118"/>
      <c r="I70" s="114"/>
      <c r="J70" s="118"/>
      <c r="K70" s="34"/>
      <c r="L70" s="112"/>
      <c r="M70" s="59"/>
      <c r="N70" s="34"/>
      <c r="O70" s="118">
        <f t="shared" si="2"/>
        <v>94236</v>
      </c>
      <c r="P70" s="118">
        <f t="shared" si="3"/>
        <v>130236</v>
      </c>
      <c r="Q70" s="50"/>
      <c r="R70" s="6"/>
      <c r="S70" s="6"/>
    </row>
    <row r="71" spans="1:20" ht="13.5" hidden="1" customHeight="1" x14ac:dyDescent="0.45">
      <c r="A71" s="40"/>
      <c r="B71" s="54"/>
      <c r="C71" s="118"/>
      <c r="D71" s="117"/>
      <c r="E71" s="34"/>
      <c r="F71" s="46"/>
      <c r="G71" s="61"/>
      <c r="H71" s="118"/>
      <c r="I71" s="114"/>
      <c r="J71" s="118"/>
      <c r="K71" s="34"/>
      <c r="L71" s="112"/>
      <c r="M71" s="62"/>
      <c r="N71" s="46"/>
      <c r="O71" s="118">
        <f t="shared" si="2"/>
        <v>94236</v>
      </c>
      <c r="P71" s="118">
        <f t="shared" si="3"/>
        <v>130236</v>
      </c>
      <c r="Q71" s="50"/>
      <c r="R71" s="50"/>
      <c r="S71" s="50"/>
    </row>
    <row r="72" spans="1:20" ht="13.5" hidden="1" customHeight="1" x14ac:dyDescent="0.45">
      <c r="A72" s="40"/>
      <c r="B72" s="54"/>
      <c r="C72" s="118"/>
      <c r="D72" s="117"/>
      <c r="E72" s="34"/>
      <c r="F72" s="34"/>
      <c r="G72" s="48"/>
      <c r="H72" s="118"/>
      <c r="I72" s="114"/>
      <c r="J72" s="118"/>
      <c r="K72" s="53"/>
      <c r="L72" s="112"/>
      <c r="M72" s="62"/>
      <c r="N72" s="46"/>
      <c r="O72" s="118">
        <f t="shared" si="2"/>
        <v>94236</v>
      </c>
      <c r="P72" s="118">
        <f t="shared" si="3"/>
        <v>130236</v>
      </c>
      <c r="Q72" s="6"/>
      <c r="R72" s="6"/>
      <c r="S72" s="6"/>
    </row>
    <row r="73" spans="1:20" ht="13.5" hidden="1" customHeight="1" x14ac:dyDescent="0.45">
      <c r="A73" s="40"/>
      <c r="B73" s="54"/>
      <c r="C73" s="118"/>
      <c r="D73" s="114"/>
      <c r="E73" s="34"/>
      <c r="F73" s="34"/>
      <c r="G73" s="48"/>
      <c r="H73" s="118"/>
      <c r="I73" s="114"/>
      <c r="J73" s="118"/>
      <c r="K73" s="46"/>
      <c r="L73" s="112"/>
      <c r="M73" s="58"/>
      <c r="N73" s="37"/>
      <c r="O73" s="118">
        <f t="shared" ref="O73:O74" si="4">O72-J73-M73</f>
        <v>94236</v>
      </c>
      <c r="P73" s="118">
        <f t="shared" ref="P73:P74" si="5">P72+H73-J73-M73</f>
        <v>130236</v>
      </c>
      <c r="Q73" s="6"/>
      <c r="R73" s="6"/>
      <c r="S73" s="6"/>
    </row>
    <row r="74" spans="1:20" ht="13.5" hidden="1" customHeight="1" x14ac:dyDescent="0.45">
      <c r="A74" s="34"/>
      <c r="B74" s="54"/>
      <c r="C74" s="118"/>
      <c r="D74" s="117"/>
      <c r="E74" s="34"/>
      <c r="F74" s="34"/>
      <c r="G74" s="48"/>
      <c r="H74" s="118"/>
      <c r="I74" s="117"/>
      <c r="J74" s="118"/>
      <c r="K74" s="37"/>
      <c r="L74" s="112"/>
      <c r="M74" s="58"/>
      <c r="N74" s="37"/>
      <c r="O74" s="118">
        <f t="shared" si="4"/>
        <v>94236</v>
      </c>
      <c r="P74" s="118">
        <f t="shared" si="5"/>
        <v>130236</v>
      </c>
      <c r="Q74" s="50"/>
      <c r="R74" s="63"/>
      <c r="S74" s="50"/>
    </row>
    <row r="75" spans="1:20" ht="13.5" customHeight="1" x14ac:dyDescent="0.45">
      <c r="A75" s="128"/>
      <c r="B75" s="64"/>
      <c r="C75" s="122">
        <f>SUM(C7:C74)</f>
        <v>141212</v>
      </c>
      <c r="D75" s="65"/>
      <c r="E75" s="66"/>
      <c r="F75" s="66"/>
      <c r="G75" s="64"/>
      <c r="H75" s="122">
        <f>SUM(H7:H74)</f>
        <v>0</v>
      </c>
      <c r="I75" s="65"/>
      <c r="J75" s="121">
        <f>SUM(J7:J74)</f>
        <v>5476</v>
      </c>
      <c r="K75" s="67"/>
      <c r="L75" s="68"/>
      <c r="M75" s="120">
        <f>SUM(M7:M74)</f>
        <v>5500</v>
      </c>
      <c r="N75" s="69"/>
      <c r="O75" s="70"/>
      <c r="P75" s="119">
        <f>C75+H75-J75-M75</f>
        <v>130236</v>
      </c>
    </row>
    <row r="76" spans="1:20" ht="17.25" customHeight="1" x14ac:dyDescent="0.45">
      <c r="A76" s="71" t="s">
        <v>20</v>
      </c>
      <c r="B76" s="72" t="s">
        <v>36</v>
      </c>
      <c r="C76" s="73"/>
      <c r="D76" s="73"/>
      <c r="E76" s="73"/>
      <c r="F76" s="73"/>
      <c r="G76" s="74"/>
      <c r="H76" s="73"/>
      <c r="I76" s="73"/>
      <c r="J76" s="75"/>
      <c r="K76" s="76"/>
      <c r="L76" s="77"/>
      <c r="M76" s="77"/>
      <c r="N76" s="77"/>
      <c r="O76" s="78">
        <f>O74</f>
        <v>94236</v>
      </c>
      <c r="P76" s="38" t="s">
        <v>19</v>
      </c>
    </row>
    <row r="77" spans="1:20" ht="17.25" customHeight="1" x14ac:dyDescent="0.45">
      <c r="A77" s="79"/>
      <c r="B77" s="72"/>
      <c r="C77" s="80"/>
      <c r="D77" s="80"/>
      <c r="E77" s="80"/>
      <c r="F77" s="80"/>
      <c r="G77" s="81"/>
      <c r="H77" s="80"/>
      <c r="I77" s="80"/>
      <c r="J77" s="75"/>
      <c r="K77" s="75"/>
      <c r="L77" s="77"/>
      <c r="M77" s="77"/>
      <c r="N77" s="77"/>
      <c r="O77" s="125">
        <f>C8</f>
        <v>36000</v>
      </c>
      <c r="P77" s="126" t="s">
        <v>19</v>
      </c>
    </row>
    <row r="78" spans="1:20" ht="14.25" customHeight="1" x14ac:dyDescent="0.45">
      <c r="A78" s="79"/>
      <c r="B78" s="72"/>
      <c r="C78" s="82"/>
      <c r="D78" s="83"/>
      <c r="E78" s="83"/>
      <c r="F78" s="83"/>
      <c r="G78" s="84"/>
      <c r="H78" s="85"/>
      <c r="I78" s="83"/>
      <c r="J78" s="83"/>
      <c r="K78" s="86"/>
      <c r="L78" s="87"/>
      <c r="M78" s="88"/>
      <c r="N78" s="89"/>
      <c r="O78" s="127">
        <f>SUM(O76:O77)</f>
        <v>130236</v>
      </c>
      <c r="P78" s="124">
        <f>+P75-O78</f>
        <v>0</v>
      </c>
      <c r="Q78" s="60"/>
      <c r="S78" s="60"/>
    </row>
    <row r="79" spans="1:20" ht="14.25" customHeight="1" x14ac:dyDescent="0.45">
      <c r="A79" s="79"/>
      <c r="B79" s="72"/>
      <c r="C79" s="82"/>
      <c r="D79" s="83"/>
      <c r="E79" s="83"/>
      <c r="F79" s="83"/>
      <c r="G79" s="84"/>
      <c r="H79" s="85"/>
      <c r="I79" s="83"/>
      <c r="J79" s="83"/>
      <c r="K79" s="86"/>
      <c r="L79" s="87"/>
      <c r="M79" s="88"/>
      <c r="N79" s="90"/>
      <c r="O79" s="123" t="s">
        <v>32</v>
      </c>
      <c r="P79" s="124">
        <v>-106</v>
      </c>
      <c r="Q79" s="60"/>
      <c r="S79" s="60"/>
    </row>
    <row r="80" spans="1:20" ht="14.25" customHeight="1" x14ac:dyDescent="0.45">
      <c r="A80" s="79"/>
      <c r="B80" s="72"/>
      <c r="C80" s="82"/>
      <c r="D80" s="83"/>
      <c r="E80" s="83"/>
      <c r="F80" s="83"/>
      <c r="G80" s="84"/>
      <c r="H80" s="85"/>
      <c r="I80" s="83"/>
      <c r="J80" s="83"/>
      <c r="K80" s="86"/>
      <c r="L80" s="87"/>
      <c r="M80" s="88"/>
      <c r="N80" s="90"/>
      <c r="O80" s="67" t="s">
        <v>33</v>
      </c>
      <c r="P80" s="119">
        <f>+P75+P79</f>
        <v>130130</v>
      </c>
      <c r="Q80" s="60"/>
      <c r="S80" s="60"/>
    </row>
    <row r="81" spans="1:19" ht="14.25" customHeight="1" x14ac:dyDescent="0.45">
      <c r="A81" s="79"/>
      <c r="B81" s="72"/>
      <c r="C81" s="82"/>
      <c r="D81" s="83"/>
      <c r="E81" s="83"/>
      <c r="F81" s="83"/>
      <c r="G81" s="84"/>
      <c r="H81" s="85"/>
      <c r="I81" s="83"/>
      <c r="J81" s="83"/>
      <c r="K81" s="86"/>
      <c r="L81" s="87"/>
      <c r="M81" s="88"/>
      <c r="N81" s="90"/>
      <c r="O81" s="91"/>
      <c r="P81" s="92"/>
      <c r="Q81" s="60"/>
      <c r="S81" s="60"/>
    </row>
    <row r="82" spans="1:19" ht="14.25" customHeight="1" x14ac:dyDescent="0.45">
      <c r="A82" s="92"/>
      <c r="B82" s="72"/>
      <c r="C82" s="82"/>
      <c r="D82" s="83"/>
      <c r="E82" s="83"/>
      <c r="F82" s="83"/>
      <c r="G82" s="84"/>
      <c r="H82" s="85"/>
      <c r="I82" s="83"/>
      <c r="J82" s="83"/>
      <c r="K82" s="86"/>
      <c r="L82" s="87"/>
      <c r="M82" s="88"/>
      <c r="N82" s="90"/>
      <c r="O82" s="91"/>
      <c r="P82" s="92"/>
      <c r="Q82" s="60"/>
      <c r="S82" s="60"/>
    </row>
    <row r="83" spans="1:19" ht="14.25" customHeight="1" x14ac:dyDescent="0.45">
      <c r="A83" s="79"/>
      <c r="B83" s="72"/>
      <c r="C83" s="82"/>
      <c r="D83" s="83"/>
      <c r="E83" s="83"/>
      <c r="F83" s="83"/>
      <c r="G83" s="84"/>
      <c r="H83" s="85"/>
      <c r="I83" s="83"/>
      <c r="J83" s="83"/>
      <c r="K83" s="86"/>
      <c r="L83" s="87"/>
      <c r="M83" s="88"/>
      <c r="N83" s="90"/>
      <c r="O83" s="91"/>
      <c r="P83" s="92"/>
      <c r="Q83" s="60"/>
      <c r="S83" s="60"/>
    </row>
    <row r="84" spans="1:19" ht="14.25" customHeight="1" x14ac:dyDescent="0.45">
      <c r="A84" s="79"/>
      <c r="B84" s="72"/>
      <c r="L84" s="6"/>
      <c r="M84" s="93"/>
      <c r="N84" s="90"/>
      <c r="O84" s="94"/>
      <c r="P84" s="95"/>
      <c r="Q84" s="60"/>
      <c r="S84" s="60"/>
    </row>
    <row r="85" spans="1:19" x14ac:dyDescent="0.45">
      <c r="A85" s="96"/>
      <c r="B85" s="72"/>
      <c r="L85" s="6"/>
      <c r="M85" s="97"/>
      <c r="N85" s="98"/>
      <c r="O85" s="99"/>
      <c r="P85" s="99"/>
    </row>
    <row r="86" spans="1:19" x14ac:dyDescent="0.45">
      <c r="A86" s="96"/>
      <c r="B86" s="72"/>
      <c r="I86" s="7" t="s">
        <v>22</v>
      </c>
      <c r="L86" s="6"/>
      <c r="M86" s="100"/>
      <c r="N86" s="89"/>
      <c r="O86" s="101"/>
      <c r="P86" s="99"/>
    </row>
    <row r="87" spans="1:19" x14ac:dyDescent="0.45">
      <c r="A87" s="79"/>
      <c r="B87" s="72"/>
      <c r="L87" s="6"/>
      <c r="M87" s="100"/>
      <c r="N87" s="102"/>
      <c r="O87" s="99"/>
      <c r="P87" s="99"/>
    </row>
    <row r="88" spans="1:19" x14ac:dyDescent="0.45">
      <c r="M88" s="103"/>
      <c r="N88" s="104"/>
    </row>
    <row r="89" spans="1:19" x14ac:dyDescent="0.45">
      <c r="M89" s="103"/>
      <c r="N89" s="105"/>
    </row>
    <row r="90" spans="1:19" x14ac:dyDescent="0.45">
      <c r="M90" s="106"/>
      <c r="N90" s="6"/>
    </row>
  </sheetData>
  <mergeCells count="5">
    <mergeCell ref="A4:C4"/>
    <mergeCell ref="D4:H4"/>
    <mergeCell ref="I4:N4"/>
    <mergeCell ref="J5:K5"/>
    <mergeCell ref="L5:N5"/>
  </mergeCells>
  <printOptions horizontalCentered="1"/>
  <pageMargins left="0.23622047244094491" right="0.23622047244094491" top="0.43307086614173229" bottom="0.23622047244094491" header="0.23622047244094491" footer="0.15748031496062992"/>
  <pageSetup paperSize="9" scale="90" orientation="landscape" r:id="rId1"/>
  <headerFooter alignWithMargins="0">
    <oddHeader>&amp;R&amp;"Cordia New,Bold"&amp;UJP02&amp;"Cordia New,Regular"&amp;Uหน้าที่&amp;P/&amp;N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24"/>
  <sheetViews>
    <sheetView topLeftCell="B1" zoomScale="115" zoomScaleNormal="115" workbookViewId="0">
      <pane ySplit="6" topLeftCell="A372" activePane="bottomLeft" state="frozen"/>
      <selection pane="bottomLeft" activeCell="M386" sqref="M386"/>
    </sheetView>
  </sheetViews>
  <sheetFormatPr defaultColWidth="18.5703125" defaultRowHeight="11.25" x14ac:dyDescent="0.15"/>
  <cols>
    <col min="1" max="1" width="12.140625" style="134" customWidth="1"/>
    <col min="2" max="2" width="10.7109375" style="131" customWidth="1"/>
    <col min="3" max="3" width="10.85546875" style="132" bestFit="1" customWidth="1"/>
    <col min="4" max="4" width="14" style="133" bestFit="1" customWidth="1"/>
    <col min="5" max="5" width="12.85546875" style="133" bestFit="1" customWidth="1"/>
    <col min="6" max="6" width="15" style="134" bestFit="1" customWidth="1"/>
    <col min="7" max="7" width="11.5703125" style="132" bestFit="1" customWidth="1"/>
    <col min="8" max="8" width="9.85546875" style="133" bestFit="1" customWidth="1"/>
    <col min="9" max="9" width="11.7109375" style="132" bestFit="1" customWidth="1"/>
    <col min="10" max="10" width="11.7109375" style="134" bestFit="1" customWidth="1"/>
    <col min="11" max="11" width="13.85546875" style="133" bestFit="1" customWidth="1"/>
    <col min="12" max="12" width="11.28515625" style="132" customWidth="1"/>
    <col min="13" max="13" width="11.5703125" style="134" bestFit="1" customWidth="1"/>
    <col min="14" max="14" width="11.28515625" style="132" bestFit="1" customWidth="1"/>
    <col min="15" max="15" width="11.5703125" style="132" bestFit="1" customWidth="1"/>
    <col min="16" max="16384" width="18.5703125" style="134"/>
  </cols>
  <sheetData>
    <row r="1" spans="1:15" x14ac:dyDescent="0.15">
      <c r="A1" s="130" t="s">
        <v>2668</v>
      </c>
      <c r="M1" s="135"/>
      <c r="O1" s="136"/>
    </row>
    <row r="2" spans="1:15" x14ac:dyDescent="0.15">
      <c r="A2" s="130" t="s">
        <v>57</v>
      </c>
      <c r="O2" s="137"/>
    </row>
    <row r="3" spans="1:15" x14ac:dyDescent="0.15">
      <c r="A3" s="130">
        <v>5523</v>
      </c>
      <c r="B3" s="131">
        <v>500063</v>
      </c>
      <c r="I3" s="466" t="s">
        <v>39</v>
      </c>
      <c r="J3" s="466"/>
      <c r="K3" s="466"/>
      <c r="N3" s="138"/>
      <c r="O3" s="138"/>
    </row>
    <row r="4" spans="1:15" x14ac:dyDescent="0.15">
      <c r="A4" s="467" t="s">
        <v>3</v>
      </c>
      <c r="B4" s="467"/>
      <c r="C4" s="467"/>
      <c r="D4" s="467" t="s">
        <v>4</v>
      </c>
      <c r="E4" s="467"/>
      <c r="F4" s="467"/>
      <c r="G4" s="467"/>
      <c r="H4" s="467" t="s">
        <v>5</v>
      </c>
      <c r="I4" s="467"/>
      <c r="J4" s="467"/>
      <c r="K4" s="467"/>
      <c r="L4" s="467"/>
      <c r="M4" s="467"/>
      <c r="N4" s="139" t="s">
        <v>6</v>
      </c>
      <c r="O4" s="139" t="s">
        <v>6</v>
      </c>
    </row>
    <row r="5" spans="1:15" x14ac:dyDescent="0.15">
      <c r="A5" s="140" t="s">
        <v>7</v>
      </c>
      <c r="B5" s="140" t="s">
        <v>8</v>
      </c>
      <c r="C5" s="141" t="s">
        <v>9</v>
      </c>
      <c r="D5" s="140" t="s">
        <v>10</v>
      </c>
      <c r="E5" s="140" t="s">
        <v>40</v>
      </c>
      <c r="F5" s="140" t="s">
        <v>7</v>
      </c>
      <c r="G5" s="141" t="s">
        <v>9</v>
      </c>
      <c r="H5" s="140" t="s">
        <v>41</v>
      </c>
      <c r="I5" s="467" t="s">
        <v>42</v>
      </c>
      <c r="J5" s="467"/>
      <c r="K5" s="467" t="s">
        <v>43</v>
      </c>
      <c r="L5" s="467"/>
      <c r="M5" s="467"/>
      <c r="N5" s="141" t="s">
        <v>15</v>
      </c>
      <c r="O5" s="141" t="s">
        <v>16</v>
      </c>
    </row>
    <row r="6" spans="1:15" x14ac:dyDescent="0.15">
      <c r="A6" s="142"/>
      <c r="B6" s="143"/>
      <c r="C6" s="144"/>
      <c r="D6" s="142"/>
      <c r="E6" s="142" t="s">
        <v>17</v>
      </c>
      <c r="F6" s="142"/>
      <c r="G6" s="144"/>
      <c r="H6" s="142"/>
      <c r="I6" s="144" t="s">
        <v>9</v>
      </c>
      <c r="J6" s="142" t="s">
        <v>7</v>
      </c>
      <c r="K6" s="142" t="s">
        <v>104</v>
      </c>
      <c r="L6" s="144" t="s">
        <v>9</v>
      </c>
      <c r="M6" s="142" t="s">
        <v>7</v>
      </c>
      <c r="N6" s="144"/>
      <c r="O6" s="144"/>
    </row>
    <row r="7" spans="1:15" x14ac:dyDescent="0.15">
      <c r="A7" s="145" t="s">
        <v>2651</v>
      </c>
      <c r="B7" s="146"/>
      <c r="C7" s="152">
        <v>102662.52536201148</v>
      </c>
      <c r="D7" s="323"/>
      <c r="E7" s="149"/>
      <c r="F7" s="149"/>
      <c r="G7" s="147"/>
      <c r="H7" s="323"/>
      <c r="I7" s="147"/>
      <c r="J7" s="149"/>
      <c r="K7" s="149"/>
      <c r="L7" s="226"/>
      <c r="M7" s="157"/>
      <c r="N7" s="226">
        <f>+C7</f>
        <v>102662.52536201148</v>
      </c>
      <c r="O7" s="147">
        <f>+C385</f>
        <v>1552759.9663620116</v>
      </c>
    </row>
    <row r="8" spans="1:15" x14ac:dyDescent="0.15">
      <c r="A8" s="154" t="s">
        <v>2652</v>
      </c>
      <c r="B8" s="151"/>
      <c r="C8" s="152">
        <v>505751.10899999901</v>
      </c>
      <c r="D8" s="323"/>
      <c r="E8" s="154"/>
      <c r="F8" s="154"/>
      <c r="G8" s="152"/>
      <c r="H8" s="323"/>
      <c r="I8" s="152"/>
      <c r="J8" s="157"/>
      <c r="K8" s="157"/>
      <c r="L8" s="227"/>
      <c r="M8" s="157"/>
      <c r="N8" s="227">
        <f>+N7-I8-L8</f>
        <v>102662.52536201148</v>
      </c>
      <c r="O8" s="152">
        <f t="shared" ref="O8:O10" si="0">O7+G8-I8-L8</f>
        <v>1552759.9663620116</v>
      </c>
    </row>
    <row r="9" spans="1:15" x14ac:dyDescent="0.15">
      <c r="A9" s="157" t="s">
        <v>2653</v>
      </c>
      <c r="B9" s="151"/>
      <c r="C9" s="152">
        <v>724648.85500000091</v>
      </c>
      <c r="D9" s="323"/>
      <c r="E9" s="154"/>
      <c r="F9" s="157"/>
      <c r="G9" s="152"/>
      <c r="H9" s="323"/>
      <c r="I9" s="152"/>
      <c r="J9" s="157"/>
      <c r="K9" s="157"/>
      <c r="L9" s="227"/>
      <c r="M9" s="157"/>
      <c r="N9" s="227">
        <f t="shared" ref="N9:N10" si="1">+N8-I9-L9</f>
        <v>102662.52536201148</v>
      </c>
      <c r="O9" s="152">
        <f t="shared" si="0"/>
        <v>1552759.9663620116</v>
      </c>
    </row>
    <row r="10" spans="1:15" x14ac:dyDescent="0.15">
      <c r="A10" s="154" t="s">
        <v>2654</v>
      </c>
      <c r="B10" s="151"/>
      <c r="C10" s="152">
        <v>167901.50999999908</v>
      </c>
      <c r="D10" s="323"/>
      <c r="E10" s="154"/>
      <c r="F10" s="157"/>
      <c r="G10" s="152"/>
      <c r="H10" s="323"/>
      <c r="I10" s="152"/>
      <c r="J10" s="154"/>
      <c r="K10" s="157"/>
      <c r="L10" s="227"/>
      <c r="M10" s="154"/>
      <c r="N10" s="227">
        <f t="shared" si="1"/>
        <v>102662.52536201148</v>
      </c>
      <c r="O10" s="152">
        <f t="shared" si="0"/>
        <v>1552759.9663620116</v>
      </c>
    </row>
    <row r="11" spans="1:15" x14ac:dyDescent="0.15">
      <c r="A11" s="154" t="s">
        <v>2655</v>
      </c>
      <c r="B11" s="151"/>
      <c r="C11" s="152">
        <v>51795.967000001001</v>
      </c>
      <c r="D11" s="323"/>
      <c r="E11" s="154"/>
      <c r="F11" s="157"/>
      <c r="G11" s="152"/>
      <c r="H11" s="323"/>
      <c r="I11" s="152"/>
      <c r="J11" s="154"/>
      <c r="K11" s="157"/>
      <c r="L11" s="227"/>
      <c r="M11" s="154"/>
      <c r="N11" s="227">
        <f t="shared" ref="N11:N12" si="2">+N10-I11-L11</f>
        <v>102662.52536201148</v>
      </c>
      <c r="O11" s="152">
        <f t="shared" ref="O11:O12" si="3">O10+G11-I11-L11</f>
        <v>1552759.9663620116</v>
      </c>
    </row>
    <row r="12" spans="1:15" x14ac:dyDescent="0.15">
      <c r="A12" s="154"/>
      <c r="B12" s="151"/>
      <c r="C12" s="152"/>
      <c r="D12" s="323"/>
      <c r="E12" s="154"/>
      <c r="F12" s="157"/>
      <c r="G12" s="152"/>
      <c r="H12" s="323"/>
      <c r="I12" s="152"/>
      <c r="J12" s="154"/>
      <c r="K12" s="157"/>
      <c r="L12" s="227"/>
      <c r="M12" s="154"/>
      <c r="N12" s="227">
        <f t="shared" si="2"/>
        <v>102662.52536201148</v>
      </c>
      <c r="O12" s="152">
        <f t="shared" si="3"/>
        <v>1552759.9663620116</v>
      </c>
    </row>
    <row r="13" spans="1:15" x14ac:dyDescent="0.15">
      <c r="A13" s="154"/>
      <c r="B13" s="151"/>
      <c r="C13" s="152"/>
      <c r="D13" s="323" t="s">
        <v>2669</v>
      </c>
      <c r="E13" s="154" t="s">
        <v>72</v>
      </c>
      <c r="F13" s="157" t="s">
        <v>2655</v>
      </c>
      <c r="G13" s="152">
        <v>131745.65900000001</v>
      </c>
      <c r="H13" s="323" t="s">
        <v>2669</v>
      </c>
      <c r="I13" s="152">
        <v>8275.5190000000002</v>
      </c>
      <c r="J13" s="154" t="s">
        <v>2651</v>
      </c>
      <c r="K13" s="157">
        <v>5800360911</v>
      </c>
      <c r="L13" s="227">
        <v>15035.223</v>
      </c>
      <c r="M13" s="154" t="s">
        <v>2651</v>
      </c>
      <c r="N13" s="227">
        <f t="shared" ref="N13:N78" si="4">+N12-I13-L13</f>
        <v>79351.783362011483</v>
      </c>
      <c r="O13" s="152">
        <f t="shared" ref="O13:O78" si="5">O12+G13-I13-L13</f>
        <v>1661194.8833620115</v>
      </c>
    </row>
    <row r="14" spans="1:15" x14ac:dyDescent="0.15">
      <c r="A14" s="154"/>
      <c r="B14" s="151"/>
      <c r="C14" s="152"/>
      <c r="D14" s="323"/>
      <c r="E14" s="154"/>
      <c r="F14" s="157"/>
      <c r="G14" s="152"/>
      <c r="H14" s="323" t="s">
        <v>2669</v>
      </c>
      <c r="I14" s="152"/>
      <c r="J14" s="157"/>
      <c r="K14" s="157">
        <v>5800360911</v>
      </c>
      <c r="L14" s="227">
        <v>13771.942999999999</v>
      </c>
      <c r="M14" s="154" t="s">
        <v>2651</v>
      </c>
      <c r="N14" s="227">
        <f t="shared" si="4"/>
        <v>65579.840362011484</v>
      </c>
      <c r="O14" s="152">
        <f t="shared" si="5"/>
        <v>1647422.9403620115</v>
      </c>
    </row>
    <row r="15" spans="1:15" x14ac:dyDescent="0.15">
      <c r="A15" s="154"/>
      <c r="B15" s="151"/>
      <c r="C15" s="152"/>
      <c r="D15" s="323"/>
      <c r="E15" s="154"/>
      <c r="F15" s="157"/>
      <c r="G15" s="152"/>
      <c r="H15" s="323" t="s">
        <v>2669</v>
      </c>
      <c r="I15" s="152"/>
      <c r="J15" s="157"/>
      <c r="K15" s="157">
        <v>5800360911</v>
      </c>
      <c r="L15" s="227">
        <v>17127.341</v>
      </c>
      <c r="M15" s="154" t="s">
        <v>2651</v>
      </c>
      <c r="N15" s="227">
        <f t="shared" si="4"/>
        <v>48452.499362011484</v>
      </c>
      <c r="O15" s="152">
        <f t="shared" si="5"/>
        <v>1630295.5993620115</v>
      </c>
    </row>
    <row r="16" spans="1:15" x14ac:dyDescent="0.15">
      <c r="A16" s="154"/>
      <c r="B16" s="151"/>
      <c r="C16" s="152"/>
      <c r="D16" s="323"/>
      <c r="E16" s="154"/>
      <c r="F16" s="157"/>
      <c r="G16" s="152"/>
      <c r="H16" s="323" t="s">
        <v>2669</v>
      </c>
      <c r="I16" s="152"/>
      <c r="J16" s="157"/>
      <c r="K16" s="157">
        <v>5800360911</v>
      </c>
      <c r="L16" s="227">
        <v>12940.101000000001</v>
      </c>
      <c r="M16" s="154" t="s">
        <v>2651</v>
      </c>
      <c r="N16" s="227">
        <f t="shared" si="4"/>
        <v>35512.398362011481</v>
      </c>
      <c r="O16" s="152">
        <f t="shared" si="5"/>
        <v>1617355.4983620115</v>
      </c>
    </row>
    <row r="17" spans="1:15" x14ac:dyDescent="0.15">
      <c r="A17" s="154"/>
      <c r="B17" s="151"/>
      <c r="C17" s="152"/>
      <c r="D17" s="323"/>
      <c r="E17" s="154"/>
      <c r="F17" s="157"/>
      <c r="G17" s="152"/>
      <c r="H17" s="323" t="s">
        <v>2669</v>
      </c>
      <c r="I17" s="152"/>
      <c r="J17" s="157"/>
      <c r="K17" s="157">
        <v>5800360911</v>
      </c>
      <c r="L17" s="227">
        <v>8994.1059999999998</v>
      </c>
      <c r="M17" s="154" t="s">
        <v>2651</v>
      </c>
      <c r="N17" s="227">
        <f t="shared" ref="N17:N23" si="6">+N16-I17-L17</f>
        <v>26518.292362011482</v>
      </c>
      <c r="O17" s="152">
        <f t="shared" ref="O17:O23" si="7">O16+G17-I17-L17</f>
        <v>1608361.3923620116</v>
      </c>
    </row>
    <row r="18" spans="1:15" x14ac:dyDescent="0.15">
      <c r="A18" s="154"/>
      <c r="B18" s="151"/>
      <c r="C18" s="152"/>
      <c r="D18" s="323"/>
      <c r="E18" s="154"/>
      <c r="F18" s="157"/>
      <c r="G18" s="152"/>
      <c r="H18" s="323" t="s">
        <v>2669</v>
      </c>
      <c r="I18" s="152"/>
      <c r="J18" s="157"/>
      <c r="K18" s="157">
        <v>5800360911</v>
      </c>
      <c r="L18" s="227">
        <v>14598.596</v>
      </c>
      <c r="M18" s="154" t="s">
        <v>2651</v>
      </c>
      <c r="N18" s="227">
        <f t="shared" si="6"/>
        <v>11919.696362011482</v>
      </c>
      <c r="O18" s="152">
        <f t="shared" si="7"/>
        <v>1593762.7963620117</v>
      </c>
    </row>
    <row r="19" spans="1:15" x14ac:dyDescent="0.15">
      <c r="A19" s="154"/>
      <c r="B19" s="151"/>
      <c r="C19" s="152"/>
      <c r="D19" s="323"/>
      <c r="E19" s="154"/>
      <c r="F19" s="157"/>
      <c r="G19" s="152"/>
      <c r="H19" s="323" t="s">
        <v>2669</v>
      </c>
      <c r="I19" s="152"/>
      <c r="J19" s="157"/>
      <c r="K19" s="157">
        <v>5800360911</v>
      </c>
      <c r="L19" s="227">
        <v>11919.696362011482</v>
      </c>
      <c r="M19" s="154" t="s">
        <v>2651</v>
      </c>
      <c r="N19" s="227">
        <f t="shared" si="6"/>
        <v>0</v>
      </c>
      <c r="O19" s="152">
        <f t="shared" si="7"/>
        <v>1581843.1000000003</v>
      </c>
    </row>
    <row r="20" spans="1:15" x14ac:dyDescent="0.15">
      <c r="A20" s="154"/>
      <c r="B20" s="151"/>
      <c r="C20" s="152"/>
      <c r="D20" s="323"/>
      <c r="E20" s="154"/>
      <c r="F20" s="157"/>
      <c r="G20" s="152"/>
      <c r="H20" s="323" t="s">
        <v>2669</v>
      </c>
      <c r="I20" s="152"/>
      <c r="J20" s="157"/>
      <c r="K20" s="157">
        <v>5800361472</v>
      </c>
      <c r="L20" s="227">
        <v>1910.2886379885199</v>
      </c>
      <c r="M20" s="154" t="s">
        <v>2652</v>
      </c>
      <c r="N20" s="227">
        <f>C8+N19-I20-L20</f>
        <v>503840.82036201051</v>
      </c>
      <c r="O20" s="152">
        <f t="shared" si="7"/>
        <v>1579932.8113620118</v>
      </c>
    </row>
    <row r="21" spans="1:15" x14ac:dyDescent="0.15">
      <c r="A21" s="154"/>
      <c r="B21" s="151"/>
      <c r="C21" s="152"/>
      <c r="D21" s="323"/>
      <c r="E21" s="154"/>
      <c r="F21" s="157"/>
      <c r="G21" s="152"/>
      <c r="H21" s="323" t="s">
        <v>2669</v>
      </c>
      <c r="I21" s="152"/>
      <c r="J21" s="157"/>
      <c r="K21" s="157">
        <v>5800361472</v>
      </c>
      <c r="L21" s="227">
        <v>15187.297</v>
      </c>
      <c r="M21" s="154" t="s">
        <v>2652</v>
      </c>
      <c r="N21" s="227">
        <f t="shared" si="6"/>
        <v>488653.52336201048</v>
      </c>
      <c r="O21" s="152">
        <f t="shared" si="7"/>
        <v>1564745.5143620118</v>
      </c>
    </row>
    <row r="22" spans="1:15" x14ac:dyDescent="0.15">
      <c r="A22" s="154"/>
      <c r="B22" s="151"/>
      <c r="C22" s="152"/>
      <c r="D22" s="323" t="s">
        <v>2670</v>
      </c>
      <c r="E22" s="154" t="s">
        <v>72</v>
      </c>
      <c r="F22" s="157" t="s">
        <v>2655</v>
      </c>
      <c r="G22" s="152">
        <v>43875.898999999976</v>
      </c>
      <c r="H22" s="323" t="s">
        <v>2670</v>
      </c>
      <c r="I22" s="152">
        <v>12325.248</v>
      </c>
      <c r="J22" s="154" t="s">
        <v>2652</v>
      </c>
      <c r="K22" s="157">
        <v>5800361472</v>
      </c>
      <c r="L22" s="227">
        <v>14499.703</v>
      </c>
      <c r="M22" s="154" t="s">
        <v>2652</v>
      </c>
      <c r="N22" s="227">
        <f t="shared" si="6"/>
        <v>461828.57236201048</v>
      </c>
      <c r="O22" s="152">
        <f t="shared" si="7"/>
        <v>1581796.4623620119</v>
      </c>
    </row>
    <row r="23" spans="1:15" x14ac:dyDescent="0.15">
      <c r="A23" s="154"/>
      <c r="B23" s="151"/>
      <c r="C23" s="152"/>
      <c r="D23" s="323" t="s">
        <v>2670</v>
      </c>
      <c r="E23" s="154" t="s">
        <v>72</v>
      </c>
      <c r="F23" s="157" t="s">
        <v>2720</v>
      </c>
      <c r="G23" s="152">
        <v>87899.926999999996</v>
      </c>
      <c r="H23" s="323" t="s">
        <v>2670</v>
      </c>
      <c r="I23" s="152"/>
      <c r="J23" s="157"/>
      <c r="K23" s="157">
        <v>5800361472</v>
      </c>
      <c r="L23" s="227">
        <v>12476.14</v>
      </c>
      <c r="M23" s="154" t="s">
        <v>2652</v>
      </c>
      <c r="N23" s="227">
        <f t="shared" si="6"/>
        <v>449352.43236201047</v>
      </c>
      <c r="O23" s="152">
        <f t="shared" si="7"/>
        <v>1657220.2493620119</v>
      </c>
    </row>
    <row r="24" spans="1:15" x14ac:dyDescent="0.15">
      <c r="A24" s="154"/>
      <c r="B24" s="151"/>
      <c r="C24" s="152"/>
      <c r="D24" s="323"/>
      <c r="E24" s="154"/>
      <c r="F24" s="157"/>
      <c r="G24" s="152"/>
      <c r="H24" s="323" t="s">
        <v>2670</v>
      </c>
      <c r="I24" s="152"/>
      <c r="J24" s="157"/>
      <c r="K24" s="157">
        <v>5800361472</v>
      </c>
      <c r="L24" s="227">
        <v>13681.284</v>
      </c>
      <c r="M24" s="154" t="s">
        <v>2652</v>
      </c>
      <c r="N24" s="227">
        <f t="shared" si="4"/>
        <v>435671.14836201048</v>
      </c>
      <c r="O24" s="152">
        <f t="shared" si="5"/>
        <v>1643538.9653620119</v>
      </c>
    </row>
    <row r="25" spans="1:15" x14ac:dyDescent="0.15">
      <c r="A25" s="154"/>
      <c r="B25" s="151"/>
      <c r="C25" s="152"/>
      <c r="D25" s="323"/>
      <c r="E25" s="154"/>
      <c r="F25" s="157"/>
      <c r="G25" s="152"/>
      <c r="H25" s="323" t="s">
        <v>2670</v>
      </c>
      <c r="I25" s="152"/>
      <c r="J25" s="157"/>
      <c r="K25" s="157">
        <v>5800361472</v>
      </c>
      <c r="L25" s="227">
        <v>15812.771000000001</v>
      </c>
      <c r="M25" s="154" t="s">
        <v>2652</v>
      </c>
      <c r="N25" s="227">
        <f t="shared" si="4"/>
        <v>419858.37736201048</v>
      </c>
      <c r="O25" s="152">
        <f t="shared" si="5"/>
        <v>1627726.194362012</v>
      </c>
    </row>
    <row r="26" spans="1:15" x14ac:dyDescent="0.15">
      <c r="A26" s="154"/>
      <c r="B26" s="151"/>
      <c r="C26" s="152"/>
      <c r="D26" s="323"/>
      <c r="E26" s="154"/>
      <c r="F26" s="157"/>
      <c r="G26" s="152"/>
      <c r="H26" s="323" t="s">
        <v>2670</v>
      </c>
      <c r="I26" s="152"/>
      <c r="J26" s="157"/>
      <c r="K26" s="157">
        <v>5800361472</v>
      </c>
      <c r="L26" s="227">
        <v>15194.21</v>
      </c>
      <c r="M26" s="154" t="s">
        <v>2652</v>
      </c>
      <c r="N26" s="227">
        <f t="shared" si="4"/>
        <v>404664.16736201046</v>
      </c>
      <c r="O26" s="152">
        <f t="shared" si="5"/>
        <v>1612531.984362012</v>
      </c>
    </row>
    <row r="27" spans="1:15" x14ac:dyDescent="0.15">
      <c r="A27" s="154"/>
      <c r="B27" s="151"/>
      <c r="C27" s="152"/>
      <c r="D27" s="323"/>
      <c r="E27" s="154"/>
      <c r="F27" s="157"/>
      <c r="G27" s="152"/>
      <c r="H27" s="323" t="s">
        <v>2670</v>
      </c>
      <c r="I27" s="152"/>
      <c r="J27" s="157"/>
      <c r="K27" s="157">
        <v>5800361472</v>
      </c>
      <c r="L27" s="227">
        <v>10925.241</v>
      </c>
      <c r="M27" s="154" t="s">
        <v>2652</v>
      </c>
      <c r="N27" s="227">
        <f t="shared" si="4"/>
        <v>393738.92636201048</v>
      </c>
      <c r="O27" s="152">
        <f t="shared" si="5"/>
        <v>1601606.7433620121</v>
      </c>
    </row>
    <row r="28" spans="1:15" x14ac:dyDescent="0.15">
      <c r="A28" s="154"/>
      <c r="B28" s="151"/>
      <c r="C28" s="152"/>
      <c r="D28" s="323"/>
      <c r="E28" s="154"/>
      <c r="F28" s="157"/>
      <c r="G28" s="152"/>
      <c r="H28" s="323" t="s">
        <v>2670</v>
      </c>
      <c r="I28" s="152"/>
      <c r="J28" s="157"/>
      <c r="K28" s="157">
        <v>5800361472</v>
      </c>
      <c r="L28" s="227">
        <v>10175.773999999999</v>
      </c>
      <c r="M28" s="154" t="s">
        <v>2652</v>
      </c>
      <c r="N28" s="227">
        <f t="shared" si="4"/>
        <v>383563.1523620105</v>
      </c>
      <c r="O28" s="152">
        <f t="shared" si="5"/>
        <v>1591430.9693620121</v>
      </c>
    </row>
    <row r="29" spans="1:15" x14ac:dyDescent="0.15">
      <c r="A29" s="154"/>
      <c r="B29" s="151"/>
      <c r="C29" s="152"/>
      <c r="D29" s="323"/>
      <c r="E29" s="154"/>
      <c r="F29" s="157"/>
      <c r="G29" s="152"/>
      <c r="H29" s="323" t="s">
        <v>2670</v>
      </c>
      <c r="I29" s="152"/>
      <c r="J29" s="157"/>
      <c r="K29" s="157">
        <v>5800361472</v>
      </c>
      <c r="L29" s="227">
        <v>233.834</v>
      </c>
      <c r="M29" s="154" t="s">
        <v>2652</v>
      </c>
      <c r="N29" s="227">
        <f t="shared" si="4"/>
        <v>383329.31836201053</v>
      </c>
      <c r="O29" s="152">
        <f t="shared" si="5"/>
        <v>1591197.1353620121</v>
      </c>
    </row>
    <row r="30" spans="1:15" x14ac:dyDescent="0.15">
      <c r="A30" s="154"/>
      <c r="B30" s="151"/>
      <c r="C30" s="152"/>
      <c r="D30" s="323"/>
      <c r="E30" s="154"/>
      <c r="F30" s="157"/>
      <c r="G30" s="152"/>
      <c r="H30" s="323" t="s">
        <v>2670</v>
      </c>
      <c r="I30" s="152"/>
      <c r="J30" s="157"/>
      <c r="K30" s="157">
        <v>5800361472</v>
      </c>
      <c r="L30" s="227">
        <v>14284.856</v>
      </c>
      <c r="M30" s="154" t="s">
        <v>2652</v>
      </c>
      <c r="N30" s="227">
        <f t="shared" si="4"/>
        <v>369044.4623620105</v>
      </c>
      <c r="O30" s="152">
        <f t="shared" si="5"/>
        <v>1576912.2793620122</v>
      </c>
    </row>
    <row r="31" spans="1:15" x14ac:dyDescent="0.15">
      <c r="A31" s="154"/>
      <c r="B31" s="151"/>
      <c r="C31" s="152"/>
      <c r="D31" s="323"/>
      <c r="E31" s="154"/>
      <c r="F31" s="157"/>
      <c r="G31" s="152"/>
      <c r="H31" s="323" t="s">
        <v>2670</v>
      </c>
      <c r="I31" s="152"/>
      <c r="J31" s="157"/>
      <c r="K31" s="157">
        <v>5800361472</v>
      </c>
      <c r="L31" s="227">
        <v>14668.583000000001</v>
      </c>
      <c r="M31" s="154" t="s">
        <v>2652</v>
      </c>
      <c r="N31" s="227">
        <f t="shared" si="4"/>
        <v>354375.87936201051</v>
      </c>
      <c r="O31" s="152">
        <f t="shared" si="5"/>
        <v>1562243.6963620121</v>
      </c>
    </row>
    <row r="32" spans="1:15" x14ac:dyDescent="0.15">
      <c r="A32" s="154"/>
      <c r="B32" s="151"/>
      <c r="C32" s="152"/>
      <c r="D32" s="323" t="s">
        <v>2673</v>
      </c>
      <c r="E32" s="154" t="s">
        <v>72</v>
      </c>
      <c r="F32" s="157" t="s">
        <v>2720</v>
      </c>
      <c r="G32" s="152">
        <v>87805.532000000007</v>
      </c>
      <c r="H32" s="323" t="s">
        <v>2673</v>
      </c>
      <c r="I32" s="152">
        <v>14398.643</v>
      </c>
      <c r="J32" s="154" t="s">
        <v>2652</v>
      </c>
      <c r="K32" s="157">
        <v>5800361472</v>
      </c>
      <c r="L32" s="227">
        <v>15375.441000000001</v>
      </c>
      <c r="M32" s="154" t="s">
        <v>2652</v>
      </c>
      <c r="N32" s="227">
        <f t="shared" si="4"/>
        <v>324601.79536201054</v>
      </c>
      <c r="O32" s="152">
        <f t="shared" si="5"/>
        <v>1620275.1443620122</v>
      </c>
    </row>
    <row r="33" spans="1:15" x14ac:dyDescent="0.15">
      <c r="A33" s="154"/>
      <c r="B33" s="151"/>
      <c r="C33" s="152"/>
      <c r="D33" s="323"/>
      <c r="E33" s="154"/>
      <c r="F33" s="157"/>
      <c r="G33" s="152"/>
      <c r="H33" s="323" t="s">
        <v>2673</v>
      </c>
      <c r="I33" s="152"/>
      <c r="J33" s="157"/>
      <c r="K33" s="157">
        <v>5800361472</v>
      </c>
      <c r="L33" s="227">
        <v>14094.571</v>
      </c>
      <c r="M33" s="154" t="s">
        <v>2652</v>
      </c>
      <c r="N33" s="227">
        <f t="shared" si="4"/>
        <v>310507.22436201054</v>
      </c>
      <c r="O33" s="152">
        <f t="shared" si="5"/>
        <v>1606180.5733620122</v>
      </c>
    </row>
    <row r="34" spans="1:15" x14ac:dyDescent="0.15">
      <c r="A34" s="154"/>
      <c r="B34" s="151"/>
      <c r="C34" s="152"/>
      <c r="D34" s="323"/>
      <c r="E34" s="154"/>
      <c r="F34" s="157"/>
      <c r="G34" s="152"/>
      <c r="H34" s="323" t="s">
        <v>2673</v>
      </c>
      <c r="I34" s="152"/>
      <c r="J34" s="157"/>
      <c r="K34" s="157">
        <v>5800361472</v>
      </c>
      <c r="L34" s="227">
        <v>37351.213000000003</v>
      </c>
      <c r="M34" s="154" t="s">
        <v>2652</v>
      </c>
      <c r="N34" s="227">
        <f t="shared" si="4"/>
        <v>273156.01136201055</v>
      </c>
      <c r="O34" s="152">
        <f t="shared" si="5"/>
        <v>1568829.3603620122</v>
      </c>
    </row>
    <row r="35" spans="1:15" x14ac:dyDescent="0.15">
      <c r="A35" s="154"/>
      <c r="B35" s="151"/>
      <c r="C35" s="152"/>
      <c r="D35" s="323"/>
      <c r="E35" s="154"/>
      <c r="F35" s="157"/>
      <c r="G35" s="152"/>
      <c r="H35" s="323" t="s">
        <v>2673</v>
      </c>
      <c r="I35" s="152"/>
      <c r="J35" s="157"/>
      <c r="K35" s="157">
        <v>5800361472</v>
      </c>
      <c r="L35" s="227">
        <v>12928.689</v>
      </c>
      <c r="M35" s="154" t="s">
        <v>2652</v>
      </c>
      <c r="N35" s="227">
        <f t="shared" si="4"/>
        <v>260227.32236201054</v>
      </c>
      <c r="O35" s="152">
        <f t="shared" si="5"/>
        <v>1555900.6713620122</v>
      </c>
    </row>
    <row r="36" spans="1:15" x14ac:dyDescent="0.15">
      <c r="A36" s="154"/>
      <c r="B36" s="151"/>
      <c r="C36" s="152"/>
      <c r="D36" s="323"/>
      <c r="E36" s="154"/>
      <c r="F36" s="157"/>
      <c r="G36" s="152"/>
      <c r="H36" s="323" t="s">
        <v>2673</v>
      </c>
      <c r="I36" s="152"/>
      <c r="J36" s="157"/>
      <c r="K36" s="157">
        <v>5800361472</v>
      </c>
      <c r="L36" s="227">
        <v>12128.77</v>
      </c>
      <c r="M36" s="154" t="s">
        <v>2652</v>
      </c>
      <c r="N36" s="227">
        <f t="shared" si="4"/>
        <v>248098.55236201055</v>
      </c>
      <c r="O36" s="152">
        <f t="shared" si="5"/>
        <v>1543771.9013620121</v>
      </c>
    </row>
    <row r="37" spans="1:15" x14ac:dyDescent="0.15">
      <c r="A37" s="154"/>
      <c r="B37" s="151"/>
      <c r="C37" s="152"/>
      <c r="D37" s="323"/>
      <c r="E37" s="154"/>
      <c r="F37" s="157"/>
      <c r="G37" s="152"/>
      <c r="H37" s="323" t="s">
        <v>2673</v>
      </c>
      <c r="I37" s="152"/>
      <c r="J37" s="157"/>
      <c r="K37" s="157">
        <v>5800361472</v>
      </c>
      <c r="L37" s="227">
        <v>17143.261999999999</v>
      </c>
      <c r="M37" s="154" t="s">
        <v>2652</v>
      </c>
      <c r="N37" s="227">
        <f t="shared" si="4"/>
        <v>230955.29036201056</v>
      </c>
      <c r="O37" s="152">
        <f t="shared" si="5"/>
        <v>1526628.639362012</v>
      </c>
    </row>
    <row r="38" spans="1:15" x14ac:dyDescent="0.15">
      <c r="A38" s="154"/>
      <c r="B38" s="151"/>
      <c r="C38" s="152"/>
      <c r="D38" s="323"/>
      <c r="E38" s="154"/>
      <c r="F38" s="157"/>
      <c r="G38" s="152"/>
      <c r="H38" s="323" t="s">
        <v>2673</v>
      </c>
      <c r="I38" s="152"/>
      <c r="J38" s="157"/>
      <c r="K38" s="157">
        <v>5800361472</v>
      </c>
      <c r="L38" s="227">
        <v>9247.0619999999999</v>
      </c>
      <c r="M38" s="154" t="s">
        <v>2652</v>
      </c>
      <c r="N38" s="227">
        <f t="shared" si="4"/>
        <v>221708.22836201056</v>
      </c>
      <c r="O38" s="152">
        <f t="shared" si="5"/>
        <v>1517381.5773620121</v>
      </c>
    </row>
    <row r="39" spans="1:15" x14ac:dyDescent="0.15">
      <c r="A39" s="154"/>
      <c r="B39" s="151"/>
      <c r="C39" s="152"/>
      <c r="D39" s="323"/>
      <c r="E39" s="154"/>
      <c r="F39" s="157"/>
      <c r="G39" s="152"/>
      <c r="H39" s="323" t="s">
        <v>2673</v>
      </c>
      <c r="I39" s="152"/>
      <c r="J39" s="157"/>
      <c r="K39" s="157">
        <v>5800361472</v>
      </c>
      <c r="L39" s="227">
        <v>15810.585999999999</v>
      </c>
      <c r="M39" s="154" t="s">
        <v>2652</v>
      </c>
      <c r="N39" s="227">
        <f t="shared" si="4"/>
        <v>205897.64236201055</v>
      </c>
      <c r="O39" s="152">
        <f t="shared" si="5"/>
        <v>1501570.9913620122</v>
      </c>
    </row>
    <row r="40" spans="1:15" x14ac:dyDescent="0.15">
      <c r="A40" s="154"/>
      <c r="B40" s="151"/>
      <c r="C40" s="152"/>
      <c r="D40" s="323"/>
      <c r="E40" s="154"/>
      <c r="F40" s="157"/>
      <c r="G40" s="152"/>
      <c r="H40" s="323" t="s">
        <v>2673</v>
      </c>
      <c r="I40" s="152"/>
      <c r="J40" s="157"/>
      <c r="K40" s="157">
        <v>5800361472</v>
      </c>
      <c r="L40" s="227">
        <v>14789</v>
      </c>
      <c r="M40" s="154" t="s">
        <v>2652</v>
      </c>
      <c r="N40" s="227">
        <f t="shared" si="4"/>
        <v>191108.64236201055</v>
      </c>
      <c r="O40" s="152">
        <f t="shared" si="5"/>
        <v>1486781.9913620122</v>
      </c>
    </row>
    <row r="41" spans="1:15" x14ac:dyDescent="0.15">
      <c r="A41" s="154"/>
      <c r="B41" s="151"/>
      <c r="C41" s="152"/>
      <c r="D41" s="323"/>
      <c r="E41" s="154"/>
      <c r="F41" s="157"/>
      <c r="G41" s="152"/>
      <c r="H41" s="323" t="s">
        <v>2673</v>
      </c>
      <c r="I41" s="152"/>
      <c r="J41" s="157"/>
      <c r="K41" s="157">
        <v>5800361472</v>
      </c>
      <c r="L41" s="227">
        <v>14121.271000000001</v>
      </c>
      <c r="M41" s="154" t="s">
        <v>2652</v>
      </c>
      <c r="N41" s="227">
        <f t="shared" si="4"/>
        <v>176987.37136201054</v>
      </c>
      <c r="O41" s="152">
        <f t="shared" si="5"/>
        <v>1472660.7203620123</v>
      </c>
    </row>
    <row r="42" spans="1:15" x14ac:dyDescent="0.15">
      <c r="A42" s="154"/>
      <c r="B42" s="151"/>
      <c r="C42" s="152"/>
      <c r="D42" s="323" t="s">
        <v>2675</v>
      </c>
      <c r="E42" s="154" t="s">
        <v>72</v>
      </c>
      <c r="F42" s="157" t="s">
        <v>2721</v>
      </c>
      <c r="G42" s="152">
        <v>131711.003</v>
      </c>
      <c r="H42" s="323" t="s">
        <v>2675</v>
      </c>
      <c r="I42" s="152">
        <v>11239.475999999999</v>
      </c>
      <c r="J42" s="154" t="s">
        <v>2652</v>
      </c>
      <c r="K42" s="157">
        <v>5800361472</v>
      </c>
      <c r="L42" s="227">
        <v>13268.464</v>
      </c>
      <c r="M42" s="154" t="s">
        <v>2652</v>
      </c>
      <c r="N42" s="227">
        <f t="shared" si="4"/>
        <v>152479.43136201054</v>
      </c>
      <c r="O42" s="152">
        <f t="shared" si="5"/>
        <v>1579863.7833620124</v>
      </c>
    </row>
    <row r="43" spans="1:15" x14ac:dyDescent="0.15">
      <c r="A43" s="154"/>
      <c r="B43" s="151"/>
      <c r="C43" s="152"/>
      <c r="D43" s="323"/>
      <c r="E43" s="154"/>
      <c r="F43" s="157"/>
      <c r="G43" s="152"/>
      <c r="H43" s="323" t="s">
        <v>2675</v>
      </c>
      <c r="I43" s="152"/>
      <c r="J43" s="157"/>
      <c r="K43" s="157">
        <v>5800361472</v>
      </c>
      <c r="L43" s="227">
        <v>12185.038</v>
      </c>
      <c r="M43" s="154" t="s">
        <v>2652</v>
      </c>
      <c r="N43" s="227">
        <f t="shared" si="4"/>
        <v>140294.39336201054</v>
      </c>
      <c r="O43" s="152">
        <f t="shared" si="5"/>
        <v>1567678.7453620124</v>
      </c>
    </row>
    <row r="44" spans="1:15" x14ac:dyDescent="0.15">
      <c r="A44" s="154"/>
      <c r="B44" s="151"/>
      <c r="C44" s="152"/>
      <c r="D44" s="323"/>
      <c r="E44" s="154"/>
      <c r="F44" s="157"/>
      <c r="G44" s="152"/>
      <c r="H44" s="323" t="s">
        <v>2675</v>
      </c>
      <c r="I44" s="152"/>
      <c r="J44" s="157"/>
      <c r="K44" s="157">
        <v>5800361472</v>
      </c>
      <c r="L44" s="227">
        <v>13754.102999999999</v>
      </c>
      <c r="M44" s="154" t="s">
        <v>2652</v>
      </c>
      <c r="N44" s="227">
        <f t="shared" si="4"/>
        <v>126540.29036201054</v>
      </c>
      <c r="O44" s="152">
        <f t="shared" si="5"/>
        <v>1553924.6423620125</v>
      </c>
    </row>
    <row r="45" spans="1:15" x14ac:dyDescent="0.15">
      <c r="A45" s="154"/>
      <c r="B45" s="151"/>
      <c r="C45" s="152"/>
      <c r="D45" s="323"/>
      <c r="E45" s="154"/>
      <c r="F45" s="157"/>
      <c r="G45" s="152"/>
      <c r="H45" s="323" t="s">
        <v>2675</v>
      </c>
      <c r="I45" s="152"/>
      <c r="J45" s="157"/>
      <c r="K45" s="157">
        <v>5800361472</v>
      </c>
      <c r="L45" s="227">
        <v>13193.365</v>
      </c>
      <c r="M45" s="154" t="s">
        <v>2652</v>
      </c>
      <c r="N45" s="227">
        <f t="shared" si="4"/>
        <v>113346.92536201053</v>
      </c>
      <c r="O45" s="152">
        <f t="shared" si="5"/>
        <v>1540731.2773620125</v>
      </c>
    </row>
    <row r="46" spans="1:15" x14ac:dyDescent="0.15">
      <c r="A46" s="154"/>
      <c r="B46" s="151"/>
      <c r="C46" s="152"/>
      <c r="D46" s="323"/>
      <c r="E46" s="154"/>
      <c r="F46" s="157"/>
      <c r="G46" s="152"/>
      <c r="H46" s="323" t="s">
        <v>2675</v>
      </c>
      <c r="I46" s="152"/>
      <c r="J46" s="157"/>
      <c r="K46" s="157">
        <v>5800361472</v>
      </c>
      <c r="L46" s="227">
        <v>12859.925999999999</v>
      </c>
      <c r="M46" s="154" t="s">
        <v>2652</v>
      </c>
      <c r="N46" s="227">
        <f t="shared" si="4"/>
        <v>100486.99936201054</v>
      </c>
      <c r="O46" s="152">
        <f t="shared" si="5"/>
        <v>1527871.3513620126</v>
      </c>
    </row>
    <row r="47" spans="1:15" x14ac:dyDescent="0.15">
      <c r="A47" s="154"/>
      <c r="B47" s="151"/>
      <c r="C47" s="152"/>
      <c r="D47" s="323"/>
      <c r="E47" s="154"/>
      <c r="F47" s="157"/>
      <c r="G47" s="152"/>
      <c r="H47" s="323" t="s">
        <v>2675</v>
      </c>
      <c r="I47" s="152"/>
      <c r="J47" s="157"/>
      <c r="K47" s="157">
        <v>5800361472</v>
      </c>
      <c r="L47" s="227">
        <v>14243.776</v>
      </c>
      <c r="M47" s="154" t="s">
        <v>2652</v>
      </c>
      <c r="N47" s="227">
        <f t="shared" si="4"/>
        <v>86243.22336201054</v>
      </c>
      <c r="O47" s="152">
        <f t="shared" si="5"/>
        <v>1513627.5753620125</v>
      </c>
    </row>
    <row r="48" spans="1:15" x14ac:dyDescent="0.15">
      <c r="A48" s="154"/>
      <c r="B48" s="151"/>
      <c r="C48" s="152"/>
      <c r="D48" s="323"/>
      <c r="E48" s="154"/>
      <c r="F48" s="157"/>
      <c r="G48" s="152"/>
      <c r="H48" s="323" t="s">
        <v>2675</v>
      </c>
      <c r="I48" s="152"/>
      <c r="J48" s="157"/>
      <c r="K48" s="157">
        <v>5800361472</v>
      </c>
      <c r="L48" s="227">
        <v>14597.596</v>
      </c>
      <c r="M48" s="154" t="s">
        <v>2652</v>
      </c>
      <c r="N48" s="227">
        <f t="shared" si="4"/>
        <v>71645.627362010535</v>
      </c>
      <c r="O48" s="152">
        <f t="shared" si="5"/>
        <v>1499029.9793620126</v>
      </c>
    </row>
    <row r="49" spans="1:15" x14ac:dyDescent="0.15">
      <c r="A49" s="154"/>
      <c r="B49" s="151"/>
      <c r="C49" s="152"/>
      <c r="D49" s="323" t="s">
        <v>2676</v>
      </c>
      <c r="E49" s="154" t="s">
        <v>72</v>
      </c>
      <c r="F49" s="157" t="s">
        <v>2721</v>
      </c>
      <c r="G49" s="152">
        <v>87746.956999999995</v>
      </c>
      <c r="H49" s="323" t="s">
        <v>2676</v>
      </c>
      <c r="I49" s="152">
        <v>9528.0450000000001</v>
      </c>
      <c r="J49" s="154" t="s">
        <v>2652</v>
      </c>
      <c r="K49" s="157">
        <v>5800361472</v>
      </c>
      <c r="L49" s="227">
        <v>14328.356</v>
      </c>
      <c r="M49" s="154" t="s">
        <v>2652</v>
      </c>
      <c r="N49" s="227">
        <f t="shared" si="4"/>
        <v>47789.226362010537</v>
      </c>
      <c r="O49" s="152">
        <f t="shared" si="5"/>
        <v>1562920.5353620127</v>
      </c>
    </row>
    <row r="50" spans="1:15" x14ac:dyDescent="0.15">
      <c r="A50" s="154"/>
      <c r="B50" s="151"/>
      <c r="C50" s="152"/>
      <c r="D50" s="323"/>
      <c r="E50" s="154"/>
      <c r="F50" s="157"/>
      <c r="G50" s="152"/>
      <c r="H50" s="323" t="s">
        <v>2676</v>
      </c>
      <c r="I50" s="152"/>
      <c r="J50" s="157"/>
      <c r="K50" s="157">
        <v>5800361472</v>
      </c>
      <c r="L50" s="227">
        <v>36800.188999999998</v>
      </c>
      <c r="M50" s="154" t="s">
        <v>2652</v>
      </c>
      <c r="N50" s="227">
        <f t="shared" ref="N50:N53" si="8">+N49-I50-L50</f>
        <v>10989.037362010538</v>
      </c>
      <c r="O50" s="152">
        <f t="shared" ref="O50:O53" si="9">O49+G50-I50-L50</f>
        <v>1526120.3463620127</v>
      </c>
    </row>
    <row r="51" spans="1:15" x14ac:dyDescent="0.15">
      <c r="A51" s="154"/>
      <c r="B51" s="151"/>
      <c r="C51" s="152"/>
      <c r="D51" s="323"/>
      <c r="E51" s="154"/>
      <c r="F51" s="157"/>
      <c r="G51" s="152"/>
      <c r="H51" s="323" t="s">
        <v>2676</v>
      </c>
      <c r="I51" s="152"/>
      <c r="J51" s="157"/>
      <c r="K51" s="157">
        <v>5800361472</v>
      </c>
      <c r="L51" s="227">
        <v>10989.037362010538</v>
      </c>
      <c r="M51" s="154" t="s">
        <v>2652</v>
      </c>
      <c r="N51" s="227">
        <f t="shared" si="8"/>
        <v>0</v>
      </c>
      <c r="O51" s="152">
        <f t="shared" si="9"/>
        <v>1515131.3090000022</v>
      </c>
    </row>
    <row r="52" spans="1:15" x14ac:dyDescent="0.15">
      <c r="A52" s="154"/>
      <c r="B52" s="151"/>
      <c r="C52" s="152"/>
      <c r="D52" s="323"/>
      <c r="E52" s="154"/>
      <c r="F52" s="157"/>
      <c r="G52" s="152"/>
      <c r="H52" s="323" t="s">
        <v>2676</v>
      </c>
      <c r="I52" s="152"/>
      <c r="J52" s="157"/>
      <c r="K52" s="157">
        <v>5800361472</v>
      </c>
      <c r="L52" s="227">
        <v>2782.1496379894602</v>
      </c>
      <c r="M52" s="157" t="s">
        <v>2653</v>
      </c>
      <c r="N52" s="227">
        <f>C9+N51-I52-L52</f>
        <v>721866.70536201145</v>
      </c>
      <c r="O52" s="152">
        <f t="shared" si="9"/>
        <v>1512349.1593620128</v>
      </c>
    </row>
    <row r="53" spans="1:15" x14ac:dyDescent="0.15">
      <c r="A53" s="154"/>
      <c r="B53" s="151"/>
      <c r="C53" s="152"/>
      <c r="D53" s="323"/>
      <c r="E53" s="154"/>
      <c r="F53" s="157"/>
      <c r="G53" s="152"/>
      <c r="H53" s="323" t="s">
        <v>2676</v>
      </c>
      <c r="I53" s="152"/>
      <c r="J53" s="157"/>
      <c r="K53" s="157">
        <v>5800361472</v>
      </c>
      <c r="L53" s="227">
        <v>11397.465</v>
      </c>
      <c r="M53" s="157" t="s">
        <v>2653</v>
      </c>
      <c r="N53" s="227">
        <f t="shared" si="8"/>
        <v>710469.24036201148</v>
      </c>
      <c r="O53" s="152">
        <f t="shared" si="9"/>
        <v>1500951.6943620127</v>
      </c>
    </row>
    <row r="54" spans="1:15" x14ac:dyDescent="0.15">
      <c r="A54" s="154"/>
      <c r="B54" s="151"/>
      <c r="C54" s="152"/>
      <c r="D54" s="323"/>
      <c r="E54" s="154"/>
      <c r="F54" s="157"/>
      <c r="G54" s="152"/>
      <c r="H54" s="323" t="s">
        <v>2676</v>
      </c>
      <c r="I54" s="152"/>
      <c r="J54" s="157"/>
      <c r="K54" s="157">
        <v>5800361472</v>
      </c>
      <c r="L54" s="227">
        <v>10987.341</v>
      </c>
      <c r="M54" s="157" t="s">
        <v>2653</v>
      </c>
      <c r="N54" s="227">
        <f t="shared" si="4"/>
        <v>699481.89936201146</v>
      </c>
      <c r="O54" s="152">
        <f t="shared" si="5"/>
        <v>1489964.3533620127</v>
      </c>
    </row>
    <row r="55" spans="1:15" x14ac:dyDescent="0.15">
      <c r="A55" s="154"/>
      <c r="B55" s="151"/>
      <c r="C55" s="152"/>
      <c r="D55" s="323"/>
      <c r="E55" s="154"/>
      <c r="F55" s="157"/>
      <c r="G55" s="152"/>
      <c r="H55" s="323" t="s">
        <v>2676</v>
      </c>
      <c r="I55" s="152"/>
      <c r="J55" s="157"/>
      <c r="K55" s="157">
        <v>5800361472</v>
      </c>
      <c r="L55" s="227">
        <v>16981.163</v>
      </c>
      <c r="M55" s="157" t="s">
        <v>2653</v>
      </c>
      <c r="N55" s="227">
        <f t="shared" si="4"/>
        <v>682500.7363620114</v>
      </c>
      <c r="O55" s="152">
        <f t="shared" si="5"/>
        <v>1472983.1903620127</v>
      </c>
    </row>
    <row r="56" spans="1:15" x14ac:dyDescent="0.15">
      <c r="A56" s="154"/>
      <c r="B56" s="151"/>
      <c r="C56" s="152"/>
      <c r="D56" s="323"/>
      <c r="E56" s="154"/>
      <c r="F56" s="157"/>
      <c r="G56" s="152"/>
      <c r="H56" s="323" t="s">
        <v>2676</v>
      </c>
      <c r="I56" s="152"/>
      <c r="J56" s="157"/>
      <c r="K56" s="157">
        <v>5800361472</v>
      </c>
      <c r="L56" s="227">
        <v>13146.334000000001</v>
      </c>
      <c r="M56" s="157" t="s">
        <v>2653</v>
      </c>
      <c r="N56" s="227">
        <f t="shared" si="4"/>
        <v>669354.40236201137</v>
      </c>
      <c r="O56" s="152">
        <f t="shared" si="5"/>
        <v>1459836.8563620127</v>
      </c>
    </row>
    <row r="57" spans="1:15" x14ac:dyDescent="0.15">
      <c r="A57" s="154"/>
      <c r="B57" s="151"/>
      <c r="C57" s="152"/>
      <c r="D57" s="323"/>
      <c r="E57" s="154"/>
      <c r="F57" s="157"/>
      <c r="G57" s="152"/>
      <c r="H57" s="323" t="s">
        <v>2676</v>
      </c>
      <c r="I57" s="152"/>
      <c r="J57" s="157"/>
      <c r="K57" s="157">
        <v>5800361472</v>
      </c>
      <c r="L57" s="227">
        <v>1525.691</v>
      </c>
      <c r="M57" s="157" t="s">
        <v>2653</v>
      </c>
      <c r="N57" s="227">
        <f t="shared" si="4"/>
        <v>667828.71136201138</v>
      </c>
      <c r="O57" s="152">
        <f t="shared" si="5"/>
        <v>1458311.1653620126</v>
      </c>
    </row>
    <row r="58" spans="1:15" x14ac:dyDescent="0.15">
      <c r="A58" s="154"/>
      <c r="B58" s="151"/>
      <c r="C58" s="152"/>
      <c r="D58" s="323"/>
      <c r="E58" s="154"/>
      <c r="F58" s="157"/>
      <c r="G58" s="152"/>
      <c r="H58" s="323" t="s">
        <v>2676</v>
      </c>
      <c r="I58" s="152"/>
      <c r="J58" s="157"/>
      <c r="K58" s="157">
        <v>5800361472</v>
      </c>
      <c r="L58" s="227">
        <v>14327.094999999999</v>
      </c>
      <c r="M58" s="157" t="s">
        <v>2653</v>
      </c>
      <c r="N58" s="227">
        <f t="shared" si="4"/>
        <v>653501.61636201141</v>
      </c>
      <c r="O58" s="152">
        <f t="shared" si="5"/>
        <v>1443984.0703620126</v>
      </c>
    </row>
    <row r="59" spans="1:15" x14ac:dyDescent="0.15">
      <c r="A59" s="154"/>
      <c r="B59" s="151"/>
      <c r="C59" s="152"/>
      <c r="D59" s="323"/>
      <c r="E59" s="154"/>
      <c r="F59" s="157"/>
      <c r="G59" s="152"/>
      <c r="H59" s="323" t="s">
        <v>2676</v>
      </c>
      <c r="I59" s="152"/>
      <c r="J59" s="157"/>
      <c r="K59" s="157">
        <v>5800361472</v>
      </c>
      <c r="L59" s="227">
        <v>14996.959000000001</v>
      </c>
      <c r="M59" s="157" t="s">
        <v>2653</v>
      </c>
      <c r="N59" s="227">
        <f t="shared" si="4"/>
        <v>638504.65736201138</v>
      </c>
      <c r="O59" s="152">
        <f t="shared" si="5"/>
        <v>1428987.1113620126</v>
      </c>
    </row>
    <row r="60" spans="1:15" x14ac:dyDescent="0.15">
      <c r="A60" s="154"/>
      <c r="B60" s="151"/>
      <c r="C60" s="152"/>
      <c r="D60" s="323" t="s">
        <v>2677</v>
      </c>
      <c r="E60" s="154" t="s">
        <v>72</v>
      </c>
      <c r="F60" s="157" t="s">
        <v>2721</v>
      </c>
      <c r="G60" s="152">
        <v>175793.791</v>
      </c>
      <c r="H60" s="323" t="s">
        <v>2677</v>
      </c>
      <c r="I60" s="152">
        <v>4591.5349999999999</v>
      </c>
      <c r="J60" s="157" t="s">
        <v>2653</v>
      </c>
      <c r="K60" s="157">
        <v>5800361472</v>
      </c>
      <c r="L60" s="227">
        <v>13785.397000000001</v>
      </c>
      <c r="M60" s="157" t="s">
        <v>2653</v>
      </c>
      <c r="N60" s="227">
        <f t="shared" si="4"/>
        <v>620127.72536201135</v>
      </c>
      <c r="O60" s="152">
        <f t="shared" si="5"/>
        <v>1586403.9703620125</v>
      </c>
    </row>
    <row r="61" spans="1:15" x14ac:dyDescent="0.15">
      <c r="A61" s="154"/>
      <c r="B61" s="151"/>
      <c r="C61" s="152"/>
      <c r="D61" s="323"/>
      <c r="E61" s="154"/>
      <c r="F61" s="157"/>
      <c r="G61" s="152"/>
      <c r="H61" s="323" t="s">
        <v>2677</v>
      </c>
      <c r="I61" s="152"/>
      <c r="J61" s="157"/>
      <c r="K61" s="157">
        <v>5800361472</v>
      </c>
      <c r="L61" s="227">
        <v>11991.215</v>
      </c>
      <c r="M61" s="157" t="s">
        <v>2653</v>
      </c>
      <c r="N61" s="227">
        <f t="shared" si="4"/>
        <v>608136.51036201138</v>
      </c>
      <c r="O61" s="152">
        <f t="shared" si="5"/>
        <v>1574412.7553620124</v>
      </c>
    </row>
    <row r="62" spans="1:15" x14ac:dyDescent="0.15">
      <c r="A62" s="154"/>
      <c r="B62" s="151"/>
      <c r="C62" s="152"/>
      <c r="D62" s="323"/>
      <c r="E62" s="154"/>
      <c r="F62" s="157"/>
      <c r="G62" s="152"/>
      <c r="H62" s="323" t="s">
        <v>2677</v>
      </c>
      <c r="I62" s="152"/>
      <c r="J62" s="157"/>
      <c r="K62" s="157">
        <v>5800361472</v>
      </c>
      <c r="L62" s="227">
        <v>12090.225</v>
      </c>
      <c r="M62" s="157" t="s">
        <v>2653</v>
      </c>
      <c r="N62" s="227">
        <f t="shared" si="4"/>
        <v>596046.2853620114</v>
      </c>
      <c r="O62" s="152">
        <f t="shared" si="5"/>
        <v>1562322.5303620123</v>
      </c>
    </row>
    <row r="63" spans="1:15" x14ac:dyDescent="0.15">
      <c r="A63" s="154"/>
      <c r="B63" s="151"/>
      <c r="C63" s="152"/>
      <c r="D63" s="323"/>
      <c r="E63" s="154"/>
      <c r="F63" s="157"/>
      <c r="G63" s="152"/>
      <c r="H63" s="323" t="s">
        <v>2677</v>
      </c>
      <c r="I63" s="152"/>
      <c r="J63" s="157"/>
      <c r="K63" s="157">
        <v>5800361472</v>
      </c>
      <c r="L63" s="227">
        <v>11705.186</v>
      </c>
      <c r="M63" s="157" t="s">
        <v>2653</v>
      </c>
      <c r="N63" s="227">
        <f t="shared" si="4"/>
        <v>584341.09936201142</v>
      </c>
      <c r="O63" s="152">
        <f t="shared" si="5"/>
        <v>1550617.3443620123</v>
      </c>
    </row>
    <row r="64" spans="1:15" x14ac:dyDescent="0.15">
      <c r="A64" s="154"/>
      <c r="B64" s="151"/>
      <c r="C64" s="152"/>
      <c r="D64" s="323"/>
      <c r="E64" s="154"/>
      <c r="F64" s="157"/>
      <c r="G64" s="152"/>
      <c r="H64" s="323" t="s">
        <v>2677</v>
      </c>
      <c r="I64" s="152"/>
      <c r="J64" s="157"/>
      <c r="K64" s="157">
        <v>5800361472</v>
      </c>
      <c r="L64" s="227">
        <v>8781.89</v>
      </c>
      <c r="M64" s="157" t="s">
        <v>2653</v>
      </c>
      <c r="N64" s="227">
        <f t="shared" si="4"/>
        <v>575559.2093620114</v>
      </c>
      <c r="O64" s="152">
        <f t="shared" si="5"/>
        <v>1541835.4543620124</v>
      </c>
    </row>
    <row r="65" spans="1:15" x14ac:dyDescent="0.15">
      <c r="A65" s="154"/>
      <c r="B65" s="151"/>
      <c r="C65" s="152"/>
      <c r="D65" s="323"/>
      <c r="E65" s="154"/>
      <c r="F65" s="157"/>
      <c r="G65" s="152"/>
      <c r="H65" s="323" t="s">
        <v>2677</v>
      </c>
      <c r="I65" s="152"/>
      <c r="J65" s="157"/>
      <c r="K65" s="157">
        <v>5800361472</v>
      </c>
      <c r="L65" s="227">
        <v>251.97499999999999</v>
      </c>
      <c r="M65" s="157" t="s">
        <v>2653</v>
      </c>
      <c r="N65" s="227">
        <f t="shared" si="4"/>
        <v>575307.23436201143</v>
      </c>
      <c r="O65" s="152">
        <f t="shared" si="5"/>
        <v>1541583.4793620124</v>
      </c>
    </row>
    <row r="66" spans="1:15" x14ac:dyDescent="0.15">
      <c r="A66" s="154"/>
      <c r="B66" s="151"/>
      <c r="C66" s="152"/>
      <c r="D66" s="323"/>
      <c r="E66" s="154"/>
      <c r="F66" s="157"/>
      <c r="G66" s="152"/>
      <c r="H66" s="323" t="s">
        <v>2677</v>
      </c>
      <c r="I66" s="152"/>
      <c r="J66" s="157"/>
      <c r="K66" s="157">
        <v>5800361472</v>
      </c>
      <c r="L66" s="227">
        <v>13990.582</v>
      </c>
      <c r="M66" s="157" t="s">
        <v>2653</v>
      </c>
      <c r="N66" s="227">
        <f t="shared" si="4"/>
        <v>561316.65236201137</v>
      </c>
      <c r="O66" s="152">
        <f t="shared" si="5"/>
        <v>1527592.8973620124</v>
      </c>
    </row>
    <row r="67" spans="1:15" x14ac:dyDescent="0.15">
      <c r="A67" s="154"/>
      <c r="B67" s="151"/>
      <c r="C67" s="152"/>
      <c r="D67" s="323"/>
      <c r="E67" s="154"/>
      <c r="F67" s="157"/>
      <c r="G67" s="152"/>
      <c r="H67" s="323" t="s">
        <v>2677</v>
      </c>
      <c r="I67" s="152"/>
      <c r="J67" s="157"/>
      <c r="K67" s="157">
        <v>5800361472</v>
      </c>
      <c r="L67" s="227">
        <v>3505.645</v>
      </c>
      <c r="M67" s="157" t="s">
        <v>2653</v>
      </c>
      <c r="N67" s="227">
        <f t="shared" si="4"/>
        <v>557811.00736201135</v>
      </c>
      <c r="O67" s="152">
        <f t="shared" si="5"/>
        <v>1524087.2523620124</v>
      </c>
    </row>
    <row r="68" spans="1:15" x14ac:dyDescent="0.15">
      <c r="A68" s="154"/>
      <c r="B68" s="151"/>
      <c r="C68" s="152"/>
      <c r="D68" s="323"/>
      <c r="E68" s="154"/>
      <c r="F68" s="157"/>
      <c r="G68" s="152"/>
      <c r="H68" s="323" t="s">
        <v>2677</v>
      </c>
      <c r="I68" s="152"/>
      <c r="J68" s="157"/>
      <c r="K68" s="157">
        <v>5800361472</v>
      </c>
      <c r="L68" s="227">
        <v>14224.558000000001</v>
      </c>
      <c r="M68" s="157" t="s">
        <v>2653</v>
      </c>
      <c r="N68" s="227">
        <f t="shared" si="4"/>
        <v>543586.44936201139</v>
      </c>
      <c r="O68" s="152">
        <f t="shared" si="5"/>
        <v>1509862.6943620124</v>
      </c>
    </row>
    <row r="69" spans="1:15" x14ac:dyDescent="0.15">
      <c r="A69" s="154"/>
      <c r="B69" s="151"/>
      <c r="C69" s="152"/>
      <c r="D69" s="323"/>
      <c r="E69" s="154"/>
      <c r="F69" s="157"/>
      <c r="G69" s="152"/>
      <c r="H69" s="323" t="s">
        <v>2677</v>
      </c>
      <c r="I69" s="152"/>
      <c r="J69" s="157"/>
      <c r="K69" s="157">
        <v>5800361472</v>
      </c>
      <c r="L69" s="227">
        <v>13854.594999999999</v>
      </c>
      <c r="M69" s="157" t="s">
        <v>2653</v>
      </c>
      <c r="N69" s="227">
        <f t="shared" si="4"/>
        <v>529731.85436201142</v>
      </c>
      <c r="O69" s="152">
        <f t="shared" si="5"/>
        <v>1496008.0993620125</v>
      </c>
    </row>
    <row r="70" spans="1:15" x14ac:dyDescent="0.15">
      <c r="A70" s="154"/>
      <c r="B70" s="151"/>
      <c r="C70" s="152"/>
      <c r="D70" s="323" t="s">
        <v>2680</v>
      </c>
      <c r="E70" s="154" t="s">
        <v>72</v>
      </c>
      <c r="F70" s="157" t="s">
        <v>2722</v>
      </c>
      <c r="G70" s="152">
        <v>175902.95499999999</v>
      </c>
      <c r="H70" s="323" t="s">
        <v>2680</v>
      </c>
      <c r="I70" s="152">
        <v>7522.1869999999999</v>
      </c>
      <c r="J70" s="157" t="s">
        <v>2653</v>
      </c>
      <c r="K70" s="157">
        <v>5800361472</v>
      </c>
      <c r="L70" s="227">
        <v>15686.047</v>
      </c>
      <c r="M70" s="157" t="s">
        <v>2653</v>
      </c>
      <c r="N70" s="227">
        <f t="shared" si="4"/>
        <v>506523.62036201142</v>
      </c>
      <c r="O70" s="152">
        <f t="shared" si="5"/>
        <v>1648702.8203620126</v>
      </c>
    </row>
    <row r="71" spans="1:15" x14ac:dyDescent="0.15">
      <c r="A71" s="154"/>
      <c r="B71" s="151"/>
      <c r="C71" s="152"/>
      <c r="D71" s="323"/>
      <c r="E71" s="154"/>
      <c r="F71" s="157"/>
      <c r="G71" s="152"/>
      <c r="H71" s="323" t="s">
        <v>2680</v>
      </c>
      <c r="I71" s="152"/>
      <c r="J71" s="157"/>
      <c r="K71" s="157">
        <v>5800361472</v>
      </c>
      <c r="L71" s="227">
        <v>13562.124</v>
      </c>
      <c r="M71" s="157" t="s">
        <v>2653</v>
      </c>
      <c r="N71" s="227">
        <f t="shared" si="4"/>
        <v>492961.49636201141</v>
      </c>
      <c r="O71" s="152">
        <f t="shared" si="5"/>
        <v>1635140.6963620125</v>
      </c>
    </row>
    <row r="72" spans="1:15" x14ac:dyDescent="0.15">
      <c r="A72" s="154"/>
      <c r="B72" s="151"/>
      <c r="C72" s="152"/>
      <c r="D72" s="323"/>
      <c r="E72" s="154"/>
      <c r="F72" s="157"/>
      <c r="G72" s="152"/>
      <c r="H72" s="323" t="s">
        <v>2680</v>
      </c>
      <c r="I72" s="152"/>
      <c r="J72" s="157"/>
      <c r="K72" s="157">
        <v>5800361472</v>
      </c>
      <c r="L72" s="227">
        <v>15182.303</v>
      </c>
      <c r="M72" s="157" t="s">
        <v>2653</v>
      </c>
      <c r="N72" s="227">
        <f t="shared" si="4"/>
        <v>477779.1933620114</v>
      </c>
      <c r="O72" s="152">
        <f t="shared" si="5"/>
        <v>1619958.3933620125</v>
      </c>
    </row>
    <row r="73" spans="1:15" x14ac:dyDescent="0.15">
      <c r="A73" s="154"/>
      <c r="B73" s="151"/>
      <c r="C73" s="152"/>
      <c r="D73" s="323"/>
      <c r="E73" s="154"/>
      <c r="F73" s="157"/>
      <c r="G73" s="152"/>
      <c r="H73" s="323" t="s">
        <v>2680</v>
      </c>
      <c r="I73" s="152"/>
      <c r="J73" s="157"/>
      <c r="K73" s="157">
        <v>5800361472</v>
      </c>
      <c r="L73" s="227">
        <v>13931.937</v>
      </c>
      <c r="M73" s="157" t="s">
        <v>2653</v>
      </c>
      <c r="N73" s="227">
        <f t="shared" si="4"/>
        <v>463847.25636201142</v>
      </c>
      <c r="O73" s="152">
        <f t="shared" si="5"/>
        <v>1606026.4563620125</v>
      </c>
    </row>
    <row r="74" spans="1:15" x14ac:dyDescent="0.15">
      <c r="A74" s="154"/>
      <c r="B74" s="151"/>
      <c r="C74" s="152"/>
      <c r="D74" s="323"/>
      <c r="E74" s="154"/>
      <c r="F74" s="157"/>
      <c r="G74" s="152"/>
      <c r="H74" s="323" t="s">
        <v>2680</v>
      </c>
      <c r="I74" s="152"/>
      <c r="J74" s="157"/>
      <c r="K74" s="157">
        <v>5800361472</v>
      </c>
      <c r="L74" s="227">
        <v>13101.358</v>
      </c>
      <c r="M74" s="157" t="s">
        <v>2653</v>
      </c>
      <c r="N74" s="227">
        <f t="shared" si="4"/>
        <v>450745.89836201142</v>
      </c>
      <c r="O74" s="152">
        <f t="shared" si="5"/>
        <v>1592925.0983620125</v>
      </c>
    </row>
    <row r="75" spans="1:15" x14ac:dyDescent="0.15">
      <c r="A75" s="154"/>
      <c r="B75" s="151"/>
      <c r="C75" s="152"/>
      <c r="D75" s="323"/>
      <c r="E75" s="154"/>
      <c r="F75" s="157"/>
      <c r="G75" s="152"/>
      <c r="H75" s="323" t="s">
        <v>2680</v>
      </c>
      <c r="I75" s="152"/>
      <c r="J75" s="157"/>
      <c r="K75" s="157">
        <v>5800361472</v>
      </c>
      <c r="L75" s="227">
        <v>15479.152</v>
      </c>
      <c r="M75" s="157" t="s">
        <v>2653</v>
      </c>
      <c r="N75" s="227">
        <f t="shared" si="4"/>
        <v>435266.74636201141</v>
      </c>
      <c r="O75" s="152">
        <f t="shared" si="5"/>
        <v>1577445.9463620125</v>
      </c>
    </row>
    <row r="76" spans="1:15" x14ac:dyDescent="0.15">
      <c r="A76" s="154"/>
      <c r="B76" s="151"/>
      <c r="C76" s="152"/>
      <c r="D76" s="323"/>
      <c r="E76" s="154"/>
      <c r="F76" s="157"/>
      <c r="G76" s="152"/>
      <c r="H76" s="323" t="s">
        <v>2680</v>
      </c>
      <c r="I76" s="152"/>
      <c r="J76" s="157"/>
      <c r="K76" s="157">
        <v>5800361472</v>
      </c>
      <c r="L76" s="227">
        <v>14339.73</v>
      </c>
      <c r="M76" s="157" t="s">
        <v>2653</v>
      </c>
      <c r="N76" s="227">
        <f t="shared" si="4"/>
        <v>420927.01636201143</v>
      </c>
      <c r="O76" s="152">
        <f t="shared" si="5"/>
        <v>1563106.2163620126</v>
      </c>
    </row>
    <row r="77" spans="1:15" x14ac:dyDescent="0.15">
      <c r="A77" s="154"/>
      <c r="B77" s="151"/>
      <c r="C77" s="152"/>
      <c r="D77" s="323"/>
      <c r="E77" s="154"/>
      <c r="F77" s="157"/>
      <c r="G77" s="152"/>
      <c r="H77" s="323" t="s">
        <v>2680</v>
      </c>
      <c r="I77" s="152"/>
      <c r="J77" s="157"/>
      <c r="K77" s="157">
        <v>5800361472</v>
      </c>
      <c r="L77" s="227">
        <v>8923.4760000000006</v>
      </c>
      <c r="M77" s="157" t="s">
        <v>2653</v>
      </c>
      <c r="N77" s="227">
        <f t="shared" si="4"/>
        <v>412003.54036201141</v>
      </c>
      <c r="O77" s="152">
        <f t="shared" si="5"/>
        <v>1554182.7403620125</v>
      </c>
    </row>
    <row r="78" spans="1:15" x14ac:dyDescent="0.15">
      <c r="A78" s="154"/>
      <c r="B78" s="151"/>
      <c r="C78" s="152"/>
      <c r="D78" s="323"/>
      <c r="E78" s="154"/>
      <c r="F78" s="157"/>
      <c r="G78" s="152"/>
      <c r="H78" s="323" t="s">
        <v>2680</v>
      </c>
      <c r="I78" s="152"/>
      <c r="J78" s="157"/>
      <c r="K78" s="157">
        <v>5800361472</v>
      </c>
      <c r="L78" s="227">
        <v>14908.441999999999</v>
      </c>
      <c r="M78" s="157" t="s">
        <v>2653</v>
      </c>
      <c r="N78" s="227">
        <f t="shared" si="4"/>
        <v>397095.09836201143</v>
      </c>
      <c r="O78" s="152">
        <f t="shared" si="5"/>
        <v>1539274.2983620125</v>
      </c>
    </row>
    <row r="79" spans="1:15" x14ac:dyDescent="0.15">
      <c r="A79" s="154"/>
      <c r="B79" s="151"/>
      <c r="C79" s="152"/>
      <c r="D79" s="323"/>
      <c r="E79" s="154"/>
      <c r="F79" s="157"/>
      <c r="G79" s="152"/>
      <c r="H79" s="323" t="s">
        <v>2680</v>
      </c>
      <c r="I79" s="152"/>
      <c r="J79" s="157"/>
      <c r="K79" s="157">
        <v>5800361472</v>
      </c>
      <c r="L79" s="227">
        <v>5228.3490000000002</v>
      </c>
      <c r="M79" s="157" t="s">
        <v>2653</v>
      </c>
      <c r="N79" s="227">
        <f t="shared" ref="N79:N143" si="10">+N78-I79-L79</f>
        <v>391866.74936201144</v>
      </c>
      <c r="O79" s="152">
        <f t="shared" ref="O79:O143" si="11">O78+G79-I79-L79</f>
        <v>1534045.9493620126</v>
      </c>
    </row>
    <row r="80" spans="1:15" x14ac:dyDescent="0.15">
      <c r="A80" s="154"/>
      <c r="B80" s="151"/>
      <c r="C80" s="152"/>
      <c r="D80" s="323"/>
      <c r="E80" s="154"/>
      <c r="F80" s="157"/>
      <c r="G80" s="152"/>
      <c r="H80" s="323" t="s">
        <v>2680</v>
      </c>
      <c r="I80" s="152"/>
      <c r="J80" s="157"/>
      <c r="K80" s="157">
        <v>5800361472</v>
      </c>
      <c r="L80" s="227">
        <v>13984.91</v>
      </c>
      <c r="M80" s="157" t="s">
        <v>2653</v>
      </c>
      <c r="N80" s="227">
        <f t="shared" si="10"/>
        <v>377881.83936201147</v>
      </c>
      <c r="O80" s="152">
        <f t="shared" si="11"/>
        <v>1520061.0393620126</v>
      </c>
    </row>
    <row r="81" spans="1:15" x14ac:dyDescent="0.15">
      <c r="A81" s="154"/>
      <c r="B81" s="151"/>
      <c r="C81" s="152"/>
      <c r="D81" s="323"/>
      <c r="E81" s="154"/>
      <c r="F81" s="157"/>
      <c r="G81" s="152"/>
      <c r="H81" s="323" t="s">
        <v>2680</v>
      </c>
      <c r="I81" s="152"/>
      <c r="J81" s="157"/>
      <c r="K81" s="157">
        <v>5800361472</v>
      </c>
      <c r="L81" s="227">
        <v>39380.035000000003</v>
      </c>
      <c r="M81" s="157" t="s">
        <v>2653</v>
      </c>
      <c r="N81" s="227">
        <f t="shared" si="10"/>
        <v>338501.80436201149</v>
      </c>
      <c r="O81" s="152">
        <f t="shared" si="11"/>
        <v>1480681.0043620127</v>
      </c>
    </row>
    <row r="82" spans="1:15" x14ac:dyDescent="0.15">
      <c r="A82" s="154"/>
      <c r="B82" s="151"/>
      <c r="C82" s="152"/>
      <c r="D82" s="323" t="s">
        <v>2681</v>
      </c>
      <c r="E82" s="154" t="s">
        <v>72</v>
      </c>
      <c r="F82" s="157" t="s">
        <v>2722</v>
      </c>
      <c r="G82" s="152">
        <v>175887.022</v>
      </c>
      <c r="H82" s="323" t="s">
        <v>2681</v>
      </c>
      <c r="I82" s="152">
        <v>9658.1029999999992</v>
      </c>
      <c r="J82" s="157" t="s">
        <v>2653</v>
      </c>
      <c r="K82" s="157">
        <v>5800361472</v>
      </c>
      <c r="L82" s="227">
        <v>13529.141</v>
      </c>
      <c r="M82" s="157" t="s">
        <v>2653</v>
      </c>
      <c r="N82" s="227">
        <f t="shared" si="10"/>
        <v>315314.56036201149</v>
      </c>
      <c r="O82" s="152">
        <f t="shared" si="11"/>
        <v>1633380.7823620127</v>
      </c>
    </row>
    <row r="83" spans="1:15" x14ac:dyDescent="0.15">
      <c r="A83" s="154"/>
      <c r="B83" s="151"/>
      <c r="C83" s="152"/>
      <c r="D83" s="323"/>
      <c r="E83" s="154"/>
      <c r="F83" s="157"/>
      <c r="G83" s="152"/>
      <c r="H83" s="323" t="s">
        <v>2681</v>
      </c>
      <c r="I83" s="152"/>
      <c r="J83" s="157"/>
      <c r="K83" s="157">
        <v>5800361472</v>
      </c>
      <c r="L83" s="227">
        <v>12752.535</v>
      </c>
      <c r="M83" s="157" t="s">
        <v>2653</v>
      </c>
      <c r="N83" s="227">
        <f t="shared" si="10"/>
        <v>302562.02536201151</v>
      </c>
      <c r="O83" s="152">
        <f t="shared" si="11"/>
        <v>1620628.2473620127</v>
      </c>
    </row>
    <row r="84" spans="1:15" x14ac:dyDescent="0.15">
      <c r="A84" s="154"/>
      <c r="B84" s="151"/>
      <c r="C84" s="152"/>
      <c r="D84" s="323"/>
      <c r="E84" s="154"/>
      <c r="F84" s="157"/>
      <c r="G84" s="152"/>
      <c r="H84" s="323" t="s">
        <v>2681</v>
      </c>
      <c r="I84" s="152"/>
      <c r="J84" s="157"/>
      <c r="K84" s="157">
        <v>5800361472</v>
      </c>
      <c r="L84" s="227">
        <v>14846.473</v>
      </c>
      <c r="M84" s="157" t="s">
        <v>2653</v>
      </c>
      <c r="N84" s="227">
        <f t="shared" si="10"/>
        <v>287715.55236201151</v>
      </c>
      <c r="O84" s="152">
        <f t="shared" si="11"/>
        <v>1605781.7743620127</v>
      </c>
    </row>
    <row r="85" spans="1:15" x14ac:dyDescent="0.15">
      <c r="A85" s="154"/>
      <c r="B85" s="151"/>
      <c r="C85" s="152"/>
      <c r="D85" s="323"/>
      <c r="E85" s="154"/>
      <c r="F85" s="157"/>
      <c r="G85" s="152"/>
      <c r="H85" s="323" t="s">
        <v>2681</v>
      </c>
      <c r="I85" s="152"/>
      <c r="J85" s="157"/>
      <c r="K85" s="157">
        <v>5800361472</v>
      </c>
      <c r="L85" s="227">
        <v>12185.822</v>
      </c>
      <c r="M85" s="157" t="s">
        <v>2653</v>
      </c>
      <c r="N85" s="227">
        <f t="shared" si="10"/>
        <v>275529.73036201153</v>
      </c>
      <c r="O85" s="152">
        <f t="shared" si="11"/>
        <v>1593595.9523620128</v>
      </c>
    </row>
    <row r="86" spans="1:15" x14ac:dyDescent="0.15">
      <c r="A86" s="154"/>
      <c r="B86" s="151"/>
      <c r="C86" s="152"/>
      <c r="D86" s="323"/>
      <c r="E86" s="154"/>
      <c r="F86" s="157"/>
      <c r="G86" s="152"/>
      <c r="H86" s="323" t="s">
        <v>2681</v>
      </c>
      <c r="I86" s="152"/>
      <c r="J86" s="157"/>
      <c r="K86" s="157">
        <v>5800361472</v>
      </c>
      <c r="L86" s="227">
        <v>19260.235000000001</v>
      </c>
      <c r="M86" s="157" t="s">
        <v>2653</v>
      </c>
      <c r="N86" s="227">
        <f t="shared" si="10"/>
        <v>256269.49536201154</v>
      </c>
      <c r="O86" s="152">
        <f t="shared" si="11"/>
        <v>1574335.7173620127</v>
      </c>
    </row>
    <row r="87" spans="1:15" x14ac:dyDescent="0.15">
      <c r="A87" s="154"/>
      <c r="B87" s="151"/>
      <c r="C87" s="152"/>
      <c r="D87" s="323"/>
      <c r="E87" s="154"/>
      <c r="F87" s="157"/>
      <c r="G87" s="152"/>
      <c r="H87" s="323" t="s">
        <v>2681</v>
      </c>
      <c r="I87" s="152"/>
      <c r="J87" s="157"/>
      <c r="K87" s="157">
        <v>5800361472</v>
      </c>
      <c r="L87" s="227">
        <v>8887.4940000000006</v>
      </c>
      <c r="M87" s="157" t="s">
        <v>2653</v>
      </c>
      <c r="N87" s="227">
        <f t="shared" si="10"/>
        <v>247382.00136201154</v>
      </c>
      <c r="O87" s="152">
        <f t="shared" si="11"/>
        <v>1565448.2233620128</v>
      </c>
    </row>
    <row r="88" spans="1:15" x14ac:dyDescent="0.15">
      <c r="A88" s="154"/>
      <c r="B88" s="151"/>
      <c r="C88" s="152"/>
      <c r="D88" s="323"/>
      <c r="E88" s="154"/>
      <c r="F88" s="157"/>
      <c r="G88" s="152"/>
      <c r="H88" s="323" t="s">
        <v>2681</v>
      </c>
      <c r="I88" s="152"/>
      <c r="J88" s="157"/>
      <c r="K88" s="157">
        <v>5800361472</v>
      </c>
      <c r="L88" s="227">
        <v>12966.425999999999</v>
      </c>
      <c r="M88" s="157" t="s">
        <v>2653</v>
      </c>
      <c r="N88" s="227">
        <f t="shared" si="10"/>
        <v>234415.57536201153</v>
      </c>
      <c r="O88" s="152">
        <f t="shared" si="11"/>
        <v>1552481.7973620128</v>
      </c>
    </row>
    <row r="89" spans="1:15" x14ac:dyDescent="0.15">
      <c r="A89" s="154"/>
      <c r="B89" s="151"/>
      <c r="C89" s="152"/>
      <c r="D89" s="323"/>
      <c r="E89" s="154"/>
      <c r="F89" s="157"/>
      <c r="G89" s="152"/>
      <c r="H89" s="323" t="s">
        <v>2681</v>
      </c>
      <c r="I89" s="152"/>
      <c r="J89" s="157"/>
      <c r="K89" s="157">
        <v>5800361472</v>
      </c>
      <c r="L89" s="227">
        <v>13696.056</v>
      </c>
      <c r="M89" s="157" t="s">
        <v>2653</v>
      </c>
      <c r="N89" s="227">
        <f t="shared" si="10"/>
        <v>220719.51936201152</v>
      </c>
      <c r="O89" s="152">
        <f t="shared" si="11"/>
        <v>1538785.7413620127</v>
      </c>
    </row>
    <row r="90" spans="1:15" x14ac:dyDescent="0.15">
      <c r="A90" s="154"/>
      <c r="B90" s="151"/>
      <c r="C90" s="152"/>
      <c r="D90" s="323"/>
      <c r="E90" s="154"/>
      <c r="F90" s="157"/>
      <c r="G90" s="152"/>
      <c r="H90" s="323" t="s">
        <v>2681</v>
      </c>
      <c r="I90" s="152"/>
      <c r="J90" s="157"/>
      <c r="K90" s="157">
        <v>5800361472</v>
      </c>
      <c r="L90" s="227">
        <v>14853.468999999999</v>
      </c>
      <c r="M90" s="157" t="s">
        <v>2653</v>
      </c>
      <c r="N90" s="227">
        <f t="shared" si="10"/>
        <v>205866.05036201151</v>
      </c>
      <c r="O90" s="152">
        <f t="shared" si="11"/>
        <v>1523932.2723620126</v>
      </c>
    </row>
    <row r="91" spans="1:15" x14ac:dyDescent="0.15">
      <c r="A91" s="154"/>
      <c r="B91" s="151"/>
      <c r="C91" s="152"/>
      <c r="D91" s="323" t="s">
        <v>2682</v>
      </c>
      <c r="E91" s="154" t="s">
        <v>72</v>
      </c>
      <c r="F91" s="157" t="s">
        <v>2722</v>
      </c>
      <c r="G91" s="152">
        <v>43940.578000000009</v>
      </c>
      <c r="H91" s="323" t="s">
        <v>2682</v>
      </c>
      <c r="I91" s="152">
        <v>10968.882</v>
      </c>
      <c r="J91" s="157" t="s">
        <v>2653</v>
      </c>
      <c r="K91" s="157">
        <v>5800361472</v>
      </c>
      <c r="L91" s="227">
        <v>15902.223</v>
      </c>
      <c r="M91" s="157" t="s">
        <v>2653</v>
      </c>
      <c r="N91" s="227">
        <f t="shared" si="10"/>
        <v>178994.94536201149</v>
      </c>
      <c r="O91" s="152">
        <f t="shared" si="11"/>
        <v>1541001.7453620126</v>
      </c>
    </row>
    <row r="92" spans="1:15" x14ac:dyDescent="0.15">
      <c r="A92" s="154"/>
      <c r="B92" s="151"/>
      <c r="C92" s="152"/>
      <c r="D92" s="323" t="s">
        <v>2682</v>
      </c>
      <c r="E92" s="154" t="s">
        <v>72</v>
      </c>
      <c r="F92" s="157" t="s">
        <v>2723</v>
      </c>
      <c r="G92" s="152">
        <v>175803.209</v>
      </c>
      <c r="H92" s="323" t="s">
        <v>2682</v>
      </c>
      <c r="I92" s="152"/>
      <c r="J92" s="157"/>
      <c r="K92" s="157">
        <v>5800361472</v>
      </c>
      <c r="L92" s="227">
        <v>15101.061</v>
      </c>
      <c r="M92" s="157" t="s">
        <v>2653</v>
      </c>
      <c r="N92" s="227">
        <f t="shared" si="10"/>
        <v>163893.88436201151</v>
      </c>
      <c r="O92" s="152">
        <f t="shared" si="11"/>
        <v>1701703.8933620127</v>
      </c>
    </row>
    <row r="93" spans="1:15" x14ac:dyDescent="0.15">
      <c r="A93" s="154"/>
      <c r="B93" s="151"/>
      <c r="C93" s="152"/>
      <c r="D93" s="323"/>
      <c r="E93" s="154"/>
      <c r="F93" s="157"/>
      <c r="G93" s="152"/>
      <c r="H93" s="323" t="s">
        <v>2682</v>
      </c>
      <c r="I93" s="152"/>
      <c r="J93" s="157"/>
      <c r="K93" s="157">
        <v>5800361472</v>
      </c>
      <c r="L93" s="227">
        <v>14209.88</v>
      </c>
      <c r="M93" s="157" t="s">
        <v>2653</v>
      </c>
      <c r="N93" s="227">
        <f t="shared" si="10"/>
        <v>149684.0043620115</v>
      </c>
      <c r="O93" s="152">
        <f t="shared" si="11"/>
        <v>1687494.0133620128</v>
      </c>
    </row>
    <row r="94" spans="1:15" x14ac:dyDescent="0.15">
      <c r="A94" s="154"/>
      <c r="B94" s="151"/>
      <c r="C94" s="152"/>
      <c r="D94" s="323"/>
      <c r="E94" s="154"/>
      <c r="F94" s="157"/>
      <c r="G94" s="152"/>
      <c r="H94" s="323" t="s">
        <v>2682</v>
      </c>
      <c r="I94" s="152"/>
      <c r="J94" s="157"/>
      <c r="K94" s="157">
        <v>5800361472</v>
      </c>
      <c r="L94" s="227">
        <v>14787.996999999999</v>
      </c>
      <c r="M94" s="157" t="s">
        <v>2653</v>
      </c>
      <c r="N94" s="227">
        <f t="shared" si="10"/>
        <v>134896.0073620115</v>
      </c>
      <c r="O94" s="152">
        <f t="shared" si="11"/>
        <v>1672706.0163620128</v>
      </c>
    </row>
    <row r="95" spans="1:15" x14ac:dyDescent="0.15">
      <c r="A95" s="154"/>
      <c r="B95" s="151"/>
      <c r="C95" s="152"/>
      <c r="D95" s="323"/>
      <c r="E95" s="154"/>
      <c r="F95" s="157"/>
      <c r="G95" s="152"/>
      <c r="H95" s="323" t="s">
        <v>2682</v>
      </c>
      <c r="I95" s="152"/>
      <c r="J95" s="154"/>
      <c r="K95" s="157">
        <v>5800361472</v>
      </c>
      <c r="L95" s="227">
        <v>10998.228999999999</v>
      </c>
      <c r="M95" s="157" t="s">
        <v>2653</v>
      </c>
      <c r="N95" s="227">
        <f t="shared" si="10"/>
        <v>123897.77836201151</v>
      </c>
      <c r="O95" s="152">
        <f t="shared" si="11"/>
        <v>1661707.7873620128</v>
      </c>
    </row>
    <row r="96" spans="1:15" x14ac:dyDescent="0.15">
      <c r="A96" s="154"/>
      <c r="B96" s="151"/>
      <c r="C96" s="152"/>
      <c r="D96" s="323"/>
      <c r="E96" s="154"/>
      <c r="F96" s="157"/>
      <c r="G96" s="152"/>
      <c r="H96" s="323" t="s">
        <v>2682</v>
      </c>
      <c r="I96" s="152"/>
      <c r="J96" s="154"/>
      <c r="K96" s="157">
        <v>5800361472</v>
      </c>
      <c r="L96" s="227">
        <v>14018.156999999999</v>
      </c>
      <c r="M96" s="157" t="s">
        <v>2653</v>
      </c>
      <c r="N96" s="227">
        <f t="shared" si="10"/>
        <v>109879.6213620115</v>
      </c>
      <c r="O96" s="152">
        <f t="shared" si="11"/>
        <v>1647689.6303620129</v>
      </c>
    </row>
    <row r="97" spans="1:15" x14ac:dyDescent="0.15">
      <c r="A97" s="154"/>
      <c r="B97" s="151"/>
      <c r="C97" s="152"/>
      <c r="D97" s="323"/>
      <c r="E97" s="154"/>
      <c r="F97" s="157"/>
      <c r="G97" s="152"/>
      <c r="H97" s="323" t="s">
        <v>2682</v>
      </c>
      <c r="I97" s="152"/>
      <c r="J97" s="154"/>
      <c r="K97" s="157">
        <v>5800361472</v>
      </c>
      <c r="L97" s="227">
        <v>5385.9080000000004</v>
      </c>
      <c r="M97" s="157" t="s">
        <v>2653</v>
      </c>
      <c r="N97" s="227">
        <f t="shared" si="10"/>
        <v>104493.71336201151</v>
      </c>
      <c r="O97" s="152">
        <f t="shared" si="11"/>
        <v>1642303.7223620128</v>
      </c>
    </row>
    <row r="98" spans="1:15" x14ac:dyDescent="0.15">
      <c r="A98" s="154"/>
      <c r="B98" s="151"/>
      <c r="C98" s="152"/>
      <c r="D98" s="323"/>
      <c r="E98" s="154"/>
      <c r="F98" s="157"/>
      <c r="G98" s="152"/>
      <c r="H98" s="323" t="s">
        <v>2682</v>
      </c>
      <c r="I98" s="152"/>
      <c r="J98" s="157"/>
      <c r="K98" s="157">
        <v>5800361472</v>
      </c>
      <c r="L98" s="227">
        <v>16647.624</v>
      </c>
      <c r="M98" s="157" t="s">
        <v>2653</v>
      </c>
      <c r="N98" s="227">
        <f t="shared" si="10"/>
        <v>87846.089362011509</v>
      </c>
      <c r="O98" s="152">
        <f t="shared" si="11"/>
        <v>1625656.0983620128</v>
      </c>
    </row>
    <row r="99" spans="1:15" x14ac:dyDescent="0.15">
      <c r="A99" s="154"/>
      <c r="B99" s="151"/>
      <c r="C99" s="152"/>
      <c r="D99" s="323"/>
      <c r="E99" s="154"/>
      <c r="F99" s="157"/>
      <c r="G99" s="152"/>
      <c r="H99" s="323" t="s">
        <v>2682</v>
      </c>
      <c r="I99" s="152"/>
      <c r="J99" s="154"/>
      <c r="K99" s="157">
        <v>5800361472</v>
      </c>
      <c r="L99" s="227">
        <v>15551.846</v>
      </c>
      <c r="M99" s="157" t="s">
        <v>2653</v>
      </c>
      <c r="N99" s="227">
        <f t="shared" si="10"/>
        <v>72294.243362011504</v>
      </c>
      <c r="O99" s="152">
        <f t="shared" si="11"/>
        <v>1610104.2523620129</v>
      </c>
    </row>
    <row r="100" spans="1:15" x14ac:dyDescent="0.15">
      <c r="A100" s="154"/>
      <c r="B100" s="151"/>
      <c r="C100" s="152"/>
      <c r="D100" s="323"/>
      <c r="E100" s="154"/>
      <c r="F100" s="157"/>
      <c r="G100" s="152"/>
      <c r="H100" s="323" t="s">
        <v>2682</v>
      </c>
      <c r="I100" s="152"/>
      <c r="J100" s="157"/>
      <c r="K100" s="157">
        <v>5800361472</v>
      </c>
      <c r="L100" s="227">
        <v>37642.366999999998</v>
      </c>
      <c r="M100" s="157" t="s">
        <v>2653</v>
      </c>
      <c r="N100" s="227">
        <f t="shared" si="10"/>
        <v>34651.876362011506</v>
      </c>
      <c r="O100" s="152">
        <f t="shared" si="11"/>
        <v>1572461.8853620128</v>
      </c>
    </row>
    <row r="101" spans="1:15" x14ac:dyDescent="0.15">
      <c r="A101" s="154"/>
      <c r="B101" s="151"/>
      <c r="C101" s="152"/>
      <c r="D101" s="323" t="s">
        <v>2683</v>
      </c>
      <c r="E101" s="154" t="s">
        <v>72</v>
      </c>
      <c r="F101" s="157" t="s">
        <v>2723</v>
      </c>
      <c r="G101" s="152">
        <v>307716.74300000002</v>
      </c>
      <c r="H101" s="323" t="s">
        <v>2683</v>
      </c>
      <c r="I101" s="152">
        <v>10190.361999999999</v>
      </c>
      <c r="J101" s="157" t="s">
        <v>2653</v>
      </c>
      <c r="K101" s="157">
        <v>5800361472</v>
      </c>
      <c r="L101" s="227">
        <v>14696.803</v>
      </c>
      <c r="M101" s="157" t="s">
        <v>2653</v>
      </c>
      <c r="N101" s="227">
        <f t="shared" ref="N101:N107" si="12">+N100-I101-L101</f>
        <v>9764.7113620115051</v>
      </c>
      <c r="O101" s="152">
        <f t="shared" ref="O101:O107" si="13">O100+G101-I101-L101</f>
        <v>1855291.4633620128</v>
      </c>
    </row>
    <row r="102" spans="1:15" x14ac:dyDescent="0.15">
      <c r="A102" s="154"/>
      <c r="B102" s="151"/>
      <c r="C102" s="152"/>
      <c r="D102" s="323"/>
      <c r="E102" s="154"/>
      <c r="F102" s="157"/>
      <c r="G102" s="152"/>
      <c r="H102" s="323" t="s">
        <v>2683</v>
      </c>
      <c r="I102" s="152"/>
      <c r="J102" s="157"/>
      <c r="K102" s="157">
        <v>5800361472</v>
      </c>
      <c r="L102" s="227">
        <v>9764.7113620115051</v>
      </c>
      <c r="M102" s="157" t="s">
        <v>2653</v>
      </c>
      <c r="N102" s="227">
        <f t="shared" si="12"/>
        <v>0</v>
      </c>
      <c r="O102" s="152">
        <f t="shared" si="13"/>
        <v>1845526.7520000013</v>
      </c>
    </row>
    <row r="103" spans="1:15" x14ac:dyDescent="0.15">
      <c r="A103" s="154"/>
      <c r="B103" s="151"/>
      <c r="C103" s="152"/>
      <c r="D103" s="323"/>
      <c r="E103" s="154"/>
      <c r="F103" s="157"/>
      <c r="G103" s="152"/>
      <c r="H103" s="323" t="s">
        <v>2683</v>
      </c>
      <c r="I103" s="152"/>
      <c r="J103" s="157"/>
      <c r="K103" s="157">
        <v>5800361472</v>
      </c>
      <c r="L103" s="227">
        <v>4002.5866379885001</v>
      </c>
      <c r="M103" s="154" t="s">
        <v>2654</v>
      </c>
      <c r="N103" s="227">
        <f>C10+N102-I103-L103</f>
        <v>163898.92336201057</v>
      </c>
      <c r="O103" s="152">
        <f t="shared" si="13"/>
        <v>1841524.1653620128</v>
      </c>
    </row>
    <row r="104" spans="1:15" x14ac:dyDescent="0.15">
      <c r="A104" s="154"/>
      <c r="B104" s="151"/>
      <c r="C104" s="152"/>
      <c r="D104" s="323"/>
      <c r="E104" s="154"/>
      <c r="F104" s="157"/>
      <c r="G104" s="152"/>
      <c r="H104" s="323" t="s">
        <v>2683</v>
      </c>
      <c r="I104" s="152"/>
      <c r="J104" s="154"/>
      <c r="K104" s="157">
        <v>5800361472</v>
      </c>
      <c r="L104" s="227">
        <v>12675.529</v>
      </c>
      <c r="M104" s="154" t="s">
        <v>2654</v>
      </c>
      <c r="N104" s="227">
        <f t="shared" si="12"/>
        <v>151223.39436201056</v>
      </c>
      <c r="O104" s="152">
        <f t="shared" si="13"/>
        <v>1828848.6363620127</v>
      </c>
    </row>
    <row r="105" spans="1:15" x14ac:dyDescent="0.15">
      <c r="A105" s="154"/>
      <c r="B105" s="151"/>
      <c r="C105" s="152"/>
      <c r="D105" s="323"/>
      <c r="E105" s="154"/>
      <c r="F105" s="157"/>
      <c r="G105" s="152"/>
      <c r="H105" s="323" t="s">
        <v>2683</v>
      </c>
      <c r="I105" s="152"/>
      <c r="J105" s="154"/>
      <c r="K105" s="157">
        <v>5800361472</v>
      </c>
      <c r="L105" s="227">
        <v>17562.444</v>
      </c>
      <c r="M105" s="154" t="s">
        <v>2654</v>
      </c>
      <c r="N105" s="227">
        <f t="shared" si="12"/>
        <v>133660.95036201057</v>
      </c>
      <c r="O105" s="152">
        <f t="shared" si="13"/>
        <v>1811286.1923620128</v>
      </c>
    </row>
    <row r="106" spans="1:15" x14ac:dyDescent="0.15">
      <c r="A106" s="154"/>
      <c r="B106" s="151"/>
      <c r="C106" s="152"/>
      <c r="D106" s="323"/>
      <c r="E106" s="154"/>
      <c r="F106" s="157"/>
      <c r="G106" s="152"/>
      <c r="H106" s="323" t="s">
        <v>2683</v>
      </c>
      <c r="I106" s="152"/>
      <c r="J106" s="157"/>
      <c r="K106" s="157">
        <v>5800361472</v>
      </c>
      <c r="L106" s="227">
        <v>12383.056</v>
      </c>
      <c r="M106" s="154" t="s">
        <v>2654</v>
      </c>
      <c r="N106" s="227">
        <f t="shared" si="12"/>
        <v>121277.89436201057</v>
      </c>
      <c r="O106" s="152">
        <f t="shared" si="13"/>
        <v>1798903.1363620127</v>
      </c>
    </row>
    <row r="107" spans="1:15" x14ac:dyDescent="0.15">
      <c r="A107" s="154"/>
      <c r="B107" s="151"/>
      <c r="C107" s="152"/>
      <c r="D107" s="323"/>
      <c r="E107" s="154"/>
      <c r="F107" s="157"/>
      <c r="G107" s="152"/>
      <c r="H107" s="323" t="s">
        <v>2683</v>
      </c>
      <c r="I107" s="152"/>
      <c r="J107" s="154"/>
      <c r="K107" s="157">
        <v>5800361472</v>
      </c>
      <c r="L107" s="227">
        <v>8893.4040000000005</v>
      </c>
      <c r="M107" s="154" t="s">
        <v>2654</v>
      </c>
      <c r="N107" s="227">
        <f t="shared" si="12"/>
        <v>112384.49036201058</v>
      </c>
      <c r="O107" s="152">
        <f t="shared" si="13"/>
        <v>1790009.7323620126</v>
      </c>
    </row>
    <row r="108" spans="1:15" x14ac:dyDescent="0.15">
      <c r="A108" s="154"/>
      <c r="B108" s="151"/>
      <c r="C108" s="152"/>
      <c r="D108" s="323"/>
      <c r="E108" s="154"/>
      <c r="F108" s="157"/>
      <c r="G108" s="152"/>
      <c r="H108" s="323" t="s">
        <v>2683</v>
      </c>
      <c r="I108" s="152"/>
      <c r="J108" s="157"/>
      <c r="K108" s="157">
        <v>5800361472</v>
      </c>
      <c r="L108" s="227">
        <v>12138.843000000001</v>
      </c>
      <c r="M108" s="154" t="s">
        <v>2654</v>
      </c>
      <c r="N108" s="227">
        <f t="shared" si="10"/>
        <v>100245.64736201058</v>
      </c>
      <c r="O108" s="152">
        <f t="shared" si="11"/>
        <v>1777870.8893620125</v>
      </c>
    </row>
    <row r="109" spans="1:15" x14ac:dyDescent="0.15">
      <c r="A109" s="154"/>
      <c r="B109" s="151"/>
      <c r="C109" s="152"/>
      <c r="D109" s="323"/>
      <c r="E109" s="154"/>
      <c r="F109" s="157"/>
      <c r="G109" s="152"/>
      <c r="H109" s="323" t="s">
        <v>2683</v>
      </c>
      <c r="I109" s="152"/>
      <c r="J109" s="154"/>
      <c r="K109" s="157">
        <v>5800361472</v>
      </c>
      <c r="L109" s="227">
        <v>4607.6629999999996</v>
      </c>
      <c r="M109" s="154" t="s">
        <v>2654</v>
      </c>
      <c r="N109" s="227">
        <f t="shared" si="10"/>
        <v>95637.984362010582</v>
      </c>
      <c r="O109" s="152">
        <f t="shared" si="11"/>
        <v>1773263.2263620126</v>
      </c>
    </row>
    <row r="110" spans="1:15" x14ac:dyDescent="0.15">
      <c r="A110" s="154"/>
      <c r="B110" s="151"/>
      <c r="C110" s="152"/>
      <c r="D110" s="323" t="s">
        <v>2684</v>
      </c>
      <c r="E110" s="154" t="s">
        <v>72</v>
      </c>
      <c r="F110" s="157" t="s">
        <v>2723</v>
      </c>
      <c r="G110" s="152">
        <v>131790.24099999992</v>
      </c>
      <c r="H110" s="323" t="s">
        <v>2684</v>
      </c>
      <c r="I110" s="152">
        <v>7010.4449999999997</v>
      </c>
      <c r="J110" s="154" t="s">
        <v>2654</v>
      </c>
      <c r="K110" s="157">
        <v>5800361472</v>
      </c>
      <c r="L110" s="227">
        <v>13396.205</v>
      </c>
      <c r="M110" s="154" t="s">
        <v>2654</v>
      </c>
      <c r="N110" s="227">
        <f t="shared" si="10"/>
        <v>75231.334362010573</v>
      </c>
      <c r="O110" s="152">
        <f t="shared" si="11"/>
        <v>1884646.8173620123</v>
      </c>
    </row>
    <row r="111" spans="1:15" x14ac:dyDescent="0.15">
      <c r="A111" s="154"/>
      <c r="B111" s="151"/>
      <c r="C111" s="152"/>
      <c r="D111" s="323" t="s">
        <v>2684</v>
      </c>
      <c r="E111" s="154" t="s">
        <v>72</v>
      </c>
      <c r="F111" s="157" t="s">
        <v>2724</v>
      </c>
      <c r="G111" s="152">
        <v>307647.95</v>
      </c>
      <c r="H111" s="323" t="s">
        <v>2684</v>
      </c>
      <c r="I111" s="152"/>
      <c r="J111" s="154"/>
      <c r="K111" s="157">
        <v>5800361472</v>
      </c>
      <c r="L111" s="227">
        <v>13519.143</v>
      </c>
      <c r="M111" s="154" t="s">
        <v>2654</v>
      </c>
      <c r="N111" s="227">
        <f t="shared" si="10"/>
        <v>61712.191362010577</v>
      </c>
      <c r="O111" s="152">
        <f t="shared" si="11"/>
        <v>2178775.6243620124</v>
      </c>
    </row>
    <row r="112" spans="1:15" x14ac:dyDescent="0.15">
      <c r="A112" s="154"/>
      <c r="B112" s="151"/>
      <c r="C112" s="152"/>
      <c r="D112" s="323"/>
      <c r="E112" s="154"/>
      <c r="F112" s="157"/>
      <c r="G112" s="152"/>
      <c r="H112" s="323" t="s">
        <v>2684</v>
      </c>
      <c r="I112" s="152"/>
      <c r="J112" s="154"/>
      <c r="K112" s="157">
        <v>5800361472</v>
      </c>
      <c r="L112" s="227">
        <v>14641.574000000001</v>
      </c>
      <c r="M112" s="154" t="s">
        <v>2654</v>
      </c>
      <c r="N112" s="227">
        <f t="shared" si="10"/>
        <v>47070.617362010576</v>
      </c>
      <c r="O112" s="152">
        <f t="shared" si="11"/>
        <v>2164134.0503620123</v>
      </c>
    </row>
    <row r="113" spans="1:15" x14ac:dyDescent="0.15">
      <c r="A113" s="154"/>
      <c r="B113" s="151"/>
      <c r="C113" s="152"/>
      <c r="D113" s="323"/>
      <c r="E113" s="154"/>
      <c r="F113" s="157"/>
      <c r="G113" s="152"/>
      <c r="H113" s="323" t="s">
        <v>2684</v>
      </c>
      <c r="I113" s="152"/>
      <c r="J113" s="154"/>
      <c r="K113" s="157">
        <v>5800361472</v>
      </c>
      <c r="L113" s="227">
        <v>15072.355</v>
      </c>
      <c r="M113" s="154" t="s">
        <v>2654</v>
      </c>
      <c r="N113" s="227">
        <f t="shared" si="10"/>
        <v>31998.262362010577</v>
      </c>
      <c r="O113" s="152">
        <f t="shared" si="11"/>
        <v>2149061.6953620124</v>
      </c>
    </row>
    <row r="114" spans="1:15" x14ac:dyDescent="0.15">
      <c r="A114" s="154"/>
      <c r="B114" s="151"/>
      <c r="C114" s="152"/>
      <c r="D114" s="323"/>
      <c r="E114" s="154"/>
      <c r="F114" s="157"/>
      <c r="G114" s="152"/>
      <c r="H114" s="323" t="s">
        <v>2684</v>
      </c>
      <c r="I114" s="152"/>
      <c r="J114" s="154"/>
      <c r="K114" s="157">
        <v>5800361472</v>
      </c>
      <c r="L114" s="227">
        <v>10259.796</v>
      </c>
      <c r="M114" s="154" t="s">
        <v>2654</v>
      </c>
      <c r="N114" s="227">
        <f t="shared" ref="N114:N124" si="14">+N113-I114-L114</f>
        <v>21738.466362010578</v>
      </c>
      <c r="O114" s="152">
        <f t="shared" ref="O114:O124" si="15">O113+G114-I114-L114</f>
        <v>2138801.8993620123</v>
      </c>
    </row>
    <row r="115" spans="1:15" x14ac:dyDescent="0.15">
      <c r="A115" s="154"/>
      <c r="B115" s="151"/>
      <c r="C115" s="152"/>
      <c r="D115" s="323"/>
      <c r="E115" s="154"/>
      <c r="F115" s="157"/>
      <c r="G115" s="152"/>
      <c r="H115" s="323" t="s">
        <v>2684</v>
      </c>
      <c r="I115" s="152"/>
      <c r="J115" s="154"/>
      <c r="K115" s="157">
        <v>5800361472</v>
      </c>
      <c r="L115" s="227">
        <v>3134.41</v>
      </c>
      <c r="M115" s="154" t="s">
        <v>2654</v>
      </c>
      <c r="N115" s="227">
        <f t="shared" si="14"/>
        <v>18604.056362010579</v>
      </c>
      <c r="O115" s="152">
        <f t="shared" si="15"/>
        <v>2135667.4893620121</v>
      </c>
    </row>
    <row r="116" spans="1:15" x14ac:dyDescent="0.15">
      <c r="A116" s="154"/>
      <c r="B116" s="151"/>
      <c r="C116" s="152"/>
      <c r="D116" s="323"/>
      <c r="E116" s="154"/>
      <c r="F116" s="157"/>
      <c r="G116" s="152"/>
      <c r="H116" s="323" t="s">
        <v>2684</v>
      </c>
      <c r="I116" s="152"/>
      <c r="J116" s="154"/>
      <c r="K116" s="157">
        <v>5800361472</v>
      </c>
      <c r="L116" s="227">
        <v>15213.284</v>
      </c>
      <c r="M116" s="154" t="s">
        <v>2654</v>
      </c>
      <c r="N116" s="227">
        <f t="shared" si="14"/>
        <v>3390.7723620105789</v>
      </c>
      <c r="O116" s="152">
        <f t="shared" si="15"/>
        <v>2120454.2053620121</v>
      </c>
    </row>
    <row r="117" spans="1:15" x14ac:dyDescent="0.15">
      <c r="A117" s="154"/>
      <c r="B117" s="151"/>
      <c r="C117" s="152"/>
      <c r="D117" s="323"/>
      <c r="E117" s="154"/>
      <c r="F117" s="157"/>
      <c r="G117" s="152"/>
      <c r="H117" s="323" t="s">
        <v>2684</v>
      </c>
      <c r="I117" s="152"/>
      <c r="J117" s="157"/>
      <c r="K117" s="157">
        <v>5800361472</v>
      </c>
      <c r="L117" s="227">
        <v>3390.7723620105789</v>
      </c>
      <c r="M117" s="154" t="s">
        <v>2654</v>
      </c>
      <c r="N117" s="227">
        <f t="shared" si="14"/>
        <v>0</v>
      </c>
      <c r="O117" s="152">
        <f t="shared" si="15"/>
        <v>2117063.4330000016</v>
      </c>
    </row>
    <row r="118" spans="1:15" x14ac:dyDescent="0.15">
      <c r="A118" s="154"/>
      <c r="B118" s="151"/>
      <c r="C118" s="152"/>
      <c r="D118" s="323"/>
      <c r="E118" s="154"/>
      <c r="F118" s="157"/>
      <c r="G118" s="152"/>
      <c r="H118" s="323" t="s">
        <v>2684</v>
      </c>
      <c r="I118" s="152"/>
      <c r="J118" s="157"/>
      <c r="K118" s="157">
        <v>5800360911</v>
      </c>
      <c r="L118" s="227">
        <v>34450.034637989404</v>
      </c>
      <c r="M118" s="154" t="s">
        <v>2655</v>
      </c>
      <c r="N118" s="227">
        <f>C11+G13+G22+N117-I118-L118</f>
        <v>192967.49036201159</v>
      </c>
      <c r="O118" s="152">
        <f t="shared" si="15"/>
        <v>2082613.3983620121</v>
      </c>
    </row>
    <row r="119" spans="1:15" x14ac:dyDescent="0.15">
      <c r="A119" s="154"/>
      <c r="B119" s="151"/>
      <c r="C119" s="152"/>
      <c r="D119" s="323" t="s">
        <v>2685</v>
      </c>
      <c r="E119" s="154" t="s">
        <v>72</v>
      </c>
      <c r="F119" s="157" t="s">
        <v>2724</v>
      </c>
      <c r="G119" s="152">
        <v>219616.467</v>
      </c>
      <c r="H119" s="323" t="s">
        <v>2685</v>
      </c>
      <c r="I119" s="152">
        <v>10412.280999999999</v>
      </c>
      <c r="J119" s="154" t="s">
        <v>2655</v>
      </c>
      <c r="K119" s="157">
        <v>5800360911</v>
      </c>
      <c r="L119" s="227">
        <v>11110.126</v>
      </c>
      <c r="M119" s="154" t="s">
        <v>2655</v>
      </c>
      <c r="N119" s="227">
        <f t="shared" si="14"/>
        <v>171445.08336201162</v>
      </c>
      <c r="O119" s="152">
        <f t="shared" si="15"/>
        <v>2280707.4583620122</v>
      </c>
    </row>
    <row r="120" spans="1:15" x14ac:dyDescent="0.15">
      <c r="A120" s="154"/>
      <c r="B120" s="151"/>
      <c r="C120" s="152"/>
      <c r="D120" s="323"/>
      <c r="E120" s="154"/>
      <c r="F120" s="157"/>
      <c r="G120" s="152"/>
      <c r="H120" s="323" t="s">
        <v>2685</v>
      </c>
      <c r="I120" s="152"/>
      <c r="J120" s="157"/>
      <c r="K120" s="157">
        <v>5800360911</v>
      </c>
      <c r="L120" s="227">
        <v>15701.591</v>
      </c>
      <c r="M120" s="154" t="s">
        <v>2655</v>
      </c>
      <c r="N120" s="227">
        <f t="shared" si="14"/>
        <v>155743.49236201163</v>
      </c>
      <c r="O120" s="152">
        <f t="shared" si="15"/>
        <v>2265005.8673620122</v>
      </c>
    </row>
    <row r="121" spans="1:15" x14ac:dyDescent="0.15">
      <c r="A121" s="154"/>
      <c r="B121" s="151"/>
      <c r="C121" s="152"/>
      <c r="D121" s="323"/>
      <c r="E121" s="154"/>
      <c r="F121" s="157"/>
      <c r="G121" s="152"/>
      <c r="H121" s="323" t="s">
        <v>2685</v>
      </c>
      <c r="I121" s="152"/>
      <c r="J121" s="157"/>
      <c r="K121" s="157">
        <v>5800360911</v>
      </c>
      <c r="L121" s="227">
        <v>17154.739000000001</v>
      </c>
      <c r="M121" s="154" t="s">
        <v>2655</v>
      </c>
      <c r="N121" s="227">
        <f t="shared" si="14"/>
        <v>138588.75336201163</v>
      </c>
      <c r="O121" s="152">
        <f t="shared" si="15"/>
        <v>2247851.1283620121</v>
      </c>
    </row>
    <row r="122" spans="1:15" x14ac:dyDescent="0.15">
      <c r="A122" s="154"/>
      <c r="B122" s="151"/>
      <c r="C122" s="152"/>
      <c r="D122" s="323"/>
      <c r="E122" s="154"/>
      <c r="F122" s="157"/>
      <c r="G122" s="152"/>
      <c r="H122" s="323" t="s">
        <v>2685</v>
      </c>
      <c r="I122" s="152"/>
      <c r="J122" s="157"/>
      <c r="K122" s="157">
        <v>5800360911</v>
      </c>
      <c r="L122" s="227">
        <v>13249.343000000001</v>
      </c>
      <c r="M122" s="154" t="s">
        <v>2655</v>
      </c>
      <c r="N122" s="227">
        <f t="shared" si="14"/>
        <v>125339.41036201164</v>
      </c>
      <c r="O122" s="152">
        <f t="shared" si="15"/>
        <v>2234601.7853620122</v>
      </c>
    </row>
    <row r="123" spans="1:15" x14ac:dyDescent="0.15">
      <c r="A123" s="154"/>
      <c r="B123" s="151"/>
      <c r="C123" s="152"/>
      <c r="D123" s="323"/>
      <c r="E123" s="154"/>
      <c r="F123" s="157"/>
      <c r="G123" s="152"/>
      <c r="H123" s="323" t="s">
        <v>2685</v>
      </c>
      <c r="I123" s="152"/>
      <c r="J123" s="157"/>
      <c r="K123" s="157">
        <v>5800360911</v>
      </c>
      <c r="L123" s="227">
        <v>18234.848000000002</v>
      </c>
      <c r="M123" s="154" t="s">
        <v>2655</v>
      </c>
      <c r="N123" s="227">
        <f t="shared" si="14"/>
        <v>107104.56236201164</v>
      </c>
      <c r="O123" s="152">
        <f t="shared" si="15"/>
        <v>2216366.937362012</v>
      </c>
    </row>
    <row r="124" spans="1:15" x14ac:dyDescent="0.15">
      <c r="A124" s="154"/>
      <c r="B124" s="151"/>
      <c r="C124" s="152"/>
      <c r="D124" s="323"/>
      <c r="E124" s="154"/>
      <c r="F124" s="157"/>
      <c r="G124" s="152"/>
      <c r="H124" s="323" t="s">
        <v>2685</v>
      </c>
      <c r="I124" s="152"/>
      <c r="J124" s="154"/>
      <c r="K124" s="157">
        <v>5800360911</v>
      </c>
      <c r="L124" s="227">
        <v>13356.353999999999</v>
      </c>
      <c r="M124" s="154" t="s">
        <v>2655</v>
      </c>
      <c r="N124" s="227">
        <f t="shared" si="14"/>
        <v>93748.208362011646</v>
      </c>
      <c r="O124" s="152">
        <f t="shared" si="15"/>
        <v>2203010.5833620122</v>
      </c>
    </row>
    <row r="125" spans="1:15" x14ac:dyDescent="0.15">
      <c r="A125" s="154"/>
      <c r="B125" s="151"/>
      <c r="C125" s="152"/>
      <c r="D125" s="323"/>
      <c r="E125" s="154"/>
      <c r="F125" s="157"/>
      <c r="G125" s="152"/>
      <c r="H125" s="323" t="s">
        <v>2685</v>
      </c>
      <c r="I125" s="152"/>
      <c r="J125" s="157"/>
      <c r="K125" s="157">
        <v>5800360911</v>
      </c>
      <c r="L125" s="227">
        <v>15978.619000000001</v>
      </c>
      <c r="M125" s="154" t="s">
        <v>2655</v>
      </c>
      <c r="N125" s="227">
        <f t="shared" si="10"/>
        <v>77769.58936201164</v>
      </c>
      <c r="O125" s="152">
        <f t="shared" si="11"/>
        <v>2187031.9643620122</v>
      </c>
    </row>
    <row r="126" spans="1:15" x14ac:dyDescent="0.15">
      <c r="A126" s="154"/>
      <c r="B126" s="151"/>
      <c r="C126" s="152"/>
      <c r="D126" s="323"/>
      <c r="E126" s="154"/>
      <c r="F126" s="157"/>
      <c r="G126" s="152"/>
      <c r="H126" s="323" t="s">
        <v>2685</v>
      </c>
      <c r="I126" s="152"/>
      <c r="J126" s="157"/>
      <c r="K126" s="157">
        <v>5800360911</v>
      </c>
      <c r="L126" s="227">
        <v>15625.584000000001</v>
      </c>
      <c r="M126" s="154" t="s">
        <v>2655</v>
      </c>
      <c r="N126" s="227">
        <f t="shared" si="10"/>
        <v>62144.005362011638</v>
      </c>
      <c r="O126" s="152">
        <f t="shared" si="11"/>
        <v>2171406.3803620124</v>
      </c>
    </row>
    <row r="127" spans="1:15" x14ac:dyDescent="0.15">
      <c r="A127" s="154"/>
      <c r="B127" s="151"/>
      <c r="C127" s="152"/>
      <c r="D127" s="323"/>
      <c r="E127" s="154"/>
      <c r="F127" s="157"/>
      <c r="G127" s="152"/>
      <c r="H127" s="323" t="s">
        <v>2685</v>
      </c>
      <c r="I127" s="152"/>
      <c r="J127" s="157"/>
      <c r="K127" s="157">
        <v>5800360911</v>
      </c>
      <c r="L127" s="227">
        <v>14196.681</v>
      </c>
      <c r="M127" s="154" t="s">
        <v>2655</v>
      </c>
      <c r="N127" s="227">
        <f t="shared" si="10"/>
        <v>47947.324362011641</v>
      </c>
      <c r="O127" s="152">
        <f t="shared" si="11"/>
        <v>2157209.6993620126</v>
      </c>
    </row>
    <row r="128" spans="1:15" x14ac:dyDescent="0.15">
      <c r="A128" s="154"/>
      <c r="B128" s="151"/>
      <c r="C128" s="152"/>
      <c r="D128" s="323"/>
      <c r="E128" s="154"/>
      <c r="F128" s="157"/>
      <c r="G128" s="152"/>
      <c r="H128" s="323" t="s">
        <v>2685</v>
      </c>
      <c r="I128" s="152"/>
      <c r="J128" s="154"/>
      <c r="K128" s="157">
        <v>5800360911</v>
      </c>
      <c r="L128" s="227">
        <v>13223.977000000001</v>
      </c>
      <c r="M128" s="154" t="s">
        <v>2655</v>
      </c>
      <c r="N128" s="227">
        <f t="shared" si="10"/>
        <v>34723.347362011642</v>
      </c>
      <c r="O128" s="152">
        <f t="shared" si="11"/>
        <v>2143985.7223620126</v>
      </c>
    </row>
    <row r="129" spans="1:15" x14ac:dyDescent="0.15">
      <c r="A129" s="154"/>
      <c r="B129" s="151"/>
      <c r="C129" s="152"/>
      <c r="D129" s="323"/>
      <c r="E129" s="154"/>
      <c r="F129" s="157"/>
      <c r="G129" s="152"/>
      <c r="H129" s="323" t="s">
        <v>2685</v>
      </c>
      <c r="I129" s="152"/>
      <c r="J129" s="157"/>
      <c r="K129" s="157">
        <v>5800360911</v>
      </c>
      <c r="L129" s="227">
        <v>13080.021000000001</v>
      </c>
      <c r="M129" s="154" t="s">
        <v>2655</v>
      </c>
      <c r="N129" s="227">
        <f t="shared" si="10"/>
        <v>21643.326362011641</v>
      </c>
      <c r="O129" s="152">
        <f t="shared" si="11"/>
        <v>2130905.7013620124</v>
      </c>
    </row>
    <row r="130" spans="1:15" x14ac:dyDescent="0.15">
      <c r="A130" s="154"/>
      <c r="B130" s="151"/>
      <c r="C130" s="152"/>
      <c r="D130" s="323"/>
      <c r="E130" s="154"/>
      <c r="F130" s="157"/>
      <c r="G130" s="152"/>
      <c r="H130" s="323" t="s">
        <v>2685</v>
      </c>
      <c r="I130" s="152"/>
      <c r="J130" s="157"/>
      <c r="K130" s="157">
        <v>5800360911</v>
      </c>
      <c r="L130" s="227">
        <v>15539.272999999999</v>
      </c>
      <c r="M130" s="154" t="s">
        <v>2655</v>
      </c>
      <c r="N130" s="227">
        <f t="shared" si="10"/>
        <v>6104.0533620116421</v>
      </c>
      <c r="O130" s="152">
        <f t="shared" si="11"/>
        <v>2115366.4283620124</v>
      </c>
    </row>
    <row r="131" spans="1:15" x14ac:dyDescent="0.15">
      <c r="A131" s="154"/>
      <c r="B131" s="151"/>
      <c r="C131" s="152"/>
      <c r="D131" s="323" t="s">
        <v>2687</v>
      </c>
      <c r="E131" s="154" t="s">
        <v>72</v>
      </c>
      <c r="F131" s="157" t="s">
        <v>2724</v>
      </c>
      <c r="G131" s="152">
        <v>224563.87199999893</v>
      </c>
      <c r="H131" s="323" t="s">
        <v>2687</v>
      </c>
      <c r="I131" s="152">
        <v>6104.0533620116421</v>
      </c>
      <c r="J131" s="157" t="s">
        <v>2655</v>
      </c>
      <c r="K131" s="157"/>
      <c r="L131" s="227"/>
      <c r="M131" s="157"/>
      <c r="N131" s="227">
        <f t="shared" ref="N131:N137" si="16">+N130-I131-L131</f>
        <v>0</v>
      </c>
      <c r="O131" s="152">
        <f t="shared" ref="O131:O137" si="17">O130+G131-I131-L131</f>
        <v>2333826.247</v>
      </c>
    </row>
    <row r="132" spans="1:15" x14ac:dyDescent="0.15">
      <c r="A132" s="154"/>
      <c r="B132" s="151"/>
      <c r="C132" s="152"/>
      <c r="D132" s="323" t="s">
        <v>2687</v>
      </c>
      <c r="E132" s="154" t="s">
        <v>72</v>
      </c>
      <c r="F132" s="157" t="s">
        <v>2725</v>
      </c>
      <c r="G132" s="152">
        <v>83064.2560000011</v>
      </c>
      <c r="H132" s="323" t="s">
        <v>2687</v>
      </c>
      <c r="I132" s="152">
        <v>4404.8116379883604</v>
      </c>
      <c r="J132" s="157" t="s">
        <v>2720</v>
      </c>
      <c r="K132" s="157">
        <v>5800360911</v>
      </c>
      <c r="L132" s="227">
        <v>13521.797</v>
      </c>
      <c r="M132" s="157" t="s">
        <v>2720</v>
      </c>
      <c r="N132" s="227">
        <f>G23+G32+N131-I132-L132</f>
        <v>157778.85036201164</v>
      </c>
      <c r="O132" s="152">
        <f t="shared" si="17"/>
        <v>2398963.8943620129</v>
      </c>
    </row>
    <row r="133" spans="1:15" x14ac:dyDescent="0.15">
      <c r="A133" s="154"/>
      <c r="B133" s="151"/>
      <c r="C133" s="152"/>
      <c r="D133" s="323"/>
      <c r="E133" s="154"/>
      <c r="F133" s="157"/>
      <c r="G133" s="152"/>
      <c r="H133" s="323" t="s">
        <v>2687</v>
      </c>
      <c r="I133" s="152"/>
      <c r="J133" s="154"/>
      <c r="K133" s="157">
        <v>5800360911</v>
      </c>
      <c r="L133" s="227">
        <v>14104.564</v>
      </c>
      <c r="M133" s="157" t="s">
        <v>2720</v>
      </c>
      <c r="N133" s="227">
        <f t="shared" si="16"/>
        <v>143674.28636201163</v>
      </c>
      <c r="O133" s="152">
        <f t="shared" si="17"/>
        <v>2384859.3303620131</v>
      </c>
    </row>
    <row r="134" spans="1:15" x14ac:dyDescent="0.15">
      <c r="A134" s="154"/>
      <c r="B134" s="151"/>
      <c r="C134" s="152"/>
      <c r="D134" s="323"/>
      <c r="E134" s="154"/>
      <c r="F134" s="157"/>
      <c r="G134" s="152"/>
      <c r="H134" s="323" t="s">
        <v>2687</v>
      </c>
      <c r="I134" s="152"/>
      <c r="J134" s="157"/>
      <c r="K134" s="157">
        <v>5800360911</v>
      </c>
      <c r="L134" s="227">
        <v>13906.303</v>
      </c>
      <c r="M134" s="157" t="s">
        <v>2720</v>
      </c>
      <c r="N134" s="227">
        <f t="shared" si="16"/>
        <v>129767.98336201163</v>
      </c>
      <c r="O134" s="152">
        <f t="shared" si="17"/>
        <v>2370953.0273620132</v>
      </c>
    </row>
    <row r="135" spans="1:15" x14ac:dyDescent="0.15">
      <c r="A135" s="154"/>
      <c r="B135" s="151"/>
      <c r="C135" s="152"/>
      <c r="D135" s="323"/>
      <c r="E135" s="154"/>
      <c r="F135" s="157"/>
      <c r="G135" s="152"/>
      <c r="H135" s="323" t="s">
        <v>2687</v>
      </c>
      <c r="I135" s="152"/>
      <c r="J135" s="157"/>
      <c r="K135" s="157">
        <v>5800360911</v>
      </c>
      <c r="L135" s="227">
        <v>14091.547</v>
      </c>
      <c r="M135" s="157" t="s">
        <v>2720</v>
      </c>
      <c r="N135" s="227">
        <f t="shared" si="16"/>
        <v>115676.43636201162</v>
      </c>
      <c r="O135" s="152">
        <f t="shared" si="17"/>
        <v>2356861.4803620134</v>
      </c>
    </row>
    <row r="136" spans="1:15" x14ac:dyDescent="0.15">
      <c r="A136" s="154"/>
      <c r="B136" s="151"/>
      <c r="C136" s="152"/>
      <c r="D136" s="323"/>
      <c r="E136" s="154"/>
      <c r="F136" s="157"/>
      <c r="G136" s="152"/>
      <c r="H136" s="323" t="s">
        <v>2687</v>
      </c>
      <c r="I136" s="152"/>
      <c r="J136" s="157"/>
      <c r="K136" s="157">
        <v>5800360911</v>
      </c>
      <c r="L136" s="227">
        <v>9632.6779999999999</v>
      </c>
      <c r="M136" s="157" t="s">
        <v>2720</v>
      </c>
      <c r="N136" s="227">
        <f t="shared" si="16"/>
        <v>106043.75836201162</v>
      </c>
      <c r="O136" s="152">
        <f t="shared" si="17"/>
        <v>2347228.8023620136</v>
      </c>
    </row>
    <row r="137" spans="1:15" x14ac:dyDescent="0.15">
      <c r="A137" s="154"/>
      <c r="B137" s="151"/>
      <c r="C137" s="152"/>
      <c r="D137" s="323"/>
      <c r="E137" s="154"/>
      <c r="F137" s="157"/>
      <c r="G137" s="152"/>
      <c r="H137" s="323" t="s">
        <v>2687</v>
      </c>
      <c r="I137" s="152"/>
      <c r="J137" s="157"/>
      <c r="K137" s="157">
        <v>5800360911</v>
      </c>
      <c r="L137" s="227">
        <v>16292.736999999999</v>
      </c>
      <c r="M137" s="157" t="s">
        <v>2720</v>
      </c>
      <c r="N137" s="227">
        <f t="shared" si="16"/>
        <v>89751.021362011626</v>
      </c>
      <c r="O137" s="152">
        <f t="shared" si="17"/>
        <v>2330936.0653620134</v>
      </c>
    </row>
    <row r="138" spans="1:15" x14ac:dyDescent="0.15">
      <c r="A138" s="154"/>
      <c r="B138" s="151"/>
      <c r="C138" s="152"/>
      <c r="D138" s="323"/>
      <c r="E138" s="154"/>
      <c r="F138" s="157"/>
      <c r="G138" s="152"/>
      <c r="H138" s="323" t="s">
        <v>2687</v>
      </c>
      <c r="I138" s="152"/>
      <c r="J138" s="157"/>
      <c r="K138" s="157">
        <v>5800360911</v>
      </c>
      <c r="L138" s="227">
        <v>4008.9670000000001</v>
      </c>
      <c r="M138" s="157" t="s">
        <v>2720</v>
      </c>
      <c r="N138" s="227">
        <f t="shared" si="10"/>
        <v>85742.054362011622</v>
      </c>
      <c r="O138" s="152">
        <f t="shared" si="11"/>
        <v>2326927.0983620132</v>
      </c>
    </row>
    <row r="139" spans="1:15" x14ac:dyDescent="0.15">
      <c r="A139" s="154"/>
      <c r="B139" s="151"/>
      <c r="C139" s="152"/>
      <c r="D139" s="323"/>
      <c r="E139" s="154"/>
      <c r="F139" s="157"/>
      <c r="G139" s="152"/>
      <c r="H139" s="323" t="s">
        <v>2687</v>
      </c>
      <c r="I139" s="152"/>
      <c r="J139" s="157"/>
      <c r="K139" s="157">
        <v>5800360911</v>
      </c>
      <c r="L139" s="227">
        <v>15277.252</v>
      </c>
      <c r="M139" s="157" t="s">
        <v>2720</v>
      </c>
      <c r="N139" s="227">
        <f t="shared" si="10"/>
        <v>70464.802362011629</v>
      </c>
      <c r="O139" s="152">
        <f t="shared" si="11"/>
        <v>2311649.8463620134</v>
      </c>
    </row>
    <row r="140" spans="1:15" x14ac:dyDescent="0.15">
      <c r="A140" s="154"/>
      <c r="B140" s="151"/>
      <c r="C140" s="152"/>
      <c r="D140" s="323"/>
      <c r="E140" s="154"/>
      <c r="F140" s="157"/>
      <c r="G140" s="152"/>
      <c r="H140" s="323" t="s">
        <v>2687</v>
      </c>
      <c r="I140" s="152"/>
      <c r="J140" s="157"/>
      <c r="K140" s="157">
        <v>5800360911</v>
      </c>
      <c r="L140" s="227">
        <v>16336.715</v>
      </c>
      <c r="M140" s="157" t="s">
        <v>2720</v>
      </c>
      <c r="N140" s="227">
        <f t="shared" si="10"/>
        <v>54128.087362011633</v>
      </c>
      <c r="O140" s="152">
        <f t="shared" si="11"/>
        <v>2295313.1313620135</v>
      </c>
    </row>
    <row r="141" spans="1:15" x14ac:dyDescent="0.15">
      <c r="A141" s="154"/>
      <c r="B141" s="151"/>
      <c r="C141" s="152"/>
      <c r="D141" s="323"/>
      <c r="E141" s="154"/>
      <c r="F141" s="157"/>
      <c r="G141" s="152"/>
      <c r="H141" s="323" t="s">
        <v>2689</v>
      </c>
      <c r="I141" s="152">
        <v>10351.102999999999</v>
      </c>
      <c r="J141" s="157" t="s">
        <v>2720</v>
      </c>
      <c r="K141" s="157">
        <v>5800360911</v>
      </c>
      <c r="L141" s="227">
        <v>13841.806</v>
      </c>
      <c r="M141" s="157" t="s">
        <v>2720</v>
      </c>
      <c r="N141" s="227">
        <f t="shared" si="10"/>
        <v>29935.178362011629</v>
      </c>
      <c r="O141" s="152">
        <f t="shared" si="11"/>
        <v>2271120.2223620135</v>
      </c>
    </row>
    <row r="142" spans="1:15" x14ac:dyDescent="0.15">
      <c r="A142" s="154"/>
      <c r="B142" s="151"/>
      <c r="C142" s="152"/>
      <c r="D142" s="323"/>
      <c r="E142" s="154"/>
      <c r="F142" s="157"/>
      <c r="G142" s="152"/>
      <c r="H142" s="323" t="s">
        <v>2689</v>
      </c>
      <c r="I142" s="152"/>
      <c r="J142" s="157"/>
      <c r="K142" s="157">
        <v>5800360911</v>
      </c>
      <c r="L142" s="227">
        <v>13325.700999999999</v>
      </c>
      <c r="M142" s="157" t="s">
        <v>2720</v>
      </c>
      <c r="N142" s="227">
        <f t="shared" si="10"/>
        <v>16609.477362011632</v>
      </c>
      <c r="O142" s="152">
        <f t="shared" si="11"/>
        <v>2257794.5213620136</v>
      </c>
    </row>
    <row r="143" spans="1:15" x14ac:dyDescent="0.15">
      <c r="A143" s="154"/>
      <c r="B143" s="151"/>
      <c r="C143" s="152"/>
      <c r="D143" s="323"/>
      <c r="E143" s="154"/>
      <c r="F143" s="157"/>
      <c r="G143" s="152"/>
      <c r="H143" s="323" t="s">
        <v>2689</v>
      </c>
      <c r="I143" s="152"/>
      <c r="J143" s="157"/>
      <c r="K143" s="157">
        <v>5800360911</v>
      </c>
      <c r="L143" s="227">
        <v>11744.380999999999</v>
      </c>
      <c r="M143" s="157" t="s">
        <v>2720</v>
      </c>
      <c r="N143" s="227">
        <f t="shared" si="10"/>
        <v>4865.0963620116327</v>
      </c>
      <c r="O143" s="152">
        <f t="shared" si="11"/>
        <v>2246050.1403620136</v>
      </c>
    </row>
    <row r="144" spans="1:15" x14ac:dyDescent="0.15">
      <c r="A144" s="154"/>
      <c r="B144" s="151"/>
      <c r="C144" s="152"/>
      <c r="D144" s="323"/>
      <c r="E144" s="154"/>
      <c r="F144" s="157"/>
      <c r="G144" s="152"/>
      <c r="H144" s="323" t="s">
        <v>2689</v>
      </c>
      <c r="I144" s="152"/>
      <c r="J144" s="157"/>
      <c r="K144" s="157">
        <v>5800360911</v>
      </c>
      <c r="L144" s="227">
        <v>4865.0963620116327</v>
      </c>
      <c r="M144" s="157" t="s">
        <v>2720</v>
      </c>
      <c r="N144" s="227">
        <f t="shared" ref="N144:N147" si="18">+N143-I144-L144</f>
        <v>0</v>
      </c>
      <c r="O144" s="152">
        <f t="shared" ref="O144:O147" si="19">O143+G144-I144-L144</f>
        <v>2241185.0440000021</v>
      </c>
    </row>
    <row r="145" spans="1:15" x14ac:dyDescent="0.15">
      <c r="A145" s="154"/>
      <c r="B145" s="151"/>
      <c r="C145" s="152"/>
      <c r="D145" s="323"/>
      <c r="E145" s="154"/>
      <c r="F145" s="157"/>
      <c r="G145" s="152"/>
      <c r="H145" s="323" t="s">
        <v>2689</v>
      </c>
      <c r="I145" s="152"/>
      <c r="J145" s="157"/>
      <c r="K145" s="157">
        <v>5800361472</v>
      </c>
      <c r="L145" s="227">
        <v>8473.6076379883707</v>
      </c>
      <c r="M145" s="157" t="s">
        <v>2721</v>
      </c>
      <c r="N145" s="227">
        <f>G42+G49+G60+N144-I145-L145</f>
        <v>386778.14336201164</v>
      </c>
      <c r="O145" s="152">
        <f t="shared" si="19"/>
        <v>2232711.4363620137</v>
      </c>
    </row>
    <row r="146" spans="1:15" x14ac:dyDescent="0.15">
      <c r="A146" s="154"/>
      <c r="B146" s="151"/>
      <c r="C146" s="152"/>
      <c r="D146" s="323"/>
      <c r="E146" s="154"/>
      <c r="F146" s="157"/>
      <c r="G146" s="152"/>
      <c r="H146" s="323" t="s">
        <v>2689</v>
      </c>
      <c r="I146" s="152"/>
      <c r="J146" s="157"/>
      <c r="K146" s="157">
        <v>5800361472</v>
      </c>
      <c r="L146" s="227">
        <v>14580.956</v>
      </c>
      <c r="M146" s="157" t="s">
        <v>2721</v>
      </c>
      <c r="N146" s="227">
        <f t="shared" si="18"/>
        <v>372197.18736201164</v>
      </c>
      <c r="O146" s="152">
        <f t="shared" si="19"/>
        <v>2218130.4803620139</v>
      </c>
    </row>
    <row r="147" spans="1:15" x14ac:dyDescent="0.15">
      <c r="A147" s="154"/>
      <c r="B147" s="151"/>
      <c r="C147" s="152"/>
      <c r="D147" s="323"/>
      <c r="E147" s="154"/>
      <c r="F147" s="157"/>
      <c r="G147" s="152"/>
      <c r="H147" s="323" t="s">
        <v>2689</v>
      </c>
      <c r="I147" s="152"/>
      <c r="J147" s="157"/>
      <c r="K147" s="157">
        <v>5800361472</v>
      </c>
      <c r="L147" s="227">
        <v>9608.9480000000003</v>
      </c>
      <c r="M147" s="157" t="s">
        <v>2721</v>
      </c>
      <c r="N147" s="227">
        <f t="shared" si="18"/>
        <v>362588.23936201166</v>
      </c>
      <c r="O147" s="152">
        <f t="shared" si="19"/>
        <v>2208521.5323620141</v>
      </c>
    </row>
    <row r="148" spans="1:15" x14ac:dyDescent="0.15">
      <c r="A148" s="154"/>
      <c r="B148" s="151"/>
      <c r="C148" s="152"/>
      <c r="D148" s="323"/>
      <c r="E148" s="154"/>
      <c r="F148" s="157"/>
      <c r="G148" s="152"/>
      <c r="H148" s="323" t="s">
        <v>2689</v>
      </c>
      <c r="I148" s="152"/>
      <c r="J148" s="157"/>
      <c r="K148" s="157">
        <v>5800361472</v>
      </c>
      <c r="L148" s="227">
        <v>14952.864</v>
      </c>
      <c r="M148" s="157" t="s">
        <v>2721</v>
      </c>
      <c r="N148" s="227">
        <f t="shared" ref="N148:N211" si="20">+N147-I148-L148</f>
        <v>347635.37536201166</v>
      </c>
      <c r="O148" s="152">
        <f t="shared" ref="O148:O211" si="21">O147+G148-I148-L148</f>
        <v>2193568.668362014</v>
      </c>
    </row>
    <row r="149" spans="1:15" x14ac:dyDescent="0.15">
      <c r="A149" s="154"/>
      <c r="B149" s="151"/>
      <c r="C149" s="152"/>
      <c r="D149" s="323"/>
      <c r="E149" s="154"/>
      <c r="F149" s="157"/>
      <c r="G149" s="152"/>
      <c r="H149" s="323" t="s">
        <v>2689</v>
      </c>
      <c r="I149" s="152"/>
      <c r="J149" s="157"/>
      <c r="K149" s="157">
        <v>5800361472</v>
      </c>
      <c r="L149" s="227">
        <v>3942.8</v>
      </c>
      <c r="M149" s="157" t="s">
        <v>2721</v>
      </c>
      <c r="N149" s="227">
        <f t="shared" si="20"/>
        <v>343692.57536201167</v>
      </c>
      <c r="O149" s="152">
        <f t="shared" si="21"/>
        <v>2189625.8683620142</v>
      </c>
    </row>
    <row r="150" spans="1:15" x14ac:dyDescent="0.15">
      <c r="A150" s="154"/>
      <c r="B150" s="151"/>
      <c r="C150" s="152"/>
      <c r="D150" s="323"/>
      <c r="E150" s="154"/>
      <c r="F150" s="157"/>
      <c r="G150" s="152"/>
      <c r="H150" s="323" t="s">
        <v>2689</v>
      </c>
      <c r="I150" s="152"/>
      <c r="J150" s="157"/>
      <c r="K150" s="157">
        <v>5800361472</v>
      </c>
      <c r="L150" s="227">
        <v>14333.367</v>
      </c>
      <c r="M150" s="157" t="s">
        <v>2721</v>
      </c>
      <c r="N150" s="227">
        <f t="shared" si="20"/>
        <v>329359.20836201165</v>
      </c>
      <c r="O150" s="152">
        <f t="shared" si="21"/>
        <v>2175292.5013620141</v>
      </c>
    </row>
    <row r="151" spans="1:15" x14ac:dyDescent="0.15">
      <c r="A151" s="154"/>
      <c r="B151" s="151"/>
      <c r="C151" s="152"/>
      <c r="D151" s="323"/>
      <c r="E151" s="154"/>
      <c r="F151" s="157"/>
      <c r="G151" s="152"/>
      <c r="H151" s="323" t="s">
        <v>2689</v>
      </c>
      <c r="I151" s="152"/>
      <c r="J151" s="157"/>
      <c r="K151" s="157">
        <v>5800361472</v>
      </c>
      <c r="L151" s="227">
        <v>14643.116</v>
      </c>
      <c r="M151" s="157" t="s">
        <v>2721</v>
      </c>
      <c r="N151" s="227">
        <f t="shared" si="20"/>
        <v>314716.09236201167</v>
      </c>
      <c r="O151" s="152">
        <f t="shared" si="21"/>
        <v>2160649.3853620142</v>
      </c>
    </row>
    <row r="152" spans="1:15" x14ac:dyDescent="0.15">
      <c r="A152" s="154"/>
      <c r="B152" s="151"/>
      <c r="C152" s="152"/>
      <c r="D152" s="323"/>
      <c r="E152" s="154"/>
      <c r="F152" s="157"/>
      <c r="G152" s="152"/>
      <c r="H152" s="323" t="s">
        <v>2690</v>
      </c>
      <c r="I152" s="152">
        <v>5936.9889999999996</v>
      </c>
      <c r="J152" s="157" t="s">
        <v>2721</v>
      </c>
      <c r="K152" s="157">
        <v>5800361472</v>
      </c>
      <c r="L152" s="227">
        <v>36993.749000000003</v>
      </c>
      <c r="M152" s="157" t="s">
        <v>2721</v>
      </c>
      <c r="N152" s="227">
        <f t="shared" si="20"/>
        <v>271785.35436201165</v>
      </c>
      <c r="O152" s="152">
        <f t="shared" si="21"/>
        <v>2117718.6473620143</v>
      </c>
    </row>
    <row r="153" spans="1:15" x14ac:dyDescent="0.15">
      <c r="A153" s="154"/>
      <c r="B153" s="151"/>
      <c r="C153" s="152"/>
      <c r="D153" s="323"/>
      <c r="E153" s="154"/>
      <c r="F153" s="157"/>
      <c r="G153" s="152"/>
      <c r="H153" s="323" t="s">
        <v>2690</v>
      </c>
      <c r="I153" s="152"/>
      <c r="J153" s="157"/>
      <c r="K153" s="157">
        <v>5800361472</v>
      </c>
      <c r="L153" s="227">
        <v>14437.463</v>
      </c>
      <c r="M153" s="157" t="s">
        <v>2721</v>
      </c>
      <c r="N153" s="227">
        <f t="shared" si="20"/>
        <v>257347.89136201167</v>
      </c>
      <c r="O153" s="152">
        <f t="shared" si="21"/>
        <v>2103281.1843620143</v>
      </c>
    </row>
    <row r="154" spans="1:15" x14ac:dyDescent="0.15">
      <c r="A154" s="154"/>
      <c r="B154" s="151"/>
      <c r="C154" s="152"/>
      <c r="D154" s="323"/>
      <c r="E154" s="154"/>
      <c r="F154" s="157"/>
      <c r="G154" s="152"/>
      <c r="H154" s="323" t="s">
        <v>2690</v>
      </c>
      <c r="I154" s="152"/>
      <c r="J154" s="157"/>
      <c r="K154" s="157">
        <v>5800361472</v>
      </c>
      <c r="L154" s="227">
        <v>13535.371999999999</v>
      </c>
      <c r="M154" s="157" t="s">
        <v>2721</v>
      </c>
      <c r="N154" s="227">
        <f t="shared" si="20"/>
        <v>243812.51936201166</v>
      </c>
      <c r="O154" s="152">
        <f t="shared" si="21"/>
        <v>2089745.8123620143</v>
      </c>
    </row>
    <row r="155" spans="1:15" x14ac:dyDescent="0.15">
      <c r="A155" s="154"/>
      <c r="B155" s="151"/>
      <c r="C155" s="152"/>
      <c r="D155" s="323"/>
      <c r="E155" s="154"/>
      <c r="F155" s="157"/>
      <c r="G155" s="152"/>
      <c r="H155" s="323" t="s">
        <v>2690</v>
      </c>
      <c r="I155" s="152"/>
      <c r="J155" s="157"/>
      <c r="K155" s="157">
        <v>5800361472</v>
      </c>
      <c r="L155" s="227">
        <v>14766.496999999999</v>
      </c>
      <c r="M155" s="157" t="s">
        <v>2721</v>
      </c>
      <c r="N155" s="227">
        <f t="shared" si="20"/>
        <v>229046.02236201166</v>
      </c>
      <c r="O155" s="152">
        <f t="shared" si="21"/>
        <v>2074979.3153620143</v>
      </c>
    </row>
    <row r="156" spans="1:15" x14ac:dyDescent="0.15">
      <c r="A156" s="154"/>
      <c r="B156" s="151"/>
      <c r="C156" s="152"/>
      <c r="D156" s="323"/>
      <c r="E156" s="154"/>
      <c r="F156" s="157"/>
      <c r="G156" s="152"/>
      <c r="H156" s="323" t="s">
        <v>2690</v>
      </c>
      <c r="I156" s="152"/>
      <c r="J156" s="157"/>
      <c r="K156" s="157">
        <v>5800361472</v>
      </c>
      <c r="L156" s="227">
        <v>15148.535</v>
      </c>
      <c r="M156" s="157" t="s">
        <v>2721</v>
      </c>
      <c r="N156" s="227">
        <f t="shared" si="20"/>
        <v>213897.48736201166</v>
      </c>
      <c r="O156" s="152">
        <f t="shared" si="21"/>
        <v>2059830.7803620144</v>
      </c>
    </row>
    <row r="157" spans="1:15" x14ac:dyDescent="0.15">
      <c r="A157" s="154"/>
      <c r="B157" s="151"/>
      <c r="C157" s="152"/>
      <c r="D157" s="323"/>
      <c r="E157" s="154"/>
      <c r="F157" s="157"/>
      <c r="G157" s="152"/>
      <c r="H157" s="323" t="s">
        <v>2690</v>
      </c>
      <c r="I157" s="152"/>
      <c r="J157" s="157"/>
      <c r="K157" s="157">
        <v>5800361472</v>
      </c>
      <c r="L157" s="227">
        <v>17117.735000000001</v>
      </c>
      <c r="M157" s="157" t="s">
        <v>2721</v>
      </c>
      <c r="N157" s="227">
        <f t="shared" si="20"/>
        <v>196779.75236201164</v>
      </c>
      <c r="O157" s="152">
        <f t="shared" si="21"/>
        <v>2042713.0453620143</v>
      </c>
    </row>
    <row r="158" spans="1:15" x14ac:dyDescent="0.15">
      <c r="A158" s="154"/>
      <c r="B158" s="151"/>
      <c r="C158" s="152"/>
      <c r="D158" s="323"/>
      <c r="E158" s="154"/>
      <c r="F158" s="157"/>
      <c r="G158" s="152"/>
      <c r="H158" s="323" t="s">
        <v>2690</v>
      </c>
      <c r="I158" s="152"/>
      <c r="J158" s="157"/>
      <c r="K158" s="157">
        <v>5800361472</v>
      </c>
      <c r="L158" s="227">
        <v>14814.501</v>
      </c>
      <c r="M158" s="157" t="s">
        <v>2721</v>
      </c>
      <c r="N158" s="227">
        <f t="shared" si="20"/>
        <v>181965.25136201165</v>
      </c>
      <c r="O158" s="152">
        <f t="shared" si="21"/>
        <v>2027898.5443620144</v>
      </c>
    </row>
    <row r="159" spans="1:15" x14ac:dyDescent="0.15">
      <c r="A159" s="154"/>
      <c r="B159" s="151"/>
      <c r="C159" s="152"/>
      <c r="D159" s="323"/>
      <c r="E159" s="154"/>
      <c r="F159" s="157"/>
      <c r="G159" s="152"/>
      <c r="H159" s="323" t="s">
        <v>2690</v>
      </c>
      <c r="I159" s="152"/>
      <c r="J159" s="157"/>
      <c r="K159" s="157">
        <v>5800361472</v>
      </c>
      <c r="L159" s="227">
        <v>9294.9419999999991</v>
      </c>
      <c r="M159" s="157" t="s">
        <v>2721</v>
      </c>
      <c r="N159" s="227">
        <f t="shared" si="20"/>
        <v>172670.30936201164</v>
      </c>
      <c r="O159" s="152">
        <f t="shared" si="21"/>
        <v>2018603.6023620144</v>
      </c>
    </row>
    <row r="160" spans="1:15" x14ac:dyDescent="0.15">
      <c r="A160" s="154"/>
      <c r="B160" s="151"/>
      <c r="C160" s="152"/>
      <c r="D160" s="323"/>
      <c r="E160" s="154"/>
      <c r="F160" s="157"/>
      <c r="G160" s="152"/>
      <c r="H160" s="323" t="s">
        <v>2690</v>
      </c>
      <c r="I160" s="152"/>
      <c r="J160" s="157"/>
      <c r="K160" s="157">
        <v>5800361472</v>
      </c>
      <c r="L160" s="227">
        <v>13980.91</v>
      </c>
      <c r="M160" s="157" t="s">
        <v>2721</v>
      </c>
      <c r="N160" s="227">
        <f t="shared" si="20"/>
        <v>158689.39936201164</v>
      </c>
      <c r="O160" s="152">
        <f t="shared" si="21"/>
        <v>2004622.6923620144</v>
      </c>
    </row>
    <row r="161" spans="1:15" x14ac:dyDescent="0.15">
      <c r="A161" s="154"/>
      <c r="B161" s="151"/>
      <c r="C161" s="152"/>
      <c r="D161" s="323"/>
      <c r="E161" s="154"/>
      <c r="F161" s="157"/>
      <c r="G161" s="152"/>
      <c r="H161" s="323" t="s">
        <v>2690</v>
      </c>
      <c r="I161" s="152"/>
      <c r="J161" s="157"/>
      <c r="K161" s="157">
        <v>5800361472</v>
      </c>
      <c r="L161" s="227">
        <v>10874.486000000001</v>
      </c>
      <c r="M161" s="157" t="s">
        <v>2721</v>
      </c>
      <c r="N161" s="227">
        <f t="shared" si="20"/>
        <v>147814.91336201163</v>
      </c>
      <c r="O161" s="152">
        <f t="shared" si="21"/>
        <v>1993748.2063620144</v>
      </c>
    </row>
    <row r="162" spans="1:15" x14ac:dyDescent="0.15">
      <c r="A162" s="154"/>
      <c r="B162" s="151"/>
      <c r="C162" s="152"/>
      <c r="D162" s="323"/>
      <c r="E162" s="154"/>
      <c r="F162" s="157"/>
      <c r="G162" s="152"/>
      <c r="H162" s="323" t="s">
        <v>2690</v>
      </c>
      <c r="I162" s="152"/>
      <c r="J162" s="157"/>
      <c r="K162" s="157">
        <v>5800361472</v>
      </c>
      <c r="L162" s="227">
        <v>4561.6869999999999</v>
      </c>
      <c r="M162" s="157" t="s">
        <v>2721</v>
      </c>
      <c r="N162" s="227">
        <f t="shared" si="20"/>
        <v>143253.22636201163</v>
      </c>
      <c r="O162" s="152">
        <f t="shared" si="21"/>
        <v>1989186.5193620145</v>
      </c>
    </row>
    <row r="163" spans="1:15" x14ac:dyDescent="0.15">
      <c r="A163" s="154"/>
      <c r="B163" s="151"/>
      <c r="C163" s="152"/>
      <c r="D163" s="323"/>
      <c r="E163" s="154"/>
      <c r="F163" s="157"/>
      <c r="G163" s="152"/>
      <c r="H163" s="323" t="s">
        <v>2690</v>
      </c>
      <c r="I163" s="152"/>
      <c r="J163" s="157"/>
      <c r="K163" s="157">
        <v>5800361472</v>
      </c>
      <c r="L163" s="227">
        <v>14500.647000000001</v>
      </c>
      <c r="M163" s="157" t="s">
        <v>2721</v>
      </c>
      <c r="N163" s="227">
        <f t="shared" si="20"/>
        <v>128752.57936201163</v>
      </c>
      <c r="O163" s="152">
        <f t="shared" si="21"/>
        <v>1974685.8723620144</v>
      </c>
    </row>
    <row r="164" spans="1:15" x14ac:dyDescent="0.15">
      <c r="A164" s="154"/>
      <c r="B164" s="151"/>
      <c r="C164" s="152"/>
      <c r="D164" s="323"/>
      <c r="E164" s="154"/>
      <c r="F164" s="157"/>
      <c r="G164" s="152"/>
      <c r="H164" s="323" t="s">
        <v>2690</v>
      </c>
      <c r="I164" s="152"/>
      <c r="J164" s="157"/>
      <c r="K164" s="157">
        <v>5800361472</v>
      </c>
      <c r="L164" s="227">
        <v>15238.272999999999</v>
      </c>
      <c r="M164" s="157" t="s">
        <v>2721</v>
      </c>
      <c r="N164" s="227">
        <f t="shared" si="20"/>
        <v>113514.30636201163</v>
      </c>
      <c r="O164" s="152">
        <f t="shared" si="21"/>
        <v>1959447.5993620143</v>
      </c>
    </row>
    <row r="165" spans="1:15" x14ac:dyDescent="0.15">
      <c r="A165" s="154"/>
      <c r="B165" s="151"/>
      <c r="C165" s="152"/>
      <c r="D165" s="323"/>
      <c r="E165" s="154"/>
      <c r="F165" s="157"/>
      <c r="G165" s="152"/>
      <c r="H165" s="323" t="s">
        <v>2692</v>
      </c>
      <c r="I165" s="152">
        <v>14118.007000000001</v>
      </c>
      <c r="J165" s="157" t="s">
        <v>2721</v>
      </c>
      <c r="K165" s="157">
        <v>5800361472</v>
      </c>
      <c r="L165" s="227">
        <v>14066.513999999999</v>
      </c>
      <c r="M165" s="157" t="s">
        <v>2721</v>
      </c>
      <c r="N165" s="227">
        <f t="shared" si="20"/>
        <v>85329.785362011637</v>
      </c>
      <c r="O165" s="152">
        <f t="shared" si="21"/>
        <v>1931263.0783620144</v>
      </c>
    </row>
    <row r="166" spans="1:15" x14ac:dyDescent="0.15">
      <c r="A166" s="154"/>
      <c r="B166" s="151"/>
      <c r="C166" s="152"/>
      <c r="D166" s="323"/>
      <c r="E166" s="154"/>
      <c r="F166" s="157"/>
      <c r="G166" s="152"/>
      <c r="H166" s="323" t="s">
        <v>2692</v>
      </c>
      <c r="I166" s="152"/>
      <c r="J166" s="157"/>
      <c r="K166" s="157">
        <v>5800361472</v>
      </c>
      <c r="L166" s="227">
        <v>12357.264999999999</v>
      </c>
      <c r="M166" s="157" t="s">
        <v>2721</v>
      </c>
      <c r="N166" s="227">
        <f t="shared" si="20"/>
        <v>72972.520362011637</v>
      </c>
      <c r="O166" s="152">
        <f t="shared" si="21"/>
        <v>1918905.8133620145</v>
      </c>
    </row>
    <row r="167" spans="1:15" x14ac:dyDescent="0.15">
      <c r="A167" s="154"/>
      <c r="B167" s="151"/>
      <c r="C167" s="152"/>
      <c r="D167" s="323"/>
      <c r="E167" s="154"/>
      <c r="F167" s="157"/>
      <c r="G167" s="152"/>
      <c r="H167" s="323" t="s">
        <v>2692</v>
      </c>
      <c r="I167" s="152"/>
      <c r="J167" s="157"/>
      <c r="K167" s="157">
        <v>5800361472</v>
      </c>
      <c r="L167" s="227">
        <v>14268.78</v>
      </c>
      <c r="M167" s="157" t="s">
        <v>2721</v>
      </c>
      <c r="N167" s="227">
        <f t="shared" si="20"/>
        <v>58703.740362011638</v>
      </c>
      <c r="O167" s="152">
        <f t="shared" si="21"/>
        <v>1904637.0333620145</v>
      </c>
    </row>
    <row r="168" spans="1:15" x14ac:dyDescent="0.15">
      <c r="A168" s="154"/>
      <c r="B168" s="151"/>
      <c r="C168" s="152"/>
      <c r="D168" s="323"/>
      <c r="E168" s="154"/>
      <c r="F168" s="157"/>
      <c r="G168" s="152"/>
      <c r="H168" s="323" t="s">
        <v>2692</v>
      </c>
      <c r="I168" s="152"/>
      <c r="J168" s="157"/>
      <c r="K168" s="157">
        <v>5800361472</v>
      </c>
      <c r="L168" s="227">
        <v>12631.626</v>
      </c>
      <c r="M168" s="157" t="s">
        <v>2721</v>
      </c>
      <c r="N168" s="227">
        <f t="shared" si="20"/>
        <v>46072.114362011635</v>
      </c>
      <c r="O168" s="152">
        <f t="shared" si="21"/>
        <v>1892005.4073620145</v>
      </c>
    </row>
    <row r="169" spans="1:15" x14ac:dyDescent="0.15">
      <c r="A169" s="154"/>
      <c r="B169" s="151"/>
      <c r="C169" s="152"/>
      <c r="D169" s="323"/>
      <c r="E169" s="154"/>
      <c r="F169" s="157"/>
      <c r="G169" s="152"/>
      <c r="H169" s="323" t="s">
        <v>2692</v>
      </c>
      <c r="I169" s="152"/>
      <c r="J169" s="157"/>
      <c r="K169" s="157">
        <v>5800361472</v>
      </c>
      <c r="L169" s="227">
        <v>16592.839</v>
      </c>
      <c r="M169" s="157" t="s">
        <v>2721</v>
      </c>
      <c r="N169" s="227">
        <f t="shared" si="20"/>
        <v>29479.275362011635</v>
      </c>
      <c r="O169" s="152">
        <f t="shared" si="21"/>
        <v>1875412.5683620146</v>
      </c>
    </row>
    <row r="170" spans="1:15" x14ac:dyDescent="0.15">
      <c r="A170" s="154"/>
      <c r="B170" s="151"/>
      <c r="C170" s="152"/>
      <c r="D170" s="323"/>
      <c r="E170" s="154"/>
      <c r="F170" s="157"/>
      <c r="G170" s="152"/>
      <c r="H170" s="323" t="s">
        <v>2692</v>
      </c>
      <c r="I170" s="152"/>
      <c r="J170" s="157"/>
      <c r="K170" s="157">
        <v>5800361472</v>
      </c>
      <c r="L170" s="227">
        <v>14354.894</v>
      </c>
      <c r="M170" s="157" t="s">
        <v>2721</v>
      </c>
      <c r="N170" s="227">
        <f t="shared" si="20"/>
        <v>15124.381362011634</v>
      </c>
      <c r="O170" s="152">
        <f t="shared" si="21"/>
        <v>1861057.6743620145</v>
      </c>
    </row>
    <row r="171" spans="1:15" x14ac:dyDescent="0.15">
      <c r="A171" s="154"/>
      <c r="B171" s="151"/>
      <c r="C171" s="152"/>
      <c r="D171" s="323"/>
      <c r="E171" s="154"/>
      <c r="F171" s="157"/>
      <c r="G171" s="152"/>
      <c r="H171" s="323" t="s">
        <v>2692</v>
      </c>
      <c r="I171" s="152"/>
      <c r="J171" s="157"/>
      <c r="K171" s="157">
        <v>5800361472</v>
      </c>
      <c r="L171" s="227">
        <v>12991.099</v>
      </c>
      <c r="M171" s="157" t="s">
        <v>2721</v>
      </c>
      <c r="N171" s="227">
        <f t="shared" si="20"/>
        <v>2133.2823620116342</v>
      </c>
      <c r="O171" s="152">
        <f t="shared" si="21"/>
        <v>1848066.5753620146</v>
      </c>
    </row>
    <row r="172" spans="1:15" x14ac:dyDescent="0.15">
      <c r="A172" s="154"/>
      <c r="B172" s="151"/>
      <c r="C172" s="152"/>
      <c r="D172" s="323"/>
      <c r="E172" s="154"/>
      <c r="F172" s="157"/>
      <c r="G172" s="152"/>
      <c r="H172" s="323" t="s">
        <v>2692</v>
      </c>
      <c r="I172" s="152"/>
      <c r="J172" s="157"/>
      <c r="K172" s="157">
        <v>5800361472</v>
      </c>
      <c r="L172" s="227">
        <v>2133.2823620116342</v>
      </c>
      <c r="M172" s="157" t="s">
        <v>2721</v>
      </c>
      <c r="N172" s="227">
        <f t="shared" si="20"/>
        <v>0</v>
      </c>
      <c r="O172" s="152">
        <f t="shared" si="21"/>
        <v>1845933.2930000029</v>
      </c>
    </row>
    <row r="173" spans="1:15" x14ac:dyDescent="0.15">
      <c r="A173" s="154"/>
      <c r="B173" s="151"/>
      <c r="C173" s="152"/>
      <c r="D173" s="323"/>
      <c r="E173" s="154"/>
      <c r="F173" s="157"/>
      <c r="G173" s="152"/>
      <c r="H173" s="323" t="s">
        <v>2692</v>
      </c>
      <c r="I173" s="152"/>
      <c r="J173" s="157"/>
      <c r="K173" s="157">
        <v>5800361472</v>
      </c>
      <c r="L173" s="227">
        <v>8593.8366379883701</v>
      </c>
      <c r="M173" s="157" t="s">
        <v>2722</v>
      </c>
      <c r="N173" s="227">
        <f>G70+G82+G91+N172-I173-L173</f>
        <v>387136.71836201154</v>
      </c>
      <c r="O173" s="152">
        <f t="shared" si="21"/>
        <v>1837339.4563620144</v>
      </c>
    </row>
    <row r="174" spans="1:15" x14ac:dyDescent="0.15">
      <c r="A174" s="154"/>
      <c r="B174" s="151"/>
      <c r="C174" s="152"/>
      <c r="D174" s="323"/>
      <c r="E174" s="154"/>
      <c r="F174" s="157"/>
      <c r="G174" s="152"/>
      <c r="H174" s="323" t="s">
        <v>2692</v>
      </c>
      <c r="I174" s="152"/>
      <c r="J174" s="157"/>
      <c r="K174" s="157">
        <v>5800361472</v>
      </c>
      <c r="L174" s="227">
        <v>14235.78</v>
      </c>
      <c r="M174" s="157" t="s">
        <v>2722</v>
      </c>
      <c r="N174" s="227">
        <f t="shared" si="20"/>
        <v>372900.93836201151</v>
      </c>
      <c r="O174" s="152">
        <f t="shared" si="21"/>
        <v>1823103.6763620144</v>
      </c>
    </row>
    <row r="175" spans="1:15" x14ac:dyDescent="0.15">
      <c r="A175" s="154"/>
      <c r="B175" s="151"/>
      <c r="C175" s="152"/>
      <c r="D175" s="323"/>
      <c r="E175" s="154"/>
      <c r="F175" s="157"/>
      <c r="G175" s="152"/>
      <c r="H175" s="323" t="s">
        <v>2692</v>
      </c>
      <c r="I175" s="152"/>
      <c r="J175" s="157"/>
      <c r="K175" s="157">
        <v>5800361472</v>
      </c>
      <c r="L175" s="227">
        <v>21477.108</v>
      </c>
      <c r="M175" s="157" t="s">
        <v>2722</v>
      </c>
      <c r="N175" s="227">
        <f t="shared" si="20"/>
        <v>351423.8303620115</v>
      </c>
      <c r="O175" s="152">
        <f t="shared" si="21"/>
        <v>1801626.5683620144</v>
      </c>
    </row>
    <row r="176" spans="1:15" x14ac:dyDescent="0.15">
      <c r="A176" s="154"/>
      <c r="B176" s="151"/>
      <c r="C176" s="152"/>
      <c r="D176" s="323"/>
      <c r="E176" s="154"/>
      <c r="F176" s="157"/>
      <c r="G176" s="152"/>
      <c r="H176" s="323" t="s">
        <v>2692</v>
      </c>
      <c r="I176" s="152"/>
      <c r="J176" s="157"/>
      <c r="K176" s="157">
        <v>5800361472</v>
      </c>
      <c r="L176" s="227">
        <v>5613.1530000000002</v>
      </c>
      <c r="M176" s="157" t="s">
        <v>2722</v>
      </c>
      <c r="N176" s="227">
        <f t="shared" si="20"/>
        <v>345810.67736201151</v>
      </c>
      <c r="O176" s="152">
        <f t="shared" si="21"/>
        <v>1796013.4153620144</v>
      </c>
    </row>
    <row r="177" spans="1:15" x14ac:dyDescent="0.15">
      <c r="A177" s="154"/>
      <c r="B177" s="151"/>
      <c r="C177" s="152"/>
      <c r="D177" s="323"/>
      <c r="E177" s="154"/>
      <c r="F177" s="157"/>
      <c r="G177" s="152"/>
      <c r="H177" s="323" t="s">
        <v>2692</v>
      </c>
      <c r="I177" s="152"/>
      <c r="J177" s="157"/>
      <c r="K177" s="157">
        <v>5800361472</v>
      </c>
      <c r="L177" s="227">
        <v>13303.253000000001</v>
      </c>
      <c r="M177" s="157" t="s">
        <v>2722</v>
      </c>
      <c r="N177" s="227">
        <f t="shared" si="20"/>
        <v>332507.42436201149</v>
      </c>
      <c r="O177" s="152">
        <f t="shared" si="21"/>
        <v>1782710.1623620144</v>
      </c>
    </row>
    <row r="178" spans="1:15" x14ac:dyDescent="0.15">
      <c r="A178" s="154"/>
      <c r="B178" s="151"/>
      <c r="C178" s="152"/>
      <c r="D178" s="323"/>
      <c r="E178" s="154"/>
      <c r="F178" s="157"/>
      <c r="G178" s="152"/>
      <c r="H178" s="323" t="s">
        <v>2692</v>
      </c>
      <c r="I178" s="152"/>
      <c r="J178" s="157"/>
      <c r="K178" s="157">
        <v>5800361472</v>
      </c>
      <c r="L178" s="227">
        <v>14602.593999999999</v>
      </c>
      <c r="M178" s="157" t="s">
        <v>2722</v>
      </c>
      <c r="N178" s="227">
        <f t="shared" si="20"/>
        <v>317904.8303620115</v>
      </c>
      <c r="O178" s="152">
        <f t="shared" si="21"/>
        <v>1768107.5683620144</v>
      </c>
    </row>
    <row r="179" spans="1:15" x14ac:dyDescent="0.15">
      <c r="A179" s="154"/>
      <c r="B179" s="151"/>
      <c r="C179" s="152"/>
      <c r="D179" s="323"/>
      <c r="E179" s="154"/>
      <c r="F179" s="157"/>
      <c r="G179" s="152"/>
      <c r="H179" s="323" t="s">
        <v>2693</v>
      </c>
      <c r="I179" s="152">
        <v>12993.368999999999</v>
      </c>
      <c r="J179" s="157" t="s">
        <v>2722</v>
      </c>
      <c r="K179" s="157">
        <v>5800361472</v>
      </c>
      <c r="L179" s="227">
        <v>16108</v>
      </c>
      <c r="M179" s="157" t="s">
        <v>2722</v>
      </c>
      <c r="N179" s="227">
        <f t="shared" si="20"/>
        <v>288803.4613620115</v>
      </c>
      <c r="O179" s="152">
        <f t="shared" si="21"/>
        <v>1739006.1993620144</v>
      </c>
    </row>
    <row r="180" spans="1:15" x14ac:dyDescent="0.15">
      <c r="A180" s="154"/>
      <c r="B180" s="151"/>
      <c r="C180" s="152"/>
      <c r="D180" s="323"/>
      <c r="E180" s="154"/>
      <c r="F180" s="157"/>
      <c r="G180" s="152"/>
      <c r="H180" s="323" t="s">
        <v>2693</v>
      </c>
      <c r="I180" s="152"/>
      <c r="J180" s="157"/>
      <c r="K180" s="157">
        <v>5800361472</v>
      </c>
      <c r="L180" s="227">
        <v>13714</v>
      </c>
      <c r="M180" s="157" t="s">
        <v>2722</v>
      </c>
      <c r="N180" s="227">
        <f t="shared" si="20"/>
        <v>275089.4613620115</v>
      </c>
      <c r="O180" s="152">
        <f t="shared" si="21"/>
        <v>1725292.1993620144</v>
      </c>
    </row>
    <row r="181" spans="1:15" x14ac:dyDescent="0.15">
      <c r="A181" s="154"/>
      <c r="B181" s="151"/>
      <c r="C181" s="152"/>
      <c r="D181" s="323"/>
      <c r="E181" s="154"/>
      <c r="F181" s="157"/>
      <c r="G181" s="152"/>
      <c r="H181" s="323" t="s">
        <v>2693</v>
      </c>
      <c r="I181" s="152"/>
      <c r="J181" s="157"/>
      <c r="K181" s="157">
        <v>5800361472</v>
      </c>
      <c r="L181" s="227">
        <v>38350</v>
      </c>
      <c r="M181" s="157" t="s">
        <v>2722</v>
      </c>
      <c r="N181" s="227">
        <f t="shared" si="20"/>
        <v>236739.4613620115</v>
      </c>
      <c r="O181" s="152">
        <f t="shared" si="21"/>
        <v>1686942.1993620144</v>
      </c>
    </row>
    <row r="182" spans="1:15" x14ac:dyDescent="0.15">
      <c r="A182" s="154"/>
      <c r="B182" s="151"/>
      <c r="C182" s="152"/>
      <c r="D182" s="323"/>
      <c r="E182" s="154"/>
      <c r="F182" s="157"/>
      <c r="G182" s="152"/>
      <c r="H182" s="323" t="s">
        <v>2693</v>
      </c>
      <c r="I182" s="152"/>
      <c r="J182" s="157"/>
      <c r="K182" s="157">
        <v>5800361472</v>
      </c>
      <c r="L182" s="227">
        <v>12734</v>
      </c>
      <c r="M182" s="157" t="s">
        <v>2722</v>
      </c>
      <c r="N182" s="227">
        <f t="shared" si="20"/>
        <v>224005.4613620115</v>
      </c>
      <c r="O182" s="152">
        <f t="shared" si="21"/>
        <v>1674208.1993620144</v>
      </c>
    </row>
    <row r="183" spans="1:15" x14ac:dyDescent="0.15">
      <c r="A183" s="154"/>
      <c r="B183" s="151"/>
      <c r="C183" s="152"/>
      <c r="D183" s="323"/>
      <c r="E183" s="154"/>
      <c r="F183" s="157"/>
      <c r="G183" s="152"/>
      <c r="H183" s="323" t="s">
        <v>2693</v>
      </c>
      <c r="I183" s="152"/>
      <c r="J183" s="157"/>
      <c r="K183" s="157">
        <v>5800361472</v>
      </c>
      <c r="L183" s="227">
        <v>18280</v>
      </c>
      <c r="M183" s="157" t="s">
        <v>2722</v>
      </c>
      <c r="N183" s="227">
        <f t="shared" si="20"/>
        <v>205725.4613620115</v>
      </c>
      <c r="O183" s="152">
        <f t="shared" si="21"/>
        <v>1655928.1993620144</v>
      </c>
    </row>
    <row r="184" spans="1:15" x14ac:dyDescent="0.15">
      <c r="A184" s="154"/>
      <c r="B184" s="151"/>
      <c r="C184" s="152"/>
      <c r="D184" s="323"/>
      <c r="E184" s="154"/>
      <c r="F184" s="157"/>
      <c r="G184" s="152"/>
      <c r="H184" s="323" t="s">
        <v>2693</v>
      </c>
      <c r="I184" s="152"/>
      <c r="J184" s="157"/>
      <c r="K184" s="157">
        <v>5800361472</v>
      </c>
      <c r="L184" s="227">
        <v>11992</v>
      </c>
      <c r="M184" s="157" t="s">
        <v>2722</v>
      </c>
      <c r="N184" s="227">
        <f t="shared" si="20"/>
        <v>193733.4613620115</v>
      </c>
      <c r="O184" s="152">
        <f t="shared" si="21"/>
        <v>1643936.1993620144</v>
      </c>
    </row>
    <row r="185" spans="1:15" x14ac:dyDescent="0.15">
      <c r="A185" s="154"/>
      <c r="B185" s="151"/>
      <c r="C185" s="152"/>
      <c r="D185" s="323"/>
      <c r="E185" s="154"/>
      <c r="F185" s="157"/>
      <c r="G185" s="152"/>
      <c r="H185" s="323" t="s">
        <v>2693</v>
      </c>
      <c r="I185" s="152"/>
      <c r="J185" s="157"/>
      <c r="K185" s="157">
        <v>5800361472</v>
      </c>
      <c r="L185" s="227">
        <v>14502</v>
      </c>
      <c r="M185" s="157" t="s">
        <v>2722</v>
      </c>
      <c r="N185" s="227">
        <f t="shared" si="20"/>
        <v>179231.4613620115</v>
      </c>
      <c r="O185" s="152">
        <f t="shared" si="21"/>
        <v>1629434.1993620144</v>
      </c>
    </row>
    <row r="186" spans="1:15" x14ac:dyDescent="0.15">
      <c r="A186" s="154"/>
      <c r="B186" s="151"/>
      <c r="C186" s="152"/>
      <c r="D186" s="323"/>
      <c r="E186" s="154"/>
      <c r="F186" s="157"/>
      <c r="G186" s="152"/>
      <c r="H186" s="323" t="s">
        <v>2693</v>
      </c>
      <c r="I186" s="152"/>
      <c r="J186" s="157"/>
      <c r="K186" s="157">
        <v>5800361472</v>
      </c>
      <c r="L186" s="227">
        <v>9383</v>
      </c>
      <c r="M186" s="157" t="s">
        <v>2722</v>
      </c>
      <c r="N186" s="227">
        <f t="shared" si="20"/>
        <v>169848.4613620115</v>
      </c>
      <c r="O186" s="152">
        <f t="shared" si="21"/>
        <v>1620051.1993620144</v>
      </c>
    </row>
    <row r="187" spans="1:15" x14ac:dyDescent="0.15">
      <c r="A187" s="154"/>
      <c r="B187" s="151"/>
      <c r="C187" s="152"/>
      <c r="D187" s="323"/>
      <c r="E187" s="154"/>
      <c r="F187" s="157"/>
      <c r="G187" s="152"/>
      <c r="H187" s="323" t="s">
        <v>2693</v>
      </c>
      <c r="I187" s="152"/>
      <c r="J187" s="157"/>
      <c r="K187" s="157">
        <v>5800361472</v>
      </c>
      <c r="L187" s="227">
        <v>13376.217000000001</v>
      </c>
      <c r="M187" s="157" t="s">
        <v>2722</v>
      </c>
      <c r="N187" s="227">
        <f t="shared" si="20"/>
        <v>156472.24436201149</v>
      </c>
      <c r="O187" s="152">
        <f t="shared" si="21"/>
        <v>1606674.9823620145</v>
      </c>
    </row>
    <row r="188" spans="1:15" x14ac:dyDescent="0.15">
      <c r="A188" s="154"/>
      <c r="B188" s="151"/>
      <c r="C188" s="152"/>
      <c r="D188" s="323"/>
      <c r="E188" s="154"/>
      <c r="F188" s="157"/>
      <c r="G188" s="152"/>
      <c r="H188" s="323" t="s">
        <v>2693</v>
      </c>
      <c r="I188" s="152"/>
      <c r="J188" s="157"/>
      <c r="K188" s="157">
        <v>5800361472</v>
      </c>
      <c r="L188" s="227">
        <v>13314.248</v>
      </c>
      <c r="M188" s="157" t="s">
        <v>2722</v>
      </c>
      <c r="N188" s="227">
        <f t="shared" si="20"/>
        <v>143157.9963620115</v>
      </c>
      <c r="O188" s="152">
        <f t="shared" si="21"/>
        <v>1593360.7343620146</v>
      </c>
    </row>
    <row r="189" spans="1:15" x14ac:dyDescent="0.15">
      <c r="A189" s="154"/>
      <c r="B189" s="151"/>
      <c r="C189" s="152"/>
      <c r="D189" s="323"/>
      <c r="E189" s="154"/>
      <c r="F189" s="157"/>
      <c r="G189" s="152"/>
      <c r="H189" s="323" t="s">
        <v>2693</v>
      </c>
      <c r="I189" s="152"/>
      <c r="J189" s="157"/>
      <c r="K189" s="157">
        <v>5800361472</v>
      </c>
      <c r="L189" s="227">
        <v>5767.076</v>
      </c>
      <c r="M189" s="157" t="s">
        <v>2722</v>
      </c>
      <c r="N189" s="227">
        <f t="shared" si="20"/>
        <v>137390.9203620115</v>
      </c>
      <c r="O189" s="152">
        <f t="shared" si="21"/>
        <v>1587593.6583620147</v>
      </c>
    </row>
    <row r="190" spans="1:15" x14ac:dyDescent="0.15">
      <c r="A190" s="154"/>
      <c r="B190" s="151"/>
      <c r="C190" s="152"/>
      <c r="D190" s="323"/>
      <c r="E190" s="154"/>
      <c r="F190" s="157"/>
      <c r="G190" s="152"/>
      <c r="H190" s="323" t="s">
        <v>2693</v>
      </c>
      <c r="I190" s="152"/>
      <c r="J190" s="157"/>
      <c r="K190" s="157">
        <v>5800361472</v>
      </c>
      <c r="L190" s="227">
        <v>15432.174000000001</v>
      </c>
      <c r="M190" s="157" t="s">
        <v>2722</v>
      </c>
      <c r="N190" s="227">
        <f t="shared" si="20"/>
        <v>121958.7463620115</v>
      </c>
      <c r="O190" s="152">
        <f t="shared" si="21"/>
        <v>1572161.4843620146</v>
      </c>
    </row>
    <row r="191" spans="1:15" x14ac:dyDescent="0.15">
      <c r="A191" s="154"/>
      <c r="B191" s="151"/>
      <c r="C191" s="152"/>
      <c r="D191" s="323"/>
      <c r="E191" s="154"/>
      <c r="F191" s="157"/>
      <c r="G191" s="152"/>
      <c r="H191" s="323" t="s">
        <v>2693</v>
      </c>
      <c r="I191" s="152"/>
      <c r="J191" s="157"/>
      <c r="K191" s="157">
        <v>5800361472</v>
      </c>
      <c r="L191" s="227">
        <v>15625.076999999999</v>
      </c>
      <c r="M191" s="157" t="s">
        <v>2722</v>
      </c>
      <c r="N191" s="227">
        <f t="shared" si="20"/>
        <v>106333.6693620115</v>
      </c>
      <c r="O191" s="152">
        <f t="shared" si="21"/>
        <v>1556536.4073620145</v>
      </c>
    </row>
    <row r="192" spans="1:15" x14ac:dyDescent="0.15">
      <c r="A192" s="154"/>
      <c r="B192" s="151"/>
      <c r="C192" s="152"/>
      <c r="D192" s="323"/>
      <c r="E192" s="154"/>
      <c r="F192" s="157"/>
      <c r="G192" s="152"/>
      <c r="H192" s="323" t="s">
        <v>2694</v>
      </c>
      <c r="I192" s="152">
        <v>14686.953000000001</v>
      </c>
      <c r="J192" s="157" t="s">
        <v>2722</v>
      </c>
      <c r="K192" s="157">
        <v>5800361472</v>
      </c>
      <c r="L192" s="227">
        <v>11700</v>
      </c>
      <c r="M192" s="157" t="s">
        <v>2722</v>
      </c>
      <c r="N192" s="227">
        <f t="shared" si="20"/>
        <v>79946.716362011502</v>
      </c>
      <c r="O192" s="152">
        <f t="shared" si="21"/>
        <v>1530149.4543620145</v>
      </c>
    </row>
    <row r="193" spans="1:15" x14ac:dyDescent="0.15">
      <c r="A193" s="154"/>
      <c r="B193" s="151"/>
      <c r="C193" s="152"/>
      <c r="D193" s="323"/>
      <c r="E193" s="154"/>
      <c r="F193" s="157"/>
      <c r="G193" s="152"/>
      <c r="H193" s="323" t="s">
        <v>2694</v>
      </c>
      <c r="I193" s="152"/>
      <c r="J193" s="157"/>
      <c r="K193" s="157">
        <v>5800361472</v>
      </c>
      <c r="L193" s="227">
        <v>14844</v>
      </c>
      <c r="M193" s="157" t="s">
        <v>2722</v>
      </c>
      <c r="N193" s="227">
        <f t="shared" si="20"/>
        <v>65102.716362011502</v>
      </c>
      <c r="O193" s="152">
        <f t="shared" si="21"/>
        <v>1515305.4543620145</v>
      </c>
    </row>
    <row r="194" spans="1:15" x14ac:dyDescent="0.15">
      <c r="A194" s="154"/>
      <c r="B194" s="151"/>
      <c r="C194" s="152"/>
      <c r="D194" s="323"/>
      <c r="E194" s="154"/>
      <c r="F194" s="157"/>
      <c r="G194" s="152"/>
      <c r="H194" s="323" t="s">
        <v>2694</v>
      </c>
      <c r="I194" s="152"/>
      <c r="J194" s="157"/>
      <c r="K194" s="157">
        <v>5800361472</v>
      </c>
      <c r="L194" s="227">
        <v>14408</v>
      </c>
      <c r="M194" s="157" t="s">
        <v>2722</v>
      </c>
      <c r="N194" s="227">
        <f t="shared" si="20"/>
        <v>50694.716362011502</v>
      </c>
      <c r="O194" s="152">
        <f t="shared" si="21"/>
        <v>1500897.4543620145</v>
      </c>
    </row>
    <row r="195" spans="1:15" x14ac:dyDescent="0.15">
      <c r="A195" s="154"/>
      <c r="B195" s="151"/>
      <c r="C195" s="152"/>
      <c r="D195" s="323"/>
      <c r="E195" s="154"/>
      <c r="F195" s="157"/>
      <c r="G195" s="152"/>
      <c r="H195" s="323" t="s">
        <v>2694</v>
      </c>
      <c r="I195" s="152"/>
      <c r="J195" s="157"/>
      <c r="K195" s="157">
        <v>5800361472</v>
      </c>
      <c r="L195" s="227">
        <v>14370</v>
      </c>
      <c r="M195" s="157" t="s">
        <v>2722</v>
      </c>
      <c r="N195" s="227">
        <f t="shared" si="20"/>
        <v>36324.716362011502</v>
      </c>
      <c r="O195" s="152">
        <f t="shared" si="21"/>
        <v>1486527.4543620145</v>
      </c>
    </row>
    <row r="196" spans="1:15" x14ac:dyDescent="0.15">
      <c r="A196" s="154"/>
      <c r="B196" s="151"/>
      <c r="C196" s="152"/>
      <c r="D196" s="323"/>
      <c r="E196" s="154"/>
      <c r="F196" s="157"/>
      <c r="G196" s="152"/>
      <c r="H196" s="323" t="s">
        <v>2694</v>
      </c>
      <c r="I196" s="152"/>
      <c r="J196" s="157"/>
      <c r="K196" s="157">
        <v>5800361472</v>
      </c>
      <c r="L196" s="227">
        <v>16377</v>
      </c>
      <c r="M196" s="157" t="s">
        <v>2722</v>
      </c>
      <c r="N196" s="227">
        <f t="shared" si="20"/>
        <v>19947.716362011502</v>
      </c>
      <c r="O196" s="152">
        <f t="shared" si="21"/>
        <v>1470150.4543620145</v>
      </c>
    </row>
    <row r="197" spans="1:15" x14ac:dyDescent="0.15">
      <c r="A197" s="154"/>
      <c r="B197" s="151"/>
      <c r="C197" s="152"/>
      <c r="D197" s="323"/>
      <c r="E197" s="154"/>
      <c r="F197" s="157"/>
      <c r="G197" s="152"/>
      <c r="H197" s="323" t="s">
        <v>2694</v>
      </c>
      <c r="I197" s="152"/>
      <c r="J197" s="157"/>
      <c r="K197" s="157">
        <v>5800361472</v>
      </c>
      <c r="L197" s="227">
        <v>10614</v>
      </c>
      <c r="M197" s="157" t="s">
        <v>2722</v>
      </c>
      <c r="N197" s="227">
        <f t="shared" si="20"/>
        <v>9333.7163620115025</v>
      </c>
      <c r="O197" s="152">
        <f t="shared" si="21"/>
        <v>1459536.4543620145</v>
      </c>
    </row>
    <row r="198" spans="1:15" x14ac:dyDescent="0.15">
      <c r="A198" s="154"/>
      <c r="B198" s="151"/>
      <c r="C198" s="152"/>
      <c r="D198" s="323"/>
      <c r="E198" s="154"/>
      <c r="F198" s="157"/>
      <c r="G198" s="152"/>
      <c r="H198" s="323" t="s">
        <v>2694</v>
      </c>
      <c r="I198" s="152"/>
      <c r="J198" s="157"/>
      <c r="K198" s="157">
        <v>5800361472</v>
      </c>
      <c r="L198" s="227">
        <v>9333.7163620115025</v>
      </c>
      <c r="M198" s="157" t="s">
        <v>2722</v>
      </c>
      <c r="N198" s="227">
        <f t="shared" si="20"/>
        <v>0</v>
      </c>
      <c r="O198" s="152">
        <f t="shared" si="21"/>
        <v>1450202.7380000032</v>
      </c>
    </row>
    <row r="199" spans="1:15" x14ac:dyDescent="0.15">
      <c r="A199" s="154"/>
      <c r="B199" s="151"/>
      <c r="C199" s="152"/>
      <c r="D199" s="323"/>
      <c r="E199" s="154"/>
      <c r="F199" s="157"/>
      <c r="G199" s="152"/>
      <c r="H199" s="323" t="s">
        <v>2694</v>
      </c>
      <c r="I199" s="152"/>
      <c r="J199" s="157"/>
      <c r="K199" s="157">
        <v>5800361472</v>
      </c>
      <c r="L199" s="227">
        <v>6271.1196379884996</v>
      </c>
      <c r="M199" s="157" t="s">
        <v>2723</v>
      </c>
      <c r="N199" s="227">
        <f>G92+G101+G110+N198-I199-L199</f>
        <v>609039.07336201146</v>
      </c>
      <c r="O199" s="152">
        <f t="shared" si="21"/>
        <v>1443931.6183620146</v>
      </c>
    </row>
    <row r="200" spans="1:15" x14ac:dyDescent="0.15">
      <c r="A200" s="154"/>
      <c r="B200" s="151"/>
      <c r="C200" s="152"/>
      <c r="D200" s="323"/>
      <c r="E200" s="154"/>
      <c r="F200" s="157"/>
      <c r="G200" s="152"/>
      <c r="H200" s="323" t="s">
        <v>2694</v>
      </c>
      <c r="I200" s="152"/>
      <c r="J200" s="157"/>
      <c r="K200" s="157">
        <v>5800361472</v>
      </c>
      <c r="L200" s="227">
        <v>18926.163</v>
      </c>
      <c r="M200" s="157" t="s">
        <v>2723</v>
      </c>
      <c r="N200" s="227">
        <f t="shared" si="20"/>
        <v>590112.91036201152</v>
      </c>
      <c r="O200" s="152">
        <f t="shared" si="21"/>
        <v>1425005.4553620147</v>
      </c>
    </row>
    <row r="201" spans="1:15" x14ac:dyDescent="0.15">
      <c r="A201" s="154"/>
      <c r="B201" s="151"/>
      <c r="C201" s="152"/>
      <c r="D201" s="323"/>
      <c r="E201" s="154"/>
      <c r="F201" s="157"/>
      <c r="G201" s="152"/>
      <c r="H201" s="323" t="s">
        <v>2694</v>
      </c>
      <c r="I201" s="152"/>
      <c r="J201" s="154"/>
      <c r="K201" s="157">
        <v>5800361472</v>
      </c>
      <c r="L201" s="227">
        <v>13625.236999999999</v>
      </c>
      <c r="M201" s="157" t="s">
        <v>2723</v>
      </c>
      <c r="N201" s="227">
        <f t="shared" si="20"/>
        <v>576487.67336201156</v>
      </c>
      <c r="O201" s="152">
        <f t="shared" si="21"/>
        <v>1411380.2183620147</v>
      </c>
    </row>
    <row r="202" spans="1:15" x14ac:dyDescent="0.15">
      <c r="A202" s="154"/>
      <c r="B202" s="151"/>
      <c r="C202" s="152"/>
      <c r="D202" s="323"/>
      <c r="E202" s="154"/>
      <c r="F202" s="157"/>
      <c r="G202" s="152"/>
      <c r="H202" s="323" t="s">
        <v>2694</v>
      </c>
      <c r="I202" s="152"/>
      <c r="J202" s="157"/>
      <c r="K202" s="157">
        <v>5800361472</v>
      </c>
      <c r="L202" s="227">
        <v>15436.87</v>
      </c>
      <c r="M202" s="157" t="s">
        <v>2723</v>
      </c>
      <c r="N202" s="227">
        <f t="shared" si="20"/>
        <v>561050.80336201156</v>
      </c>
      <c r="O202" s="152">
        <f t="shared" si="21"/>
        <v>1395943.3483620146</v>
      </c>
    </row>
    <row r="203" spans="1:15" x14ac:dyDescent="0.15">
      <c r="A203" s="154"/>
      <c r="B203" s="151"/>
      <c r="C203" s="152"/>
      <c r="D203" s="323"/>
      <c r="E203" s="154"/>
      <c r="F203" s="157"/>
      <c r="G203" s="152"/>
      <c r="H203" s="323" t="s">
        <v>2695</v>
      </c>
      <c r="I203" s="152">
        <v>13952.383</v>
      </c>
      <c r="J203" s="157" t="s">
        <v>2723</v>
      </c>
      <c r="K203" s="157">
        <v>5800361472</v>
      </c>
      <c r="L203" s="227">
        <v>14504.348</v>
      </c>
      <c r="M203" s="157" t="s">
        <v>2723</v>
      </c>
      <c r="N203" s="227">
        <f t="shared" si="20"/>
        <v>532594.07236201153</v>
      </c>
      <c r="O203" s="152">
        <f t="shared" si="21"/>
        <v>1367486.6173620147</v>
      </c>
    </row>
    <row r="204" spans="1:15" x14ac:dyDescent="0.15">
      <c r="A204" s="154"/>
      <c r="B204" s="151"/>
      <c r="C204" s="152"/>
      <c r="D204" s="323"/>
      <c r="E204" s="154"/>
      <c r="F204" s="157"/>
      <c r="G204" s="152"/>
      <c r="H204" s="323" t="s">
        <v>2695</v>
      </c>
      <c r="I204" s="152"/>
      <c r="J204" s="157"/>
      <c r="K204" s="157">
        <v>5800361472</v>
      </c>
      <c r="L204" s="227">
        <v>34917.690999999999</v>
      </c>
      <c r="M204" s="157" t="s">
        <v>2723</v>
      </c>
      <c r="N204" s="227">
        <f t="shared" si="20"/>
        <v>497676.38136201154</v>
      </c>
      <c r="O204" s="152">
        <f t="shared" si="21"/>
        <v>1332568.9263620146</v>
      </c>
    </row>
    <row r="205" spans="1:15" x14ac:dyDescent="0.15">
      <c r="A205" s="154"/>
      <c r="B205" s="151"/>
      <c r="C205" s="152"/>
      <c r="D205" s="323"/>
      <c r="E205" s="154"/>
      <c r="F205" s="157"/>
      <c r="G205" s="152"/>
      <c r="H205" s="323" t="s">
        <v>2695</v>
      </c>
      <c r="I205" s="152"/>
      <c r="J205" s="157"/>
      <c r="K205" s="157">
        <v>5800361472</v>
      </c>
      <c r="L205" s="227">
        <v>12607.387000000001</v>
      </c>
      <c r="M205" s="157" t="s">
        <v>2723</v>
      </c>
      <c r="N205" s="227">
        <f t="shared" si="20"/>
        <v>485068.99436201155</v>
      </c>
      <c r="O205" s="152">
        <f t="shared" si="21"/>
        <v>1319961.5393620145</v>
      </c>
    </row>
    <row r="206" spans="1:15" x14ac:dyDescent="0.15">
      <c r="A206" s="154"/>
      <c r="B206" s="151"/>
      <c r="C206" s="152"/>
      <c r="D206" s="323"/>
      <c r="E206" s="154"/>
      <c r="F206" s="157"/>
      <c r="G206" s="152"/>
      <c r="H206" s="323" t="s">
        <v>2695</v>
      </c>
      <c r="I206" s="152"/>
      <c r="J206" s="157"/>
      <c r="K206" s="157">
        <v>5800361472</v>
      </c>
      <c r="L206" s="227">
        <v>18053.146000000001</v>
      </c>
      <c r="M206" s="157" t="s">
        <v>2723</v>
      </c>
      <c r="N206" s="227">
        <f t="shared" si="20"/>
        <v>467015.84836201154</v>
      </c>
      <c r="O206" s="152">
        <f t="shared" si="21"/>
        <v>1301908.3933620146</v>
      </c>
    </row>
    <row r="207" spans="1:15" x14ac:dyDescent="0.15">
      <c r="A207" s="154"/>
      <c r="B207" s="151"/>
      <c r="C207" s="152"/>
      <c r="D207" s="323"/>
      <c r="E207" s="154"/>
      <c r="F207" s="157"/>
      <c r="G207" s="152"/>
      <c r="H207" s="323" t="s">
        <v>2695</v>
      </c>
      <c r="I207" s="152"/>
      <c r="J207" s="157"/>
      <c r="K207" s="157">
        <v>5800361472</v>
      </c>
      <c r="L207" s="227">
        <v>14643.419</v>
      </c>
      <c r="M207" s="157" t="s">
        <v>2723</v>
      </c>
      <c r="N207" s="227">
        <f t="shared" si="20"/>
        <v>452372.42936201155</v>
      </c>
      <c r="O207" s="152">
        <f t="shared" si="21"/>
        <v>1287264.9743620146</v>
      </c>
    </row>
    <row r="208" spans="1:15" x14ac:dyDescent="0.15">
      <c r="A208" s="154"/>
      <c r="B208" s="151"/>
      <c r="C208" s="152"/>
      <c r="D208" s="323"/>
      <c r="E208" s="154"/>
      <c r="F208" s="157"/>
      <c r="G208" s="152"/>
      <c r="H208" s="323" t="s">
        <v>2695</v>
      </c>
      <c r="I208" s="152"/>
      <c r="J208" s="157"/>
      <c r="K208" s="157">
        <v>5800361472</v>
      </c>
      <c r="L208" s="227">
        <v>13669.925999999999</v>
      </c>
      <c r="M208" s="157" t="s">
        <v>2723</v>
      </c>
      <c r="N208" s="227">
        <f t="shared" si="20"/>
        <v>438702.50336201157</v>
      </c>
      <c r="O208" s="152">
        <f t="shared" si="21"/>
        <v>1273595.0483620146</v>
      </c>
    </row>
    <row r="209" spans="1:15" x14ac:dyDescent="0.15">
      <c r="A209" s="154"/>
      <c r="B209" s="151"/>
      <c r="C209" s="152"/>
      <c r="D209" s="323"/>
      <c r="E209" s="154"/>
      <c r="F209" s="157"/>
      <c r="G209" s="152"/>
      <c r="H209" s="323" t="s">
        <v>2695</v>
      </c>
      <c r="I209" s="152"/>
      <c r="J209" s="157"/>
      <c r="K209" s="157">
        <v>5800361472</v>
      </c>
      <c r="L209" s="227">
        <v>14787.492</v>
      </c>
      <c r="M209" s="157" t="s">
        <v>2723</v>
      </c>
      <c r="N209" s="227">
        <f t="shared" si="20"/>
        <v>423915.01136201154</v>
      </c>
      <c r="O209" s="152">
        <f t="shared" si="21"/>
        <v>1258807.5563620145</v>
      </c>
    </row>
    <row r="210" spans="1:15" x14ac:dyDescent="0.15">
      <c r="A210" s="154"/>
      <c r="B210" s="151"/>
      <c r="C210" s="152"/>
      <c r="D210" s="323"/>
      <c r="E210" s="154"/>
      <c r="F210" s="157"/>
      <c r="G210" s="152"/>
      <c r="H210" s="323" t="s">
        <v>2695</v>
      </c>
      <c r="I210" s="152"/>
      <c r="J210" s="157"/>
      <c r="K210" s="157">
        <v>5800361472</v>
      </c>
      <c r="L210" s="227">
        <v>800.40599999999995</v>
      </c>
      <c r="M210" s="157" t="s">
        <v>2723</v>
      </c>
      <c r="N210" s="227">
        <f t="shared" si="20"/>
        <v>423114.60536201153</v>
      </c>
      <c r="O210" s="152">
        <f t="shared" si="21"/>
        <v>1258007.1503620145</v>
      </c>
    </row>
    <row r="211" spans="1:15" x14ac:dyDescent="0.15">
      <c r="A211" s="154"/>
      <c r="B211" s="151"/>
      <c r="C211" s="152"/>
      <c r="D211" s="323"/>
      <c r="E211" s="154"/>
      <c r="F211" s="157"/>
      <c r="G211" s="152"/>
      <c r="H211" s="323" t="s">
        <v>2695</v>
      </c>
      <c r="I211" s="152"/>
      <c r="J211" s="157"/>
      <c r="K211" s="157">
        <v>5800361472</v>
      </c>
      <c r="L211" s="227">
        <v>13298.206</v>
      </c>
      <c r="M211" s="157" t="s">
        <v>2723</v>
      </c>
      <c r="N211" s="227">
        <f t="shared" si="20"/>
        <v>409816.39936201152</v>
      </c>
      <c r="O211" s="152">
        <f t="shared" si="21"/>
        <v>1244708.9443620145</v>
      </c>
    </row>
    <row r="212" spans="1:15" x14ac:dyDescent="0.15">
      <c r="A212" s="154"/>
      <c r="B212" s="151"/>
      <c r="C212" s="152"/>
      <c r="D212" s="323"/>
      <c r="E212" s="154"/>
      <c r="F212" s="157"/>
      <c r="G212" s="152"/>
      <c r="H212" s="323" t="s">
        <v>2695</v>
      </c>
      <c r="I212" s="152"/>
      <c r="J212" s="157"/>
      <c r="K212" s="157">
        <v>5800361472</v>
      </c>
      <c r="L212" s="227">
        <v>12090.187</v>
      </c>
      <c r="M212" s="157" t="s">
        <v>2723</v>
      </c>
      <c r="N212" s="227">
        <f t="shared" ref="N212:N275" si="22">+N211-I212-L212</f>
        <v>397726.21236201155</v>
      </c>
      <c r="O212" s="152">
        <f t="shared" ref="O212:O275" si="23">O211+G212-I212-L212</f>
        <v>1232618.7573620146</v>
      </c>
    </row>
    <row r="213" spans="1:15" x14ac:dyDescent="0.15">
      <c r="A213" s="154"/>
      <c r="B213" s="151"/>
      <c r="C213" s="152"/>
      <c r="D213" s="323"/>
      <c r="E213" s="154"/>
      <c r="F213" s="157"/>
      <c r="G213" s="152"/>
      <c r="H213" s="323" t="s">
        <v>2695</v>
      </c>
      <c r="I213" s="152"/>
      <c r="J213" s="157"/>
      <c r="K213" s="157">
        <v>5800361472</v>
      </c>
      <c r="L213" s="227">
        <v>1740.587</v>
      </c>
      <c r="M213" s="157" t="s">
        <v>2723</v>
      </c>
      <c r="N213" s="227">
        <f t="shared" si="22"/>
        <v>395985.62536201155</v>
      </c>
      <c r="O213" s="152">
        <f t="shared" si="23"/>
        <v>1230878.1703620146</v>
      </c>
    </row>
    <row r="214" spans="1:15" x14ac:dyDescent="0.15">
      <c r="A214" s="154"/>
      <c r="B214" s="151"/>
      <c r="C214" s="152"/>
      <c r="D214" s="323"/>
      <c r="E214" s="154"/>
      <c r="F214" s="157"/>
      <c r="G214" s="152"/>
      <c r="H214" s="323" t="s">
        <v>2695</v>
      </c>
      <c r="I214" s="152"/>
      <c r="J214" s="154"/>
      <c r="K214" s="157">
        <v>5800361472</v>
      </c>
      <c r="L214" s="227">
        <v>15851.134</v>
      </c>
      <c r="M214" s="157" t="s">
        <v>2723</v>
      </c>
      <c r="N214" s="227">
        <f t="shared" si="22"/>
        <v>380134.49136201153</v>
      </c>
      <c r="O214" s="152">
        <f t="shared" si="23"/>
        <v>1215027.0363620145</v>
      </c>
    </row>
    <row r="215" spans="1:15" x14ac:dyDescent="0.15">
      <c r="A215" s="154"/>
      <c r="B215" s="151"/>
      <c r="C215" s="152"/>
      <c r="D215" s="323"/>
      <c r="E215" s="154"/>
      <c r="F215" s="157"/>
      <c r="G215" s="152"/>
      <c r="H215" s="323" t="s">
        <v>2695</v>
      </c>
      <c r="I215" s="152"/>
      <c r="J215" s="157"/>
      <c r="K215" s="157">
        <v>5800361472</v>
      </c>
      <c r="L215" s="227">
        <v>14558.183000000001</v>
      </c>
      <c r="M215" s="157" t="s">
        <v>2723</v>
      </c>
      <c r="N215" s="227">
        <f t="shared" si="22"/>
        <v>365576.30836201151</v>
      </c>
      <c r="O215" s="152">
        <f t="shared" si="23"/>
        <v>1200468.8533620145</v>
      </c>
    </row>
    <row r="216" spans="1:15" x14ac:dyDescent="0.15">
      <c r="A216" s="154"/>
      <c r="B216" s="151"/>
      <c r="C216" s="152"/>
      <c r="D216" s="323"/>
      <c r="E216" s="154"/>
      <c r="F216" s="157"/>
      <c r="G216" s="152"/>
      <c r="H216" s="323" t="s">
        <v>2696</v>
      </c>
      <c r="I216" s="152">
        <v>14050.151</v>
      </c>
      <c r="J216" s="157" t="s">
        <v>2723</v>
      </c>
      <c r="K216" s="157">
        <v>5800361472</v>
      </c>
      <c r="L216" s="227">
        <v>14179.125</v>
      </c>
      <c r="M216" s="157" t="s">
        <v>2723</v>
      </c>
      <c r="N216" s="227">
        <f t="shared" si="22"/>
        <v>337347.03236201149</v>
      </c>
      <c r="O216" s="152">
        <f t="shared" si="23"/>
        <v>1172239.5773620144</v>
      </c>
    </row>
    <row r="217" spans="1:15" x14ac:dyDescent="0.15">
      <c r="A217" s="154"/>
      <c r="B217" s="151"/>
      <c r="C217" s="152"/>
      <c r="D217" s="323"/>
      <c r="E217" s="154"/>
      <c r="F217" s="157"/>
      <c r="G217" s="152"/>
      <c r="H217" s="323" t="s">
        <v>2696</v>
      </c>
      <c r="I217" s="152"/>
      <c r="J217" s="157"/>
      <c r="K217" s="157">
        <v>5800361472</v>
      </c>
      <c r="L217" s="227">
        <v>13676.227000000001</v>
      </c>
      <c r="M217" s="157" t="s">
        <v>2723</v>
      </c>
      <c r="N217" s="227">
        <f t="shared" si="22"/>
        <v>323670.80536201148</v>
      </c>
      <c r="O217" s="152">
        <f t="shared" si="23"/>
        <v>1158563.3503620145</v>
      </c>
    </row>
    <row r="218" spans="1:15" x14ac:dyDescent="0.15">
      <c r="A218" s="154"/>
      <c r="B218" s="151"/>
      <c r="C218" s="152"/>
      <c r="D218" s="323"/>
      <c r="E218" s="154"/>
      <c r="F218" s="157"/>
      <c r="G218" s="152"/>
      <c r="H218" s="323" t="s">
        <v>2696</v>
      </c>
      <c r="I218" s="152"/>
      <c r="J218" s="157"/>
      <c r="K218" s="157">
        <v>5800361472</v>
      </c>
      <c r="L218" s="227">
        <v>16040.746999999999</v>
      </c>
      <c r="M218" s="157" t="s">
        <v>2723</v>
      </c>
      <c r="N218" s="227">
        <f t="shared" si="22"/>
        <v>307630.05836201151</v>
      </c>
      <c r="O218" s="152">
        <f t="shared" si="23"/>
        <v>1142522.6033620145</v>
      </c>
    </row>
    <row r="219" spans="1:15" x14ac:dyDescent="0.15">
      <c r="A219" s="154"/>
      <c r="B219" s="151"/>
      <c r="C219" s="152"/>
      <c r="D219" s="323"/>
      <c r="E219" s="154"/>
      <c r="F219" s="157"/>
      <c r="G219" s="152"/>
      <c r="H219" s="323" t="s">
        <v>2696</v>
      </c>
      <c r="I219" s="152"/>
      <c r="J219" s="157"/>
      <c r="K219" s="157">
        <v>5800361472</v>
      </c>
      <c r="L219" s="227">
        <v>11724.621999999999</v>
      </c>
      <c r="M219" s="157" t="s">
        <v>2723</v>
      </c>
      <c r="N219" s="227">
        <f t="shared" si="22"/>
        <v>295905.43636201153</v>
      </c>
      <c r="O219" s="152">
        <f t="shared" si="23"/>
        <v>1130797.9813620145</v>
      </c>
    </row>
    <row r="220" spans="1:15" x14ac:dyDescent="0.15">
      <c r="A220" s="154"/>
      <c r="B220" s="151"/>
      <c r="C220" s="152"/>
      <c r="D220" s="323"/>
      <c r="E220" s="154"/>
      <c r="F220" s="157"/>
      <c r="G220" s="152"/>
      <c r="H220" s="323" t="s">
        <v>2696</v>
      </c>
      <c r="I220" s="152"/>
      <c r="J220" s="157"/>
      <c r="K220" s="157">
        <v>5800361472</v>
      </c>
      <c r="L220" s="227">
        <v>13548.252</v>
      </c>
      <c r="M220" s="157" t="s">
        <v>2723</v>
      </c>
      <c r="N220" s="227">
        <f t="shared" si="22"/>
        <v>282357.18436201155</v>
      </c>
      <c r="O220" s="152">
        <f t="shared" si="23"/>
        <v>1117249.7293620144</v>
      </c>
    </row>
    <row r="221" spans="1:15" x14ac:dyDescent="0.15">
      <c r="A221" s="154"/>
      <c r="B221" s="151"/>
      <c r="C221" s="152"/>
      <c r="D221" s="323"/>
      <c r="E221" s="154"/>
      <c r="F221" s="157"/>
      <c r="G221" s="152"/>
      <c r="H221" s="323" t="s">
        <v>2696</v>
      </c>
      <c r="I221" s="152"/>
      <c r="J221" s="157"/>
      <c r="K221" s="157">
        <v>5800361472</v>
      </c>
      <c r="L221" s="227">
        <v>8614.2530000000006</v>
      </c>
      <c r="M221" s="157" t="s">
        <v>2723</v>
      </c>
      <c r="N221" s="227">
        <f t="shared" si="22"/>
        <v>273742.93136201153</v>
      </c>
      <c r="O221" s="152">
        <f t="shared" si="23"/>
        <v>1108635.4763620144</v>
      </c>
    </row>
    <row r="222" spans="1:15" x14ac:dyDescent="0.15">
      <c r="A222" s="154"/>
      <c r="B222" s="151"/>
      <c r="C222" s="152"/>
      <c r="D222" s="323"/>
      <c r="E222" s="154"/>
      <c r="F222" s="157"/>
      <c r="G222" s="152"/>
      <c r="H222" s="323" t="s">
        <v>2696</v>
      </c>
      <c r="I222" s="152"/>
      <c r="J222" s="157"/>
      <c r="K222" s="157">
        <v>5800361472</v>
      </c>
      <c r="L222" s="227">
        <v>15087.94</v>
      </c>
      <c r="M222" s="157" t="s">
        <v>2723</v>
      </c>
      <c r="N222" s="227">
        <f t="shared" si="22"/>
        <v>258654.99136201153</v>
      </c>
      <c r="O222" s="152">
        <f t="shared" si="23"/>
        <v>1093547.5363620145</v>
      </c>
    </row>
    <row r="223" spans="1:15" x14ac:dyDescent="0.15">
      <c r="A223" s="154"/>
      <c r="B223" s="151"/>
      <c r="C223" s="152"/>
      <c r="D223" s="323"/>
      <c r="E223" s="154"/>
      <c r="F223" s="157"/>
      <c r="G223" s="152"/>
      <c r="H223" s="323" t="s">
        <v>2696</v>
      </c>
      <c r="I223" s="152"/>
      <c r="J223" s="157"/>
      <c r="K223" s="157">
        <v>5800361472</v>
      </c>
      <c r="L223" s="227">
        <v>3339.3229999999999</v>
      </c>
      <c r="M223" s="157" t="s">
        <v>2723</v>
      </c>
      <c r="N223" s="227">
        <f t="shared" si="22"/>
        <v>255315.66836201152</v>
      </c>
      <c r="O223" s="152">
        <f t="shared" si="23"/>
        <v>1090208.2133620144</v>
      </c>
    </row>
    <row r="224" spans="1:15" x14ac:dyDescent="0.15">
      <c r="A224" s="154"/>
      <c r="B224" s="151"/>
      <c r="C224" s="152"/>
      <c r="D224" s="323"/>
      <c r="E224" s="154"/>
      <c r="F224" s="157"/>
      <c r="G224" s="152"/>
      <c r="H224" s="323" t="s">
        <v>2696</v>
      </c>
      <c r="I224" s="152"/>
      <c r="J224" s="157"/>
      <c r="K224" s="157">
        <v>5800361472</v>
      </c>
      <c r="L224" s="227">
        <v>2531.4870000000001</v>
      </c>
      <c r="M224" s="157" t="s">
        <v>2723</v>
      </c>
      <c r="N224" s="227">
        <f t="shared" si="22"/>
        <v>252784.18136201153</v>
      </c>
      <c r="O224" s="152">
        <f t="shared" si="23"/>
        <v>1087676.7263620144</v>
      </c>
    </row>
    <row r="225" spans="1:15" x14ac:dyDescent="0.15">
      <c r="A225" s="154"/>
      <c r="B225" s="151"/>
      <c r="C225" s="152"/>
      <c r="D225" s="323"/>
      <c r="E225" s="154"/>
      <c r="F225" s="157"/>
      <c r="G225" s="152"/>
      <c r="H225" s="323" t="s">
        <v>2696</v>
      </c>
      <c r="I225" s="152"/>
      <c r="J225" s="157"/>
      <c r="K225" s="157">
        <v>5800361472</v>
      </c>
      <c r="L225" s="227">
        <v>14708.017</v>
      </c>
      <c r="M225" s="157" t="s">
        <v>2723</v>
      </c>
      <c r="N225" s="227">
        <f t="shared" si="22"/>
        <v>238076.16436201154</v>
      </c>
      <c r="O225" s="152">
        <f t="shared" si="23"/>
        <v>1072968.7093620144</v>
      </c>
    </row>
    <row r="226" spans="1:15" x14ac:dyDescent="0.15">
      <c r="A226" s="154"/>
      <c r="B226" s="151"/>
      <c r="C226" s="152"/>
      <c r="D226" s="323"/>
      <c r="E226" s="154"/>
      <c r="F226" s="157"/>
      <c r="G226" s="152"/>
      <c r="H226" s="323" t="s">
        <v>2696</v>
      </c>
      <c r="I226" s="152"/>
      <c r="J226" s="157"/>
      <c r="K226" s="157">
        <v>5800361472</v>
      </c>
      <c r="L226" s="227">
        <v>13267.308999999999</v>
      </c>
      <c r="M226" s="157" t="s">
        <v>2723</v>
      </c>
      <c r="N226" s="227">
        <f t="shared" si="22"/>
        <v>224808.85536201153</v>
      </c>
      <c r="O226" s="152">
        <f t="shared" si="23"/>
        <v>1059701.4003620145</v>
      </c>
    </row>
    <row r="227" spans="1:15" x14ac:dyDescent="0.15">
      <c r="A227" s="154"/>
      <c r="B227" s="151"/>
      <c r="C227" s="152"/>
      <c r="D227" s="323" t="s">
        <v>2697</v>
      </c>
      <c r="E227" s="154" t="s">
        <v>72</v>
      </c>
      <c r="F227" s="157" t="s">
        <v>2726</v>
      </c>
      <c r="G227" s="152">
        <v>220114.736</v>
      </c>
      <c r="H227" s="323" t="s">
        <v>2697</v>
      </c>
      <c r="I227" s="152">
        <v>9609.4349999999995</v>
      </c>
      <c r="J227" s="157" t="s">
        <v>2723</v>
      </c>
      <c r="K227" s="157">
        <v>5800361472</v>
      </c>
      <c r="L227" s="227">
        <v>14594.209000000001</v>
      </c>
      <c r="M227" s="157" t="s">
        <v>2723</v>
      </c>
      <c r="N227" s="227">
        <f t="shared" si="22"/>
        <v>200605.21136201153</v>
      </c>
      <c r="O227" s="152">
        <f t="shared" si="23"/>
        <v>1255612.4923620145</v>
      </c>
    </row>
    <row r="228" spans="1:15" x14ac:dyDescent="0.15">
      <c r="A228" s="154"/>
      <c r="B228" s="151"/>
      <c r="C228" s="152"/>
      <c r="D228" s="323"/>
      <c r="E228" s="154"/>
      <c r="F228" s="157"/>
      <c r="G228" s="152"/>
      <c r="H228" s="323" t="s">
        <v>2697</v>
      </c>
      <c r="I228" s="152"/>
      <c r="J228" s="157"/>
      <c r="K228" s="157">
        <v>5800361472</v>
      </c>
      <c r="L228" s="227">
        <v>11339.925999999999</v>
      </c>
      <c r="M228" s="157" t="s">
        <v>2723</v>
      </c>
      <c r="N228" s="227">
        <f t="shared" si="22"/>
        <v>189265.28536201152</v>
      </c>
      <c r="O228" s="152">
        <f t="shared" si="23"/>
        <v>1244272.5663620145</v>
      </c>
    </row>
    <row r="229" spans="1:15" x14ac:dyDescent="0.15">
      <c r="A229" s="154"/>
      <c r="B229" s="151"/>
      <c r="C229" s="152"/>
      <c r="D229" s="323"/>
      <c r="E229" s="154"/>
      <c r="F229" s="157"/>
      <c r="G229" s="152"/>
      <c r="H229" s="323" t="s">
        <v>2697</v>
      </c>
      <c r="I229" s="152"/>
      <c r="J229" s="157"/>
      <c r="K229" s="157">
        <v>5800361472</v>
      </c>
      <c r="L229" s="227">
        <v>15850.862999999999</v>
      </c>
      <c r="M229" s="157" t="s">
        <v>2723</v>
      </c>
      <c r="N229" s="227">
        <f t="shared" si="22"/>
        <v>173414.42236201151</v>
      </c>
      <c r="O229" s="152">
        <f t="shared" si="23"/>
        <v>1228421.7033620146</v>
      </c>
    </row>
    <row r="230" spans="1:15" x14ac:dyDescent="0.15">
      <c r="A230" s="154"/>
      <c r="B230" s="151"/>
      <c r="C230" s="152"/>
      <c r="D230" s="323"/>
      <c r="E230" s="154"/>
      <c r="F230" s="157"/>
      <c r="G230" s="152"/>
      <c r="H230" s="323" t="s">
        <v>2697</v>
      </c>
      <c r="I230" s="152"/>
      <c r="J230" s="157"/>
      <c r="K230" s="157">
        <v>5800361472</v>
      </c>
      <c r="L230" s="227">
        <v>12569.544</v>
      </c>
      <c r="M230" s="157" t="s">
        <v>2723</v>
      </c>
      <c r="N230" s="227">
        <f t="shared" si="22"/>
        <v>160844.87836201151</v>
      </c>
      <c r="O230" s="152">
        <f t="shared" si="23"/>
        <v>1215852.1593620146</v>
      </c>
    </row>
    <row r="231" spans="1:15" x14ac:dyDescent="0.15">
      <c r="A231" s="154"/>
      <c r="B231" s="151"/>
      <c r="C231" s="152"/>
      <c r="D231" s="323"/>
      <c r="E231" s="154"/>
      <c r="F231" s="157"/>
      <c r="G231" s="152"/>
      <c r="H231" s="323" t="s">
        <v>2697</v>
      </c>
      <c r="I231" s="152"/>
      <c r="J231" s="157"/>
      <c r="K231" s="157">
        <v>5800361472</v>
      </c>
      <c r="L231" s="227">
        <v>14749.413</v>
      </c>
      <c r="M231" s="157" t="s">
        <v>2723</v>
      </c>
      <c r="N231" s="227">
        <f t="shared" si="22"/>
        <v>146095.46536201151</v>
      </c>
      <c r="O231" s="152">
        <f t="shared" si="23"/>
        <v>1201102.7463620147</v>
      </c>
    </row>
    <row r="232" spans="1:15" x14ac:dyDescent="0.15">
      <c r="A232" s="154"/>
      <c r="B232" s="151"/>
      <c r="C232" s="152"/>
      <c r="D232" s="323"/>
      <c r="E232" s="154"/>
      <c r="F232" s="157"/>
      <c r="G232" s="152"/>
      <c r="H232" s="323" t="s">
        <v>2697</v>
      </c>
      <c r="I232" s="152"/>
      <c r="J232" s="157"/>
      <c r="K232" s="157">
        <v>5800361472</v>
      </c>
      <c r="L232" s="227">
        <v>17340.824000000001</v>
      </c>
      <c r="M232" s="157" t="s">
        <v>2723</v>
      </c>
      <c r="N232" s="227">
        <f t="shared" si="22"/>
        <v>128754.64136201152</v>
      </c>
      <c r="O232" s="152">
        <f t="shared" si="23"/>
        <v>1183761.9223620147</v>
      </c>
    </row>
    <row r="233" spans="1:15" x14ac:dyDescent="0.15">
      <c r="A233" s="154"/>
      <c r="B233" s="151"/>
      <c r="C233" s="152"/>
      <c r="D233" s="323"/>
      <c r="E233" s="154"/>
      <c r="F233" s="157"/>
      <c r="G233" s="152"/>
      <c r="H233" s="323" t="s">
        <v>2697</v>
      </c>
      <c r="I233" s="152"/>
      <c r="J233" s="157"/>
      <c r="K233" s="157">
        <v>5800361472</v>
      </c>
      <c r="L233" s="227">
        <v>14408.965</v>
      </c>
      <c r="M233" s="157" t="s">
        <v>2723</v>
      </c>
      <c r="N233" s="227">
        <f t="shared" si="22"/>
        <v>114345.67636201152</v>
      </c>
      <c r="O233" s="152">
        <f t="shared" si="23"/>
        <v>1169352.9573620146</v>
      </c>
    </row>
    <row r="234" spans="1:15" x14ac:dyDescent="0.15">
      <c r="A234" s="154"/>
      <c r="B234" s="151"/>
      <c r="C234" s="152"/>
      <c r="D234" s="323"/>
      <c r="E234" s="154"/>
      <c r="F234" s="157"/>
      <c r="G234" s="152"/>
      <c r="H234" s="323" t="s">
        <v>2697</v>
      </c>
      <c r="I234" s="152"/>
      <c r="J234" s="157"/>
      <c r="K234" s="157">
        <v>5800361472</v>
      </c>
      <c r="L234" s="227">
        <v>11166.698</v>
      </c>
      <c r="M234" s="157" t="s">
        <v>2723</v>
      </c>
      <c r="N234" s="227">
        <f t="shared" si="22"/>
        <v>103178.97836201152</v>
      </c>
      <c r="O234" s="152">
        <f t="shared" si="23"/>
        <v>1158186.2593620145</v>
      </c>
    </row>
    <row r="235" spans="1:15" x14ac:dyDescent="0.15">
      <c r="A235" s="154"/>
      <c r="B235" s="151"/>
      <c r="C235" s="152"/>
      <c r="D235" s="323"/>
      <c r="E235" s="154"/>
      <c r="F235" s="157"/>
      <c r="G235" s="152"/>
      <c r="H235" s="323" t="s">
        <v>2697</v>
      </c>
      <c r="I235" s="152"/>
      <c r="J235" s="157"/>
      <c r="K235" s="157">
        <v>5800361472</v>
      </c>
      <c r="L235" s="227">
        <v>14842.473</v>
      </c>
      <c r="M235" s="157" t="s">
        <v>2723</v>
      </c>
      <c r="N235" s="227">
        <f t="shared" si="22"/>
        <v>88336.505362011521</v>
      </c>
      <c r="O235" s="152">
        <f t="shared" si="23"/>
        <v>1143343.7863620145</v>
      </c>
    </row>
    <row r="236" spans="1:15" x14ac:dyDescent="0.15">
      <c r="A236" s="154"/>
      <c r="B236" s="151"/>
      <c r="C236" s="152"/>
      <c r="D236" s="323"/>
      <c r="E236" s="154"/>
      <c r="F236" s="157"/>
      <c r="G236" s="152"/>
      <c r="H236" s="323" t="s">
        <v>2697</v>
      </c>
      <c r="I236" s="152"/>
      <c r="J236" s="157"/>
      <c r="K236" s="157">
        <v>5800361472</v>
      </c>
      <c r="L236" s="227">
        <v>11314.262000000001</v>
      </c>
      <c r="M236" s="157" t="s">
        <v>2723</v>
      </c>
      <c r="N236" s="227">
        <f t="shared" si="22"/>
        <v>77022.243362011519</v>
      </c>
      <c r="O236" s="152">
        <f t="shared" si="23"/>
        <v>1132029.5243620144</v>
      </c>
    </row>
    <row r="237" spans="1:15" x14ac:dyDescent="0.15">
      <c r="A237" s="154"/>
      <c r="B237" s="151"/>
      <c r="C237" s="152"/>
      <c r="D237" s="323"/>
      <c r="E237" s="154"/>
      <c r="F237" s="157"/>
      <c r="G237" s="152"/>
      <c r="H237" s="323" t="s">
        <v>2697</v>
      </c>
      <c r="I237" s="152"/>
      <c r="J237" s="157"/>
      <c r="K237" s="157">
        <v>5800361472</v>
      </c>
      <c r="L237" s="227">
        <v>5512.2049999999999</v>
      </c>
      <c r="M237" s="157" t="s">
        <v>2723</v>
      </c>
      <c r="N237" s="227">
        <f t="shared" si="22"/>
        <v>71510.038362011517</v>
      </c>
      <c r="O237" s="152">
        <f t="shared" si="23"/>
        <v>1126517.3193620143</v>
      </c>
    </row>
    <row r="238" spans="1:15" x14ac:dyDescent="0.15">
      <c r="A238" s="154"/>
      <c r="B238" s="151"/>
      <c r="C238" s="152"/>
      <c r="D238" s="323"/>
      <c r="E238" s="154"/>
      <c r="F238" s="157"/>
      <c r="G238" s="152"/>
      <c r="H238" s="323" t="s">
        <v>2697</v>
      </c>
      <c r="I238" s="152"/>
      <c r="J238" s="157"/>
      <c r="K238" s="157">
        <v>5800361472</v>
      </c>
      <c r="L238" s="227">
        <v>13522.142</v>
      </c>
      <c r="M238" s="157" t="s">
        <v>2723</v>
      </c>
      <c r="N238" s="227">
        <f t="shared" si="22"/>
        <v>57987.896362011517</v>
      </c>
      <c r="O238" s="152">
        <f t="shared" si="23"/>
        <v>1112995.1773620143</v>
      </c>
    </row>
    <row r="239" spans="1:15" x14ac:dyDescent="0.15">
      <c r="A239" s="154"/>
      <c r="B239" s="151"/>
      <c r="C239" s="152"/>
      <c r="D239" s="323"/>
      <c r="E239" s="154"/>
      <c r="F239" s="157"/>
      <c r="G239" s="152"/>
      <c r="H239" s="323" t="s">
        <v>2697</v>
      </c>
      <c r="I239" s="152"/>
      <c r="J239" s="157"/>
      <c r="K239" s="157">
        <v>5800361472</v>
      </c>
      <c r="L239" s="227">
        <v>13453.177</v>
      </c>
      <c r="M239" s="157" t="s">
        <v>2723</v>
      </c>
      <c r="N239" s="227">
        <f t="shared" si="22"/>
        <v>44534.719362011514</v>
      </c>
      <c r="O239" s="152">
        <f t="shared" si="23"/>
        <v>1099542.0003620144</v>
      </c>
    </row>
    <row r="240" spans="1:15" x14ac:dyDescent="0.15">
      <c r="A240" s="154"/>
      <c r="B240" s="151"/>
      <c r="C240" s="152"/>
      <c r="D240" s="323" t="s">
        <v>2698</v>
      </c>
      <c r="E240" s="154" t="s">
        <v>72</v>
      </c>
      <c r="F240" s="157" t="s">
        <v>2726</v>
      </c>
      <c r="G240" s="152">
        <v>175905.17</v>
      </c>
      <c r="H240" s="323" t="s">
        <v>2698</v>
      </c>
      <c r="I240" s="152">
        <v>11265.509</v>
      </c>
      <c r="J240" s="157" t="s">
        <v>2723</v>
      </c>
      <c r="K240" s="157">
        <v>5800361472</v>
      </c>
      <c r="L240" s="227">
        <v>13432.245000000001</v>
      </c>
      <c r="M240" s="157" t="s">
        <v>2723</v>
      </c>
      <c r="N240" s="227">
        <f t="shared" si="22"/>
        <v>19836.965362011513</v>
      </c>
      <c r="O240" s="152">
        <f t="shared" si="23"/>
        <v>1250749.4163620141</v>
      </c>
    </row>
    <row r="241" spans="1:15" x14ac:dyDescent="0.15">
      <c r="A241" s="154"/>
      <c r="B241" s="151"/>
      <c r="C241" s="152"/>
      <c r="D241" s="323" t="s">
        <v>2698</v>
      </c>
      <c r="E241" s="154" t="s">
        <v>72</v>
      </c>
      <c r="F241" s="157" t="s">
        <v>2727</v>
      </c>
      <c r="G241" s="152">
        <v>43984.614999999903</v>
      </c>
      <c r="H241" s="323" t="s">
        <v>2698</v>
      </c>
      <c r="I241" s="152"/>
      <c r="J241" s="157"/>
      <c r="K241" s="157">
        <v>5800361472</v>
      </c>
      <c r="L241" s="227">
        <v>13695.485000000001</v>
      </c>
      <c r="M241" s="157" t="s">
        <v>2723</v>
      </c>
      <c r="N241" s="227">
        <f t="shared" si="22"/>
        <v>6141.4803620115126</v>
      </c>
      <c r="O241" s="152">
        <f t="shared" si="23"/>
        <v>1281038.546362014</v>
      </c>
    </row>
    <row r="242" spans="1:15" x14ac:dyDescent="0.15">
      <c r="A242" s="154"/>
      <c r="B242" s="151"/>
      <c r="C242" s="152"/>
      <c r="D242" s="323"/>
      <c r="E242" s="154"/>
      <c r="F242" s="157"/>
      <c r="G242" s="152"/>
      <c r="H242" s="323" t="s">
        <v>2698</v>
      </c>
      <c r="I242" s="152"/>
      <c r="J242" s="157"/>
      <c r="K242" s="157">
        <v>5800361472</v>
      </c>
      <c r="L242" s="227">
        <v>6141.4803620115126</v>
      </c>
      <c r="M242" s="157" t="s">
        <v>2723</v>
      </c>
      <c r="N242" s="227">
        <f t="shared" si="22"/>
        <v>0</v>
      </c>
      <c r="O242" s="152">
        <f t="shared" si="23"/>
        <v>1274897.0660000024</v>
      </c>
    </row>
    <row r="243" spans="1:15" x14ac:dyDescent="0.15">
      <c r="A243" s="154"/>
      <c r="B243" s="151"/>
      <c r="C243" s="152"/>
      <c r="D243" s="323"/>
      <c r="E243" s="154"/>
      <c r="F243" s="157"/>
      <c r="G243" s="152"/>
      <c r="H243" s="323" t="s">
        <v>2698</v>
      </c>
      <c r="I243" s="152"/>
      <c r="J243" s="157"/>
      <c r="K243" s="157">
        <v>5800360911</v>
      </c>
      <c r="L243" s="227">
        <v>7284.7586379884897</v>
      </c>
      <c r="M243" s="157" t="s">
        <v>2724</v>
      </c>
      <c r="N243" s="227">
        <f>G111+G119+G131+N242-I243-L243</f>
        <v>744543.53036201047</v>
      </c>
      <c r="O243" s="152">
        <f t="shared" si="23"/>
        <v>1267612.307362014</v>
      </c>
    </row>
    <row r="244" spans="1:15" x14ac:dyDescent="0.15">
      <c r="A244" s="154"/>
      <c r="B244" s="151"/>
      <c r="C244" s="152"/>
      <c r="D244" s="323"/>
      <c r="E244" s="154"/>
      <c r="F244" s="157"/>
      <c r="G244" s="152"/>
      <c r="H244" s="323" t="s">
        <v>2698</v>
      </c>
      <c r="I244" s="152"/>
      <c r="J244" s="157"/>
      <c r="K244" s="157">
        <v>5800360911</v>
      </c>
      <c r="L244" s="227">
        <v>38244.862999999998</v>
      </c>
      <c r="M244" s="157" t="s">
        <v>2724</v>
      </c>
      <c r="N244" s="227">
        <f t="shared" si="22"/>
        <v>706298.66736201046</v>
      </c>
      <c r="O244" s="152">
        <f t="shared" si="23"/>
        <v>1229367.4443620141</v>
      </c>
    </row>
    <row r="245" spans="1:15" x14ac:dyDescent="0.15">
      <c r="A245" s="154"/>
      <c r="B245" s="151"/>
      <c r="C245" s="152"/>
      <c r="D245" s="323"/>
      <c r="E245" s="154"/>
      <c r="F245" s="157"/>
      <c r="G245" s="152"/>
      <c r="H245" s="323" t="s">
        <v>2698</v>
      </c>
      <c r="I245" s="152"/>
      <c r="J245" s="157"/>
      <c r="K245" s="157">
        <v>5800360911</v>
      </c>
      <c r="L245" s="227">
        <v>14637.343000000001</v>
      </c>
      <c r="M245" s="157" t="s">
        <v>2724</v>
      </c>
      <c r="N245" s="227">
        <f t="shared" si="22"/>
        <v>691661.32436201046</v>
      </c>
      <c r="O245" s="152">
        <f t="shared" si="23"/>
        <v>1214730.101362014</v>
      </c>
    </row>
    <row r="246" spans="1:15" x14ac:dyDescent="0.15">
      <c r="A246" s="154"/>
      <c r="B246" s="151"/>
      <c r="C246" s="152"/>
      <c r="D246" s="323"/>
      <c r="E246" s="154"/>
      <c r="F246" s="157"/>
      <c r="G246" s="152"/>
      <c r="H246" s="323" t="s">
        <v>2698</v>
      </c>
      <c r="I246" s="152"/>
      <c r="J246" s="157"/>
      <c r="K246" s="157">
        <v>5800360911</v>
      </c>
      <c r="L246" s="227">
        <v>14232.975</v>
      </c>
      <c r="M246" s="157" t="s">
        <v>2724</v>
      </c>
      <c r="N246" s="227">
        <f t="shared" si="22"/>
        <v>677428.34936201049</v>
      </c>
      <c r="O246" s="152">
        <f t="shared" si="23"/>
        <v>1200497.1263620139</v>
      </c>
    </row>
    <row r="247" spans="1:15" x14ac:dyDescent="0.15">
      <c r="A247" s="154"/>
      <c r="B247" s="151"/>
      <c r="C247" s="152"/>
      <c r="D247" s="323"/>
      <c r="E247" s="154"/>
      <c r="F247" s="157"/>
      <c r="G247" s="152"/>
      <c r="H247" s="323" t="s">
        <v>2698</v>
      </c>
      <c r="I247" s="152"/>
      <c r="J247" s="157"/>
      <c r="K247" s="157">
        <v>5800360911</v>
      </c>
      <c r="L247" s="227">
        <v>17023.518</v>
      </c>
      <c r="M247" s="157" t="s">
        <v>2724</v>
      </c>
      <c r="N247" s="227">
        <f t="shared" si="22"/>
        <v>660404.83136201045</v>
      </c>
      <c r="O247" s="152">
        <f t="shared" si="23"/>
        <v>1183473.6083620139</v>
      </c>
    </row>
    <row r="248" spans="1:15" x14ac:dyDescent="0.15">
      <c r="A248" s="154"/>
      <c r="B248" s="151"/>
      <c r="C248" s="152"/>
      <c r="D248" s="323"/>
      <c r="E248" s="154"/>
      <c r="F248" s="157"/>
      <c r="G248" s="152"/>
      <c r="H248" s="323" t="s">
        <v>2698</v>
      </c>
      <c r="I248" s="152"/>
      <c r="J248" s="157"/>
      <c r="K248" s="157">
        <v>5800360911</v>
      </c>
      <c r="L248" s="227">
        <v>9180.3690000000006</v>
      </c>
      <c r="M248" s="157" t="s">
        <v>2724</v>
      </c>
      <c r="N248" s="227">
        <f t="shared" si="22"/>
        <v>651224.4623620105</v>
      </c>
      <c r="O248" s="152">
        <f t="shared" si="23"/>
        <v>1174293.239362014</v>
      </c>
    </row>
    <row r="249" spans="1:15" x14ac:dyDescent="0.15">
      <c r="A249" s="154"/>
      <c r="B249" s="151"/>
      <c r="C249" s="152"/>
      <c r="D249" s="323"/>
      <c r="E249" s="154"/>
      <c r="F249" s="157"/>
      <c r="G249" s="152"/>
      <c r="H249" s="323" t="s">
        <v>2698</v>
      </c>
      <c r="I249" s="152"/>
      <c r="J249" s="157"/>
      <c r="K249" s="157">
        <v>5800360911</v>
      </c>
      <c r="L249" s="227">
        <v>11699.441000000001</v>
      </c>
      <c r="M249" s="157" t="s">
        <v>2724</v>
      </c>
      <c r="N249" s="227">
        <f t="shared" si="22"/>
        <v>639525.02136201051</v>
      </c>
      <c r="O249" s="152">
        <f t="shared" si="23"/>
        <v>1162593.7983620139</v>
      </c>
    </row>
    <row r="250" spans="1:15" x14ac:dyDescent="0.15">
      <c r="A250" s="154"/>
      <c r="B250" s="151"/>
      <c r="C250" s="152"/>
      <c r="D250" s="323"/>
      <c r="E250" s="154"/>
      <c r="F250" s="157"/>
      <c r="G250" s="152"/>
      <c r="H250" s="323" t="s">
        <v>2698</v>
      </c>
      <c r="I250" s="152"/>
      <c r="J250" s="157"/>
      <c r="K250" s="157">
        <v>5800360911</v>
      </c>
      <c r="L250" s="227">
        <v>15682.228999999999</v>
      </c>
      <c r="M250" s="157" t="s">
        <v>2724</v>
      </c>
      <c r="N250" s="227">
        <f t="shared" si="22"/>
        <v>623842.79236201046</v>
      </c>
      <c r="O250" s="152">
        <f t="shared" si="23"/>
        <v>1146911.5693620138</v>
      </c>
    </row>
    <row r="251" spans="1:15" x14ac:dyDescent="0.15">
      <c r="A251" s="154"/>
      <c r="B251" s="151"/>
      <c r="C251" s="152"/>
      <c r="D251" s="323"/>
      <c r="E251" s="154"/>
      <c r="F251" s="157"/>
      <c r="G251" s="152"/>
      <c r="H251" s="323" t="s">
        <v>2698</v>
      </c>
      <c r="I251" s="152"/>
      <c r="J251" s="157"/>
      <c r="K251" s="157">
        <v>5800360911</v>
      </c>
      <c r="L251" s="227">
        <v>3527.9270000000001</v>
      </c>
      <c r="M251" s="157" t="s">
        <v>2724</v>
      </c>
      <c r="N251" s="227">
        <f t="shared" si="22"/>
        <v>620314.86536201043</v>
      </c>
      <c r="O251" s="152">
        <f t="shared" si="23"/>
        <v>1143383.6423620139</v>
      </c>
    </row>
    <row r="252" spans="1:15" x14ac:dyDescent="0.15">
      <c r="A252" s="154"/>
      <c r="B252" s="151"/>
      <c r="C252" s="152"/>
      <c r="D252" s="323"/>
      <c r="E252" s="154"/>
      <c r="F252" s="157"/>
      <c r="G252" s="152"/>
      <c r="H252" s="323" t="s">
        <v>2698</v>
      </c>
      <c r="I252" s="152"/>
      <c r="J252" s="157"/>
      <c r="K252" s="157">
        <v>5800360911</v>
      </c>
      <c r="L252" s="227">
        <v>15923.156000000001</v>
      </c>
      <c r="M252" s="157" t="s">
        <v>2724</v>
      </c>
      <c r="N252" s="227">
        <f t="shared" si="22"/>
        <v>604391.70936201047</v>
      </c>
      <c r="O252" s="152">
        <f t="shared" si="23"/>
        <v>1127460.486362014</v>
      </c>
    </row>
    <row r="253" spans="1:15" x14ac:dyDescent="0.15">
      <c r="A253" s="154"/>
      <c r="B253" s="151"/>
      <c r="C253" s="152"/>
      <c r="D253" s="323"/>
      <c r="E253" s="154"/>
      <c r="F253" s="157"/>
      <c r="G253" s="152"/>
      <c r="H253" s="323" t="s">
        <v>2698</v>
      </c>
      <c r="I253" s="152"/>
      <c r="J253" s="157"/>
      <c r="K253" s="157">
        <v>5800360911</v>
      </c>
      <c r="L253" s="227">
        <v>14649.543</v>
      </c>
      <c r="M253" s="157" t="s">
        <v>2724</v>
      </c>
      <c r="N253" s="227">
        <f t="shared" si="22"/>
        <v>589742.16636201052</v>
      </c>
      <c r="O253" s="152">
        <f t="shared" si="23"/>
        <v>1112810.9433620139</v>
      </c>
    </row>
    <row r="254" spans="1:15" x14ac:dyDescent="0.15">
      <c r="A254" s="154"/>
      <c r="B254" s="151"/>
      <c r="C254" s="152"/>
      <c r="D254" s="323" t="s">
        <v>2699</v>
      </c>
      <c r="E254" s="154" t="s">
        <v>72</v>
      </c>
      <c r="F254" s="157" t="s">
        <v>2727</v>
      </c>
      <c r="G254" s="152">
        <v>219846.747</v>
      </c>
      <c r="H254" s="323" t="s">
        <v>2699</v>
      </c>
      <c r="I254" s="152">
        <v>15034.769</v>
      </c>
      <c r="J254" s="157" t="s">
        <v>2724</v>
      </c>
      <c r="K254" s="157">
        <v>5800360911</v>
      </c>
      <c r="L254" s="227">
        <v>13170.338</v>
      </c>
      <c r="M254" s="157" t="s">
        <v>2724</v>
      </c>
      <c r="N254" s="227">
        <f t="shared" si="22"/>
        <v>561537.05936201056</v>
      </c>
      <c r="O254" s="152">
        <f t="shared" si="23"/>
        <v>1304452.5833620138</v>
      </c>
    </row>
    <row r="255" spans="1:15" x14ac:dyDescent="0.15">
      <c r="A255" s="154"/>
      <c r="B255" s="151"/>
      <c r="C255" s="152"/>
      <c r="D255" s="323"/>
      <c r="E255" s="154"/>
      <c r="F255" s="157"/>
      <c r="G255" s="152"/>
      <c r="H255" s="323" t="s">
        <v>2699</v>
      </c>
      <c r="I255" s="152"/>
      <c r="J255" s="157"/>
      <c r="K255" s="157">
        <v>5800360911</v>
      </c>
      <c r="L255" s="227">
        <v>14858.048000000001</v>
      </c>
      <c r="M255" s="157" t="s">
        <v>2724</v>
      </c>
      <c r="N255" s="227">
        <f t="shared" si="22"/>
        <v>546679.01136201061</v>
      </c>
      <c r="O255" s="152">
        <f t="shared" si="23"/>
        <v>1289594.5353620138</v>
      </c>
    </row>
    <row r="256" spans="1:15" x14ac:dyDescent="0.15">
      <c r="A256" s="154"/>
      <c r="B256" s="151"/>
      <c r="C256" s="152"/>
      <c r="D256" s="323"/>
      <c r="E256" s="154"/>
      <c r="F256" s="157"/>
      <c r="G256" s="152"/>
      <c r="H256" s="323" t="s">
        <v>2699</v>
      </c>
      <c r="I256" s="152"/>
      <c r="J256" s="157"/>
      <c r="K256" s="157">
        <v>5800360911</v>
      </c>
      <c r="L256" s="227">
        <v>14194.376</v>
      </c>
      <c r="M256" s="157" t="s">
        <v>2724</v>
      </c>
      <c r="N256" s="227">
        <f t="shared" si="22"/>
        <v>532484.63536201057</v>
      </c>
      <c r="O256" s="152">
        <f t="shared" si="23"/>
        <v>1275400.1593620139</v>
      </c>
    </row>
    <row r="257" spans="1:15" x14ac:dyDescent="0.15">
      <c r="A257" s="154"/>
      <c r="B257" s="151"/>
      <c r="C257" s="152"/>
      <c r="D257" s="323"/>
      <c r="E257" s="154"/>
      <c r="F257" s="157"/>
      <c r="G257" s="152"/>
      <c r="H257" s="323" t="s">
        <v>2699</v>
      </c>
      <c r="I257" s="152"/>
      <c r="J257" s="157"/>
      <c r="K257" s="157">
        <v>5800360911</v>
      </c>
      <c r="L257" s="227">
        <v>15250.445</v>
      </c>
      <c r="M257" s="157" t="s">
        <v>2724</v>
      </c>
      <c r="N257" s="227">
        <f t="shared" si="22"/>
        <v>517234.19036201056</v>
      </c>
      <c r="O257" s="152">
        <f t="shared" si="23"/>
        <v>1260149.7143620139</v>
      </c>
    </row>
    <row r="258" spans="1:15" x14ac:dyDescent="0.15">
      <c r="A258" s="154"/>
      <c r="B258" s="151"/>
      <c r="C258" s="152"/>
      <c r="D258" s="323"/>
      <c r="E258" s="154"/>
      <c r="F258" s="157"/>
      <c r="G258" s="152"/>
      <c r="H258" s="323" t="s">
        <v>2699</v>
      </c>
      <c r="I258" s="152"/>
      <c r="J258" s="157"/>
      <c r="K258" s="157">
        <v>5800360911</v>
      </c>
      <c r="L258" s="227">
        <v>11561.709000000001</v>
      </c>
      <c r="M258" s="157" t="s">
        <v>2724</v>
      </c>
      <c r="N258" s="227">
        <f t="shared" si="22"/>
        <v>505672.48136201059</v>
      </c>
      <c r="O258" s="152">
        <f t="shared" si="23"/>
        <v>1248588.0053620138</v>
      </c>
    </row>
    <row r="259" spans="1:15" x14ac:dyDescent="0.15">
      <c r="A259" s="154"/>
      <c r="B259" s="151"/>
      <c r="C259" s="152"/>
      <c r="D259" s="323"/>
      <c r="E259" s="154"/>
      <c r="F259" s="157"/>
      <c r="G259" s="152"/>
      <c r="H259" s="323" t="s">
        <v>2699</v>
      </c>
      <c r="I259" s="152"/>
      <c r="J259" s="157"/>
      <c r="K259" s="157">
        <v>5800360911</v>
      </c>
      <c r="L259" s="227">
        <v>11863.013999999999</v>
      </c>
      <c r="M259" s="157" t="s">
        <v>2724</v>
      </c>
      <c r="N259" s="227">
        <f t="shared" si="22"/>
        <v>493809.46736201056</v>
      </c>
      <c r="O259" s="152">
        <f t="shared" si="23"/>
        <v>1236724.9913620139</v>
      </c>
    </row>
    <row r="260" spans="1:15" x14ac:dyDescent="0.15">
      <c r="A260" s="154"/>
      <c r="B260" s="151"/>
      <c r="C260" s="152"/>
      <c r="D260" s="323"/>
      <c r="E260" s="154"/>
      <c r="F260" s="157"/>
      <c r="G260" s="152"/>
      <c r="H260" s="323" t="s">
        <v>2699</v>
      </c>
      <c r="I260" s="152"/>
      <c r="J260" s="157"/>
      <c r="K260" s="157">
        <v>5800360911</v>
      </c>
      <c r="L260" s="227">
        <v>497.50400000000002</v>
      </c>
      <c r="M260" s="157" t="s">
        <v>2724</v>
      </c>
      <c r="N260" s="227">
        <f t="shared" si="22"/>
        <v>493311.96336201055</v>
      </c>
      <c r="O260" s="152">
        <f t="shared" si="23"/>
        <v>1236227.4873620139</v>
      </c>
    </row>
    <row r="261" spans="1:15" x14ac:dyDescent="0.15">
      <c r="A261" s="154"/>
      <c r="B261" s="151"/>
      <c r="C261" s="152"/>
      <c r="D261" s="323"/>
      <c r="E261" s="154"/>
      <c r="F261" s="157"/>
      <c r="G261" s="152"/>
      <c r="H261" s="323" t="s">
        <v>2699</v>
      </c>
      <c r="I261" s="152"/>
      <c r="J261" s="157"/>
      <c r="K261" s="157">
        <v>5800360911</v>
      </c>
      <c r="L261" s="227">
        <v>14696.546</v>
      </c>
      <c r="M261" s="157" t="s">
        <v>2724</v>
      </c>
      <c r="N261" s="227">
        <f t="shared" si="22"/>
        <v>478615.41736201057</v>
      </c>
      <c r="O261" s="152">
        <f t="shared" si="23"/>
        <v>1221530.9413620138</v>
      </c>
    </row>
    <row r="262" spans="1:15" x14ac:dyDescent="0.15">
      <c r="A262" s="154"/>
      <c r="B262" s="151"/>
      <c r="C262" s="152"/>
      <c r="D262" s="323"/>
      <c r="E262" s="154"/>
      <c r="F262" s="157"/>
      <c r="G262" s="152"/>
      <c r="H262" s="323" t="s">
        <v>2699</v>
      </c>
      <c r="I262" s="152"/>
      <c r="J262" s="157"/>
      <c r="K262" s="157">
        <v>5800360911</v>
      </c>
      <c r="L262" s="227">
        <v>15924.923000000001</v>
      </c>
      <c r="M262" s="157" t="s">
        <v>2724</v>
      </c>
      <c r="N262" s="227">
        <f t="shared" si="22"/>
        <v>462690.49436201056</v>
      </c>
      <c r="O262" s="152">
        <f t="shared" si="23"/>
        <v>1205606.0183620139</v>
      </c>
    </row>
    <row r="263" spans="1:15" x14ac:dyDescent="0.15">
      <c r="A263" s="154"/>
      <c r="B263" s="151"/>
      <c r="C263" s="152"/>
      <c r="D263" s="323"/>
      <c r="E263" s="154"/>
      <c r="F263" s="157"/>
      <c r="G263" s="152"/>
      <c r="H263" s="323" t="s">
        <v>2699</v>
      </c>
      <c r="I263" s="152"/>
      <c r="J263" s="157"/>
      <c r="K263" s="157">
        <v>5800360911</v>
      </c>
      <c r="L263" s="227">
        <v>2491.7359999999999</v>
      </c>
      <c r="M263" s="157" t="s">
        <v>2724</v>
      </c>
      <c r="N263" s="227">
        <f t="shared" si="22"/>
        <v>460198.75836201059</v>
      </c>
      <c r="O263" s="152">
        <f t="shared" si="23"/>
        <v>1203114.2823620138</v>
      </c>
    </row>
    <row r="264" spans="1:15" x14ac:dyDescent="0.15">
      <c r="A264" s="154"/>
      <c r="B264" s="151"/>
      <c r="C264" s="152"/>
      <c r="D264" s="323"/>
      <c r="E264" s="154"/>
      <c r="F264" s="157"/>
      <c r="G264" s="152"/>
      <c r="H264" s="323" t="s">
        <v>2699</v>
      </c>
      <c r="I264" s="152"/>
      <c r="J264" s="157"/>
      <c r="K264" s="157">
        <v>5800360911</v>
      </c>
      <c r="L264" s="227">
        <v>14545.621999999999</v>
      </c>
      <c r="M264" s="157" t="s">
        <v>2724</v>
      </c>
      <c r="N264" s="227">
        <f t="shared" si="22"/>
        <v>445653.13636201061</v>
      </c>
      <c r="O264" s="152">
        <f t="shared" si="23"/>
        <v>1188568.6603620138</v>
      </c>
    </row>
    <row r="265" spans="1:15" x14ac:dyDescent="0.15">
      <c r="A265" s="154"/>
      <c r="B265" s="151"/>
      <c r="C265" s="152"/>
      <c r="D265" s="323" t="s">
        <v>2700</v>
      </c>
      <c r="E265" s="154" t="s">
        <v>72</v>
      </c>
      <c r="F265" s="157" t="s">
        <v>2727</v>
      </c>
      <c r="G265" s="152">
        <v>41170.337999998999</v>
      </c>
      <c r="H265" s="323" t="s">
        <v>2700</v>
      </c>
      <c r="I265" s="152">
        <v>15884.944</v>
      </c>
      <c r="J265" s="157" t="s">
        <v>2724</v>
      </c>
      <c r="K265" s="157">
        <v>5800360911</v>
      </c>
      <c r="L265" s="227">
        <v>14319.737999999999</v>
      </c>
      <c r="M265" s="157" t="s">
        <v>2724</v>
      </c>
      <c r="N265" s="227">
        <f t="shared" si="22"/>
        <v>415448.45436201058</v>
      </c>
      <c r="O265" s="152">
        <f t="shared" si="23"/>
        <v>1199534.3163620131</v>
      </c>
    </row>
    <row r="266" spans="1:15" ht="12" customHeight="1" x14ac:dyDescent="0.15">
      <c r="A266" s="154"/>
      <c r="B266" s="151"/>
      <c r="C266" s="152"/>
      <c r="D266" s="323" t="s">
        <v>2700</v>
      </c>
      <c r="E266" s="154" t="s">
        <v>72</v>
      </c>
      <c r="F266" s="157" t="s">
        <v>2728</v>
      </c>
      <c r="G266" s="152">
        <v>178594.572000001</v>
      </c>
      <c r="H266" s="323" t="s">
        <v>2700</v>
      </c>
      <c r="I266" s="152"/>
      <c r="J266" s="157"/>
      <c r="K266" s="157">
        <v>5800360911</v>
      </c>
      <c r="L266" s="227">
        <v>35901.792000000001</v>
      </c>
      <c r="M266" s="157" t="s">
        <v>2724</v>
      </c>
      <c r="N266" s="227">
        <f t="shared" si="22"/>
        <v>379546.66236201057</v>
      </c>
      <c r="O266" s="152">
        <f t="shared" si="23"/>
        <v>1342227.0963620143</v>
      </c>
    </row>
    <row r="267" spans="1:15" x14ac:dyDescent="0.15">
      <c r="A267" s="154"/>
      <c r="B267" s="151"/>
      <c r="C267" s="152"/>
      <c r="D267" s="323"/>
      <c r="E267" s="154"/>
      <c r="F267" s="157"/>
      <c r="G267" s="152"/>
      <c r="H267" s="323" t="s">
        <v>2700</v>
      </c>
      <c r="I267" s="152"/>
      <c r="J267" s="157"/>
      <c r="K267" s="157">
        <v>5800360911</v>
      </c>
      <c r="L267" s="227">
        <v>14566.612999999999</v>
      </c>
      <c r="M267" s="157" t="s">
        <v>2724</v>
      </c>
      <c r="N267" s="227">
        <f t="shared" si="22"/>
        <v>364980.04936201056</v>
      </c>
      <c r="O267" s="152">
        <f t="shared" si="23"/>
        <v>1327660.4833620144</v>
      </c>
    </row>
    <row r="268" spans="1:15" x14ac:dyDescent="0.15">
      <c r="A268" s="154"/>
      <c r="B268" s="151"/>
      <c r="C268" s="152"/>
      <c r="D268" s="323"/>
      <c r="E268" s="154"/>
      <c r="F268" s="157"/>
      <c r="G268" s="152"/>
      <c r="H268" s="323" t="s">
        <v>2700</v>
      </c>
      <c r="I268" s="152"/>
      <c r="J268" s="157"/>
      <c r="K268" s="157">
        <v>5800360911</v>
      </c>
      <c r="L268" s="227">
        <v>13024.395</v>
      </c>
      <c r="M268" s="157" t="s">
        <v>2724</v>
      </c>
      <c r="N268" s="227">
        <f t="shared" si="22"/>
        <v>351955.65436201054</v>
      </c>
      <c r="O268" s="152">
        <f t="shared" si="23"/>
        <v>1314636.0883620144</v>
      </c>
    </row>
    <row r="269" spans="1:15" x14ac:dyDescent="0.15">
      <c r="A269" s="154"/>
      <c r="B269" s="151"/>
      <c r="C269" s="152"/>
      <c r="D269" s="323"/>
      <c r="E269" s="154"/>
      <c r="F269" s="157"/>
      <c r="G269" s="152"/>
      <c r="H269" s="323" t="s">
        <v>2700</v>
      </c>
      <c r="I269" s="152"/>
      <c r="J269" s="157"/>
      <c r="K269" s="157">
        <v>5800360911</v>
      </c>
      <c r="L269" s="227">
        <v>13681.062</v>
      </c>
      <c r="M269" s="157" t="s">
        <v>2724</v>
      </c>
      <c r="N269" s="227">
        <f t="shared" si="22"/>
        <v>338274.59236201056</v>
      </c>
      <c r="O269" s="152">
        <f t="shared" si="23"/>
        <v>1300955.0263620145</v>
      </c>
    </row>
    <row r="270" spans="1:15" x14ac:dyDescent="0.15">
      <c r="A270" s="154"/>
      <c r="B270" s="151"/>
      <c r="C270" s="152"/>
      <c r="D270" s="323"/>
      <c r="E270" s="154"/>
      <c r="F270" s="157"/>
      <c r="G270" s="152"/>
      <c r="H270" s="323" t="s">
        <v>2700</v>
      </c>
      <c r="I270" s="152"/>
      <c r="J270" s="157"/>
      <c r="K270" s="157">
        <v>5800360911</v>
      </c>
      <c r="L270" s="227">
        <v>12552.634</v>
      </c>
      <c r="M270" s="157" t="s">
        <v>2724</v>
      </c>
      <c r="N270" s="227">
        <f t="shared" si="22"/>
        <v>325721.95836201054</v>
      </c>
      <c r="O270" s="152">
        <f t="shared" si="23"/>
        <v>1288402.3923620144</v>
      </c>
    </row>
    <row r="271" spans="1:15" x14ac:dyDescent="0.15">
      <c r="A271" s="154"/>
      <c r="B271" s="151"/>
      <c r="C271" s="152"/>
      <c r="D271" s="323"/>
      <c r="E271" s="154"/>
      <c r="F271" s="157"/>
      <c r="G271" s="152"/>
      <c r="H271" s="323" t="s">
        <v>2700</v>
      </c>
      <c r="I271" s="152"/>
      <c r="J271" s="157"/>
      <c r="K271" s="157">
        <v>5800360911</v>
      </c>
      <c r="L271" s="227">
        <v>18083.829000000002</v>
      </c>
      <c r="M271" s="157" t="s">
        <v>2724</v>
      </c>
      <c r="N271" s="227">
        <f t="shared" si="22"/>
        <v>307638.12936201051</v>
      </c>
      <c r="O271" s="152">
        <f t="shared" si="23"/>
        <v>1270318.5633620145</v>
      </c>
    </row>
    <row r="272" spans="1:15" x14ac:dyDescent="0.15">
      <c r="A272" s="154"/>
      <c r="B272" s="151"/>
      <c r="C272" s="152"/>
      <c r="D272" s="323"/>
      <c r="E272" s="154"/>
      <c r="F272" s="157"/>
      <c r="G272" s="152"/>
      <c r="H272" s="323" t="s">
        <v>2700</v>
      </c>
      <c r="I272" s="152"/>
      <c r="J272" s="157"/>
      <c r="K272" s="157">
        <v>5800360911</v>
      </c>
      <c r="L272" s="227">
        <v>15302.24</v>
      </c>
      <c r="M272" s="157" t="s">
        <v>2724</v>
      </c>
      <c r="N272" s="227">
        <f t="shared" si="22"/>
        <v>292335.88936201052</v>
      </c>
      <c r="O272" s="152">
        <f t="shared" si="23"/>
        <v>1255016.3233620145</v>
      </c>
    </row>
    <row r="273" spans="1:15" x14ac:dyDescent="0.15">
      <c r="A273" s="154"/>
      <c r="B273" s="151"/>
      <c r="C273" s="152"/>
      <c r="D273" s="323"/>
      <c r="E273" s="154"/>
      <c r="F273" s="157"/>
      <c r="G273" s="152"/>
      <c r="H273" s="323" t="s">
        <v>2700</v>
      </c>
      <c r="I273" s="152"/>
      <c r="J273" s="157"/>
      <c r="K273" s="157">
        <v>5800360911</v>
      </c>
      <c r="L273" s="227">
        <v>8995.4380000000001</v>
      </c>
      <c r="M273" s="157" t="s">
        <v>2724</v>
      </c>
      <c r="N273" s="227">
        <f t="shared" si="22"/>
        <v>283340.4513620105</v>
      </c>
      <c r="O273" s="152">
        <f t="shared" si="23"/>
        <v>1246020.8853620144</v>
      </c>
    </row>
    <row r="274" spans="1:15" x14ac:dyDescent="0.15">
      <c r="A274" s="154"/>
      <c r="B274" s="151"/>
      <c r="C274" s="152"/>
      <c r="D274" s="323"/>
      <c r="E274" s="154"/>
      <c r="F274" s="157"/>
      <c r="G274" s="152"/>
      <c r="H274" s="323" t="s">
        <v>2700</v>
      </c>
      <c r="I274" s="152"/>
      <c r="J274" s="157"/>
      <c r="K274" s="157">
        <v>5800360911</v>
      </c>
      <c r="L274" s="227">
        <v>10351.75</v>
      </c>
      <c r="M274" s="157" t="s">
        <v>2724</v>
      </c>
      <c r="N274" s="227">
        <f t="shared" si="22"/>
        <v>272988.7013620105</v>
      </c>
      <c r="O274" s="152">
        <f t="shared" si="23"/>
        <v>1235669.1353620144</v>
      </c>
    </row>
    <row r="275" spans="1:15" x14ac:dyDescent="0.15">
      <c r="A275" s="154"/>
      <c r="B275" s="151"/>
      <c r="C275" s="152"/>
      <c r="D275" s="323"/>
      <c r="E275" s="154"/>
      <c r="F275" s="157"/>
      <c r="G275" s="152"/>
      <c r="H275" s="323" t="s">
        <v>2700</v>
      </c>
      <c r="I275" s="152"/>
      <c r="J275" s="157"/>
      <c r="K275" s="157">
        <v>5800360911</v>
      </c>
      <c r="L275" s="227">
        <v>11627.102999999999</v>
      </c>
      <c r="M275" s="157" t="s">
        <v>2724</v>
      </c>
      <c r="N275" s="227">
        <f t="shared" si="22"/>
        <v>261361.5983620105</v>
      </c>
      <c r="O275" s="152">
        <f t="shared" si="23"/>
        <v>1224042.0323620145</v>
      </c>
    </row>
    <row r="276" spans="1:15" x14ac:dyDescent="0.15">
      <c r="A276" s="154"/>
      <c r="B276" s="151"/>
      <c r="C276" s="152"/>
      <c r="D276" s="323"/>
      <c r="E276" s="154"/>
      <c r="F276" s="157"/>
      <c r="G276" s="152"/>
      <c r="H276" s="323" t="s">
        <v>2700</v>
      </c>
      <c r="I276" s="152"/>
      <c r="J276" s="157"/>
      <c r="K276" s="157">
        <v>5800360911</v>
      </c>
      <c r="L276" s="227">
        <v>3073.4409999999998</v>
      </c>
      <c r="M276" s="157" t="s">
        <v>2724</v>
      </c>
      <c r="N276" s="227">
        <f t="shared" ref="N276:N339" si="24">+N275-I276-L276</f>
        <v>258288.1573620105</v>
      </c>
      <c r="O276" s="152">
        <f t="shared" ref="O276:O339" si="25">O275+G276-I276-L276</f>
        <v>1220968.5913620144</v>
      </c>
    </row>
    <row r="277" spans="1:15" x14ac:dyDescent="0.15">
      <c r="A277" s="154"/>
      <c r="B277" s="151"/>
      <c r="C277" s="152"/>
      <c r="D277" s="323"/>
      <c r="E277" s="154"/>
      <c r="F277" s="157"/>
      <c r="G277" s="152"/>
      <c r="H277" s="323" t="s">
        <v>2700</v>
      </c>
      <c r="I277" s="152"/>
      <c r="J277" s="157"/>
      <c r="K277" s="157">
        <v>5800360911</v>
      </c>
      <c r="L277" s="227">
        <v>14884.450999999999</v>
      </c>
      <c r="M277" s="157" t="s">
        <v>2724</v>
      </c>
      <c r="N277" s="227">
        <f t="shared" si="24"/>
        <v>243403.7063620105</v>
      </c>
      <c r="O277" s="152">
        <f t="shared" si="25"/>
        <v>1206084.1403620145</v>
      </c>
    </row>
    <row r="278" spans="1:15" x14ac:dyDescent="0.15">
      <c r="A278" s="154"/>
      <c r="B278" s="151"/>
      <c r="C278" s="152"/>
      <c r="D278" s="323"/>
      <c r="E278" s="154"/>
      <c r="F278" s="157"/>
      <c r="G278" s="152"/>
      <c r="H278" s="323" t="s">
        <v>2700</v>
      </c>
      <c r="I278" s="152"/>
      <c r="J278" s="157"/>
      <c r="K278" s="157">
        <v>5800360911</v>
      </c>
      <c r="L278" s="227">
        <v>15487.146000000001</v>
      </c>
      <c r="M278" s="157" t="s">
        <v>2724</v>
      </c>
      <c r="N278" s="227">
        <f t="shared" si="24"/>
        <v>227916.5603620105</v>
      </c>
      <c r="O278" s="152">
        <f t="shared" si="25"/>
        <v>1190596.9943620146</v>
      </c>
    </row>
    <row r="279" spans="1:15" x14ac:dyDescent="0.15">
      <c r="A279" s="154"/>
      <c r="B279" s="151"/>
      <c r="C279" s="152"/>
      <c r="D279" s="323" t="s">
        <v>2702</v>
      </c>
      <c r="E279" s="154" t="s">
        <v>72</v>
      </c>
      <c r="F279" s="157" t="s">
        <v>2728</v>
      </c>
      <c r="G279" s="152">
        <v>131775.81100000007</v>
      </c>
      <c r="H279" s="323" t="s">
        <v>2702</v>
      </c>
      <c r="I279" s="152">
        <v>15532.615000000002</v>
      </c>
      <c r="J279" s="157" t="s">
        <v>2724</v>
      </c>
      <c r="K279" s="157">
        <v>5800360911</v>
      </c>
      <c r="L279" s="227">
        <v>15198.918</v>
      </c>
      <c r="M279" s="157" t="s">
        <v>2724</v>
      </c>
      <c r="N279" s="227">
        <f t="shared" si="24"/>
        <v>197185.0273620105</v>
      </c>
      <c r="O279" s="152">
        <f t="shared" si="25"/>
        <v>1291641.2723620145</v>
      </c>
    </row>
    <row r="280" spans="1:15" x14ac:dyDescent="0.15">
      <c r="A280" s="154"/>
      <c r="B280" s="151"/>
      <c r="C280" s="152"/>
      <c r="D280" s="323" t="s">
        <v>2702</v>
      </c>
      <c r="E280" s="154" t="s">
        <v>72</v>
      </c>
      <c r="F280" s="157" t="s">
        <v>2729</v>
      </c>
      <c r="G280" s="152">
        <v>43961.644999999902</v>
      </c>
      <c r="H280" s="323" t="s">
        <v>2702</v>
      </c>
      <c r="I280" s="152"/>
      <c r="J280" s="157"/>
      <c r="K280" s="157">
        <v>5800360911</v>
      </c>
      <c r="L280" s="227">
        <v>12245.517</v>
      </c>
      <c r="M280" s="157" t="s">
        <v>2724</v>
      </c>
      <c r="N280" s="227">
        <f t="shared" si="24"/>
        <v>184939.51036201051</v>
      </c>
      <c r="O280" s="152">
        <f t="shared" si="25"/>
        <v>1323357.4003620143</v>
      </c>
    </row>
    <row r="281" spans="1:15" x14ac:dyDescent="0.15">
      <c r="A281" s="154"/>
      <c r="B281" s="151"/>
      <c r="C281" s="152"/>
      <c r="D281" s="323"/>
      <c r="E281" s="154"/>
      <c r="F281" s="157"/>
      <c r="G281" s="152"/>
      <c r="H281" s="323" t="s">
        <v>2702</v>
      </c>
      <c r="I281" s="152"/>
      <c r="J281" s="157"/>
      <c r="K281" s="157">
        <v>5800360911</v>
      </c>
      <c r="L281" s="227">
        <v>12167.532999999999</v>
      </c>
      <c r="M281" s="157" t="s">
        <v>2724</v>
      </c>
      <c r="N281" s="227">
        <f t="shared" si="24"/>
        <v>172771.97736201051</v>
      </c>
      <c r="O281" s="152">
        <f t="shared" si="25"/>
        <v>1311189.8673620143</v>
      </c>
    </row>
    <row r="282" spans="1:15" x14ac:dyDescent="0.15">
      <c r="A282" s="154"/>
      <c r="B282" s="151"/>
      <c r="C282" s="152"/>
      <c r="D282" s="323"/>
      <c r="E282" s="154"/>
      <c r="F282" s="157"/>
      <c r="G282" s="152"/>
      <c r="H282" s="323" t="s">
        <v>2702</v>
      </c>
      <c r="I282" s="152"/>
      <c r="J282" s="157"/>
      <c r="K282" s="157">
        <v>5800360911</v>
      </c>
      <c r="L282" s="227">
        <v>13847.191999999999</v>
      </c>
      <c r="M282" s="157" t="s">
        <v>2724</v>
      </c>
      <c r="N282" s="227">
        <f t="shared" si="24"/>
        <v>158924.7853620105</v>
      </c>
      <c r="O282" s="152">
        <f t="shared" si="25"/>
        <v>1297342.6753620142</v>
      </c>
    </row>
    <row r="283" spans="1:15" x14ac:dyDescent="0.15">
      <c r="A283" s="154"/>
      <c r="B283" s="151"/>
      <c r="C283" s="152"/>
      <c r="D283" s="323"/>
      <c r="E283" s="154"/>
      <c r="F283" s="157"/>
      <c r="G283" s="152"/>
      <c r="H283" s="323" t="s">
        <v>2702</v>
      </c>
      <c r="I283" s="152"/>
      <c r="J283" s="157"/>
      <c r="K283" s="157">
        <v>5800360911</v>
      </c>
      <c r="L283" s="227">
        <v>14737.012000000001</v>
      </c>
      <c r="M283" s="157" t="s">
        <v>2724</v>
      </c>
      <c r="N283" s="227">
        <f t="shared" si="24"/>
        <v>144187.77336201051</v>
      </c>
      <c r="O283" s="152">
        <f t="shared" si="25"/>
        <v>1282605.6633620141</v>
      </c>
    </row>
    <row r="284" spans="1:15" x14ac:dyDescent="0.15">
      <c r="A284" s="154"/>
      <c r="B284" s="151"/>
      <c r="C284" s="152"/>
      <c r="D284" s="323"/>
      <c r="E284" s="154"/>
      <c r="F284" s="157"/>
      <c r="G284" s="152"/>
      <c r="H284" s="323" t="s">
        <v>2702</v>
      </c>
      <c r="I284" s="152"/>
      <c r="J284" s="157"/>
      <c r="K284" s="157">
        <v>5800360911</v>
      </c>
      <c r="L284" s="227">
        <v>15007.957</v>
      </c>
      <c r="M284" s="157" t="s">
        <v>2724</v>
      </c>
      <c r="N284" s="227">
        <f t="shared" si="24"/>
        <v>129179.81636201052</v>
      </c>
      <c r="O284" s="152">
        <f t="shared" si="25"/>
        <v>1267597.7063620142</v>
      </c>
    </row>
    <row r="285" spans="1:15" x14ac:dyDescent="0.15">
      <c r="A285" s="154"/>
      <c r="B285" s="151"/>
      <c r="C285" s="152"/>
      <c r="D285" s="323"/>
      <c r="E285" s="154"/>
      <c r="F285" s="157"/>
      <c r="G285" s="152"/>
      <c r="H285" s="323" t="s">
        <v>2702</v>
      </c>
      <c r="I285" s="152"/>
      <c r="J285" s="157"/>
      <c r="K285" s="157">
        <v>5800360911</v>
      </c>
      <c r="L285" s="227">
        <v>14307.099</v>
      </c>
      <c r="M285" s="157" t="s">
        <v>2724</v>
      </c>
      <c r="N285" s="227">
        <f t="shared" si="24"/>
        <v>114872.71736201052</v>
      </c>
      <c r="O285" s="152">
        <f t="shared" si="25"/>
        <v>1253290.6073620142</v>
      </c>
    </row>
    <row r="286" spans="1:15" x14ac:dyDescent="0.15">
      <c r="A286" s="154"/>
      <c r="B286" s="151"/>
      <c r="C286" s="152"/>
      <c r="D286" s="323"/>
      <c r="E286" s="154"/>
      <c r="F286" s="157"/>
      <c r="G286" s="152"/>
      <c r="H286" s="323" t="s">
        <v>2702</v>
      </c>
      <c r="I286" s="152"/>
      <c r="J286" s="157"/>
      <c r="K286" s="157">
        <v>5800360911</v>
      </c>
      <c r="L286" s="227">
        <v>11567.654</v>
      </c>
      <c r="M286" s="157" t="s">
        <v>2724</v>
      </c>
      <c r="N286" s="227">
        <f t="shared" si="24"/>
        <v>103305.06336201052</v>
      </c>
      <c r="O286" s="152">
        <f t="shared" si="25"/>
        <v>1241722.9533620141</v>
      </c>
    </row>
    <row r="287" spans="1:15" x14ac:dyDescent="0.15">
      <c r="A287" s="154"/>
      <c r="B287" s="151"/>
      <c r="C287" s="152"/>
      <c r="D287" s="323"/>
      <c r="E287" s="154"/>
      <c r="F287" s="157"/>
      <c r="G287" s="152"/>
      <c r="H287" s="323" t="s">
        <v>2702</v>
      </c>
      <c r="I287" s="152"/>
      <c r="J287" s="157"/>
      <c r="K287" s="157">
        <v>5800360911</v>
      </c>
      <c r="L287" s="227">
        <v>2052.5839999999998</v>
      </c>
      <c r="M287" s="157" t="s">
        <v>2724</v>
      </c>
      <c r="N287" s="227">
        <f t="shared" si="24"/>
        <v>101252.47936201052</v>
      </c>
      <c r="O287" s="152">
        <f t="shared" si="25"/>
        <v>1239670.3693620141</v>
      </c>
    </row>
    <row r="288" spans="1:15" x14ac:dyDescent="0.15">
      <c r="A288" s="154"/>
      <c r="B288" s="151"/>
      <c r="C288" s="152"/>
      <c r="D288" s="323"/>
      <c r="E288" s="154"/>
      <c r="F288" s="157"/>
      <c r="G288" s="152"/>
      <c r="H288" s="323" t="s">
        <v>2702</v>
      </c>
      <c r="I288" s="152"/>
      <c r="J288" s="157"/>
      <c r="K288" s="157">
        <v>5800360911</v>
      </c>
      <c r="L288" s="227">
        <v>726.85299999999995</v>
      </c>
      <c r="M288" s="157" t="s">
        <v>2724</v>
      </c>
      <c r="N288" s="227">
        <f t="shared" si="24"/>
        <v>100525.62636201052</v>
      </c>
      <c r="O288" s="152">
        <f t="shared" si="25"/>
        <v>1238943.5163620142</v>
      </c>
    </row>
    <row r="289" spans="1:15" x14ac:dyDescent="0.15">
      <c r="A289" s="154"/>
      <c r="B289" s="151"/>
      <c r="C289" s="152"/>
      <c r="D289" s="323"/>
      <c r="E289" s="154"/>
      <c r="F289" s="157"/>
      <c r="G289" s="152"/>
      <c r="H289" s="323" t="s">
        <v>2702</v>
      </c>
      <c r="I289" s="152"/>
      <c r="J289" s="157"/>
      <c r="K289" s="157">
        <v>5800360911</v>
      </c>
      <c r="L289" s="227">
        <v>15511.56</v>
      </c>
      <c r="M289" s="157" t="s">
        <v>2724</v>
      </c>
      <c r="N289" s="227">
        <f t="shared" si="24"/>
        <v>85014.066362010519</v>
      </c>
      <c r="O289" s="152">
        <f t="shared" si="25"/>
        <v>1223431.9563620142</v>
      </c>
    </row>
    <row r="290" spans="1:15" x14ac:dyDescent="0.15">
      <c r="A290" s="154"/>
      <c r="B290" s="151"/>
      <c r="C290" s="152"/>
      <c r="D290" s="323"/>
      <c r="E290" s="154"/>
      <c r="F290" s="157"/>
      <c r="G290" s="152"/>
      <c r="H290" s="323" t="s">
        <v>2702</v>
      </c>
      <c r="I290" s="152"/>
      <c r="J290" s="157"/>
      <c r="K290" s="157">
        <v>5800360911</v>
      </c>
      <c r="L290" s="227">
        <v>16461.982</v>
      </c>
      <c r="M290" s="157" t="s">
        <v>2724</v>
      </c>
      <c r="N290" s="227">
        <f t="shared" si="24"/>
        <v>68552.084362010515</v>
      </c>
      <c r="O290" s="152">
        <f t="shared" si="25"/>
        <v>1206969.9743620141</v>
      </c>
    </row>
    <row r="291" spans="1:15" x14ac:dyDescent="0.15">
      <c r="A291" s="154"/>
      <c r="B291" s="151"/>
      <c r="C291" s="152"/>
      <c r="D291" s="323"/>
      <c r="E291" s="154"/>
      <c r="F291" s="157"/>
      <c r="G291" s="152"/>
      <c r="H291" s="323" t="s">
        <v>2702</v>
      </c>
      <c r="I291" s="152"/>
      <c r="J291" s="157"/>
      <c r="K291" s="157">
        <v>5800360911</v>
      </c>
      <c r="L291" s="227">
        <v>1664.9870000000001</v>
      </c>
      <c r="M291" s="157" t="s">
        <v>2724</v>
      </c>
      <c r="N291" s="227">
        <f t="shared" si="24"/>
        <v>66887.097362010521</v>
      </c>
      <c r="O291" s="152">
        <f t="shared" si="25"/>
        <v>1205304.9873620141</v>
      </c>
    </row>
    <row r="292" spans="1:15" x14ac:dyDescent="0.15">
      <c r="A292" s="154"/>
      <c r="B292" s="151"/>
      <c r="C292" s="152"/>
      <c r="D292" s="323"/>
      <c r="E292" s="154"/>
      <c r="F292" s="157"/>
      <c r="G292" s="152"/>
      <c r="H292" s="323" t="s">
        <v>2702</v>
      </c>
      <c r="I292" s="152"/>
      <c r="J292" s="157"/>
      <c r="K292" s="157">
        <v>5800360911</v>
      </c>
      <c r="L292" s="227">
        <v>16679.848999999998</v>
      </c>
      <c r="M292" s="157" t="s">
        <v>2724</v>
      </c>
      <c r="N292" s="227">
        <f t="shared" si="24"/>
        <v>50207.248362010519</v>
      </c>
      <c r="O292" s="152">
        <f t="shared" si="25"/>
        <v>1188625.1383620142</v>
      </c>
    </row>
    <row r="293" spans="1:15" x14ac:dyDescent="0.15">
      <c r="A293" s="154"/>
      <c r="B293" s="151"/>
      <c r="C293" s="152"/>
      <c r="D293" s="323"/>
      <c r="E293" s="154"/>
      <c r="F293" s="157"/>
      <c r="G293" s="152"/>
      <c r="H293" s="323" t="s">
        <v>2702</v>
      </c>
      <c r="I293" s="152"/>
      <c r="J293" s="157"/>
      <c r="K293" s="157">
        <v>5800360911</v>
      </c>
      <c r="L293" s="227">
        <v>15933.303</v>
      </c>
      <c r="M293" s="157" t="s">
        <v>2724</v>
      </c>
      <c r="N293" s="227">
        <f t="shared" si="24"/>
        <v>34273.94536201052</v>
      </c>
      <c r="O293" s="152">
        <f t="shared" si="25"/>
        <v>1172691.8353620141</v>
      </c>
    </row>
    <row r="294" spans="1:15" x14ac:dyDescent="0.15">
      <c r="A294" s="154"/>
      <c r="B294" s="151"/>
      <c r="C294" s="152"/>
      <c r="D294" s="323"/>
      <c r="E294" s="154"/>
      <c r="F294" s="157"/>
      <c r="G294" s="152"/>
      <c r="H294" s="323" t="s">
        <v>2702</v>
      </c>
      <c r="I294" s="152"/>
      <c r="J294" s="157"/>
      <c r="K294" s="157">
        <v>5800360911</v>
      </c>
      <c r="L294" s="227">
        <v>15639.482</v>
      </c>
      <c r="M294" s="157" t="s">
        <v>2724</v>
      </c>
      <c r="N294" s="227">
        <f t="shared" si="24"/>
        <v>18634.46336201052</v>
      </c>
      <c r="O294" s="152">
        <f t="shared" si="25"/>
        <v>1157052.3533620141</v>
      </c>
    </row>
    <row r="295" spans="1:15" x14ac:dyDescent="0.15">
      <c r="A295" s="154"/>
      <c r="B295" s="151"/>
      <c r="C295" s="152"/>
      <c r="D295" s="323" t="s">
        <v>2703</v>
      </c>
      <c r="E295" s="154" t="s">
        <v>72</v>
      </c>
      <c r="F295" s="157" t="s">
        <v>2729</v>
      </c>
      <c r="G295" s="152">
        <v>43897.866000000002</v>
      </c>
      <c r="H295" s="323" t="s">
        <v>2703</v>
      </c>
      <c r="I295" s="152">
        <v>14561.571</v>
      </c>
      <c r="J295" s="157" t="s">
        <v>2724</v>
      </c>
      <c r="K295" s="157">
        <v>5800360911</v>
      </c>
      <c r="L295" s="227">
        <v>4072.8923620105197</v>
      </c>
      <c r="M295" s="157" t="s">
        <v>2724</v>
      </c>
      <c r="N295" s="227">
        <f t="shared" si="24"/>
        <v>0</v>
      </c>
      <c r="O295" s="152">
        <f t="shared" si="25"/>
        <v>1182315.7560000035</v>
      </c>
    </row>
    <row r="296" spans="1:15" x14ac:dyDescent="0.15">
      <c r="A296" s="154"/>
      <c r="B296" s="151"/>
      <c r="C296" s="152"/>
      <c r="D296" s="323"/>
      <c r="E296" s="154"/>
      <c r="F296" s="157"/>
      <c r="G296" s="152"/>
      <c r="H296" s="323" t="s">
        <v>2703</v>
      </c>
      <c r="I296" s="152"/>
      <c r="J296" s="157"/>
      <c r="K296" s="157">
        <v>5800361472</v>
      </c>
      <c r="L296" s="227">
        <v>9848.8726379894797</v>
      </c>
      <c r="M296" s="157" t="s">
        <v>2725</v>
      </c>
      <c r="N296" s="227">
        <f>G132+N295-I296-L296</f>
        <v>73215.38336201162</v>
      </c>
      <c r="O296" s="152">
        <f t="shared" si="25"/>
        <v>1172466.8833620141</v>
      </c>
    </row>
    <row r="297" spans="1:15" x14ac:dyDescent="0.15">
      <c r="A297" s="154"/>
      <c r="B297" s="151"/>
      <c r="C297" s="152"/>
      <c r="D297" s="323"/>
      <c r="E297" s="154"/>
      <c r="F297" s="157"/>
      <c r="G297" s="152"/>
      <c r="H297" s="323" t="s">
        <v>2703</v>
      </c>
      <c r="I297" s="152"/>
      <c r="J297" s="157"/>
      <c r="K297" s="157">
        <v>5800361472</v>
      </c>
      <c r="L297" s="227">
        <v>35259.273000000001</v>
      </c>
      <c r="M297" s="157" t="s">
        <v>2725</v>
      </c>
      <c r="N297" s="227">
        <f t="shared" si="24"/>
        <v>37956.110362011619</v>
      </c>
      <c r="O297" s="152">
        <f t="shared" si="25"/>
        <v>1137207.610362014</v>
      </c>
    </row>
    <row r="298" spans="1:15" x14ac:dyDescent="0.15">
      <c r="A298" s="154"/>
      <c r="B298" s="151"/>
      <c r="C298" s="152"/>
      <c r="D298" s="323"/>
      <c r="E298" s="154"/>
      <c r="F298" s="157"/>
      <c r="G298" s="152"/>
      <c r="H298" s="323" t="s">
        <v>2703</v>
      </c>
      <c r="I298" s="152"/>
      <c r="J298" s="157"/>
      <c r="K298" s="157">
        <v>5800361472</v>
      </c>
      <c r="L298" s="227">
        <v>13077.022000000001</v>
      </c>
      <c r="M298" s="157" t="s">
        <v>2725</v>
      </c>
      <c r="N298" s="227">
        <f t="shared" si="24"/>
        <v>24879.088362011618</v>
      </c>
      <c r="O298" s="152">
        <f t="shared" si="25"/>
        <v>1124130.5883620139</v>
      </c>
    </row>
    <row r="299" spans="1:15" x14ac:dyDescent="0.15">
      <c r="A299" s="154"/>
      <c r="B299" s="151"/>
      <c r="C299" s="152"/>
      <c r="D299" s="323"/>
      <c r="E299" s="154"/>
      <c r="F299" s="157"/>
      <c r="G299" s="152"/>
      <c r="H299" s="323" t="s">
        <v>2703</v>
      </c>
      <c r="I299" s="152"/>
      <c r="J299" s="157"/>
      <c r="K299" s="157">
        <v>5800361472</v>
      </c>
      <c r="L299" s="227">
        <v>17324.728999999999</v>
      </c>
      <c r="M299" s="157" t="s">
        <v>2725</v>
      </c>
      <c r="N299" s="227">
        <f t="shared" si="24"/>
        <v>7554.3593620116189</v>
      </c>
      <c r="O299" s="152">
        <f t="shared" si="25"/>
        <v>1106805.8593620139</v>
      </c>
    </row>
    <row r="300" spans="1:15" x14ac:dyDescent="0.15">
      <c r="A300" s="154"/>
      <c r="B300" s="151"/>
      <c r="C300" s="152"/>
      <c r="D300" s="323"/>
      <c r="E300" s="154"/>
      <c r="F300" s="157"/>
      <c r="G300" s="152"/>
      <c r="H300" s="323" t="s">
        <v>2703</v>
      </c>
      <c r="I300" s="152"/>
      <c r="J300" s="157"/>
      <c r="K300" s="157">
        <v>5800361472</v>
      </c>
      <c r="L300" s="227">
        <v>7554.3593620116189</v>
      </c>
      <c r="M300" s="157" t="s">
        <v>2725</v>
      </c>
      <c r="N300" s="227">
        <f t="shared" si="24"/>
        <v>0</v>
      </c>
      <c r="O300" s="152">
        <f t="shared" si="25"/>
        <v>1099251.5000000023</v>
      </c>
    </row>
    <row r="301" spans="1:15" x14ac:dyDescent="0.15">
      <c r="A301" s="154"/>
      <c r="B301" s="151"/>
      <c r="C301" s="152"/>
      <c r="D301" s="323"/>
      <c r="E301" s="154"/>
      <c r="F301" s="157"/>
      <c r="G301" s="152"/>
      <c r="H301" s="323" t="s">
        <v>2703</v>
      </c>
      <c r="I301" s="152"/>
      <c r="J301" s="157"/>
      <c r="K301" s="157">
        <v>5800360911</v>
      </c>
      <c r="L301" s="227">
        <v>6467.3746379883796</v>
      </c>
      <c r="M301" s="157" t="s">
        <v>2726</v>
      </c>
      <c r="N301" s="227">
        <f>G227+G240+N300-I301-L301</f>
        <v>389552.53136201162</v>
      </c>
      <c r="O301" s="152">
        <f t="shared" si="25"/>
        <v>1092784.1253620139</v>
      </c>
    </row>
    <row r="302" spans="1:15" x14ac:dyDescent="0.15">
      <c r="A302" s="154"/>
      <c r="B302" s="151"/>
      <c r="C302" s="152"/>
      <c r="D302" s="323"/>
      <c r="E302" s="154"/>
      <c r="F302" s="157"/>
      <c r="G302" s="152"/>
      <c r="H302" s="323" t="s">
        <v>2703</v>
      </c>
      <c r="I302" s="152"/>
      <c r="J302" s="157"/>
      <c r="K302" s="157">
        <v>5800360911</v>
      </c>
      <c r="L302" s="227">
        <v>17453.689999999999</v>
      </c>
      <c r="M302" s="157" t="s">
        <v>2726</v>
      </c>
      <c r="N302" s="227">
        <f t="shared" si="24"/>
        <v>372098.84136201162</v>
      </c>
      <c r="O302" s="152">
        <f t="shared" si="25"/>
        <v>1075330.435362014</v>
      </c>
    </row>
    <row r="303" spans="1:15" x14ac:dyDescent="0.15">
      <c r="A303" s="154"/>
      <c r="B303" s="151"/>
      <c r="C303" s="152"/>
      <c r="D303" s="323"/>
      <c r="E303" s="154"/>
      <c r="F303" s="157"/>
      <c r="G303" s="152"/>
      <c r="H303" s="323" t="s">
        <v>2703</v>
      </c>
      <c r="I303" s="152"/>
      <c r="J303" s="157"/>
      <c r="K303" s="157">
        <v>5800360911</v>
      </c>
      <c r="L303" s="227">
        <v>14514.584000000001</v>
      </c>
      <c r="M303" s="157" t="s">
        <v>2726</v>
      </c>
      <c r="N303" s="227">
        <f t="shared" si="24"/>
        <v>357584.25736201165</v>
      </c>
      <c r="O303" s="152">
        <f t="shared" si="25"/>
        <v>1060815.851362014</v>
      </c>
    </row>
    <row r="304" spans="1:15" x14ac:dyDescent="0.15">
      <c r="A304" s="154"/>
      <c r="B304" s="151"/>
      <c r="C304" s="152"/>
      <c r="D304" s="323"/>
      <c r="E304" s="154"/>
      <c r="F304" s="157"/>
      <c r="G304" s="152"/>
      <c r="H304" s="323" t="s">
        <v>2703</v>
      </c>
      <c r="I304" s="152"/>
      <c r="J304" s="157"/>
      <c r="K304" s="157">
        <v>5800360911</v>
      </c>
      <c r="L304" s="227">
        <v>1180.6410000000001</v>
      </c>
      <c r="M304" s="157" t="s">
        <v>2726</v>
      </c>
      <c r="N304" s="227">
        <f t="shared" si="24"/>
        <v>356403.61636201164</v>
      </c>
      <c r="O304" s="152">
        <f t="shared" si="25"/>
        <v>1059635.2103620139</v>
      </c>
    </row>
    <row r="305" spans="1:15" x14ac:dyDescent="0.15">
      <c r="A305" s="154"/>
      <c r="B305" s="151"/>
      <c r="C305" s="152"/>
      <c r="D305" s="323"/>
      <c r="E305" s="154"/>
      <c r="F305" s="157"/>
      <c r="G305" s="152"/>
      <c r="H305" s="323" t="s">
        <v>2703</v>
      </c>
      <c r="I305" s="152"/>
      <c r="J305" s="157"/>
      <c r="K305" s="157">
        <v>5800360911</v>
      </c>
      <c r="L305" s="227">
        <v>12242.276</v>
      </c>
      <c r="M305" s="157" t="s">
        <v>2726</v>
      </c>
      <c r="N305" s="227">
        <f t="shared" si="24"/>
        <v>344161.34036201163</v>
      </c>
      <c r="O305" s="152">
        <f t="shared" si="25"/>
        <v>1047392.9343620139</v>
      </c>
    </row>
    <row r="306" spans="1:15" x14ac:dyDescent="0.15">
      <c r="A306" s="154"/>
      <c r="B306" s="151"/>
      <c r="C306" s="152"/>
      <c r="D306" s="323"/>
      <c r="E306" s="154"/>
      <c r="F306" s="157"/>
      <c r="G306" s="152"/>
      <c r="H306" s="323" t="s">
        <v>2703</v>
      </c>
      <c r="I306" s="152"/>
      <c r="J306" s="157"/>
      <c r="K306" s="157">
        <v>5800360911</v>
      </c>
      <c r="L306" s="227">
        <v>17114.793000000001</v>
      </c>
      <c r="M306" s="157" t="s">
        <v>2726</v>
      </c>
      <c r="N306" s="227">
        <f t="shared" si="24"/>
        <v>327046.54736201162</v>
      </c>
      <c r="O306" s="152">
        <f t="shared" si="25"/>
        <v>1030278.141362014</v>
      </c>
    </row>
    <row r="307" spans="1:15" x14ac:dyDescent="0.15">
      <c r="A307" s="154"/>
      <c r="B307" s="151"/>
      <c r="C307" s="152"/>
      <c r="D307" s="323"/>
      <c r="E307" s="154"/>
      <c r="F307" s="157"/>
      <c r="G307" s="152"/>
      <c r="H307" s="323" t="s">
        <v>2703</v>
      </c>
      <c r="I307" s="152"/>
      <c r="J307" s="157"/>
      <c r="K307" s="157">
        <v>5800360911</v>
      </c>
      <c r="L307" s="227">
        <v>2731.1689999999999</v>
      </c>
      <c r="M307" s="157" t="s">
        <v>2726</v>
      </c>
      <c r="N307" s="227">
        <f t="shared" si="24"/>
        <v>324315.37836201163</v>
      </c>
      <c r="O307" s="152">
        <f t="shared" si="25"/>
        <v>1027546.972362014</v>
      </c>
    </row>
    <row r="308" spans="1:15" x14ac:dyDescent="0.15">
      <c r="A308" s="154"/>
      <c r="B308" s="151"/>
      <c r="C308" s="152"/>
      <c r="D308" s="323"/>
      <c r="E308" s="154"/>
      <c r="F308" s="157"/>
      <c r="G308" s="152"/>
      <c r="H308" s="323" t="s">
        <v>2703</v>
      </c>
      <c r="I308" s="152"/>
      <c r="J308" s="157"/>
      <c r="K308" s="157">
        <v>5800360911</v>
      </c>
      <c r="L308" s="227">
        <v>15568.263999999999</v>
      </c>
      <c r="M308" s="157" t="s">
        <v>2726</v>
      </c>
      <c r="N308" s="227">
        <f t="shared" si="24"/>
        <v>308747.11436201161</v>
      </c>
      <c r="O308" s="152">
        <f t="shared" si="25"/>
        <v>1011978.708362014</v>
      </c>
    </row>
    <row r="309" spans="1:15" x14ac:dyDescent="0.15">
      <c r="A309" s="154"/>
      <c r="B309" s="151"/>
      <c r="C309" s="152"/>
      <c r="D309" s="323"/>
      <c r="E309" s="154"/>
      <c r="F309" s="157"/>
      <c r="G309" s="152"/>
      <c r="H309" s="323" t="s">
        <v>2703</v>
      </c>
      <c r="I309" s="152"/>
      <c r="J309" s="157"/>
      <c r="K309" s="157">
        <v>5800360911</v>
      </c>
      <c r="L309" s="227">
        <v>14625.550999999999</v>
      </c>
      <c r="M309" s="157" t="s">
        <v>2726</v>
      </c>
      <c r="N309" s="227">
        <f t="shared" si="24"/>
        <v>294121.56336201163</v>
      </c>
      <c r="O309" s="152">
        <f t="shared" si="25"/>
        <v>997353.15736201406</v>
      </c>
    </row>
    <row r="310" spans="1:15" x14ac:dyDescent="0.15">
      <c r="A310" s="154"/>
      <c r="B310" s="151"/>
      <c r="C310" s="152"/>
      <c r="D310" s="323" t="s">
        <v>2704</v>
      </c>
      <c r="E310" s="154" t="s">
        <v>72</v>
      </c>
      <c r="F310" s="157" t="s">
        <v>2729</v>
      </c>
      <c r="G310" s="152">
        <v>175689.81899999999</v>
      </c>
      <c r="H310" s="323" t="s">
        <v>2704</v>
      </c>
      <c r="I310" s="152">
        <v>11499.169</v>
      </c>
      <c r="J310" s="157" t="s">
        <v>2726</v>
      </c>
      <c r="K310" s="157">
        <v>5800360911</v>
      </c>
      <c r="L310" s="227">
        <v>13885.958000000001</v>
      </c>
      <c r="M310" s="157" t="s">
        <v>2726</v>
      </c>
      <c r="N310" s="227">
        <f t="shared" si="24"/>
        <v>268736.43636201165</v>
      </c>
      <c r="O310" s="152">
        <f t="shared" si="25"/>
        <v>1147657.8493620139</v>
      </c>
    </row>
    <row r="311" spans="1:15" x14ac:dyDescent="0.15">
      <c r="A311" s="154"/>
      <c r="B311" s="151"/>
      <c r="C311" s="152"/>
      <c r="D311" s="323"/>
      <c r="E311" s="154"/>
      <c r="F311" s="157"/>
      <c r="G311" s="152"/>
      <c r="H311" s="323" t="s">
        <v>2704</v>
      </c>
      <c r="I311" s="152"/>
      <c r="J311" s="157"/>
      <c r="K311" s="157">
        <v>5800360911</v>
      </c>
      <c r="L311" s="227">
        <v>13146.333000000001</v>
      </c>
      <c r="M311" s="157" t="s">
        <v>2726</v>
      </c>
      <c r="N311" s="227">
        <f t="shared" si="24"/>
        <v>255590.10336201164</v>
      </c>
      <c r="O311" s="152">
        <f t="shared" si="25"/>
        <v>1134511.5163620138</v>
      </c>
    </row>
    <row r="312" spans="1:15" x14ac:dyDescent="0.15">
      <c r="A312" s="154"/>
      <c r="B312" s="151"/>
      <c r="C312" s="152"/>
      <c r="D312" s="323"/>
      <c r="E312" s="154"/>
      <c r="F312" s="157"/>
      <c r="G312" s="152"/>
      <c r="H312" s="323" t="s">
        <v>2704</v>
      </c>
      <c r="I312" s="152"/>
      <c r="J312" s="157"/>
      <c r="K312" s="157">
        <v>5800360911</v>
      </c>
      <c r="L312" s="227">
        <v>13471.168</v>
      </c>
      <c r="M312" s="157" t="s">
        <v>2726</v>
      </c>
      <c r="N312" s="227">
        <f t="shared" si="24"/>
        <v>242118.93536201163</v>
      </c>
      <c r="O312" s="152">
        <f t="shared" si="25"/>
        <v>1121040.3483620137</v>
      </c>
    </row>
    <row r="313" spans="1:15" x14ac:dyDescent="0.15">
      <c r="A313" s="154"/>
      <c r="B313" s="151"/>
      <c r="C313" s="152"/>
      <c r="D313" s="323"/>
      <c r="E313" s="154"/>
      <c r="F313" s="157"/>
      <c r="G313" s="152"/>
      <c r="H313" s="323" t="s">
        <v>2704</v>
      </c>
      <c r="I313" s="152"/>
      <c r="J313" s="157"/>
      <c r="K313" s="157">
        <v>5800360911</v>
      </c>
      <c r="L313" s="227">
        <v>13808.996999999999</v>
      </c>
      <c r="M313" s="157" t="s">
        <v>2726</v>
      </c>
      <c r="N313" s="227">
        <f t="shared" si="24"/>
        <v>228309.93836201163</v>
      </c>
      <c r="O313" s="152">
        <f t="shared" si="25"/>
        <v>1107231.3513620137</v>
      </c>
    </row>
    <row r="314" spans="1:15" x14ac:dyDescent="0.15">
      <c r="A314" s="154"/>
      <c r="B314" s="151"/>
      <c r="C314" s="152"/>
      <c r="D314" s="323"/>
      <c r="E314" s="154"/>
      <c r="F314" s="157"/>
      <c r="G314" s="152"/>
      <c r="H314" s="323" t="s">
        <v>2704</v>
      </c>
      <c r="I314" s="152"/>
      <c r="J314" s="157"/>
      <c r="K314" s="157">
        <v>5800360911</v>
      </c>
      <c r="L314" s="227">
        <v>15771.002</v>
      </c>
      <c r="M314" s="157" t="s">
        <v>2726</v>
      </c>
      <c r="N314" s="227">
        <f t="shared" si="24"/>
        <v>212538.93636201162</v>
      </c>
      <c r="O314" s="152">
        <f t="shared" si="25"/>
        <v>1091460.3493620136</v>
      </c>
    </row>
    <row r="315" spans="1:15" x14ac:dyDescent="0.15">
      <c r="A315" s="154"/>
      <c r="B315" s="151"/>
      <c r="C315" s="152"/>
      <c r="D315" s="323"/>
      <c r="E315" s="154"/>
      <c r="F315" s="157"/>
      <c r="G315" s="152"/>
      <c r="H315" s="323" t="s">
        <v>2704</v>
      </c>
      <c r="I315" s="152"/>
      <c r="J315" s="157"/>
      <c r="K315" s="157">
        <v>5800360911</v>
      </c>
      <c r="L315" s="227">
        <v>9209.33</v>
      </c>
      <c r="M315" s="157" t="s">
        <v>2726</v>
      </c>
      <c r="N315" s="227">
        <f t="shared" si="24"/>
        <v>203329.60636201163</v>
      </c>
      <c r="O315" s="152">
        <f t="shared" si="25"/>
        <v>1082251.0193620136</v>
      </c>
    </row>
    <row r="316" spans="1:15" x14ac:dyDescent="0.15">
      <c r="A316" s="154"/>
      <c r="B316" s="151"/>
      <c r="C316" s="152"/>
      <c r="D316" s="323"/>
      <c r="E316" s="154"/>
      <c r="F316" s="157"/>
      <c r="G316" s="152"/>
      <c r="H316" s="323" t="s">
        <v>2704</v>
      </c>
      <c r="I316" s="152"/>
      <c r="J316" s="157"/>
      <c r="K316" s="157">
        <v>5800360911</v>
      </c>
      <c r="L316" s="227">
        <v>1861.056</v>
      </c>
      <c r="M316" s="157" t="s">
        <v>2726</v>
      </c>
      <c r="N316" s="227">
        <f t="shared" si="24"/>
        <v>201468.55036201162</v>
      </c>
      <c r="O316" s="152">
        <f t="shared" si="25"/>
        <v>1080389.9633620135</v>
      </c>
    </row>
    <row r="317" spans="1:15" x14ac:dyDescent="0.15">
      <c r="A317" s="154"/>
      <c r="B317" s="151"/>
      <c r="C317" s="152"/>
      <c r="D317" s="323"/>
      <c r="E317" s="154"/>
      <c r="F317" s="157"/>
      <c r="G317" s="152"/>
      <c r="H317" s="323" t="s">
        <v>2704</v>
      </c>
      <c r="I317" s="152"/>
      <c r="J317" s="157"/>
      <c r="K317" s="157">
        <v>5800360911</v>
      </c>
      <c r="L317" s="227">
        <v>16565.598999999998</v>
      </c>
      <c r="M317" s="157" t="s">
        <v>2726</v>
      </c>
      <c r="N317" s="227">
        <f t="shared" si="24"/>
        <v>184902.95136201163</v>
      </c>
      <c r="O317" s="152">
        <f t="shared" si="25"/>
        <v>1063824.3643620135</v>
      </c>
    </row>
    <row r="318" spans="1:15" x14ac:dyDescent="0.15">
      <c r="A318" s="154"/>
      <c r="B318" s="151"/>
      <c r="C318" s="152"/>
      <c r="D318" s="323"/>
      <c r="E318" s="154"/>
      <c r="F318" s="157"/>
      <c r="G318" s="152"/>
      <c r="H318" s="323" t="s">
        <v>2704</v>
      </c>
      <c r="I318" s="152"/>
      <c r="J318" s="157"/>
      <c r="K318" s="157">
        <v>5800360911</v>
      </c>
      <c r="L318" s="227">
        <v>9528.1679999999997</v>
      </c>
      <c r="M318" s="157" t="s">
        <v>2726</v>
      </c>
      <c r="N318" s="227">
        <f t="shared" si="24"/>
        <v>175374.78336201163</v>
      </c>
      <c r="O318" s="152">
        <f t="shared" si="25"/>
        <v>1054296.1963620135</v>
      </c>
    </row>
    <row r="319" spans="1:15" x14ac:dyDescent="0.15">
      <c r="A319" s="154"/>
      <c r="B319" s="151"/>
      <c r="C319" s="152"/>
      <c r="D319" s="323"/>
      <c r="E319" s="154"/>
      <c r="F319" s="157"/>
      <c r="G319" s="152"/>
      <c r="H319" s="323" t="s">
        <v>2704</v>
      </c>
      <c r="I319" s="152"/>
      <c r="J319" s="157"/>
      <c r="K319" s="157">
        <v>5800360911</v>
      </c>
      <c r="L319" s="227">
        <v>14012.893</v>
      </c>
      <c r="M319" s="157" t="s">
        <v>2726</v>
      </c>
      <c r="N319" s="227">
        <f t="shared" si="24"/>
        <v>161361.89036201162</v>
      </c>
      <c r="O319" s="152">
        <f t="shared" si="25"/>
        <v>1040283.3033620134</v>
      </c>
    </row>
    <row r="320" spans="1:15" x14ac:dyDescent="0.15">
      <c r="A320" s="154"/>
      <c r="B320" s="151"/>
      <c r="C320" s="152"/>
      <c r="D320" s="323"/>
      <c r="E320" s="154"/>
      <c r="F320" s="157"/>
      <c r="G320" s="152"/>
      <c r="H320" s="323" t="s">
        <v>2704</v>
      </c>
      <c r="I320" s="152"/>
      <c r="J320" s="157"/>
      <c r="K320" s="157">
        <v>5800360911</v>
      </c>
      <c r="L320" s="227">
        <v>15354.213</v>
      </c>
      <c r="M320" s="157" t="s">
        <v>2726</v>
      </c>
      <c r="N320" s="227">
        <f t="shared" si="24"/>
        <v>146007.67736201163</v>
      </c>
      <c r="O320" s="152">
        <f t="shared" si="25"/>
        <v>1024929.0903620134</v>
      </c>
    </row>
    <row r="321" spans="1:15" x14ac:dyDescent="0.15">
      <c r="A321" s="154"/>
      <c r="B321" s="151"/>
      <c r="C321" s="152"/>
      <c r="D321" s="323" t="s">
        <v>2705</v>
      </c>
      <c r="E321" s="154" t="s">
        <v>72</v>
      </c>
      <c r="F321" s="157" t="s">
        <v>2729</v>
      </c>
      <c r="G321" s="152">
        <v>60849.539999999222</v>
      </c>
      <c r="H321" s="323" t="s">
        <v>2705</v>
      </c>
      <c r="I321" s="152">
        <v>12099.535</v>
      </c>
      <c r="J321" s="157" t="s">
        <v>2726</v>
      </c>
      <c r="K321" s="157">
        <v>5800360911</v>
      </c>
      <c r="L321" s="227">
        <v>12957.054</v>
      </c>
      <c r="M321" s="157" t="s">
        <v>2726</v>
      </c>
      <c r="N321" s="227">
        <f t="shared" si="24"/>
        <v>120951.08836201162</v>
      </c>
      <c r="O321" s="152">
        <f t="shared" si="25"/>
        <v>1060722.0413620127</v>
      </c>
    </row>
    <row r="322" spans="1:15" x14ac:dyDescent="0.15">
      <c r="A322" s="154"/>
      <c r="B322" s="151"/>
      <c r="C322" s="152"/>
      <c r="D322" s="323" t="s">
        <v>2705</v>
      </c>
      <c r="E322" s="154" t="s">
        <v>72</v>
      </c>
      <c r="F322" s="157" t="s">
        <v>2730</v>
      </c>
      <c r="G322" s="152">
        <v>114968.362000001</v>
      </c>
      <c r="H322" s="323" t="s">
        <v>2705</v>
      </c>
      <c r="I322" s="152"/>
      <c r="J322" s="157"/>
      <c r="K322" s="157">
        <v>5800360911</v>
      </c>
      <c r="L322" s="227">
        <v>13632.944</v>
      </c>
      <c r="M322" s="157" t="s">
        <v>2726</v>
      </c>
      <c r="N322" s="227">
        <f t="shared" si="24"/>
        <v>107318.14436201162</v>
      </c>
      <c r="O322" s="152">
        <f t="shared" si="25"/>
        <v>1162057.4593620137</v>
      </c>
    </row>
    <row r="323" spans="1:15" x14ac:dyDescent="0.15">
      <c r="A323" s="154"/>
      <c r="B323" s="151"/>
      <c r="C323" s="152"/>
      <c r="D323" s="323"/>
      <c r="E323" s="154"/>
      <c r="F323" s="157"/>
      <c r="G323" s="152"/>
      <c r="H323" s="323" t="s">
        <v>2705</v>
      </c>
      <c r="I323" s="152"/>
      <c r="J323" s="157"/>
      <c r="K323" s="157">
        <v>5800360911</v>
      </c>
      <c r="L323" s="227">
        <v>13233.418</v>
      </c>
      <c r="M323" s="157" t="s">
        <v>2726</v>
      </c>
      <c r="N323" s="227">
        <f t="shared" si="24"/>
        <v>94084.726362011614</v>
      </c>
      <c r="O323" s="152">
        <f t="shared" si="25"/>
        <v>1148824.0413620137</v>
      </c>
    </row>
    <row r="324" spans="1:15" x14ac:dyDescent="0.15">
      <c r="A324" s="154"/>
      <c r="B324" s="151"/>
      <c r="C324" s="152"/>
      <c r="D324" s="323"/>
      <c r="E324" s="154"/>
      <c r="F324" s="157"/>
      <c r="G324" s="152"/>
      <c r="H324" s="323" t="s">
        <v>2705</v>
      </c>
      <c r="I324" s="152"/>
      <c r="J324" s="157"/>
      <c r="K324" s="157">
        <v>5800360911</v>
      </c>
      <c r="L324" s="227">
        <v>13377.608</v>
      </c>
      <c r="M324" s="157" t="s">
        <v>2726</v>
      </c>
      <c r="N324" s="227">
        <f t="shared" si="24"/>
        <v>80707.118362011621</v>
      </c>
      <c r="O324" s="152">
        <f t="shared" si="25"/>
        <v>1135446.4333620137</v>
      </c>
    </row>
    <row r="325" spans="1:15" x14ac:dyDescent="0.15">
      <c r="A325" s="154"/>
      <c r="B325" s="151"/>
      <c r="C325" s="152"/>
      <c r="D325" s="323"/>
      <c r="E325" s="154"/>
      <c r="F325" s="157"/>
      <c r="G325" s="152"/>
      <c r="H325" s="323" t="s">
        <v>2705</v>
      </c>
      <c r="I325" s="152"/>
      <c r="J325" s="157"/>
      <c r="K325" s="157">
        <v>5800360911</v>
      </c>
      <c r="L325" s="227">
        <v>16201.324000000001</v>
      </c>
      <c r="M325" s="157" t="s">
        <v>2726</v>
      </c>
      <c r="N325" s="227">
        <f t="shared" si="24"/>
        <v>64505.79436201162</v>
      </c>
      <c r="O325" s="152">
        <f t="shared" si="25"/>
        <v>1119245.1093620136</v>
      </c>
    </row>
    <row r="326" spans="1:15" x14ac:dyDescent="0.15">
      <c r="A326" s="154"/>
      <c r="B326" s="151"/>
      <c r="C326" s="152"/>
      <c r="D326" s="323"/>
      <c r="E326" s="154"/>
      <c r="F326" s="157"/>
      <c r="G326" s="152"/>
      <c r="H326" s="323" t="s">
        <v>2705</v>
      </c>
      <c r="I326" s="152"/>
      <c r="J326" s="157"/>
      <c r="K326" s="157">
        <v>5800360911</v>
      </c>
      <c r="L326" s="227">
        <v>12399.32</v>
      </c>
      <c r="M326" s="157" t="s">
        <v>2726</v>
      </c>
      <c r="N326" s="227">
        <f t="shared" si="24"/>
        <v>52106.474362011621</v>
      </c>
      <c r="O326" s="152">
        <f t="shared" si="25"/>
        <v>1106845.7893620136</v>
      </c>
    </row>
    <row r="327" spans="1:15" x14ac:dyDescent="0.15">
      <c r="A327" s="154"/>
      <c r="B327" s="151"/>
      <c r="C327" s="152"/>
      <c r="D327" s="323"/>
      <c r="E327" s="154"/>
      <c r="F327" s="157"/>
      <c r="G327" s="152"/>
      <c r="H327" s="323" t="s">
        <v>2705</v>
      </c>
      <c r="I327" s="152"/>
      <c r="J327" s="157"/>
      <c r="K327" s="157">
        <v>5800360911</v>
      </c>
      <c r="L327" s="227">
        <v>14796.987999999999</v>
      </c>
      <c r="M327" s="157" t="s">
        <v>2726</v>
      </c>
      <c r="N327" s="227">
        <f t="shared" si="24"/>
        <v>37309.486362011623</v>
      </c>
      <c r="O327" s="152">
        <f t="shared" si="25"/>
        <v>1092048.8013620137</v>
      </c>
    </row>
    <row r="328" spans="1:15" x14ac:dyDescent="0.15">
      <c r="A328" s="154"/>
      <c r="B328" s="151"/>
      <c r="C328" s="152"/>
      <c r="D328" s="323"/>
      <c r="E328" s="154"/>
      <c r="F328" s="157"/>
      <c r="G328" s="152"/>
      <c r="H328" s="323" t="s">
        <v>2705</v>
      </c>
      <c r="I328" s="152"/>
      <c r="J328" s="157"/>
      <c r="K328" s="157">
        <v>5800360911</v>
      </c>
      <c r="L328" s="227">
        <v>17005.196</v>
      </c>
      <c r="M328" s="157" t="s">
        <v>2726</v>
      </c>
      <c r="N328" s="227">
        <f t="shared" si="24"/>
        <v>20304.290362011623</v>
      </c>
      <c r="O328" s="152">
        <f t="shared" si="25"/>
        <v>1075043.6053620137</v>
      </c>
    </row>
    <row r="329" spans="1:15" x14ac:dyDescent="0.15">
      <c r="A329" s="154"/>
      <c r="B329" s="151"/>
      <c r="C329" s="152"/>
      <c r="D329" s="323"/>
      <c r="E329" s="154"/>
      <c r="F329" s="157"/>
      <c r="G329" s="152"/>
      <c r="H329" s="323" t="s">
        <v>2705</v>
      </c>
      <c r="I329" s="152"/>
      <c r="J329" s="157"/>
      <c r="K329" s="157">
        <v>5800360911</v>
      </c>
      <c r="L329" s="227">
        <v>750.39099999999996</v>
      </c>
      <c r="M329" s="157" t="s">
        <v>2726</v>
      </c>
      <c r="N329" s="227">
        <f t="shared" si="24"/>
        <v>19553.899362011623</v>
      </c>
      <c r="O329" s="152">
        <f t="shared" si="25"/>
        <v>1074293.2143620136</v>
      </c>
    </row>
    <row r="330" spans="1:15" x14ac:dyDescent="0.15">
      <c r="A330" s="154"/>
      <c r="B330" s="151"/>
      <c r="C330" s="152"/>
      <c r="D330" s="323"/>
      <c r="E330" s="154"/>
      <c r="F330" s="157"/>
      <c r="G330" s="152"/>
      <c r="H330" s="323" t="s">
        <v>2705</v>
      </c>
      <c r="I330" s="152"/>
      <c r="J330" s="157"/>
      <c r="K330" s="157">
        <v>5800360911</v>
      </c>
      <c r="L330" s="227">
        <v>15899.093999999999</v>
      </c>
      <c r="M330" s="157" t="s">
        <v>2726</v>
      </c>
      <c r="N330" s="227">
        <f t="shared" si="24"/>
        <v>3654.8053620116243</v>
      </c>
      <c r="O330" s="152">
        <f t="shared" si="25"/>
        <v>1058394.1203620136</v>
      </c>
    </row>
    <row r="331" spans="1:15" x14ac:dyDescent="0.15">
      <c r="A331" s="154"/>
      <c r="B331" s="151"/>
      <c r="C331" s="152"/>
      <c r="D331" s="323"/>
      <c r="E331" s="154"/>
      <c r="F331" s="157"/>
      <c r="G331" s="152"/>
      <c r="H331" s="323" t="s">
        <v>2705</v>
      </c>
      <c r="I331" s="152"/>
      <c r="J331" s="157"/>
      <c r="K331" s="157">
        <v>5800360911</v>
      </c>
      <c r="L331" s="227">
        <v>3654.8053620116243</v>
      </c>
      <c r="M331" s="157" t="s">
        <v>2726</v>
      </c>
      <c r="N331" s="227">
        <f t="shared" si="24"/>
        <v>0</v>
      </c>
      <c r="O331" s="152">
        <f t="shared" si="25"/>
        <v>1054739.315000002</v>
      </c>
    </row>
    <row r="332" spans="1:15" x14ac:dyDescent="0.15">
      <c r="A332" s="154"/>
      <c r="B332" s="151"/>
      <c r="C332" s="152"/>
      <c r="D332" s="323"/>
      <c r="E332" s="154"/>
      <c r="F332" s="157"/>
      <c r="G332" s="152"/>
      <c r="H332" s="323" t="s">
        <v>2705</v>
      </c>
      <c r="I332" s="152"/>
      <c r="J332" s="157"/>
      <c r="K332" s="157">
        <v>5800360911</v>
      </c>
      <c r="L332" s="227">
        <v>11653.7676379884</v>
      </c>
      <c r="M332" s="157" t="s">
        <v>2727</v>
      </c>
      <c r="N332" s="227">
        <f>G241+G254+G265+N331-I332-L332</f>
        <v>293347.93236201053</v>
      </c>
      <c r="O332" s="152">
        <f t="shared" si="25"/>
        <v>1043085.5473620136</v>
      </c>
    </row>
    <row r="333" spans="1:15" x14ac:dyDescent="0.15">
      <c r="A333" s="154"/>
      <c r="B333" s="151"/>
      <c r="C333" s="152"/>
      <c r="D333" s="323"/>
      <c r="E333" s="154"/>
      <c r="F333" s="157"/>
      <c r="G333" s="152"/>
      <c r="H333" s="323" t="s">
        <v>2705</v>
      </c>
      <c r="I333" s="152"/>
      <c r="J333" s="157"/>
      <c r="K333" s="157">
        <v>5800360911</v>
      </c>
      <c r="L333" s="227">
        <v>34569.936999999998</v>
      </c>
      <c r="M333" s="157" t="s">
        <v>2727</v>
      </c>
      <c r="N333" s="227">
        <f t="shared" si="24"/>
        <v>258777.99536201052</v>
      </c>
      <c r="O333" s="152">
        <f t="shared" si="25"/>
        <v>1008515.6103620136</v>
      </c>
    </row>
    <row r="334" spans="1:15" x14ac:dyDescent="0.15">
      <c r="A334" s="154"/>
      <c r="B334" s="151"/>
      <c r="C334" s="152"/>
      <c r="D334" s="323" t="s">
        <v>2706</v>
      </c>
      <c r="E334" s="154" t="s">
        <v>72</v>
      </c>
      <c r="F334" s="157" t="s">
        <v>2730</v>
      </c>
      <c r="G334" s="152">
        <v>131786.30399999989</v>
      </c>
      <c r="H334" s="323" t="s">
        <v>2706</v>
      </c>
      <c r="I334" s="152">
        <v>8294.9510000000009</v>
      </c>
      <c r="J334" s="157" t="s">
        <v>2727</v>
      </c>
      <c r="K334" s="157">
        <v>5800360911</v>
      </c>
      <c r="L334" s="227">
        <v>12860.173000000001</v>
      </c>
      <c r="M334" s="157" t="s">
        <v>2727</v>
      </c>
      <c r="N334" s="227">
        <f t="shared" si="24"/>
        <v>237622.87136201051</v>
      </c>
      <c r="O334" s="152">
        <f t="shared" si="25"/>
        <v>1119146.7903620135</v>
      </c>
    </row>
    <row r="335" spans="1:15" x14ac:dyDescent="0.15">
      <c r="A335" s="154"/>
      <c r="B335" s="151"/>
      <c r="C335" s="152"/>
      <c r="D335" s="323" t="s">
        <v>2706</v>
      </c>
      <c r="E335" s="154" t="s">
        <v>72</v>
      </c>
      <c r="F335" s="157" t="s">
        <v>2731</v>
      </c>
      <c r="G335" s="152">
        <v>87877.334000000104</v>
      </c>
      <c r="H335" s="323" t="s">
        <v>2706</v>
      </c>
      <c r="I335" s="152"/>
      <c r="J335" s="157"/>
      <c r="K335" s="157">
        <v>5800360911</v>
      </c>
      <c r="L335" s="227">
        <v>13737.638999999999</v>
      </c>
      <c r="M335" s="157" t="s">
        <v>2727</v>
      </c>
      <c r="N335" s="227">
        <f t="shared" si="24"/>
        <v>223885.23236201052</v>
      </c>
      <c r="O335" s="152">
        <f t="shared" si="25"/>
        <v>1193286.4853620136</v>
      </c>
    </row>
    <row r="336" spans="1:15" x14ac:dyDescent="0.15">
      <c r="A336" s="154"/>
      <c r="B336" s="151"/>
      <c r="C336" s="152"/>
      <c r="D336" s="323"/>
      <c r="E336" s="154"/>
      <c r="F336" s="157"/>
      <c r="G336" s="152"/>
      <c r="H336" s="323" t="s">
        <v>2706</v>
      </c>
      <c r="I336" s="152"/>
      <c r="J336" s="157"/>
      <c r="K336" s="157">
        <v>5800360911</v>
      </c>
      <c r="L336" s="227">
        <v>14656.08</v>
      </c>
      <c r="M336" s="157" t="s">
        <v>2727</v>
      </c>
      <c r="N336" s="227">
        <f t="shared" si="24"/>
        <v>209229.15236201053</v>
      </c>
      <c r="O336" s="152">
        <f t="shared" si="25"/>
        <v>1178630.4053620135</v>
      </c>
    </row>
    <row r="337" spans="1:15" x14ac:dyDescent="0.15">
      <c r="A337" s="154"/>
      <c r="B337" s="151"/>
      <c r="C337" s="152"/>
      <c r="D337" s="323"/>
      <c r="E337" s="154"/>
      <c r="F337" s="157"/>
      <c r="G337" s="152"/>
      <c r="H337" s="323" t="s">
        <v>2706</v>
      </c>
      <c r="I337" s="152"/>
      <c r="J337" s="157"/>
      <c r="K337" s="157">
        <v>5800360911</v>
      </c>
      <c r="L337" s="227">
        <v>17309.465</v>
      </c>
      <c r="M337" s="157" t="s">
        <v>2727</v>
      </c>
      <c r="N337" s="227">
        <f t="shared" si="24"/>
        <v>191919.68736201053</v>
      </c>
      <c r="O337" s="152">
        <f t="shared" si="25"/>
        <v>1161320.9403620134</v>
      </c>
    </row>
    <row r="338" spans="1:15" x14ac:dyDescent="0.15">
      <c r="A338" s="154"/>
      <c r="B338" s="151"/>
      <c r="C338" s="152"/>
      <c r="D338" s="323"/>
      <c r="E338" s="154"/>
      <c r="F338" s="157"/>
      <c r="G338" s="152"/>
      <c r="H338" s="323" t="s">
        <v>2706</v>
      </c>
      <c r="I338" s="152"/>
      <c r="J338" s="157"/>
      <c r="K338" s="157">
        <v>5800360911</v>
      </c>
      <c r="L338" s="227">
        <v>13032.067999999999</v>
      </c>
      <c r="M338" s="157" t="s">
        <v>2727</v>
      </c>
      <c r="N338" s="227">
        <f t="shared" si="24"/>
        <v>178887.61936201053</v>
      </c>
      <c r="O338" s="152">
        <f t="shared" si="25"/>
        <v>1148288.8723620134</v>
      </c>
    </row>
    <row r="339" spans="1:15" x14ac:dyDescent="0.15">
      <c r="A339" s="154"/>
      <c r="B339" s="151"/>
      <c r="C339" s="152"/>
      <c r="D339" s="323"/>
      <c r="E339" s="154"/>
      <c r="F339" s="157"/>
      <c r="G339" s="152"/>
      <c r="H339" s="323" t="s">
        <v>2706</v>
      </c>
      <c r="I339" s="152"/>
      <c r="J339" s="157"/>
      <c r="K339" s="157">
        <v>5800360911</v>
      </c>
      <c r="L339" s="227">
        <v>14186.366</v>
      </c>
      <c r="M339" s="157" t="s">
        <v>2727</v>
      </c>
      <c r="N339" s="227">
        <f t="shared" si="24"/>
        <v>164701.25336201052</v>
      </c>
      <c r="O339" s="152">
        <f t="shared" si="25"/>
        <v>1134102.5063620135</v>
      </c>
    </row>
    <row r="340" spans="1:15" x14ac:dyDescent="0.15">
      <c r="A340" s="154"/>
      <c r="B340" s="151"/>
      <c r="C340" s="152"/>
      <c r="D340" s="323"/>
      <c r="E340" s="154"/>
      <c r="F340" s="157"/>
      <c r="G340" s="152"/>
      <c r="H340" s="323" t="s">
        <v>2706</v>
      </c>
      <c r="I340" s="152"/>
      <c r="J340" s="157"/>
      <c r="K340" s="157">
        <v>5800360911</v>
      </c>
      <c r="L340" s="227">
        <v>9911.9670000000006</v>
      </c>
      <c r="M340" s="157" t="s">
        <v>2727</v>
      </c>
      <c r="N340" s="227">
        <f t="shared" ref="N340:N383" si="26">+N339-I340-L340</f>
        <v>154789.28636201052</v>
      </c>
      <c r="O340" s="152">
        <f t="shared" ref="O340:O383" si="27">O339+G340-I340-L340</f>
        <v>1124190.5393620136</v>
      </c>
    </row>
    <row r="341" spans="1:15" x14ac:dyDescent="0.15">
      <c r="A341" s="154"/>
      <c r="B341" s="151"/>
      <c r="C341" s="152"/>
      <c r="D341" s="323"/>
      <c r="E341" s="154"/>
      <c r="F341" s="157"/>
      <c r="G341" s="152"/>
      <c r="H341" s="323" t="s">
        <v>2706</v>
      </c>
      <c r="I341" s="152"/>
      <c r="J341" s="157"/>
      <c r="K341" s="157">
        <v>5800360911</v>
      </c>
      <c r="L341" s="227">
        <v>12874.164000000001</v>
      </c>
      <c r="M341" s="157" t="s">
        <v>2727</v>
      </c>
      <c r="N341" s="227">
        <f t="shared" si="26"/>
        <v>141915.12236201053</v>
      </c>
      <c r="O341" s="152">
        <f t="shared" si="27"/>
        <v>1111316.3753620135</v>
      </c>
    </row>
    <row r="342" spans="1:15" x14ac:dyDescent="0.15">
      <c r="A342" s="154"/>
      <c r="B342" s="151"/>
      <c r="C342" s="152"/>
      <c r="D342" s="323"/>
      <c r="E342" s="154"/>
      <c r="F342" s="157"/>
      <c r="G342" s="152"/>
      <c r="H342" s="323" t="s">
        <v>2706</v>
      </c>
      <c r="I342" s="152"/>
      <c r="J342" s="157"/>
      <c r="K342" s="157">
        <v>5800360911</v>
      </c>
      <c r="L342" s="227">
        <v>4689.1459999999997</v>
      </c>
      <c r="M342" s="157" t="s">
        <v>2727</v>
      </c>
      <c r="N342" s="227">
        <f t="shared" si="26"/>
        <v>137225.97636201052</v>
      </c>
      <c r="O342" s="152">
        <f t="shared" si="27"/>
        <v>1106627.2293620135</v>
      </c>
    </row>
    <row r="343" spans="1:15" x14ac:dyDescent="0.15">
      <c r="A343" s="154"/>
      <c r="B343" s="151"/>
      <c r="C343" s="152"/>
      <c r="D343" s="323"/>
      <c r="E343" s="154"/>
      <c r="F343" s="157"/>
      <c r="G343" s="152"/>
      <c r="H343" s="323" t="s">
        <v>2706</v>
      </c>
      <c r="I343" s="152"/>
      <c r="J343" s="157"/>
      <c r="K343" s="157">
        <v>5800360911</v>
      </c>
      <c r="L343" s="227">
        <v>15880.334999999999</v>
      </c>
      <c r="M343" s="157" t="s">
        <v>2727</v>
      </c>
      <c r="N343" s="227">
        <f t="shared" si="26"/>
        <v>121345.64136201053</v>
      </c>
      <c r="O343" s="152">
        <f t="shared" si="27"/>
        <v>1090746.8943620136</v>
      </c>
    </row>
    <row r="344" spans="1:15" x14ac:dyDescent="0.15">
      <c r="A344" s="154"/>
      <c r="B344" s="151"/>
      <c r="C344" s="152"/>
      <c r="D344" s="323"/>
      <c r="E344" s="154"/>
      <c r="F344" s="157"/>
      <c r="G344" s="152"/>
      <c r="H344" s="323" t="s">
        <v>2706</v>
      </c>
      <c r="I344" s="152"/>
      <c r="J344" s="157"/>
      <c r="K344" s="157">
        <v>5800360911</v>
      </c>
      <c r="L344" s="227">
        <v>19607.065999999999</v>
      </c>
      <c r="M344" s="157" t="s">
        <v>2727</v>
      </c>
      <c r="N344" s="227">
        <f t="shared" si="26"/>
        <v>101738.57536201054</v>
      </c>
      <c r="O344" s="152">
        <f t="shared" si="27"/>
        <v>1071139.8283620134</v>
      </c>
    </row>
    <row r="345" spans="1:15" x14ac:dyDescent="0.15">
      <c r="A345" s="154"/>
      <c r="B345" s="151"/>
      <c r="C345" s="152"/>
      <c r="D345" s="323"/>
      <c r="E345" s="154"/>
      <c r="F345" s="157"/>
      <c r="G345" s="152"/>
      <c r="H345" s="323" t="s">
        <v>2706</v>
      </c>
      <c r="I345" s="152"/>
      <c r="J345" s="157"/>
      <c r="K345" s="157">
        <v>5800360911</v>
      </c>
      <c r="L345" s="227">
        <v>16067.221</v>
      </c>
      <c r="M345" s="157" t="s">
        <v>2727</v>
      </c>
      <c r="N345" s="227">
        <f t="shared" si="26"/>
        <v>85671.354362010534</v>
      </c>
      <c r="O345" s="152">
        <f t="shared" si="27"/>
        <v>1055072.6073620135</v>
      </c>
    </row>
    <row r="346" spans="1:15" x14ac:dyDescent="0.15">
      <c r="A346" s="154"/>
      <c r="B346" s="151"/>
      <c r="C346" s="152"/>
      <c r="D346" s="323"/>
      <c r="E346" s="154"/>
      <c r="F346" s="157"/>
      <c r="G346" s="152"/>
      <c r="H346" s="323" t="s">
        <v>2706</v>
      </c>
      <c r="I346" s="152"/>
      <c r="J346" s="157"/>
      <c r="K346" s="157">
        <v>5800360911</v>
      </c>
      <c r="L346" s="227">
        <v>14920.919</v>
      </c>
      <c r="M346" s="157" t="s">
        <v>2727</v>
      </c>
      <c r="N346" s="227">
        <f t="shared" si="26"/>
        <v>70750.435362010539</v>
      </c>
      <c r="O346" s="152">
        <f t="shared" si="27"/>
        <v>1040151.6883620135</v>
      </c>
    </row>
    <row r="347" spans="1:15" x14ac:dyDescent="0.15">
      <c r="A347" s="154"/>
      <c r="B347" s="151"/>
      <c r="C347" s="152"/>
      <c r="D347" s="323" t="s">
        <v>2708</v>
      </c>
      <c r="E347" s="154" t="s">
        <v>72</v>
      </c>
      <c r="F347" s="157" t="s">
        <v>2731</v>
      </c>
      <c r="G347" s="152">
        <v>87944.929999999891</v>
      </c>
      <c r="H347" s="323" t="s">
        <v>2708</v>
      </c>
      <c r="I347" s="152">
        <v>15759.7</v>
      </c>
      <c r="J347" s="157" t="s">
        <v>2727</v>
      </c>
      <c r="K347" s="157">
        <v>5800360911</v>
      </c>
      <c r="L347" s="227">
        <v>14148.915999999999</v>
      </c>
      <c r="M347" s="157" t="s">
        <v>2727</v>
      </c>
      <c r="N347" s="227">
        <f t="shared" si="26"/>
        <v>40841.819362010545</v>
      </c>
      <c r="O347" s="152">
        <f t="shared" si="27"/>
        <v>1098188.0023620136</v>
      </c>
    </row>
    <row r="348" spans="1:15" x14ac:dyDescent="0.15">
      <c r="A348" s="154"/>
      <c r="B348" s="151"/>
      <c r="C348" s="152"/>
      <c r="D348" s="323" t="s">
        <v>2708</v>
      </c>
      <c r="E348" s="154" t="s">
        <v>72</v>
      </c>
      <c r="F348" s="157" t="s">
        <v>2732</v>
      </c>
      <c r="G348" s="152">
        <v>43967.960000000101</v>
      </c>
      <c r="H348" s="323" t="s">
        <v>2708</v>
      </c>
      <c r="I348" s="152"/>
      <c r="J348" s="157"/>
      <c r="K348" s="157">
        <v>5800360911</v>
      </c>
      <c r="L348" s="227">
        <v>13521.9</v>
      </c>
      <c r="M348" s="157" t="s">
        <v>2727</v>
      </c>
      <c r="N348" s="227">
        <f t="shared" si="26"/>
        <v>27319.919362010543</v>
      </c>
      <c r="O348" s="152">
        <f t="shared" si="27"/>
        <v>1128634.0623620139</v>
      </c>
    </row>
    <row r="349" spans="1:15" x14ac:dyDescent="0.15">
      <c r="A349" s="154"/>
      <c r="B349" s="151"/>
      <c r="C349" s="152"/>
      <c r="D349" s="323"/>
      <c r="E349" s="154"/>
      <c r="F349" s="157"/>
      <c r="G349" s="152"/>
      <c r="H349" s="323" t="s">
        <v>2708</v>
      </c>
      <c r="I349" s="152"/>
      <c r="J349" s="157"/>
      <c r="K349" s="157">
        <v>5800360911</v>
      </c>
      <c r="L349" s="227">
        <v>13142.285</v>
      </c>
      <c r="M349" s="157" t="s">
        <v>2727</v>
      </c>
      <c r="N349" s="227">
        <f t="shared" si="26"/>
        <v>14177.634362010544</v>
      </c>
      <c r="O349" s="152">
        <f t="shared" si="27"/>
        <v>1115491.7773620139</v>
      </c>
    </row>
    <row r="350" spans="1:15" x14ac:dyDescent="0.15">
      <c r="A350" s="154"/>
      <c r="B350" s="151"/>
      <c r="C350" s="152"/>
      <c r="D350" s="323"/>
      <c r="E350" s="154"/>
      <c r="F350" s="157"/>
      <c r="G350" s="152"/>
      <c r="H350" s="323" t="s">
        <v>2708</v>
      </c>
      <c r="I350" s="152"/>
      <c r="J350" s="157"/>
      <c r="K350" s="157">
        <v>5800360911</v>
      </c>
      <c r="L350" s="227">
        <v>12750.651</v>
      </c>
      <c r="M350" s="157" t="s">
        <v>2727</v>
      </c>
      <c r="N350" s="227">
        <f t="shared" si="26"/>
        <v>1426.9833620105437</v>
      </c>
      <c r="O350" s="152">
        <f t="shared" si="27"/>
        <v>1102741.1263620139</v>
      </c>
    </row>
    <row r="351" spans="1:15" x14ac:dyDescent="0.15">
      <c r="A351" s="154"/>
      <c r="B351" s="151"/>
      <c r="C351" s="152"/>
      <c r="D351" s="323"/>
      <c r="E351" s="154"/>
      <c r="F351" s="157"/>
      <c r="G351" s="152"/>
      <c r="H351" s="323" t="s">
        <v>2708</v>
      </c>
      <c r="I351" s="152"/>
      <c r="J351" s="157"/>
      <c r="K351" s="157">
        <v>5800360911</v>
      </c>
      <c r="L351" s="227">
        <v>1426.9833620105437</v>
      </c>
      <c r="M351" s="157" t="s">
        <v>2727</v>
      </c>
      <c r="N351" s="227">
        <f t="shared" si="26"/>
        <v>0</v>
      </c>
      <c r="O351" s="152">
        <f t="shared" si="27"/>
        <v>1101314.1430000034</v>
      </c>
    </row>
    <row r="352" spans="1:15" x14ac:dyDescent="0.15">
      <c r="A352" s="154"/>
      <c r="B352" s="151"/>
      <c r="C352" s="152"/>
      <c r="D352" s="323"/>
      <c r="E352" s="154"/>
      <c r="F352" s="157"/>
      <c r="G352" s="152"/>
      <c r="H352" s="323" t="s">
        <v>2708</v>
      </c>
      <c r="I352" s="152"/>
      <c r="J352" s="157"/>
      <c r="K352" s="157">
        <v>5800361472</v>
      </c>
      <c r="L352" s="227">
        <v>13319.9006379895</v>
      </c>
      <c r="M352" s="157" t="s">
        <v>2728</v>
      </c>
      <c r="N352" s="227">
        <f>G266+G279+N351-I352-L352</f>
        <v>297050.48236201156</v>
      </c>
      <c r="O352" s="152">
        <f t="shared" si="27"/>
        <v>1087994.242362014</v>
      </c>
    </row>
    <row r="353" spans="1:15" x14ac:dyDescent="0.15">
      <c r="A353" s="154"/>
      <c r="B353" s="151"/>
      <c r="C353" s="152"/>
      <c r="D353" s="323"/>
      <c r="E353" s="154"/>
      <c r="F353" s="157"/>
      <c r="G353" s="152"/>
      <c r="H353" s="323" t="s">
        <v>2708</v>
      </c>
      <c r="I353" s="152"/>
      <c r="J353" s="157"/>
      <c r="K353" s="157">
        <v>5800361472</v>
      </c>
      <c r="L353" s="227">
        <v>15414.966</v>
      </c>
      <c r="M353" s="157" t="s">
        <v>2728</v>
      </c>
      <c r="N353" s="227">
        <f t="shared" si="26"/>
        <v>281635.51636201155</v>
      </c>
      <c r="O353" s="152">
        <f t="shared" si="27"/>
        <v>1072579.276362014</v>
      </c>
    </row>
    <row r="354" spans="1:15" x14ac:dyDescent="0.15">
      <c r="A354" s="154"/>
      <c r="B354" s="151"/>
      <c r="C354" s="152"/>
      <c r="D354" s="323"/>
      <c r="E354" s="154"/>
      <c r="F354" s="157"/>
      <c r="G354" s="152"/>
      <c r="H354" s="323" t="s">
        <v>2708</v>
      </c>
      <c r="I354" s="152"/>
      <c r="J354" s="157"/>
      <c r="K354" s="157">
        <v>5800361472</v>
      </c>
      <c r="L354" s="227">
        <v>15364.885</v>
      </c>
      <c r="M354" s="157" t="s">
        <v>2728</v>
      </c>
      <c r="N354" s="227">
        <f t="shared" si="26"/>
        <v>266270.63136201154</v>
      </c>
      <c r="O354" s="152">
        <f t="shared" si="27"/>
        <v>1057214.391362014</v>
      </c>
    </row>
    <row r="355" spans="1:15" x14ac:dyDescent="0.15">
      <c r="A355" s="154"/>
      <c r="B355" s="151"/>
      <c r="C355" s="152"/>
      <c r="D355" s="323"/>
      <c r="E355" s="154"/>
      <c r="F355" s="157"/>
      <c r="G355" s="152"/>
      <c r="H355" s="323" t="s">
        <v>2708</v>
      </c>
      <c r="I355" s="152"/>
      <c r="J355" s="157"/>
      <c r="K355" s="157">
        <v>5800361472</v>
      </c>
      <c r="L355" s="227">
        <v>11504.633</v>
      </c>
      <c r="M355" s="157" t="s">
        <v>2728</v>
      </c>
      <c r="N355" s="227">
        <f t="shared" si="26"/>
        <v>254765.99836201154</v>
      </c>
      <c r="O355" s="152">
        <f t="shared" si="27"/>
        <v>1045709.758362014</v>
      </c>
    </row>
    <row r="356" spans="1:15" x14ac:dyDescent="0.15">
      <c r="A356" s="154"/>
      <c r="B356" s="151"/>
      <c r="C356" s="152"/>
      <c r="D356" s="323"/>
      <c r="E356" s="154"/>
      <c r="F356" s="157"/>
      <c r="G356" s="152"/>
      <c r="H356" s="323" t="s">
        <v>2708</v>
      </c>
      <c r="I356" s="152"/>
      <c r="J356" s="157"/>
      <c r="K356" s="157">
        <v>5800361472</v>
      </c>
      <c r="L356" s="227">
        <v>15275.6</v>
      </c>
      <c r="M356" s="157" t="s">
        <v>2728</v>
      </c>
      <c r="N356" s="227">
        <f t="shared" si="26"/>
        <v>239490.39836201153</v>
      </c>
      <c r="O356" s="152">
        <f t="shared" si="27"/>
        <v>1030434.158362014</v>
      </c>
    </row>
    <row r="357" spans="1:15" x14ac:dyDescent="0.15">
      <c r="A357" s="154"/>
      <c r="B357" s="151"/>
      <c r="C357" s="152"/>
      <c r="D357" s="323"/>
      <c r="E357" s="154"/>
      <c r="F357" s="157"/>
      <c r="G357" s="152"/>
      <c r="H357" s="323" t="s">
        <v>2708</v>
      </c>
      <c r="I357" s="152"/>
      <c r="J357" s="157"/>
      <c r="K357" s="157">
        <v>5800361472</v>
      </c>
      <c r="L357" s="227">
        <v>12291.022999999999</v>
      </c>
      <c r="M357" s="157" t="s">
        <v>2728</v>
      </c>
      <c r="N357" s="227">
        <f t="shared" si="26"/>
        <v>227199.37536201155</v>
      </c>
      <c r="O357" s="152">
        <f t="shared" si="27"/>
        <v>1018143.1353620139</v>
      </c>
    </row>
    <row r="358" spans="1:15" x14ac:dyDescent="0.15">
      <c r="A358" s="154"/>
      <c r="B358" s="151"/>
      <c r="C358" s="152"/>
      <c r="D358" s="323"/>
      <c r="E358" s="154"/>
      <c r="F358" s="157"/>
      <c r="G358" s="152"/>
      <c r="H358" s="323" t="s">
        <v>2708</v>
      </c>
      <c r="I358" s="152"/>
      <c r="J358" s="157"/>
      <c r="K358" s="157">
        <v>5800361472</v>
      </c>
      <c r="L358" s="227">
        <v>3482.1729999999998</v>
      </c>
      <c r="M358" s="157" t="s">
        <v>2728</v>
      </c>
      <c r="N358" s="227">
        <f t="shared" si="26"/>
        <v>223717.20236201154</v>
      </c>
      <c r="O358" s="152">
        <f t="shared" si="27"/>
        <v>1014660.962362014</v>
      </c>
    </row>
    <row r="359" spans="1:15" x14ac:dyDescent="0.15">
      <c r="A359" s="154"/>
      <c r="B359" s="151"/>
      <c r="C359" s="152"/>
      <c r="D359" s="323"/>
      <c r="E359" s="154"/>
      <c r="F359" s="157"/>
      <c r="G359" s="152"/>
      <c r="H359" s="323" t="s">
        <v>2708</v>
      </c>
      <c r="I359" s="152"/>
      <c r="J359" s="157"/>
      <c r="K359" s="157">
        <v>5800361472</v>
      </c>
      <c r="L359" s="227">
        <v>13646.922</v>
      </c>
      <c r="M359" s="157" t="s">
        <v>2728</v>
      </c>
      <c r="N359" s="227">
        <f t="shared" si="26"/>
        <v>210070.28036201154</v>
      </c>
      <c r="O359" s="152">
        <f t="shared" si="27"/>
        <v>1001014.040362014</v>
      </c>
    </row>
    <row r="360" spans="1:15" x14ac:dyDescent="0.15">
      <c r="A360" s="154"/>
      <c r="B360" s="151"/>
      <c r="C360" s="152"/>
      <c r="D360" s="323"/>
      <c r="E360" s="154"/>
      <c r="F360" s="157"/>
      <c r="G360" s="152"/>
      <c r="H360" s="323" t="s">
        <v>2708</v>
      </c>
      <c r="I360" s="152"/>
      <c r="J360" s="157"/>
      <c r="K360" s="157">
        <v>5800361472</v>
      </c>
      <c r="L360" s="227">
        <v>14981.838</v>
      </c>
      <c r="M360" s="157" t="s">
        <v>2728</v>
      </c>
      <c r="N360" s="227">
        <f t="shared" si="26"/>
        <v>195088.44236201156</v>
      </c>
      <c r="O360" s="152">
        <f t="shared" si="27"/>
        <v>986032.20236201398</v>
      </c>
    </row>
    <row r="361" spans="1:15" x14ac:dyDescent="0.15">
      <c r="A361" s="154"/>
      <c r="B361" s="151"/>
      <c r="C361" s="152"/>
      <c r="D361" s="323" t="s">
        <v>2709</v>
      </c>
      <c r="E361" s="154" t="s">
        <v>72</v>
      </c>
      <c r="F361" s="157" t="s">
        <v>2732</v>
      </c>
      <c r="G361" s="152">
        <v>175794.41</v>
      </c>
      <c r="H361" s="323" t="s">
        <v>2709</v>
      </c>
      <c r="I361" s="152">
        <v>9370.2970000000005</v>
      </c>
      <c r="J361" s="157" t="s">
        <v>2728</v>
      </c>
      <c r="K361" s="157">
        <v>5800361472</v>
      </c>
      <c r="L361" s="227">
        <v>35068.656000000003</v>
      </c>
      <c r="M361" s="157" t="s">
        <v>2728</v>
      </c>
      <c r="N361" s="227">
        <f t="shared" si="26"/>
        <v>150649.48936201155</v>
      </c>
      <c r="O361" s="152">
        <f t="shared" si="27"/>
        <v>1117387.6593620139</v>
      </c>
    </row>
    <row r="362" spans="1:15" x14ac:dyDescent="0.15">
      <c r="A362" s="154"/>
      <c r="B362" s="151"/>
      <c r="C362" s="152"/>
      <c r="D362" s="323"/>
      <c r="E362" s="154"/>
      <c r="F362" s="157"/>
      <c r="G362" s="152"/>
      <c r="H362" s="323" t="s">
        <v>2709</v>
      </c>
      <c r="I362" s="152"/>
      <c r="J362" s="157"/>
      <c r="K362" s="157">
        <v>5800361472</v>
      </c>
      <c r="L362" s="227">
        <v>13831.582</v>
      </c>
      <c r="M362" s="157" t="s">
        <v>2728</v>
      </c>
      <c r="N362" s="227">
        <f t="shared" si="26"/>
        <v>136817.90736201155</v>
      </c>
      <c r="O362" s="152">
        <f t="shared" si="27"/>
        <v>1103556.077362014</v>
      </c>
    </row>
    <row r="363" spans="1:15" x14ac:dyDescent="0.15">
      <c r="A363" s="154"/>
      <c r="B363" s="151"/>
      <c r="C363" s="152"/>
      <c r="D363" s="323"/>
      <c r="E363" s="154"/>
      <c r="F363" s="157"/>
      <c r="G363" s="152"/>
      <c r="H363" s="323" t="s">
        <v>2709</v>
      </c>
      <c r="I363" s="152"/>
      <c r="J363" s="157"/>
      <c r="K363" s="157">
        <v>5800361472</v>
      </c>
      <c r="L363" s="227">
        <v>13574.737999999999</v>
      </c>
      <c r="M363" s="157" t="s">
        <v>2728</v>
      </c>
      <c r="N363" s="227">
        <f t="shared" si="26"/>
        <v>123243.16936201155</v>
      </c>
      <c r="O363" s="152">
        <f t="shared" si="27"/>
        <v>1089981.3393620141</v>
      </c>
    </row>
    <row r="364" spans="1:15" x14ac:dyDescent="0.15">
      <c r="A364" s="154"/>
      <c r="B364" s="151"/>
      <c r="C364" s="152"/>
      <c r="D364" s="323"/>
      <c r="E364" s="154"/>
      <c r="F364" s="157"/>
      <c r="G364" s="152"/>
      <c r="H364" s="323" t="s">
        <v>2709</v>
      </c>
      <c r="I364" s="152"/>
      <c r="J364" s="157"/>
      <c r="K364" s="157">
        <v>5800361472</v>
      </c>
      <c r="L364" s="227">
        <v>17238.508000000002</v>
      </c>
      <c r="M364" s="157" t="s">
        <v>2728</v>
      </c>
      <c r="N364" s="227">
        <f t="shared" si="26"/>
        <v>106004.66136201155</v>
      </c>
      <c r="O364" s="152">
        <f t="shared" si="27"/>
        <v>1072742.8313620142</v>
      </c>
    </row>
    <row r="365" spans="1:15" x14ac:dyDescent="0.15">
      <c r="A365" s="154"/>
      <c r="B365" s="151"/>
      <c r="C365" s="152"/>
      <c r="D365" s="323"/>
      <c r="E365" s="154"/>
      <c r="F365" s="157"/>
      <c r="G365" s="152"/>
      <c r="H365" s="323" t="s">
        <v>2709</v>
      </c>
      <c r="I365" s="152"/>
      <c r="J365" s="157"/>
      <c r="K365" s="157">
        <v>5800361472</v>
      </c>
      <c r="L365" s="227">
        <v>13891.545</v>
      </c>
      <c r="M365" s="157" t="s">
        <v>2728</v>
      </c>
      <c r="N365" s="227">
        <f t="shared" si="26"/>
        <v>92113.116362011555</v>
      </c>
      <c r="O365" s="152">
        <f t="shared" si="27"/>
        <v>1058851.2863620142</v>
      </c>
    </row>
    <row r="366" spans="1:15" x14ac:dyDescent="0.15">
      <c r="A366" s="154"/>
      <c r="B366" s="151"/>
      <c r="C366" s="152"/>
      <c r="D366" s="323"/>
      <c r="E366" s="154"/>
      <c r="F366" s="157"/>
      <c r="G366" s="152"/>
      <c r="H366" s="323" t="s">
        <v>2709</v>
      </c>
      <c r="I366" s="152"/>
      <c r="J366" s="157"/>
      <c r="K366" s="157">
        <v>5800361472</v>
      </c>
      <c r="L366" s="227">
        <v>13860.564</v>
      </c>
      <c r="M366" s="157" t="s">
        <v>2728</v>
      </c>
      <c r="N366" s="227">
        <f t="shared" si="26"/>
        <v>78252.552362011556</v>
      </c>
      <c r="O366" s="152">
        <f t="shared" si="27"/>
        <v>1044990.7223620142</v>
      </c>
    </row>
    <row r="367" spans="1:15" x14ac:dyDescent="0.15">
      <c r="A367" s="154"/>
      <c r="B367" s="151"/>
      <c r="C367" s="152"/>
      <c r="D367" s="323"/>
      <c r="E367" s="154"/>
      <c r="F367" s="157"/>
      <c r="G367" s="152"/>
      <c r="H367" s="323" t="s">
        <v>2709</v>
      </c>
      <c r="I367" s="152"/>
      <c r="J367" s="157"/>
      <c r="K367" s="157">
        <v>5800361472</v>
      </c>
      <c r="L367" s="227">
        <v>15910.316000000001</v>
      </c>
      <c r="M367" s="157" t="s">
        <v>2728</v>
      </c>
      <c r="N367" s="227">
        <f t="shared" si="26"/>
        <v>62342.236362011558</v>
      </c>
      <c r="O367" s="152">
        <f t="shared" si="27"/>
        <v>1029080.4063620142</v>
      </c>
    </row>
    <row r="368" spans="1:15" x14ac:dyDescent="0.15">
      <c r="A368" s="154"/>
      <c r="B368" s="151"/>
      <c r="C368" s="152"/>
      <c r="D368" s="323"/>
      <c r="E368" s="154"/>
      <c r="F368" s="157"/>
      <c r="G368" s="152"/>
      <c r="H368" s="323" t="s">
        <v>2709</v>
      </c>
      <c r="I368" s="152"/>
      <c r="J368" s="157"/>
      <c r="K368" s="157">
        <v>5800361472</v>
      </c>
      <c r="L368" s="227">
        <v>9193.4050000000007</v>
      </c>
      <c r="M368" s="157" t="s">
        <v>2728</v>
      </c>
      <c r="N368" s="227">
        <f t="shared" si="26"/>
        <v>53148.831362011559</v>
      </c>
      <c r="O368" s="152">
        <f t="shared" si="27"/>
        <v>1019887.0013620142</v>
      </c>
    </row>
    <row r="369" spans="1:15" x14ac:dyDescent="0.15">
      <c r="A369" s="154"/>
      <c r="B369" s="151"/>
      <c r="C369" s="152"/>
      <c r="D369" s="323"/>
      <c r="E369" s="154"/>
      <c r="F369" s="157"/>
      <c r="G369" s="152"/>
      <c r="H369" s="323" t="s">
        <v>2709</v>
      </c>
      <c r="I369" s="152"/>
      <c r="J369" s="157"/>
      <c r="K369" s="157">
        <v>5800361472</v>
      </c>
      <c r="L369" s="227">
        <v>12194.578</v>
      </c>
      <c r="M369" s="157" t="s">
        <v>2728</v>
      </c>
      <c r="N369" s="227">
        <f t="shared" si="26"/>
        <v>40954.253362011557</v>
      </c>
      <c r="O369" s="152">
        <f t="shared" si="27"/>
        <v>1007692.4233620142</v>
      </c>
    </row>
    <row r="370" spans="1:15" x14ac:dyDescent="0.15">
      <c r="A370" s="154"/>
      <c r="B370" s="151"/>
      <c r="C370" s="152"/>
      <c r="D370" s="323"/>
      <c r="E370" s="154"/>
      <c r="F370" s="157"/>
      <c r="G370" s="152"/>
      <c r="H370" s="323" t="s">
        <v>2709</v>
      </c>
      <c r="I370" s="152"/>
      <c r="J370" s="157"/>
      <c r="K370" s="157">
        <v>5800361472</v>
      </c>
      <c r="L370" s="227">
        <v>14561.138000000001</v>
      </c>
      <c r="M370" s="157" t="s">
        <v>2728</v>
      </c>
      <c r="N370" s="227">
        <f t="shared" si="26"/>
        <v>26393.115362011558</v>
      </c>
      <c r="O370" s="152">
        <f t="shared" si="27"/>
        <v>993131.2853620142</v>
      </c>
    </row>
    <row r="371" spans="1:15" x14ac:dyDescent="0.15">
      <c r="A371" s="154"/>
      <c r="B371" s="151"/>
      <c r="C371" s="152"/>
      <c r="D371" s="323"/>
      <c r="E371" s="154"/>
      <c r="F371" s="157"/>
      <c r="G371" s="152"/>
      <c r="H371" s="323" t="s">
        <v>2709</v>
      </c>
      <c r="I371" s="152"/>
      <c r="J371" s="157"/>
      <c r="K371" s="157">
        <v>5800361472</v>
      </c>
      <c r="L371" s="227">
        <v>4687.1469999999999</v>
      </c>
      <c r="M371" s="157" t="s">
        <v>2728</v>
      </c>
      <c r="N371" s="227">
        <f t="shared" si="26"/>
        <v>21705.968362011557</v>
      </c>
      <c r="O371" s="152">
        <f t="shared" si="27"/>
        <v>988444.1383620142</v>
      </c>
    </row>
    <row r="372" spans="1:15" x14ac:dyDescent="0.15">
      <c r="A372" s="154"/>
      <c r="B372" s="151"/>
      <c r="C372" s="152"/>
      <c r="D372" s="323"/>
      <c r="E372" s="154"/>
      <c r="F372" s="157"/>
      <c r="G372" s="152"/>
      <c r="H372" s="323" t="s">
        <v>2709</v>
      </c>
      <c r="I372" s="152"/>
      <c r="J372" s="157"/>
      <c r="K372" s="157">
        <v>5800361472</v>
      </c>
      <c r="L372" s="227">
        <v>15747.415999999999</v>
      </c>
      <c r="M372" s="157" t="s">
        <v>2728</v>
      </c>
      <c r="N372" s="227">
        <f t="shared" si="26"/>
        <v>5958.5523620115582</v>
      </c>
      <c r="O372" s="152">
        <f t="shared" si="27"/>
        <v>972696.72236201423</v>
      </c>
    </row>
    <row r="373" spans="1:15" hidden="1" x14ac:dyDescent="0.15">
      <c r="A373" s="154"/>
      <c r="B373" s="151"/>
      <c r="C373" s="152"/>
      <c r="D373" s="323"/>
      <c r="E373" s="154"/>
      <c r="F373" s="157"/>
      <c r="G373" s="152"/>
      <c r="H373" s="323"/>
      <c r="I373" s="152"/>
      <c r="J373" s="157"/>
      <c r="K373" s="157"/>
      <c r="L373" s="227"/>
      <c r="M373" s="157"/>
      <c r="N373" s="227">
        <f t="shared" si="26"/>
        <v>5958.5523620115582</v>
      </c>
      <c r="O373" s="152">
        <f t="shared" si="27"/>
        <v>972696.72236201423</v>
      </c>
    </row>
    <row r="374" spans="1:15" hidden="1" x14ac:dyDescent="0.15">
      <c r="A374" s="154"/>
      <c r="B374" s="151"/>
      <c r="C374" s="152"/>
      <c r="D374" s="323"/>
      <c r="E374" s="154"/>
      <c r="F374" s="157"/>
      <c r="G374" s="152"/>
      <c r="H374" s="323"/>
      <c r="I374" s="152"/>
      <c r="J374" s="157"/>
      <c r="K374" s="157"/>
      <c r="L374" s="227"/>
      <c r="M374" s="157"/>
      <c r="N374" s="227">
        <f t="shared" si="26"/>
        <v>5958.5523620115582</v>
      </c>
      <c r="O374" s="152">
        <f t="shared" si="27"/>
        <v>972696.72236201423</v>
      </c>
    </row>
    <row r="375" spans="1:15" hidden="1" x14ac:dyDescent="0.15">
      <c r="A375" s="154"/>
      <c r="B375" s="151"/>
      <c r="C375" s="152"/>
      <c r="D375" s="323"/>
      <c r="E375" s="154"/>
      <c r="F375" s="157"/>
      <c r="G375" s="152"/>
      <c r="H375" s="323"/>
      <c r="I375" s="152"/>
      <c r="J375" s="157"/>
      <c r="K375" s="157"/>
      <c r="L375" s="227"/>
      <c r="M375" s="157"/>
      <c r="N375" s="227">
        <f t="shared" si="26"/>
        <v>5958.5523620115582</v>
      </c>
      <c r="O375" s="152">
        <f t="shared" si="27"/>
        <v>972696.72236201423</v>
      </c>
    </row>
    <row r="376" spans="1:15" hidden="1" x14ac:dyDescent="0.15">
      <c r="A376" s="154"/>
      <c r="B376" s="151"/>
      <c r="C376" s="152"/>
      <c r="D376" s="323"/>
      <c r="E376" s="154"/>
      <c r="F376" s="157"/>
      <c r="G376" s="152"/>
      <c r="H376" s="323"/>
      <c r="I376" s="152"/>
      <c r="J376" s="157"/>
      <c r="K376" s="157"/>
      <c r="L376" s="227"/>
      <c r="M376" s="157"/>
      <c r="N376" s="227">
        <f t="shared" si="26"/>
        <v>5958.5523620115582</v>
      </c>
      <c r="O376" s="152">
        <f t="shared" si="27"/>
        <v>972696.72236201423</v>
      </c>
    </row>
    <row r="377" spans="1:15" hidden="1" x14ac:dyDescent="0.15">
      <c r="A377" s="154"/>
      <c r="B377" s="151"/>
      <c r="C377" s="152"/>
      <c r="D377" s="323"/>
      <c r="E377" s="154"/>
      <c r="F377" s="157"/>
      <c r="G377" s="152"/>
      <c r="H377" s="323"/>
      <c r="I377" s="152"/>
      <c r="J377" s="157"/>
      <c r="K377" s="157"/>
      <c r="L377" s="227"/>
      <c r="M377" s="157"/>
      <c r="N377" s="227">
        <f t="shared" si="26"/>
        <v>5958.5523620115582</v>
      </c>
      <c r="O377" s="152">
        <f t="shared" si="27"/>
        <v>972696.72236201423</v>
      </c>
    </row>
    <row r="378" spans="1:15" hidden="1" x14ac:dyDescent="0.15">
      <c r="A378" s="154"/>
      <c r="B378" s="151"/>
      <c r="C378" s="152"/>
      <c r="D378" s="323"/>
      <c r="E378" s="154"/>
      <c r="F378" s="157"/>
      <c r="G378" s="152"/>
      <c r="H378" s="323"/>
      <c r="I378" s="152"/>
      <c r="J378" s="157"/>
      <c r="K378" s="154"/>
      <c r="L378" s="227"/>
      <c r="M378" s="157"/>
      <c r="N378" s="227">
        <f t="shared" si="26"/>
        <v>5958.5523620115582</v>
      </c>
      <c r="O378" s="152">
        <f t="shared" si="27"/>
        <v>972696.72236201423</v>
      </c>
    </row>
    <row r="379" spans="1:15" hidden="1" x14ac:dyDescent="0.15">
      <c r="A379" s="154"/>
      <c r="B379" s="151"/>
      <c r="C379" s="152"/>
      <c r="D379" s="323"/>
      <c r="E379" s="154"/>
      <c r="F379" s="157"/>
      <c r="G379" s="152"/>
      <c r="H379" s="323"/>
      <c r="I379" s="152"/>
      <c r="J379" s="154"/>
      <c r="K379" s="154"/>
      <c r="L379" s="227"/>
      <c r="M379" s="157"/>
      <c r="N379" s="227">
        <f t="shared" si="26"/>
        <v>5958.5523620115582</v>
      </c>
      <c r="O379" s="152">
        <f t="shared" si="27"/>
        <v>972696.72236201423</v>
      </c>
    </row>
    <row r="380" spans="1:15" hidden="1" x14ac:dyDescent="0.15">
      <c r="A380" s="154"/>
      <c r="B380" s="151"/>
      <c r="C380" s="151"/>
      <c r="D380" s="323"/>
      <c r="E380" s="154"/>
      <c r="F380" s="157"/>
      <c r="G380" s="152"/>
      <c r="H380" s="323"/>
      <c r="I380" s="152"/>
      <c r="J380" s="154"/>
      <c r="K380" s="154"/>
      <c r="L380" s="227"/>
      <c r="M380" s="157"/>
      <c r="N380" s="227">
        <f t="shared" si="26"/>
        <v>5958.5523620115582</v>
      </c>
      <c r="O380" s="152">
        <f t="shared" si="27"/>
        <v>972696.72236201423</v>
      </c>
    </row>
    <row r="381" spans="1:15" hidden="1" x14ac:dyDescent="0.15">
      <c r="A381" s="154"/>
      <c r="B381" s="151"/>
      <c r="C381" s="151"/>
      <c r="D381" s="323"/>
      <c r="E381" s="155"/>
      <c r="F381" s="157"/>
      <c r="G381" s="152"/>
      <c r="H381" s="323"/>
      <c r="I381" s="152"/>
      <c r="J381" s="154"/>
      <c r="K381" s="154"/>
      <c r="L381" s="227"/>
      <c r="M381" s="157"/>
      <c r="N381" s="227">
        <f t="shared" si="26"/>
        <v>5958.5523620115582</v>
      </c>
      <c r="O381" s="152">
        <f t="shared" si="27"/>
        <v>972696.72236201423</v>
      </c>
    </row>
    <row r="382" spans="1:15" hidden="1" x14ac:dyDescent="0.15">
      <c r="A382" s="154"/>
      <c r="B382" s="151"/>
      <c r="C382" s="151"/>
      <c r="D382" s="323"/>
      <c r="E382" s="154"/>
      <c r="F382" s="160"/>
      <c r="G382" s="152"/>
      <c r="H382" s="323"/>
      <c r="I382" s="152"/>
      <c r="J382" s="157"/>
      <c r="K382" s="154"/>
      <c r="L382" s="227"/>
      <c r="M382" s="157"/>
      <c r="N382" s="227">
        <f t="shared" si="26"/>
        <v>5958.5523620115582</v>
      </c>
      <c r="O382" s="152">
        <f t="shared" si="27"/>
        <v>972696.72236201423</v>
      </c>
    </row>
    <row r="383" spans="1:15" hidden="1" x14ac:dyDescent="0.15">
      <c r="A383" s="154"/>
      <c r="B383" s="151"/>
      <c r="C383" s="151"/>
      <c r="D383" s="323"/>
      <c r="E383" s="154"/>
      <c r="F383" s="160"/>
      <c r="G383" s="152"/>
      <c r="H383" s="323"/>
      <c r="I383" s="152"/>
      <c r="J383" s="150"/>
      <c r="K383" s="154"/>
      <c r="L383" s="227"/>
      <c r="M383" s="157"/>
      <c r="N383" s="227">
        <f t="shared" si="26"/>
        <v>5958.5523620115582</v>
      </c>
      <c r="O383" s="152">
        <f t="shared" si="27"/>
        <v>972696.72236201423</v>
      </c>
    </row>
    <row r="384" spans="1:15" x14ac:dyDescent="0.15">
      <c r="A384" s="173"/>
      <c r="B384" s="173"/>
      <c r="C384" s="174"/>
      <c r="D384" s="323"/>
      <c r="E384" s="173"/>
      <c r="F384" s="173"/>
      <c r="G384" s="174"/>
      <c r="H384" s="323"/>
      <c r="I384" s="174"/>
      <c r="J384" s="173"/>
      <c r="K384" s="154"/>
      <c r="L384" s="228"/>
      <c r="M384" s="173"/>
      <c r="N384" s="227">
        <f t="shared" ref="N384" si="28">+N383-I384-L384</f>
        <v>5958.5523620115582</v>
      </c>
      <c r="O384" s="152">
        <f t="shared" ref="O384" si="29">O383+G384-I384-L384</f>
        <v>972696.72236201423</v>
      </c>
    </row>
    <row r="385" spans="1:15" x14ac:dyDescent="0.15">
      <c r="A385" s="177"/>
      <c r="B385" s="177"/>
      <c r="C385" s="178">
        <f>SUM(C7:C383)</f>
        <v>1552759.9663620116</v>
      </c>
      <c r="D385" s="177"/>
      <c r="E385" s="177"/>
      <c r="F385" s="177"/>
      <c r="G385" s="178">
        <f>SUM(G7:G384)</f>
        <v>4570642.22</v>
      </c>
      <c r="H385" s="179"/>
      <c r="I385" s="178">
        <f>SUM(I7:I384)</f>
        <v>351631.04100000003</v>
      </c>
      <c r="J385" s="177"/>
      <c r="K385" s="177"/>
      <c r="L385" s="178">
        <f>SUM(L7:L384)</f>
        <v>4799074.4230000041</v>
      </c>
      <c r="M385" s="177"/>
      <c r="N385" s="180"/>
      <c r="O385" s="181">
        <f>C385+G385-I385-L385</f>
        <v>972696.72236200701</v>
      </c>
    </row>
    <row r="386" spans="1:15" x14ac:dyDescent="0.15">
      <c r="A386" s="182"/>
      <c r="B386" s="465"/>
      <c r="C386" s="465"/>
      <c r="D386" s="465"/>
      <c r="E386" s="183"/>
      <c r="F386" s="284"/>
      <c r="G386" s="185">
        <f>+G385-'[1]รับ 0715'!$D$161</f>
        <v>0</v>
      </c>
      <c r="H386" s="186"/>
      <c r="I386" s="187"/>
      <c r="J386" s="188"/>
      <c r="K386" s="189" t="s">
        <v>139</v>
      </c>
      <c r="L386" s="190">
        <f>+L385+I385</f>
        <v>5150705.4640000043</v>
      </c>
      <c r="M386" s="197"/>
      <c r="N386" s="230">
        <f>+N384</f>
        <v>5958.5523620115582</v>
      </c>
      <c r="O386" s="195" t="s">
        <v>2728</v>
      </c>
    </row>
    <row r="387" spans="1:15" x14ac:dyDescent="0.15">
      <c r="A387" s="188" t="s">
        <v>2651</v>
      </c>
      <c r="B387" s="131" t="s">
        <v>2733</v>
      </c>
      <c r="E387" s="183" t="s">
        <v>55</v>
      </c>
      <c r="F387" s="410">
        <v>50263284.950000003</v>
      </c>
      <c r="G387" s="219" t="s">
        <v>56</v>
      </c>
      <c r="H387" s="186">
        <v>42185</v>
      </c>
      <c r="I387" s="187" t="s">
        <v>71</v>
      </c>
      <c r="J387" s="210">
        <v>94387.006362011496</v>
      </c>
      <c r="N387" s="230">
        <f>+G280+G295+G310+G321</f>
        <v>324398.86999999912</v>
      </c>
      <c r="O387" s="334" t="s">
        <v>2729</v>
      </c>
    </row>
    <row r="388" spans="1:15" x14ac:dyDescent="0.15">
      <c r="A388" s="188" t="s">
        <v>2655</v>
      </c>
      <c r="B388" s="131" t="s">
        <v>2734</v>
      </c>
      <c r="E388" s="183" t="s">
        <v>55</v>
      </c>
      <c r="F388" s="413">
        <v>42250811.729999997</v>
      </c>
      <c r="G388" s="219" t="s">
        <v>56</v>
      </c>
      <c r="H388" s="186">
        <v>42192</v>
      </c>
      <c r="I388" s="187" t="s">
        <v>71</v>
      </c>
      <c r="J388" s="210">
        <v>210901.19063798944</v>
      </c>
      <c r="N388" s="230">
        <f>+G322+G334</f>
        <v>246754.6660000009</v>
      </c>
      <c r="O388" s="334" t="s">
        <v>2730</v>
      </c>
    </row>
    <row r="389" spans="1:15" x14ac:dyDescent="0.15">
      <c r="A389" s="188" t="s">
        <v>2720</v>
      </c>
      <c r="B389" s="131" t="s">
        <v>2735</v>
      </c>
      <c r="E389" s="183" t="s">
        <v>55</v>
      </c>
      <c r="F389" s="413">
        <v>65771051.789999999</v>
      </c>
      <c r="G389" s="219" t="s">
        <v>56</v>
      </c>
      <c r="H389" s="186">
        <v>42192</v>
      </c>
      <c r="I389" s="187" t="s">
        <v>71</v>
      </c>
      <c r="J389" s="210">
        <v>160949.5443620116</v>
      </c>
      <c r="K389" s="297"/>
      <c r="N389" s="230">
        <f>+G335+G347</f>
        <v>175822.264</v>
      </c>
      <c r="O389" s="195" t="s">
        <v>2731</v>
      </c>
    </row>
    <row r="390" spans="1:15" x14ac:dyDescent="0.15">
      <c r="A390" s="188" t="s">
        <v>2724</v>
      </c>
      <c r="B390" s="131" t="s">
        <v>2736</v>
      </c>
      <c r="E390" s="183" t="s">
        <v>55</v>
      </c>
      <c r="F390" s="413">
        <v>41666959.030000001</v>
      </c>
      <c r="G390" s="219" t="s">
        <v>56</v>
      </c>
      <c r="H390" s="186">
        <v>42202</v>
      </c>
      <c r="I390" s="187" t="s">
        <v>71</v>
      </c>
      <c r="J390" s="210">
        <v>690814.3899999992</v>
      </c>
      <c r="K390" s="333"/>
      <c r="N390" s="230">
        <f>+G348+G361</f>
        <v>219762.37000000011</v>
      </c>
      <c r="O390" s="195" t="s">
        <v>2732</v>
      </c>
    </row>
    <row r="391" spans="1:15" x14ac:dyDescent="0.15">
      <c r="A391" s="188" t="s">
        <v>2726</v>
      </c>
      <c r="B391" s="131" t="s">
        <v>2737</v>
      </c>
      <c r="E391" s="183" t="s">
        <v>55</v>
      </c>
      <c r="F391" s="413">
        <v>68054386.930000007</v>
      </c>
      <c r="G391" s="219" t="s">
        <v>56</v>
      </c>
      <c r="H391" s="186">
        <v>42209</v>
      </c>
      <c r="I391" s="187" t="s">
        <v>71</v>
      </c>
      <c r="J391" s="210">
        <v>372421.20199999999</v>
      </c>
      <c r="N391" s="230"/>
      <c r="O391" s="195"/>
    </row>
    <row r="392" spans="1:15" x14ac:dyDescent="0.15">
      <c r="A392" s="188" t="s">
        <v>2727</v>
      </c>
      <c r="B392" s="131" t="s">
        <v>2738</v>
      </c>
      <c r="E392" s="183" t="s">
        <v>55</v>
      </c>
      <c r="F392" s="413">
        <v>28104790.079999998</v>
      </c>
      <c r="G392" s="219" t="s">
        <v>56</v>
      </c>
      <c r="H392" s="186">
        <v>42213</v>
      </c>
      <c r="I392" s="187" t="s">
        <v>71</v>
      </c>
      <c r="J392" s="210">
        <v>280947.04899999895</v>
      </c>
      <c r="N392" s="230"/>
      <c r="O392" s="195"/>
    </row>
    <row r="393" spans="1:15" ht="12" thickBot="1" x14ac:dyDescent="0.2">
      <c r="A393" s="133"/>
      <c r="B393" s="411"/>
      <c r="C393" s="411"/>
      <c r="D393" s="411"/>
      <c r="E393" s="183"/>
      <c r="F393" s="412"/>
      <c r="G393" s="219"/>
      <c r="H393" s="186"/>
      <c r="I393" s="217" t="s">
        <v>856</v>
      </c>
      <c r="J393" s="211">
        <f>SUM(J387:J392)</f>
        <v>1810420.3823620107</v>
      </c>
      <c r="K393" s="333"/>
      <c r="N393" s="206" t="s">
        <v>33</v>
      </c>
      <c r="O393" s="207">
        <f>SUM(N386:N392)</f>
        <v>972696.72236201167</v>
      </c>
    </row>
    <row r="394" spans="1:15" ht="12" thickTop="1" x14ac:dyDescent="0.15">
      <c r="A394" s="193" t="s">
        <v>2652</v>
      </c>
      <c r="B394" s="131" t="s">
        <v>2739</v>
      </c>
      <c r="E394" s="183" t="s">
        <v>55</v>
      </c>
      <c r="F394" s="413">
        <v>95622641.719999999</v>
      </c>
      <c r="G394" s="219" t="s">
        <v>56</v>
      </c>
      <c r="H394" s="186">
        <v>42184</v>
      </c>
      <c r="I394" s="187" t="s">
        <v>71</v>
      </c>
      <c r="J394" s="210">
        <v>458259.69699999911</v>
      </c>
      <c r="O394" s="190">
        <f>+O385-O393</f>
        <v>-4.6566128730773926E-9</v>
      </c>
    </row>
    <row r="395" spans="1:15" s="132" customFormat="1" x14ac:dyDescent="0.15">
      <c r="A395" s="193" t="s">
        <v>2653</v>
      </c>
      <c r="B395" s="131" t="s">
        <v>2740</v>
      </c>
      <c r="D395" s="133"/>
      <c r="E395" s="183" t="s">
        <v>55</v>
      </c>
      <c r="F395" s="413">
        <v>40489632.780000001</v>
      </c>
      <c r="G395" s="219" t="s">
        <v>56</v>
      </c>
      <c r="H395" s="186">
        <v>42185</v>
      </c>
      <c r="I395" s="187" t="s">
        <v>71</v>
      </c>
      <c r="J395" s="210">
        <v>681717.78600000078</v>
      </c>
      <c r="K395" s="193"/>
      <c r="M395" s="134"/>
    </row>
    <row r="396" spans="1:15" s="132" customFormat="1" x14ac:dyDescent="0.15">
      <c r="A396" s="193" t="s">
        <v>2654</v>
      </c>
      <c r="B396" s="131" t="s">
        <v>2741</v>
      </c>
      <c r="D396" s="133"/>
      <c r="E396" s="183" t="s">
        <v>55</v>
      </c>
      <c r="F396" s="413">
        <v>154279772.58000001</v>
      </c>
      <c r="G396" s="219" t="s">
        <v>56</v>
      </c>
      <c r="H396" s="186">
        <v>42188</v>
      </c>
      <c r="I396" s="187" t="s">
        <v>71</v>
      </c>
      <c r="J396" s="210">
        <v>160891.06499999904</v>
      </c>
      <c r="K396" s="193"/>
      <c r="M396" s="134"/>
    </row>
    <row r="397" spans="1:15" s="132" customFormat="1" x14ac:dyDescent="0.15">
      <c r="A397" s="193" t="s">
        <v>2721</v>
      </c>
      <c r="B397" s="131" t="s">
        <v>2742</v>
      </c>
      <c r="D397" s="133"/>
      <c r="E397" s="183" t="s">
        <v>55</v>
      </c>
      <c r="F397" s="413">
        <v>112724302.43000001</v>
      </c>
      <c r="G397" s="219" t="s">
        <v>56</v>
      </c>
      <c r="H397" s="186">
        <v>42194</v>
      </c>
      <c r="I397" s="187" t="s">
        <v>71</v>
      </c>
      <c r="J397" s="210">
        <v>375196.75499999995</v>
      </c>
      <c r="K397" s="133"/>
      <c r="M397" s="134"/>
    </row>
    <row r="398" spans="1:15" s="132" customFormat="1" x14ac:dyDescent="0.15">
      <c r="A398" s="193" t="s">
        <v>2722</v>
      </c>
      <c r="B398" s="131" t="s">
        <v>2743</v>
      </c>
      <c r="D398" s="133"/>
      <c r="E398" s="183" t="s">
        <v>55</v>
      </c>
      <c r="F398" s="413">
        <v>72678810.689999998</v>
      </c>
      <c r="G398" s="219" t="s">
        <v>56</v>
      </c>
      <c r="H398" s="186">
        <v>42195</v>
      </c>
      <c r="I398" s="187" t="s">
        <v>71</v>
      </c>
      <c r="J398" s="210">
        <v>368050.23299999989</v>
      </c>
      <c r="K398" s="193"/>
      <c r="M398" s="134"/>
    </row>
    <row r="399" spans="1:15" s="132" customFormat="1" x14ac:dyDescent="0.15">
      <c r="A399" s="193" t="s">
        <v>2723</v>
      </c>
      <c r="B399" s="131" t="s">
        <v>2744</v>
      </c>
      <c r="D399" s="133"/>
      <c r="E399" s="183" t="s">
        <v>55</v>
      </c>
      <c r="F399" s="413">
        <v>105988873.84999999</v>
      </c>
      <c r="G399" s="219" t="s">
        <v>56</v>
      </c>
      <c r="H399" s="186">
        <v>42198</v>
      </c>
      <c r="I399" s="187" t="s">
        <v>71</v>
      </c>
      <c r="J399" s="210">
        <v>566432.71499999985</v>
      </c>
      <c r="K399" s="193"/>
      <c r="M399" s="134"/>
    </row>
    <row r="400" spans="1:15" s="132" customFormat="1" x14ac:dyDescent="0.15">
      <c r="A400" s="193" t="s">
        <v>2725</v>
      </c>
      <c r="B400" s="131" t="s">
        <v>2745</v>
      </c>
      <c r="D400" s="133"/>
      <c r="E400" s="183" t="s">
        <v>55</v>
      </c>
      <c r="F400" s="413">
        <v>51476013.57</v>
      </c>
      <c r="G400" s="219" t="s">
        <v>56</v>
      </c>
      <c r="H400" s="186">
        <v>42201</v>
      </c>
      <c r="I400" s="187" t="s">
        <v>71</v>
      </c>
      <c r="J400" s="210">
        <v>83064.256000001085</v>
      </c>
      <c r="K400" s="193"/>
      <c r="M400" s="134"/>
    </row>
    <row r="401" spans="1:15" s="132" customFormat="1" x14ac:dyDescent="0.15">
      <c r="A401" s="193" t="s">
        <v>2728</v>
      </c>
      <c r="B401" s="131" t="s">
        <v>2746</v>
      </c>
      <c r="D401" s="133"/>
      <c r="E401" s="183" t="s">
        <v>55</v>
      </c>
      <c r="F401" s="413">
        <v>78347344.930000007</v>
      </c>
      <c r="G401" s="219" t="s">
        <v>56</v>
      </c>
      <c r="H401" s="186">
        <v>42213</v>
      </c>
      <c r="I401" s="187" t="s">
        <v>71</v>
      </c>
      <c r="J401" s="210">
        <v>295041.53363798955</v>
      </c>
      <c r="K401" s="193"/>
      <c r="M401" s="134"/>
    </row>
    <row r="402" spans="1:15" s="132" customFormat="1" ht="12" thickBot="1" x14ac:dyDescent="0.2">
      <c r="A402" s="133"/>
      <c r="B402" s="411"/>
      <c r="C402" s="411"/>
      <c r="D402" s="411"/>
      <c r="E402" s="183"/>
      <c r="F402" s="412"/>
      <c r="G402" s="219"/>
      <c r="H402" s="186"/>
      <c r="I402" s="217" t="s">
        <v>106</v>
      </c>
      <c r="J402" s="211">
        <f>SUM(J394:J401)</f>
        <v>2988654.0406379895</v>
      </c>
      <c r="K402" s="133"/>
      <c r="M402" s="134"/>
    </row>
    <row r="403" spans="1:15" s="132" customFormat="1" ht="12" thickTop="1" x14ac:dyDescent="0.15">
      <c r="A403" s="133"/>
      <c r="B403" s="133" t="s">
        <v>9</v>
      </c>
      <c r="C403" s="220" t="s">
        <v>2311</v>
      </c>
      <c r="D403" s="133" t="s">
        <v>570</v>
      </c>
      <c r="E403" s="133" t="s">
        <v>571</v>
      </c>
      <c r="F403" s="133" t="s">
        <v>16</v>
      </c>
      <c r="G403" s="134"/>
      <c r="H403" s="134"/>
      <c r="I403" s="187"/>
      <c r="J403" s="210"/>
      <c r="K403" s="193"/>
      <c r="M403" s="134"/>
    </row>
    <row r="404" spans="1:15" s="132" customFormat="1" x14ac:dyDescent="0.15">
      <c r="A404" s="188" t="s">
        <v>2651</v>
      </c>
      <c r="B404" s="210">
        <v>94387</v>
      </c>
      <c r="C404" s="221">
        <v>0.2</v>
      </c>
      <c r="D404" s="235">
        <f>+B404*C404</f>
        <v>18877.400000000001</v>
      </c>
      <c r="E404" s="235">
        <f t="shared" ref="E404" si="30">+D404*0.1</f>
        <v>1887.7400000000002</v>
      </c>
      <c r="F404" s="236">
        <f t="shared" ref="F404" si="31">SUM(D404:E404)</f>
        <v>20765.140000000003</v>
      </c>
      <c r="G404" s="134"/>
      <c r="H404" s="134"/>
      <c r="J404" s="205"/>
      <c r="K404" s="193"/>
      <c r="M404" s="134"/>
    </row>
    <row r="405" spans="1:15" s="132" customFormat="1" x14ac:dyDescent="0.15">
      <c r="A405" s="188" t="s">
        <v>2655</v>
      </c>
      <c r="B405" s="210">
        <v>210901</v>
      </c>
      <c r="C405" s="221">
        <v>0.2</v>
      </c>
      <c r="D405" s="235">
        <f t="shared" ref="D405:D407" si="32">+B405*C405</f>
        <v>42180.200000000004</v>
      </c>
      <c r="E405" s="235">
        <f t="shared" ref="E405:E407" si="33">+D405*0.1</f>
        <v>4218.0200000000004</v>
      </c>
      <c r="F405" s="236">
        <f t="shared" ref="F405:F407" si="34">SUM(D405:E405)</f>
        <v>46398.22</v>
      </c>
      <c r="G405" s="186"/>
      <c r="H405" s="133"/>
      <c r="J405" s="205"/>
      <c r="K405" s="193"/>
      <c r="M405" s="134"/>
    </row>
    <row r="406" spans="1:15" s="133" customFormat="1" x14ac:dyDescent="0.15">
      <c r="A406" s="188" t="s">
        <v>2720</v>
      </c>
      <c r="B406" s="210">
        <v>160950</v>
      </c>
      <c r="C406" s="221">
        <v>0.2</v>
      </c>
      <c r="D406" s="235">
        <f t="shared" si="32"/>
        <v>32190</v>
      </c>
      <c r="E406" s="235">
        <f t="shared" si="33"/>
        <v>3219</v>
      </c>
      <c r="F406" s="236">
        <f t="shared" si="34"/>
        <v>35409</v>
      </c>
      <c r="I406" s="132"/>
      <c r="J406" s="205"/>
      <c r="K406" s="193"/>
      <c r="L406" s="132"/>
      <c r="M406" s="134"/>
      <c r="N406" s="132"/>
      <c r="O406" s="132"/>
    </row>
    <row r="407" spans="1:15" s="132" customFormat="1" x14ac:dyDescent="0.15">
      <c r="A407" s="188" t="s">
        <v>2724</v>
      </c>
      <c r="B407" s="210">
        <v>690814</v>
      </c>
      <c r="C407" s="221">
        <v>0.2</v>
      </c>
      <c r="D407" s="235">
        <f t="shared" si="32"/>
        <v>138162.80000000002</v>
      </c>
      <c r="E407" s="235">
        <f t="shared" si="33"/>
        <v>13816.280000000002</v>
      </c>
      <c r="F407" s="236">
        <f t="shared" si="34"/>
        <v>151979.08000000002</v>
      </c>
      <c r="G407" s="134"/>
      <c r="H407" s="134"/>
      <c r="J407" s="205"/>
      <c r="K407" s="133"/>
      <c r="M407" s="134"/>
    </row>
    <row r="408" spans="1:15" s="132" customFormat="1" x14ac:dyDescent="0.15">
      <c r="A408" s="188" t="s">
        <v>2726</v>
      </c>
      <c r="B408" s="210">
        <v>372421</v>
      </c>
      <c r="C408" s="221">
        <v>0.2</v>
      </c>
      <c r="D408" s="235">
        <f>+B408*C408</f>
        <v>74484.2</v>
      </c>
      <c r="E408" s="235">
        <f t="shared" ref="E408" si="35">+D408*0.1</f>
        <v>7448.42</v>
      </c>
      <c r="F408" s="236">
        <f t="shared" ref="F408" si="36">SUM(D408:E408)</f>
        <v>81932.62</v>
      </c>
      <c r="G408" s="186"/>
      <c r="H408" s="186"/>
      <c r="J408" s="205"/>
      <c r="K408" s="133"/>
      <c r="M408" s="134"/>
    </row>
    <row r="409" spans="1:15" s="132" customFormat="1" x14ac:dyDescent="0.15">
      <c r="A409" s="188" t="s">
        <v>2727</v>
      </c>
      <c r="B409" s="210">
        <v>280947</v>
      </c>
      <c r="C409" s="221">
        <v>0.2</v>
      </c>
      <c r="D409" s="235">
        <f>+B409*C409</f>
        <v>56189.4</v>
      </c>
      <c r="E409" s="235">
        <f t="shared" ref="E409" si="37">+D409*0.1</f>
        <v>5618.9400000000005</v>
      </c>
      <c r="F409" s="236">
        <f t="shared" ref="F409" si="38">SUM(D409:E409)</f>
        <v>61808.340000000004</v>
      </c>
      <c r="G409" s="186"/>
      <c r="H409" s="186"/>
      <c r="J409" s="205"/>
      <c r="K409" s="133"/>
      <c r="M409" s="134"/>
    </row>
    <row r="410" spans="1:15" s="132" customFormat="1" ht="12" thickBot="1" x14ac:dyDescent="0.2">
      <c r="A410" s="133"/>
      <c r="B410" s="211">
        <f>SUM(B404:B409)</f>
        <v>1810420</v>
      </c>
      <c r="C410" s="221"/>
      <c r="D410" s="242">
        <f>SUM(D404:D409)</f>
        <v>362084.00000000006</v>
      </c>
      <c r="E410" s="242">
        <f t="shared" ref="E410:F410" si="39">SUM(E404:E409)</f>
        <v>36208.400000000001</v>
      </c>
      <c r="F410" s="242">
        <f t="shared" si="39"/>
        <v>398292.4</v>
      </c>
      <c r="G410" s="186"/>
      <c r="H410" s="186"/>
      <c r="J410" s="134"/>
      <c r="K410" s="133"/>
      <c r="M410" s="134"/>
    </row>
    <row r="411" spans="1:15" s="132" customFormat="1" ht="12" thickTop="1" x14ac:dyDescent="0.15">
      <c r="A411" s="193" t="s">
        <v>2652</v>
      </c>
      <c r="B411" s="210">
        <v>458260</v>
      </c>
      <c r="C411" s="221">
        <v>0.2</v>
      </c>
      <c r="D411" s="235">
        <f t="shared" ref="D411:D418" si="40">+B411*C411</f>
        <v>91652</v>
      </c>
      <c r="E411" s="235">
        <f t="shared" ref="E411:E418" si="41">+D411*0.1</f>
        <v>9165.2000000000007</v>
      </c>
      <c r="F411" s="236">
        <f t="shared" ref="F411:F418" si="42">SUM(D411:E411)</f>
        <v>100817.2</v>
      </c>
      <c r="G411" s="186"/>
      <c r="H411" s="186"/>
      <c r="J411" s="134"/>
      <c r="K411" s="133"/>
      <c r="M411" s="134"/>
    </row>
    <row r="412" spans="1:15" s="132" customFormat="1" x14ac:dyDescent="0.15">
      <c r="A412" s="193" t="s">
        <v>2653</v>
      </c>
      <c r="B412" s="210">
        <v>681718</v>
      </c>
      <c r="C412" s="221">
        <v>0.2</v>
      </c>
      <c r="D412" s="235">
        <f t="shared" si="40"/>
        <v>136343.6</v>
      </c>
      <c r="E412" s="235">
        <f t="shared" si="41"/>
        <v>13634.36</v>
      </c>
      <c r="F412" s="236">
        <f t="shared" si="42"/>
        <v>149977.96000000002</v>
      </c>
      <c r="G412" s="186"/>
      <c r="H412" s="186"/>
      <c r="J412" s="134"/>
      <c r="K412" s="133"/>
      <c r="M412" s="134"/>
    </row>
    <row r="413" spans="1:15" s="132" customFormat="1" x14ac:dyDescent="0.15">
      <c r="A413" s="193" t="s">
        <v>2654</v>
      </c>
      <c r="B413" s="210">
        <v>160891</v>
      </c>
      <c r="C413" s="221">
        <v>0.2</v>
      </c>
      <c r="D413" s="235">
        <f t="shared" si="40"/>
        <v>32178.2</v>
      </c>
      <c r="E413" s="235">
        <f t="shared" si="41"/>
        <v>3217.82</v>
      </c>
      <c r="F413" s="236">
        <f t="shared" si="42"/>
        <v>35396.020000000004</v>
      </c>
      <c r="G413" s="186"/>
      <c r="H413" s="186"/>
      <c r="J413" s="134"/>
      <c r="K413" s="133"/>
      <c r="M413" s="134"/>
    </row>
    <row r="414" spans="1:15" s="132" customFormat="1" x14ac:dyDescent="0.15">
      <c r="A414" s="193" t="s">
        <v>2721</v>
      </c>
      <c r="B414" s="210">
        <v>375197</v>
      </c>
      <c r="C414" s="221">
        <v>0.2</v>
      </c>
      <c r="D414" s="235">
        <f t="shared" si="40"/>
        <v>75039.400000000009</v>
      </c>
      <c r="E414" s="235">
        <f t="shared" si="41"/>
        <v>7503.9400000000014</v>
      </c>
      <c r="F414" s="236">
        <f t="shared" si="42"/>
        <v>82543.340000000011</v>
      </c>
      <c r="G414" s="186"/>
      <c r="H414" s="186"/>
      <c r="J414" s="210"/>
      <c r="K414" s="133"/>
      <c r="M414" s="134"/>
    </row>
    <row r="415" spans="1:15" s="132" customFormat="1" x14ac:dyDescent="0.15">
      <c r="A415" s="193" t="s">
        <v>2722</v>
      </c>
      <c r="B415" s="210">
        <v>368050</v>
      </c>
      <c r="C415" s="221">
        <v>0.2</v>
      </c>
      <c r="D415" s="235">
        <f t="shared" si="40"/>
        <v>73610</v>
      </c>
      <c r="E415" s="235">
        <f t="shared" si="41"/>
        <v>7361</v>
      </c>
      <c r="F415" s="236">
        <f t="shared" si="42"/>
        <v>80971</v>
      </c>
      <c r="G415" s="186"/>
      <c r="H415" s="186"/>
      <c r="J415" s="134"/>
      <c r="K415" s="133"/>
      <c r="M415" s="134"/>
    </row>
    <row r="416" spans="1:15" s="132" customFormat="1" x14ac:dyDescent="0.15">
      <c r="A416" s="193" t="s">
        <v>2723</v>
      </c>
      <c r="B416" s="210">
        <v>566433</v>
      </c>
      <c r="C416" s="221">
        <v>0.2</v>
      </c>
      <c r="D416" s="235">
        <f t="shared" si="40"/>
        <v>113286.6</v>
      </c>
      <c r="E416" s="235">
        <f t="shared" si="41"/>
        <v>11328.660000000002</v>
      </c>
      <c r="F416" s="236">
        <f t="shared" si="42"/>
        <v>124615.26000000001</v>
      </c>
      <c r="G416" s="186"/>
      <c r="H416" s="186"/>
      <c r="J416" s="134"/>
      <c r="K416" s="133"/>
      <c r="M416" s="134"/>
    </row>
    <row r="417" spans="1:13" s="132" customFormat="1" x14ac:dyDescent="0.15">
      <c r="A417" s="193" t="s">
        <v>2725</v>
      </c>
      <c r="B417" s="210">
        <v>83064</v>
      </c>
      <c r="C417" s="221">
        <v>0.2</v>
      </c>
      <c r="D417" s="235">
        <f t="shared" si="40"/>
        <v>16612.8</v>
      </c>
      <c r="E417" s="235">
        <f t="shared" si="41"/>
        <v>1661.28</v>
      </c>
      <c r="F417" s="236">
        <f t="shared" si="42"/>
        <v>18274.079999999998</v>
      </c>
      <c r="G417" s="186"/>
      <c r="H417" s="186"/>
      <c r="J417" s="134"/>
      <c r="K417" s="133"/>
      <c r="M417" s="134"/>
    </row>
    <row r="418" spans="1:13" s="132" customFormat="1" x14ac:dyDescent="0.15">
      <c r="A418" s="193" t="s">
        <v>2728</v>
      </c>
      <c r="B418" s="210">
        <v>295042</v>
      </c>
      <c r="C418" s="221">
        <v>0.2</v>
      </c>
      <c r="D418" s="235">
        <f t="shared" si="40"/>
        <v>59008.4</v>
      </c>
      <c r="E418" s="235">
        <f t="shared" si="41"/>
        <v>5900.84</v>
      </c>
      <c r="F418" s="236">
        <f t="shared" si="42"/>
        <v>64909.240000000005</v>
      </c>
      <c r="G418" s="186"/>
      <c r="H418" s="186"/>
      <c r="J418" s="134"/>
      <c r="K418" s="133"/>
      <c r="M418" s="134"/>
    </row>
    <row r="419" spans="1:13" s="132" customFormat="1" ht="12" thickBot="1" x14ac:dyDescent="0.2">
      <c r="A419" s="133"/>
      <c r="B419" s="211">
        <f>SUM(B411:B418)</f>
        <v>2988655</v>
      </c>
      <c r="C419" s="221"/>
      <c r="D419" s="242">
        <f>SUM(D411:D418)</f>
        <v>597731.00000000012</v>
      </c>
      <c r="E419" s="242">
        <f t="shared" ref="E419:F419" si="43">SUM(E411:E418)</f>
        <v>59773.100000000006</v>
      </c>
      <c r="F419" s="242">
        <f t="shared" si="43"/>
        <v>657504.1</v>
      </c>
      <c r="G419" s="219"/>
      <c r="H419" s="186"/>
      <c r="J419" s="134"/>
      <c r="K419" s="133"/>
      <c r="M419" s="134"/>
    </row>
    <row r="420" spans="1:13" s="132" customFormat="1" ht="12" thickTop="1" x14ac:dyDescent="0.15">
      <c r="A420" s="134"/>
      <c r="B420" s="131"/>
      <c r="D420" s="133"/>
      <c r="E420" s="133"/>
      <c r="F420" s="134"/>
      <c r="H420" s="133"/>
      <c r="I420" s="187"/>
      <c r="J420" s="134"/>
      <c r="K420" s="133"/>
      <c r="M420" s="134"/>
    </row>
    <row r="421" spans="1:13" s="132" customFormat="1" x14ac:dyDescent="0.15">
      <c r="A421" s="134"/>
      <c r="B421" s="131"/>
      <c r="D421" s="133"/>
      <c r="E421" s="133"/>
      <c r="F421" s="134"/>
      <c r="H421" s="133"/>
      <c r="J421" s="134"/>
      <c r="K421" s="133"/>
      <c r="M421" s="134"/>
    </row>
    <row r="422" spans="1:13" s="132" customFormat="1" x14ac:dyDescent="0.15">
      <c r="A422" s="134"/>
      <c r="B422" s="131"/>
      <c r="D422" s="133"/>
      <c r="E422" s="133"/>
      <c r="F422" s="134"/>
      <c r="H422" s="133"/>
      <c r="J422" s="134"/>
      <c r="K422" s="133"/>
      <c r="M422" s="134"/>
    </row>
    <row r="423" spans="1:13" s="132" customFormat="1" x14ac:dyDescent="0.15">
      <c r="A423" s="134"/>
      <c r="B423" s="131"/>
      <c r="D423" s="133"/>
      <c r="E423" s="133"/>
      <c r="F423" s="134"/>
      <c r="H423" s="133"/>
      <c r="J423" s="134"/>
      <c r="K423" s="133"/>
      <c r="M423" s="134"/>
    </row>
    <row r="424" spans="1:13" s="132" customFormat="1" x14ac:dyDescent="0.15">
      <c r="A424" s="134"/>
      <c r="B424" s="131"/>
      <c r="D424" s="133"/>
      <c r="E424" s="133"/>
      <c r="F424" s="134"/>
      <c r="H424" s="133"/>
      <c r="J424" s="134"/>
      <c r="K424" s="133"/>
      <c r="M424" s="134"/>
    </row>
  </sheetData>
  <mergeCells count="7">
    <mergeCell ref="B386:D38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 xml:space="preserve">&amp;R&amp;"Cordia New,Bold"&amp;UJP02&amp;"Cordia New,Regular"&amp;Uหน้าที่&amp;P/&amp;N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83</vt:i4>
      </vt:variant>
      <vt:variant>
        <vt:lpstr>Named Ranges</vt:lpstr>
      </vt:variant>
      <vt:variant>
        <vt:i4>83</vt:i4>
      </vt:variant>
    </vt:vector>
  </HeadingPairs>
  <TitlesOfParts>
    <vt:vector size="166" baseType="lpstr">
      <vt:lpstr>Sheet1</vt:lpstr>
      <vt:lpstr>1215</vt:lpstr>
      <vt:lpstr>1115 (2)</vt:lpstr>
      <vt:lpstr>กระบี่</vt:lpstr>
      <vt:lpstr>1115</vt:lpstr>
      <vt:lpstr>1015</vt:lpstr>
      <vt:lpstr>0915</vt:lpstr>
      <vt:lpstr>0815</vt:lpstr>
      <vt:lpstr>0715</vt:lpstr>
      <vt:lpstr>0615</vt:lpstr>
      <vt:lpstr>0515</vt:lpstr>
      <vt:lpstr>0415</vt:lpstr>
      <vt:lpstr>0315</vt:lpstr>
      <vt:lpstr>0215</vt:lpstr>
      <vt:lpstr>0115</vt:lpstr>
      <vt:lpstr>กระบี่ 1214</vt:lpstr>
      <vt:lpstr>1214 new</vt:lpstr>
      <vt:lpstr>1214</vt:lpstr>
      <vt:lpstr>1114</vt:lpstr>
      <vt:lpstr>1014</vt:lpstr>
      <vt:lpstr>0914</vt:lpstr>
      <vt:lpstr>0814</vt:lpstr>
      <vt:lpstr>0714</vt:lpstr>
      <vt:lpstr>0614</vt:lpstr>
      <vt:lpstr>0514</vt:lpstr>
      <vt:lpstr>0414</vt:lpstr>
      <vt:lpstr>0314</vt:lpstr>
      <vt:lpstr>0214</vt:lpstr>
      <vt:lpstr>0114</vt:lpstr>
      <vt:lpstr>1213</vt:lpstr>
      <vt:lpstr>1113</vt:lpstr>
      <vt:lpstr>1013</vt:lpstr>
      <vt:lpstr>0913</vt:lpstr>
      <vt:lpstr>0813</vt:lpstr>
      <vt:lpstr>0713</vt:lpstr>
      <vt:lpstr>0613</vt:lpstr>
      <vt:lpstr>0513</vt:lpstr>
      <vt:lpstr>0413</vt:lpstr>
      <vt:lpstr>0313</vt:lpstr>
      <vt:lpstr>0213</vt:lpstr>
      <vt:lpstr>0113</vt:lpstr>
      <vt:lpstr>1212</vt:lpstr>
      <vt:lpstr>1112</vt:lpstr>
      <vt:lpstr>1012</vt:lpstr>
      <vt:lpstr>0912</vt:lpstr>
      <vt:lpstr>0812</vt:lpstr>
      <vt:lpstr>0712</vt:lpstr>
      <vt:lpstr>0612</vt:lpstr>
      <vt:lpstr>0512</vt:lpstr>
      <vt:lpstr>0412</vt:lpstr>
      <vt:lpstr>0312</vt:lpstr>
      <vt:lpstr>0212</vt:lpstr>
      <vt:lpstr>0112</vt:lpstr>
      <vt:lpstr>1211</vt:lpstr>
      <vt:lpstr>1111</vt:lpstr>
      <vt:lpstr>1011</vt:lpstr>
      <vt:lpstr>0911</vt:lpstr>
      <vt:lpstr>0811</vt:lpstr>
      <vt:lpstr>0711</vt:lpstr>
      <vt:lpstr>0611</vt:lpstr>
      <vt:lpstr>0511</vt:lpstr>
      <vt:lpstr>0411</vt:lpstr>
      <vt:lpstr>0311</vt:lpstr>
      <vt:lpstr>0211</vt:lpstr>
      <vt:lpstr>0111 NEW (2)</vt:lpstr>
      <vt:lpstr>0111 NEW</vt:lpstr>
      <vt:lpstr>0111</vt:lpstr>
      <vt:lpstr>1210</vt:lpstr>
      <vt:lpstr>1110</vt:lpstr>
      <vt:lpstr>1010</vt:lpstr>
      <vt:lpstr>0910</vt:lpstr>
      <vt:lpstr>0810</vt:lpstr>
      <vt:lpstr>0710</vt:lpstr>
      <vt:lpstr>0610</vt:lpstr>
      <vt:lpstr>0510</vt:lpstr>
      <vt:lpstr>0410</vt:lpstr>
      <vt:lpstr>0310</vt:lpstr>
      <vt:lpstr>0210</vt:lpstr>
      <vt:lpstr>0110</vt:lpstr>
      <vt:lpstr>1209</vt:lpstr>
      <vt:lpstr>1109</vt:lpstr>
      <vt:lpstr>1009</vt:lpstr>
      <vt:lpstr>5206</vt:lpstr>
      <vt:lpstr>'5206'!Print_Area</vt:lpstr>
      <vt:lpstr>'0110'!Print_Titles</vt:lpstr>
      <vt:lpstr>'0111'!Print_Titles</vt:lpstr>
      <vt:lpstr>'0111 NEW'!Print_Titles</vt:lpstr>
      <vt:lpstr>'0111 NEW (2)'!Print_Titles</vt:lpstr>
      <vt:lpstr>'0112'!Print_Titles</vt:lpstr>
      <vt:lpstr>'0113'!Print_Titles</vt:lpstr>
      <vt:lpstr>'0114'!Print_Titles</vt:lpstr>
      <vt:lpstr>'0115'!Print_Titles</vt:lpstr>
      <vt:lpstr>'0210'!Print_Titles</vt:lpstr>
      <vt:lpstr>'0211'!Print_Titles</vt:lpstr>
      <vt:lpstr>'0212'!Print_Titles</vt:lpstr>
      <vt:lpstr>'0213'!Print_Titles</vt:lpstr>
      <vt:lpstr>'0214'!Print_Titles</vt:lpstr>
      <vt:lpstr>'0215'!Print_Titles</vt:lpstr>
      <vt:lpstr>'0310'!Print_Titles</vt:lpstr>
      <vt:lpstr>'0311'!Print_Titles</vt:lpstr>
      <vt:lpstr>'0312'!Print_Titles</vt:lpstr>
      <vt:lpstr>'0313'!Print_Titles</vt:lpstr>
      <vt:lpstr>'0314'!Print_Titles</vt:lpstr>
      <vt:lpstr>'0315'!Print_Titles</vt:lpstr>
      <vt:lpstr>'0410'!Print_Titles</vt:lpstr>
      <vt:lpstr>'0411'!Print_Titles</vt:lpstr>
      <vt:lpstr>'0412'!Print_Titles</vt:lpstr>
      <vt:lpstr>'0413'!Print_Titles</vt:lpstr>
      <vt:lpstr>'0414'!Print_Titles</vt:lpstr>
      <vt:lpstr>'0415'!Print_Titles</vt:lpstr>
      <vt:lpstr>'0510'!Print_Titles</vt:lpstr>
      <vt:lpstr>'0511'!Print_Titles</vt:lpstr>
      <vt:lpstr>'0512'!Print_Titles</vt:lpstr>
      <vt:lpstr>'0513'!Print_Titles</vt:lpstr>
      <vt:lpstr>'0514'!Print_Titles</vt:lpstr>
      <vt:lpstr>'0515'!Print_Titles</vt:lpstr>
      <vt:lpstr>'0610'!Print_Titles</vt:lpstr>
      <vt:lpstr>'0611'!Print_Titles</vt:lpstr>
      <vt:lpstr>'0612'!Print_Titles</vt:lpstr>
      <vt:lpstr>'0613'!Print_Titles</vt:lpstr>
      <vt:lpstr>'0614'!Print_Titles</vt:lpstr>
      <vt:lpstr>'0615'!Print_Titles</vt:lpstr>
      <vt:lpstr>'0710'!Print_Titles</vt:lpstr>
      <vt:lpstr>'0711'!Print_Titles</vt:lpstr>
      <vt:lpstr>'0712'!Print_Titles</vt:lpstr>
      <vt:lpstr>'0713'!Print_Titles</vt:lpstr>
      <vt:lpstr>'0714'!Print_Titles</vt:lpstr>
      <vt:lpstr>'0715'!Print_Titles</vt:lpstr>
      <vt:lpstr>'0810'!Print_Titles</vt:lpstr>
      <vt:lpstr>'0811'!Print_Titles</vt:lpstr>
      <vt:lpstr>'0812'!Print_Titles</vt:lpstr>
      <vt:lpstr>'0813'!Print_Titles</vt:lpstr>
      <vt:lpstr>'0814'!Print_Titles</vt:lpstr>
      <vt:lpstr>'0815'!Print_Titles</vt:lpstr>
      <vt:lpstr>'0910'!Print_Titles</vt:lpstr>
      <vt:lpstr>'0911'!Print_Titles</vt:lpstr>
      <vt:lpstr>'0912'!Print_Titles</vt:lpstr>
      <vt:lpstr>'0913'!Print_Titles</vt:lpstr>
      <vt:lpstr>'0914'!Print_Titles</vt:lpstr>
      <vt:lpstr>'0915'!Print_Titles</vt:lpstr>
      <vt:lpstr>'1009'!Print_Titles</vt:lpstr>
      <vt:lpstr>'1010'!Print_Titles</vt:lpstr>
      <vt:lpstr>'1011'!Print_Titles</vt:lpstr>
      <vt:lpstr>'1012'!Print_Titles</vt:lpstr>
      <vt:lpstr>'1013'!Print_Titles</vt:lpstr>
      <vt:lpstr>'1014'!Print_Titles</vt:lpstr>
      <vt:lpstr>'1015'!Print_Titles</vt:lpstr>
      <vt:lpstr>'1109'!Print_Titles</vt:lpstr>
      <vt:lpstr>'1110'!Print_Titles</vt:lpstr>
      <vt:lpstr>'1111'!Print_Titles</vt:lpstr>
      <vt:lpstr>'1112'!Print_Titles</vt:lpstr>
      <vt:lpstr>'1113'!Print_Titles</vt:lpstr>
      <vt:lpstr>'1114'!Print_Titles</vt:lpstr>
      <vt:lpstr>'1115'!Print_Titles</vt:lpstr>
      <vt:lpstr>'1115 (2)'!Print_Titles</vt:lpstr>
      <vt:lpstr>'1209'!Print_Titles</vt:lpstr>
      <vt:lpstr>'1210'!Print_Titles</vt:lpstr>
      <vt:lpstr>'1211'!Print_Titles</vt:lpstr>
      <vt:lpstr>'1212'!Print_Titles</vt:lpstr>
      <vt:lpstr>'1213'!Print_Titles</vt:lpstr>
      <vt:lpstr>'1214'!Print_Titles</vt:lpstr>
      <vt:lpstr>'1214 new'!Print_Titles</vt:lpstr>
      <vt:lpstr>'1215'!Print_Titles</vt:lpstr>
      <vt:lpstr>'5206'!Print_Titles</vt:lpstr>
      <vt:lpstr>กระบี่!Print_Titles</vt:lpstr>
      <vt:lpstr>'กระบี่ 1214'!Print_Titles</vt:lpstr>
    </vt:vector>
  </TitlesOfParts>
  <Company>PTT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380019</dc:creator>
  <cp:lastModifiedBy>SIRION SUWANPANICH</cp:lastModifiedBy>
  <cp:lastPrinted>2016-01-28T06:37:50Z</cp:lastPrinted>
  <dcterms:created xsi:type="dcterms:W3CDTF">2009-07-21T02:48:53Z</dcterms:created>
  <dcterms:modified xsi:type="dcterms:W3CDTF">2016-01-28T06:45:12Z</dcterms:modified>
</cp:coreProperties>
</file>